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Serie videos curso 1 - youtube\Video 3\"/>
    </mc:Choice>
  </mc:AlternateContent>
  <xr:revisionPtr revIDLastSave="0" documentId="13_ncr:1_{A11CFF94-3F4A-46B8-BA73-282267DAF637}" xr6:coauthVersionLast="45" xr6:coauthVersionMax="45" xr10:uidLastSave="{00000000-0000-0000-0000-000000000000}"/>
  <bookViews>
    <workbookView xWindow="-120" yWindow="-120" windowWidth="20730" windowHeight="11160" xr2:uid="{DA89F7A0-8B4B-4B06-9437-A4B9AC54C409}"/>
  </bookViews>
  <sheets>
    <sheet name="Exercicio" sheetId="6" r:id="rId1"/>
    <sheet name="Shapiro-Wilk 1" sheetId="1" r:id="rId2"/>
    <sheet name="Shapiro-Wilk 2" sheetId="7" r:id="rId3"/>
    <sheet name="TesteQ 1" sheetId="3" r:id="rId4"/>
    <sheet name="TesteQ 2" sheetId="4" r:id="rId5"/>
    <sheet name="Levene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P12" i="6" l="1"/>
  <c r="P9" i="6"/>
  <c r="P6" i="6"/>
  <c r="P3" i="6"/>
  <c r="L12" i="6"/>
  <c r="L6" i="6"/>
  <c r="L9" i="6"/>
  <c r="L3" i="6"/>
  <c r="J15" i="6"/>
  <c r="J12" i="6"/>
  <c r="J9" i="6"/>
  <c r="J6" i="6" l="1"/>
  <c r="H3" i="6"/>
  <c r="H6" i="6"/>
  <c r="H9" i="6"/>
  <c r="H12" i="6"/>
  <c r="F12" i="6"/>
  <c r="F9" i="6"/>
  <c r="F6" i="6"/>
  <c r="F3" i="6"/>
  <c r="E9" i="5"/>
  <c r="F9" i="5" s="1"/>
  <c r="E4" i="5"/>
  <c r="F4" i="5"/>
  <c r="E5" i="5"/>
  <c r="F5" i="5"/>
  <c r="E6" i="5"/>
  <c r="F6" i="5"/>
  <c r="E7" i="5"/>
  <c r="F7" i="5"/>
  <c r="E8" i="5"/>
  <c r="F8" i="5"/>
  <c r="F3" i="7"/>
  <c r="G3" i="7" s="1"/>
  <c r="I3" i="7"/>
  <c r="F4" i="7"/>
  <c r="G4" i="7"/>
  <c r="I4" i="7"/>
  <c r="B3" i="7"/>
  <c r="C3" i="7"/>
  <c r="B4" i="7"/>
  <c r="C4" i="7"/>
  <c r="B5" i="7"/>
  <c r="C5" i="7"/>
  <c r="B6" i="7"/>
  <c r="C6" i="7"/>
  <c r="B7" i="7"/>
  <c r="C7" i="7"/>
  <c r="B8" i="7"/>
  <c r="C8" i="7"/>
  <c r="F3" i="1"/>
  <c r="G3" i="1" s="1"/>
  <c r="I3" i="1"/>
  <c r="F4" i="1"/>
  <c r="G4" i="1"/>
  <c r="I4" i="1"/>
  <c r="B3" i="1"/>
  <c r="C3" i="1"/>
  <c r="B4" i="1"/>
  <c r="C4" i="1"/>
  <c r="B5" i="1"/>
  <c r="C5" i="1"/>
  <c r="B6" i="1"/>
  <c r="C6" i="1"/>
  <c r="B7" i="1"/>
  <c r="C7" i="1"/>
  <c r="B8" i="1"/>
  <c r="C8" i="1"/>
  <c r="H4" i="1"/>
  <c r="H3" i="1"/>
  <c r="H4" i="7"/>
  <c r="H3" i="7"/>
  <c r="E10" i="5" l="1"/>
  <c r="J3" i="7"/>
  <c r="J4" i="7"/>
  <c r="J3" i="1"/>
  <c r="J4" i="1"/>
  <c r="E11" i="5" l="1"/>
  <c r="F10" i="5"/>
  <c r="F11" i="5" l="1"/>
  <c r="E12" i="5"/>
  <c r="I2" i="7"/>
  <c r="C2" i="7"/>
  <c r="B2" i="7"/>
  <c r="F2" i="7" s="1"/>
  <c r="G2" i="7" s="1"/>
  <c r="I2" i="1"/>
  <c r="C2" i="1"/>
  <c r="B2" i="1"/>
  <c r="F2" i="1" s="1"/>
  <c r="G2" i="1" s="1"/>
  <c r="BW5" i="7"/>
  <c r="H2" i="1"/>
  <c r="BW4" i="7"/>
  <c r="H2" i="7"/>
  <c r="BW3" i="7"/>
  <c r="E13" i="5" l="1"/>
  <c r="F12" i="5"/>
  <c r="N2" i="7"/>
  <c r="J2" i="7"/>
  <c r="K2" i="7" s="1"/>
  <c r="L2" i="7" s="1"/>
  <c r="J2" i="1"/>
  <c r="K2" i="1" s="1"/>
  <c r="L2" i="1" s="1"/>
  <c r="O2" i="7" l="1"/>
  <c r="F13" i="5"/>
  <c r="E14" i="5"/>
  <c r="E2" i="5"/>
  <c r="E3" i="5" s="1"/>
  <c r="F3" i="5" s="1"/>
  <c r="F14" i="5" l="1"/>
  <c r="E15" i="5"/>
  <c r="F15" i="5" s="1"/>
  <c r="H13" i="5"/>
  <c r="H10" i="5"/>
  <c r="H8" i="5"/>
  <c r="F2" i="5"/>
  <c r="H3" i="5" s="1"/>
  <c r="H15" i="5" l="1"/>
  <c r="H4" i="5"/>
  <c r="H6" i="5"/>
  <c r="H14" i="5"/>
  <c r="G9" i="5"/>
  <c r="G10" i="5" s="1"/>
  <c r="G11" i="5" s="1"/>
  <c r="G12" i="5" s="1"/>
  <c r="G13" i="5" s="1"/>
  <c r="G14" i="5" s="1"/>
  <c r="G15" i="5" s="1"/>
  <c r="H7" i="5"/>
  <c r="H5" i="5"/>
  <c r="H9" i="5"/>
  <c r="H11" i="5"/>
  <c r="H12" i="5"/>
  <c r="C5" i="4"/>
  <c r="C4" i="4"/>
  <c r="I10" i="4" s="1"/>
  <c r="C3" i="4"/>
  <c r="C2" i="4"/>
  <c r="I5" i="4" s="1"/>
  <c r="C5" i="3"/>
  <c r="C4" i="3"/>
  <c r="I10" i="3" s="1"/>
  <c r="C3" i="3"/>
  <c r="C2" i="3"/>
  <c r="I5" i="3" s="1"/>
  <c r="Q4" i="4"/>
  <c r="Q3" i="3"/>
  <c r="Q5" i="3"/>
  <c r="Q5" i="4"/>
  <c r="Q3" i="4"/>
  <c r="Q4" i="3"/>
  <c r="C6" i="3" l="1"/>
  <c r="F2" i="3" s="1"/>
  <c r="F5" i="4"/>
  <c r="F6" i="4"/>
  <c r="F4" i="4"/>
  <c r="I6" i="4"/>
  <c r="I9" i="4"/>
  <c r="I4" i="4"/>
  <c r="C6" i="4"/>
  <c r="F2" i="4" s="1"/>
  <c r="I8" i="4"/>
  <c r="F6" i="3"/>
  <c r="F5" i="3"/>
  <c r="F4" i="3"/>
  <c r="I6" i="3"/>
  <c r="I9" i="3"/>
  <c r="I4" i="3"/>
  <c r="I8" i="3"/>
  <c r="F3" i="3" l="1"/>
  <c r="J10" i="3" s="1"/>
  <c r="J4" i="4"/>
  <c r="F3" i="4"/>
  <c r="J10" i="4" s="1"/>
  <c r="J6" i="4"/>
  <c r="J5" i="4"/>
  <c r="J6" i="3"/>
  <c r="J5" i="3"/>
  <c r="J4" i="3"/>
  <c r="J9" i="4" l="1"/>
  <c r="J8" i="4"/>
  <c r="J9" i="3"/>
  <c r="J8" i="3"/>
  <c r="BW3" i="1"/>
  <c r="BW4" i="1"/>
  <c r="BW5" i="1"/>
  <c r="N2" i="1" l="1"/>
  <c r="O2" i="1" s="1"/>
  <c r="H2" i="5"/>
  <c r="I2" i="5" s="1"/>
  <c r="J2" i="5" s="1"/>
  <c r="G2" i="5"/>
  <c r="K2" i="5" l="1"/>
  <c r="L2" i="5" s="1"/>
  <c r="G3" i="5"/>
  <c r="G4" i="5" s="1"/>
  <c r="G5" i="5" s="1"/>
  <c r="G6" i="5" s="1"/>
  <c r="G7" i="5" s="1"/>
  <c r="G8" i="5" s="1"/>
  <c r="O2" i="5"/>
  <c r="P2" i="5" s="1"/>
  <c r="Q2" i="5" l="1"/>
  <c r="R2" i="5" s="1"/>
  <c r="M2" i="5"/>
  <c r="T2" i="5" l="1"/>
  <c r="N2" i="5"/>
  <c r="S2" i="5" s="1"/>
  <c r="V2" i="5" l="1"/>
  <c r="U2" i="5"/>
</calcChain>
</file>

<file path=xl/sharedStrings.xml><?xml version="1.0" encoding="utf-8"?>
<sst xmlns="http://schemas.openxmlformats.org/spreadsheetml/2006/main" count="254" uniqueCount="140">
  <si>
    <t>amostra ordenada</t>
  </si>
  <si>
    <t>Ordem</t>
  </si>
  <si>
    <t>(xi -xmedio)^2</t>
  </si>
  <si>
    <t>Metade inferior</t>
  </si>
  <si>
    <t>Metade superior</t>
  </si>
  <si>
    <t>i</t>
  </si>
  <si>
    <t>N-i +1</t>
  </si>
  <si>
    <t>a(N-i+a)</t>
  </si>
  <si>
    <t>Diferença</t>
  </si>
  <si>
    <t>a(N-i+a) * Diferença</t>
  </si>
  <si>
    <t>b</t>
  </si>
  <si>
    <t xml:space="preserve">Estatistica </t>
  </si>
  <si>
    <t>alfa</t>
  </si>
  <si>
    <t>Valor tabelado</t>
  </si>
  <si>
    <t>Conclusão</t>
  </si>
  <si>
    <t>n</t>
  </si>
  <si>
    <t>Nome coluna</t>
  </si>
  <si>
    <t>i\n</t>
  </si>
  <si>
    <t>N</t>
  </si>
  <si>
    <t>alfa = 0,01</t>
  </si>
  <si>
    <t>alfa = 0,05</t>
  </si>
  <si>
    <t>alfa = 0,1</t>
  </si>
  <si>
    <t>S</t>
  </si>
  <si>
    <t>T</t>
  </si>
  <si>
    <t>SW 1% =</t>
  </si>
  <si>
    <t>U</t>
  </si>
  <si>
    <t>SW 5% =</t>
  </si>
  <si>
    <t>V</t>
  </si>
  <si>
    <t>SW 10% =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</si>
  <si>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</si>
  <si>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</si>
  <si>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</si>
  <si>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</si>
  <si>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</si>
  <si>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</si>
  <si>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</si>
  <si>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</si>
  <si>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</si>
  <si>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</si>
  <si>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</si>
  <si>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</si>
  <si>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</si>
  <si>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</si>
  <si>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</si>
  <si>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</si>
  <si>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</si>
  <si>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</si>
  <si>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</si>
  <si>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</si>
  <si>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</si>
  <si>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</si>
  <si>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</si>
  <si>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</si>
  <si>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</si>
  <si>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</si>
  <si>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</si>
  <si>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</si>
  <si>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</si>
  <si>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</si>
  <si>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</si>
  <si>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</si>
  <si>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</si>
  <si>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</si>
  <si>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</si>
  <si>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</si>
  <si>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</si>
  <si>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</si>
  <si>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</si>
  <si>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</si>
  <si>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</si>
  <si>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</si>
  <si>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</si>
  <si>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</si>
  <si>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</si>
  <si>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Dados</t>
  </si>
  <si>
    <t>Número de replicações</t>
  </si>
  <si>
    <t>90_%</t>
  </si>
  <si>
    <t>95_%</t>
  </si>
  <si>
    <t>99_%</t>
  </si>
  <si>
    <t>Menor valor =</t>
  </si>
  <si>
    <t>Qinferior =</t>
  </si>
  <si>
    <t>Segundo menor valor =</t>
  </si>
  <si>
    <t>Qsuperior =</t>
  </si>
  <si>
    <t>Conclusão do teste</t>
  </si>
  <si>
    <t>Maior valor =</t>
  </si>
  <si>
    <t>O valor</t>
  </si>
  <si>
    <t>Segundo maior valor =</t>
  </si>
  <si>
    <t>Amplitude =</t>
  </si>
  <si>
    <t>Dados básicos</t>
  </si>
  <si>
    <t>Nome da amostra</t>
  </si>
  <si>
    <t>Valor original</t>
  </si>
  <si>
    <t>Média de cada grupo</t>
  </si>
  <si>
    <t>Valores transformados</t>
  </si>
  <si>
    <t>Média de cada grupo transformada</t>
  </si>
  <si>
    <t>(yij-Ymedio)^2</t>
  </si>
  <si>
    <t>SQTotais</t>
  </si>
  <si>
    <t>gl total</t>
  </si>
  <si>
    <t>(yimedio - Ymedio)^2</t>
  </si>
  <si>
    <t>Sqtratamentos</t>
  </si>
  <si>
    <t>gl tratamentos</t>
  </si>
  <si>
    <t>Media tratamentos</t>
  </si>
  <si>
    <t>(yi-yimedio)^2</t>
  </si>
  <si>
    <t>Sqerros</t>
  </si>
  <si>
    <t>gl erros</t>
  </si>
  <si>
    <t>Merros</t>
  </si>
  <si>
    <t>Fcalc</t>
  </si>
  <si>
    <t>Ftab</t>
  </si>
  <si>
    <t>p-valor</t>
  </si>
  <si>
    <t>Nível de significância =</t>
  </si>
  <si>
    <t>Número de grupos =</t>
  </si>
  <si>
    <t>Média de A</t>
  </si>
  <si>
    <t>Média de B</t>
  </si>
  <si>
    <t>Alfa</t>
  </si>
  <si>
    <t>Diferença entre A e B</t>
  </si>
  <si>
    <t>Variância de A</t>
  </si>
  <si>
    <t>Variância de B</t>
  </si>
  <si>
    <t>Grau de liberdade combinado</t>
  </si>
  <si>
    <t>IC</t>
  </si>
  <si>
    <t>Desvio padrão de A</t>
  </si>
  <si>
    <t>Desvio padrão de B</t>
  </si>
  <si>
    <t>(x1 - x2) - IC</t>
  </si>
  <si>
    <t>nº repetições de A</t>
  </si>
  <si>
    <t>nº repetições de B</t>
  </si>
  <si>
    <t>Desvio padrão ponderado</t>
  </si>
  <si>
    <t>(x1 - x2) + IC</t>
  </si>
  <si>
    <t>p-valor (bilateral)</t>
  </si>
  <si>
    <r>
      <t xml:space="preserve">Teste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para amostras independentes e variâncias iguais - BILATERAL</t>
    </r>
  </si>
  <si>
    <r>
      <t>t</t>
    </r>
    <r>
      <rPr>
        <vertAlign val="subscript"/>
        <sz val="11"/>
        <color theme="1"/>
        <rFont val="Calibri"/>
        <family val="2"/>
        <scheme val="minor"/>
      </rPr>
      <t>bilateral a direita</t>
    </r>
  </si>
  <si>
    <r>
      <t>t</t>
    </r>
    <r>
      <rPr>
        <vertAlign val="subscript"/>
        <sz val="11"/>
        <color theme="1"/>
        <rFont val="Calibri"/>
        <family val="2"/>
        <scheme val="minor"/>
      </rPr>
      <t>bilateral a esquerda</t>
    </r>
  </si>
  <si>
    <r>
      <t>t</t>
    </r>
    <r>
      <rPr>
        <vertAlign val="subscript"/>
        <sz val="11"/>
        <color theme="1"/>
        <rFont val="Calibri"/>
        <family val="2"/>
        <scheme val="minor"/>
      </rPr>
      <t>calculado</t>
    </r>
  </si>
  <si>
    <r>
      <t>Termo 1/</t>
    </r>
    <r>
      <rPr>
        <sz val="11"/>
        <color theme="1"/>
        <rFont val="Calibri"/>
        <family val="2"/>
      </rPr>
      <t>√n</t>
    </r>
  </si>
  <si>
    <t>Localidade A (kg/ha)</t>
  </si>
  <si>
    <t>Localidade B (kg/ha)</t>
  </si>
  <si>
    <t>Lote</t>
  </si>
  <si>
    <t>Utilizando o p-valor</t>
  </si>
  <si>
    <t>Utilizando a estatística do teste</t>
  </si>
  <si>
    <t>Se p-valor for maior do que o nível de significância, as duas médias são iguais</t>
  </si>
  <si>
    <t>Se p-valor for menor do que o nível de significância, as duas médias são diferentes</t>
  </si>
  <si>
    <t>Se o valor absoluto da estística do teste for menor do que o valor tabelado, as duas médias são iguais</t>
  </si>
  <si>
    <t>Se o valor absoluto da estística do teste for maior do que o valor tabelado, as médias duas médias são diferentes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</si>
</sst>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A053-6C6B-45BA-A72E-D8029CAE57AB}">
  <dimension ref="A1:P19"/>
  <sheetViews>
    <sheetView showGridLines="0" tabSelected="1" topLeftCell="K1" workbookViewId="0">
      <selection activeCell="A3" sqref="A3:D9"/>
    </sheetView>
  </sheetViews>
  <sheetFormatPr defaultRowHeight="21" customHeight="1" x14ac:dyDescent="0.25"/>
  <cols>
    <col min="1" max="1" width="8.42578125" style="1" bestFit="1" customWidth="1"/>
    <col min="2" max="2" width="24.7109375" style="1" bestFit="1" customWidth="1"/>
    <col min="3" max="3" width="10.85546875" style="1" customWidth="1"/>
    <col min="4" max="4" width="24.7109375" style="1" bestFit="1" customWidth="1"/>
    <col min="5" max="5" width="4.7109375" style="1" customWidth="1"/>
    <col min="6" max="6" width="18.28515625" style="1" bestFit="1" customWidth="1"/>
    <col min="7" max="7" width="4.7109375" style="1" customWidth="1"/>
    <col min="8" max="8" width="18.140625" style="1" bestFit="1" customWidth="1"/>
    <col min="9" max="9" width="4.7109375" style="1" customWidth="1"/>
    <col min="10" max="10" width="33.140625" style="1" bestFit="1" customWidth="1"/>
    <col min="11" max="11" width="4.7109375" style="1" customWidth="1"/>
    <col min="12" max="12" width="16.7109375" style="1" bestFit="1" customWidth="1"/>
    <col min="13" max="13" width="4.7109375" style="1" customWidth="1"/>
    <col min="14" max="14" width="109.5703125" style="1" bestFit="1" customWidth="1"/>
    <col min="15" max="15" width="4.7109375" customWidth="1"/>
    <col min="16" max="16" width="16.7109375" style="1" bestFit="1" customWidth="1"/>
  </cols>
  <sheetData>
    <row r="1" spans="1:16" ht="15.75" thickBot="1" x14ac:dyDescent="0.3">
      <c r="A1" s="4" t="s">
        <v>126</v>
      </c>
      <c r="B1" s="5"/>
      <c r="C1" s="5"/>
      <c r="D1" s="5"/>
      <c r="E1" s="5"/>
      <c r="F1" s="5"/>
      <c r="G1" s="5"/>
      <c r="H1" s="5"/>
      <c r="I1" s="5"/>
      <c r="J1" s="5"/>
      <c r="K1" s="5"/>
      <c r="L1" s="4"/>
      <c r="M1" s="5"/>
      <c r="N1" s="4"/>
      <c r="O1" s="4"/>
      <c r="P1" s="6"/>
    </row>
    <row r="2" spans="1:16" ht="18.75" thickBot="1" x14ac:dyDescent="0.3">
      <c r="A2" s="7" t="s">
        <v>133</v>
      </c>
      <c r="B2" s="8" t="s">
        <v>131</v>
      </c>
      <c r="C2" s="7" t="s">
        <v>133</v>
      </c>
      <c r="D2" s="8" t="s">
        <v>132</v>
      </c>
      <c r="F2" s="9" t="s">
        <v>110</v>
      </c>
      <c r="H2" s="9" t="s">
        <v>111</v>
      </c>
      <c r="J2" s="9" t="s">
        <v>112</v>
      </c>
      <c r="L2" s="9" t="s">
        <v>128</v>
      </c>
      <c r="N2" s="22" t="s">
        <v>14</v>
      </c>
      <c r="P2" s="9" t="s">
        <v>127</v>
      </c>
    </row>
    <row r="3" spans="1:16" ht="21" customHeight="1" thickBot="1" x14ac:dyDescent="0.3">
      <c r="A3" s="10">
        <v>1</v>
      </c>
      <c r="B3" s="11">
        <v>3320</v>
      </c>
      <c r="C3" s="10">
        <v>1</v>
      </c>
      <c r="D3" s="11">
        <v>2950</v>
      </c>
      <c r="F3" s="12">
        <f>AVERAGE(B:B)</f>
        <v>3320</v>
      </c>
      <c r="H3" s="12">
        <f>AVERAGE(D:D)</f>
        <v>3084.2857142857142</v>
      </c>
      <c r="J3" s="13">
        <v>0.05</v>
      </c>
      <c r="L3" s="12">
        <f>_xlfn.T.INV(J3/2,J9)</f>
        <v>-2.1788128296672284</v>
      </c>
      <c r="P3" s="12">
        <f>L9</f>
        <v>2.178812829667228</v>
      </c>
    </row>
    <row r="4" spans="1:16" ht="15.75" thickBot="1" x14ac:dyDescent="0.3">
      <c r="A4" s="10">
        <v>2</v>
      </c>
      <c r="B4" s="11">
        <v>3350</v>
      </c>
      <c r="C4" s="10">
        <v>2</v>
      </c>
      <c r="D4" s="11">
        <v>2980</v>
      </c>
      <c r="N4" s="23" t="s">
        <v>134</v>
      </c>
    </row>
    <row r="5" spans="1:16" ht="18" x14ac:dyDescent="0.25">
      <c r="A5" s="10">
        <v>3</v>
      </c>
      <c r="B5" s="11">
        <v>3380</v>
      </c>
      <c r="C5" s="10">
        <v>3</v>
      </c>
      <c r="D5" s="11">
        <v>3150</v>
      </c>
      <c r="F5" s="14" t="s">
        <v>114</v>
      </c>
      <c r="H5" s="14" t="s">
        <v>115</v>
      </c>
      <c r="J5" s="14" t="s">
        <v>113</v>
      </c>
      <c r="L5" s="14" t="s">
        <v>129</v>
      </c>
      <c r="N5" s="20" t="s">
        <v>136</v>
      </c>
      <c r="P5" s="14" t="s">
        <v>117</v>
      </c>
    </row>
    <row r="6" spans="1:16" ht="21" customHeight="1" thickBot="1" x14ac:dyDescent="0.3">
      <c r="A6" s="10">
        <v>4</v>
      </c>
      <c r="B6" s="11">
        <v>3280</v>
      </c>
      <c r="C6" s="10">
        <v>4</v>
      </c>
      <c r="D6" s="11">
        <v>3130</v>
      </c>
      <c r="F6" s="12">
        <f>VAR(B:B)</f>
        <v>5366.666666666667</v>
      </c>
      <c r="H6" s="12">
        <f>VAR(D:D)</f>
        <v>11461.904761904761</v>
      </c>
      <c r="J6" s="12">
        <f>F3-H3</f>
        <v>235.71428571428578</v>
      </c>
      <c r="L6" s="12">
        <f>(J6-0)/(J15*J12)</f>
        <v>4.8074115106715372</v>
      </c>
      <c r="N6" s="21" t="s">
        <v>137</v>
      </c>
      <c r="P6" s="12">
        <f>P3*J12*J15</f>
        <v>106.83031995702652</v>
      </c>
    </row>
    <row r="7" spans="1:16" ht="15.75" thickBot="1" x14ac:dyDescent="0.3">
      <c r="A7" s="10">
        <v>5</v>
      </c>
      <c r="B7" s="11">
        <v>3330</v>
      </c>
      <c r="C7" s="10">
        <v>5</v>
      </c>
      <c r="D7" s="11">
        <v>2990</v>
      </c>
    </row>
    <row r="8" spans="1:16" ht="18" x14ac:dyDescent="0.25">
      <c r="A8" s="10">
        <v>6</v>
      </c>
      <c r="B8" s="11">
        <v>3180</v>
      </c>
      <c r="C8" s="10">
        <v>6</v>
      </c>
      <c r="D8" s="11">
        <v>3200</v>
      </c>
      <c r="F8" s="14" t="s">
        <v>118</v>
      </c>
      <c r="H8" s="14" t="s">
        <v>119</v>
      </c>
      <c r="J8" s="14" t="s">
        <v>116</v>
      </c>
      <c r="L8" s="14" t="s">
        <v>127</v>
      </c>
      <c r="N8" s="23" t="s">
        <v>135</v>
      </c>
      <c r="P8" s="14" t="s">
        <v>120</v>
      </c>
    </row>
    <row r="9" spans="1:16" ht="15.75" thickBot="1" x14ac:dyDescent="0.3">
      <c r="A9" s="15">
        <v>7</v>
      </c>
      <c r="B9" s="16">
        <v>3400</v>
      </c>
      <c r="C9" s="15">
        <v>7</v>
      </c>
      <c r="D9" s="16">
        <v>3190</v>
      </c>
      <c r="F9" s="12">
        <f>STDEV(B:B)</f>
        <v>73.257536586119699</v>
      </c>
      <c r="H9" s="12">
        <f>STDEV(D:D)</f>
        <v>107.06028564273851</v>
      </c>
      <c r="J9" s="13">
        <f>F12+H12-2</f>
        <v>12</v>
      </c>
      <c r="L9" s="12">
        <f>_xlfn.T.INV(1-J3/2,J9)</f>
        <v>2.178812829667228</v>
      </c>
      <c r="N9" s="20" t="s">
        <v>138</v>
      </c>
      <c r="P9" s="12">
        <f>J6-P6</f>
        <v>128.88396575725926</v>
      </c>
    </row>
    <row r="10" spans="1:16" ht="15.75" thickBot="1" x14ac:dyDescent="0.3">
      <c r="N10" s="21" t="s">
        <v>139</v>
      </c>
    </row>
    <row r="11" spans="1:16" ht="21" customHeight="1" x14ac:dyDescent="0.25">
      <c r="F11" s="14" t="s">
        <v>121</v>
      </c>
      <c r="H11" s="14" t="s">
        <v>122</v>
      </c>
      <c r="J11" s="14" t="s">
        <v>130</v>
      </c>
      <c r="L11" s="14" t="s">
        <v>125</v>
      </c>
      <c r="P11" s="14" t="s">
        <v>124</v>
      </c>
    </row>
    <row r="12" spans="1:16" ht="21" customHeight="1" x14ac:dyDescent="0.25">
      <c r="B12" s="19"/>
      <c r="F12" s="13">
        <f>COUNT(B:B)</f>
        <v>7</v>
      </c>
      <c r="H12" s="13">
        <f>COUNT(D:D)</f>
        <v>7</v>
      </c>
      <c r="J12" s="12">
        <f>SQRT(1/F12+1/H12)</f>
        <v>0.53452248382484879</v>
      </c>
      <c r="L12" s="24">
        <f>TDIST(ABS(L6),J9,2)</f>
        <v>4.2810465581135022E-4</v>
      </c>
      <c r="P12" s="12">
        <f>J6+P6</f>
        <v>342.5446056713123</v>
      </c>
    </row>
    <row r="13" spans="1:16" ht="15.75" thickBot="1" x14ac:dyDescent="0.3"/>
    <row r="14" spans="1:16" ht="15" x14ac:dyDescent="0.25">
      <c r="B14" s="19"/>
      <c r="J14" s="14" t="s">
        <v>123</v>
      </c>
    </row>
    <row r="15" spans="1:16" ht="21" customHeight="1" x14ac:dyDescent="0.25">
      <c r="J15" s="12">
        <f>SQRT(((F12-1)*F6+(H12-1)*H6)/J9)</f>
        <v>91.729415752449412</v>
      </c>
    </row>
    <row r="16" spans="1:16" ht="15" x14ac:dyDescent="0.25">
      <c r="J16" s="17"/>
    </row>
    <row r="19" ht="15" x14ac:dyDescent="0.25"/>
  </sheetData>
  <conditionalFormatting sqref="J3">
    <cfRule type="beginsWith" dxfId="0" priority="3" operator="beginsWith" text="Entre">
      <formula>LEFT(J3,LEN("Entre"))="Entre"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DDB5-DF33-4BA0-A183-59BCC083611F}">
  <dimension ref="A1:BW51"/>
  <sheetViews>
    <sheetView topLeftCell="N1" workbookViewId="0">
      <selection activeCell="M3" sqref="M3"/>
    </sheetView>
  </sheetViews>
  <sheetFormatPr defaultRowHeight="21" customHeight="1" x14ac:dyDescent="0.25"/>
  <cols>
    <col min="1" max="1" width="18.42578125" style="1" bestFit="1" customWidth="1"/>
    <col min="2" max="2" width="9.140625" style="1"/>
    <col min="3" max="3" width="14.140625" style="1" bestFit="1" customWidth="1"/>
    <col min="4" max="4" width="15.7109375" style="2" bestFit="1" customWidth="1"/>
    <col min="5" max="5" width="16.5703125" style="2" bestFit="1" customWidth="1"/>
    <col min="6" max="8" width="9.140625" style="2"/>
    <col min="9" max="9" width="10" style="2" bestFit="1" customWidth="1"/>
    <col min="10" max="10" width="19.85546875" style="2" bestFit="1" customWidth="1"/>
    <col min="11" max="11" width="9.140625" style="2"/>
    <col min="12" max="12" width="11.28515625" style="2" bestFit="1" customWidth="1"/>
    <col min="13" max="13" width="11.28515625" style="2" customWidth="1"/>
    <col min="14" max="14" width="15.140625" style="2" bestFit="1" customWidth="1"/>
    <col min="15" max="15" width="199.140625" style="2" bestFit="1" customWidth="1"/>
    <col min="16" max="16" width="9.140625" style="1"/>
    <col min="17" max="17" width="13.42578125" style="1" bestFit="1" customWidth="1"/>
    <col min="18" max="18" width="9.140625" style="1"/>
    <col min="19" max="69" width="9.140625" style="2"/>
    <col min="70" max="70" width="9.140625" style="1"/>
    <col min="71" max="72" width="10.42578125" style="1" bestFit="1" customWidth="1"/>
    <col min="73" max="73" width="9.42578125" style="1" bestFit="1" customWidth="1"/>
    <col min="74" max="16384" width="9.140625" style="2"/>
  </cols>
  <sheetData>
    <row r="1" spans="1:75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>
        <v>2</v>
      </c>
      <c r="T1" s="2">
        <v>3</v>
      </c>
      <c r="U1" s="2">
        <v>4</v>
      </c>
      <c r="V1" s="2">
        <v>5</v>
      </c>
      <c r="W1" s="2">
        <v>6</v>
      </c>
      <c r="X1" s="2">
        <v>7</v>
      </c>
      <c r="Y1" s="2">
        <v>8</v>
      </c>
      <c r="Z1" s="2">
        <v>9</v>
      </c>
      <c r="AA1" s="2">
        <v>10</v>
      </c>
      <c r="AB1" s="2">
        <v>11</v>
      </c>
      <c r="AC1" s="2">
        <v>12</v>
      </c>
      <c r="AD1" s="2">
        <v>13</v>
      </c>
      <c r="AE1" s="2">
        <v>14</v>
      </c>
      <c r="AF1" s="2">
        <v>15</v>
      </c>
      <c r="AG1" s="2">
        <v>16</v>
      </c>
      <c r="AH1" s="2">
        <v>17</v>
      </c>
      <c r="AI1" s="2">
        <v>18</v>
      </c>
      <c r="AJ1" s="2">
        <v>19</v>
      </c>
      <c r="AK1" s="2">
        <v>20</v>
      </c>
      <c r="AL1" s="2">
        <v>21</v>
      </c>
      <c r="AM1" s="2">
        <v>22</v>
      </c>
      <c r="AN1" s="2">
        <v>23</v>
      </c>
      <c r="AO1" s="2">
        <v>24</v>
      </c>
      <c r="AP1" s="2">
        <v>25</v>
      </c>
      <c r="AQ1" s="2">
        <v>26</v>
      </c>
      <c r="AR1" s="2">
        <v>27</v>
      </c>
      <c r="AS1" s="2">
        <v>28</v>
      </c>
      <c r="AT1" s="2">
        <v>29</v>
      </c>
      <c r="AU1" s="2">
        <v>30</v>
      </c>
      <c r="AV1" s="2">
        <v>31</v>
      </c>
      <c r="AW1" s="2">
        <v>32</v>
      </c>
      <c r="AX1" s="2">
        <v>33</v>
      </c>
      <c r="AY1" s="2">
        <v>34</v>
      </c>
      <c r="AZ1" s="2">
        <v>35</v>
      </c>
      <c r="BA1" s="2">
        <v>36</v>
      </c>
      <c r="BB1" s="2">
        <v>37</v>
      </c>
      <c r="BC1" s="2">
        <v>38</v>
      </c>
      <c r="BD1" s="2">
        <v>39</v>
      </c>
      <c r="BE1" s="2">
        <v>40</v>
      </c>
      <c r="BF1" s="2">
        <v>41</v>
      </c>
      <c r="BG1" s="2">
        <v>42</v>
      </c>
      <c r="BH1" s="2">
        <v>43</v>
      </c>
      <c r="BI1" s="2">
        <v>44</v>
      </c>
      <c r="BJ1" s="2">
        <v>45</v>
      </c>
      <c r="BK1" s="2">
        <v>46</v>
      </c>
      <c r="BL1" s="2">
        <v>47</v>
      </c>
      <c r="BM1" s="2">
        <v>48</v>
      </c>
      <c r="BN1" s="2">
        <v>49</v>
      </c>
      <c r="BO1" s="2">
        <v>50</v>
      </c>
      <c r="BR1" s="1" t="s">
        <v>18</v>
      </c>
      <c r="BS1" s="1" t="s">
        <v>19</v>
      </c>
      <c r="BT1" s="1" t="s">
        <v>20</v>
      </c>
      <c r="BU1" s="1" t="s">
        <v>21</v>
      </c>
    </row>
    <row r="2" spans="1:75" ht="21" customHeight="1" x14ac:dyDescent="0.25">
      <c r="A2" s="11">
        <v>3180</v>
      </c>
      <c r="B2" s="1">
        <f>IF(A2="","",ROW()-1)</f>
        <v>1</v>
      </c>
      <c r="C2" s="1">
        <f>IFERROR((A2-AVERAGE(A:A))^2,"")</f>
        <v>19600</v>
      </c>
      <c r="D2" s="11">
        <v>3180</v>
      </c>
      <c r="E2" s="11">
        <v>3400</v>
      </c>
      <c r="F2" s="1">
        <f>IF(B2="","",ROW()-1)</f>
        <v>1</v>
      </c>
      <c r="G2" s="1">
        <f>IFERROR(COUNT(A:A)-F2+1,"")</f>
        <v>7</v>
      </c>
      <c r="H2" s="1">
        <f ca="1">IFERROR(INDIRECT((INDIRECT("Q"&amp;(COUNT(A:A))))&amp;ROW()),"")</f>
        <v>0.62329999999999997</v>
      </c>
      <c r="I2" s="1">
        <f>IF(E2="","",-D2+E2)</f>
        <v>220</v>
      </c>
      <c r="J2" s="1">
        <f ca="1">IFERROR(H2*I2,"")</f>
        <v>137.126</v>
      </c>
      <c r="K2" s="1">
        <f ca="1">IF(J3="","",SUM(J:J))</f>
        <v>171.63900000000001</v>
      </c>
      <c r="L2" s="2">
        <f ca="1">IFERROR((K2^2)/SUM(C:C),"")</f>
        <v>0.91490516524844734</v>
      </c>
      <c r="M2" s="1">
        <v>0.05</v>
      </c>
      <c r="N2" s="1">
        <f ca="1">IF(M2="","",IFERROR(IF(M2=0.01,BW3,IF(M2=0.05,BW4,IF(M2=0.1,BW5:BW5,"Nível de significância não encontrado"))),""))</f>
        <v>0.80300000000000005</v>
      </c>
      <c r="O2" s="2" t="str">
        <f ca="1">IF(L2="","",IF(L2&gt;N2,"Não temos evidências para rejeitar a hipótese nula, e os dados são, pelo menos aproximadamente, provenientes de uma distribuição Normal segundo o teste de Shapiro-Wilk, com alfa nível de significância","Temos evidências para rejeitar a hipótese nula, e os dados não são provenientes de uma distribuição Normal, segundo o teste de Shapiro-Wilk, com alfa nível de significância"))</f>
        <v>Não temos evidências para rejeitar a hipótese nula, e os dados são, pelo menos aproximadamente, provenientes de uma distribuição Normal segundo o teste de Shapiro-Wilk, com alfa nível de significância</v>
      </c>
      <c r="P2" s="1">
        <v>2</v>
      </c>
      <c r="Q2" s="1" t="s">
        <v>22</v>
      </c>
      <c r="R2" s="1">
        <v>1</v>
      </c>
      <c r="S2" s="2">
        <v>0.70709999999999995</v>
      </c>
      <c r="T2" s="2">
        <v>0.70709999999999995</v>
      </c>
      <c r="U2" s="2">
        <v>0.68720000000000003</v>
      </c>
      <c r="V2" s="2">
        <v>0.66459999999999997</v>
      </c>
      <c r="W2" s="2">
        <v>0.6431</v>
      </c>
      <c r="X2" s="2">
        <v>0.62329999999999997</v>
      </c>
      <c r="Y2" s="2">
        <v>0.60619999999999996</v>
      </c>
      <c r="Z2" s="2">
        <v>0.58879999999999999</v>
      </c>
      <c r="AA2" s="2">
        <v>0.57389999999999997</v>
      </c>
      <c r="AB2" s="2">
        <v>0.56010000000000004</v>
      </c>
      <c r="AC2" s="2">
        <v>0.54749999999999999</v>
      </c>
      <c r="AD2" s="2">
        <v>0.53590000000000004</v>
      </c>
      <c r="AE2" s="2">
        <v>0.52510000000000001</v>
      </c>
      <c r="AF2" s="2">
        <v>0.51500000000000001</v>
      </c>
      <c r="AG2" s="2">
        <v>0.50560000000000005</v>
      </c>
      <c r="AH2" s="2">
        <v>0.49680000000000002</v>
      </c>
      <c r="AI2" s="2">
        <v>0.48859999999999998</v>
      </c>
      <c r="AJ2" s="2">
        <v>0.48080000000000001</v>
      </c>
      <c r="AK2" s="2">
        <v>0.47339999999999999</v>
      </c>
      <c r="AL2" s="2">
        <v>0.46429999999999999</v>
      </c>
      <c r="AM2" s="2">
        <v>0.45900000000000002</v>
      </c>
      <c r="AN2" s="2">
        <v>0.45419999999999999</v>
      </c>
      <c r="AO2" s="2">
        <v>0.44929999999999998</v>
      </c>
      <c r="AP2" s="2">
        <v>0.44500000000000001</v>
      </c>
      <c r="AQ2" s="2">
        <v>0.44069999999999998</v>
      </c>
      <c r="AR2" s="2">
        <v>0.43659999999999999</v>
      </c>
      <c r="AS2" s="2">
        <v>0.43280000000000002</v>
      </c>
      <c r="AT2" s="2">
        <v>0.42909999999999998</v>
      </c>
      <c r="AU2" s="2">
        <v>0.4254</v>
      </c>
      <c r="AV2" s="2">
        <v>0.42199999999999999</v>
      </c>
      <c r="AW2" s="2">
        <v>0.41880000000000001</v>
      </c>
      <c r="AX2" s="2">
        <v>0.41560000000000002</v>
      </c>
      <c r="AY2" s="2">
        <v>0.41270000000000001</v>
      </c>
      <c r="AZ2" s="2">
        <v>0.40960000000000002</v>
      </c>
      <c r="BA2" s="2">
        <v>0.40679999999999999</v>
      </c>
      <c r="BB2" s="2">
        <v>0.40400000000000003</v>
      </c>
      <c r="BC2" s="2">
        <v>0.40150000000000002</v>
      </c>
      <c r="BD2" s="2">
        <v>0.39889999999999998</v>
      </c>
      <c r="BE2" s="2">
        <v>0.39639999999999997</v>
      </c>
      <c r="BF2" s="2">
        <v>0.39400000000000002</v>
      </c>
      <c r="BG2" s="2">
        <v>0.39169999999999999</v>
      </c>
      <c r="BH2" s="2">
        <v>0.38940000000000002</v>
      </c>
      <c r="BI2" s="2">
        <v>0.38719999999999999</v>
      </c>
      <c r="BJ2" s="2">
        <v>0.38500000000000001</v>
      </c>
      <c r="BK2" s="2">
        <v>0.38300000000000001</v>
      </c>
      <c r="BL2" s="2">
        <v>0.38080000000000003</v>
      </c>
      <c r="BM2" s="2">
        <v>0.37890000000000001</v>
      </c>
      <c r="BN2" s="2">
        <v>0.377</v>
      </c>
      <c r="BO2" s="2">
        <v>0.37509999999999999</v>
      </c>
      <c r="BR2" s="1">
        <v>3</v>
      </c>
      <c r="BS2" s="1">
        <v>0.753</v>
      </c>
      <c r="BT2" s="1">
        <v>0.76700000000000002</v>
      </c>
      <c r="BU2" s="1">
        <v>0.78900000000000003</v>
      </c>
    </row>
    <row r="3" spans="1:75" ht="21" customHeight="1" x14ac:dyDescent="0.25">
      <c r="A3" s="11">
        <v>3280</v>
      </c>
      <c r="B3" s="1">
        <f t="shared" ref="B3:B8" si="0">IF(A3="","",ROW()-1)</f>
        <v>2</v>
      </c>
      <c r="C3" s="1">
        <f t="shared" ref="C3:C8" si="1">IFERROR((A3-AVERAGE(A:A))^2,"")</f>
        <v>1600</v>
      </c>
      <c r="D3" s="11">
        <v>3280</v>
      </c>
      <c r="E3" s="11">
        <v>3380</v>
      </c>
      <c r="F3" s="1">
        <f t="shared" ref="F3:F4" si="2">IF(B3="","",ROW()-1)</f>
        <v>2</v>
      </c>
      <c r="G3" s="1">
        <f t="shared" ref="G3:G4" si="3">IFERROR(COUNT(A:A)-F3+1,"")</f>
        <v>6</v>
      </c>
      <c r="H3" s="1">
        <f t="shared" ref="H3:H4" ca="1" si="4">IFERROR(INDIRECT((INDIRECT("Q"&amp;(COUNT(A:A))))&amp;ROW()),"")</f>
        <v>0.30309999999999998</v>
      </c>
      <c r="I3" s="1">
        <f t="shared" ref="I3:I4" si="5">IF(E3="","",-D3+E3)</f>
        <v>100</v>
      </c>
      <c r="J3" s="1">
        <f t="shared" ref="J3:J4" ca="1" si="6">IFERROR(H3*I3,"")</f>
        <v>30.31</v>
      </c>
      <c r="K3" s="1"/>
      <c r="P3" s="1">
        <v>3</v>
      </c>
      <c r="Q3" s="1" t="s">
        <v>23</v>
      </c>
      <c r="R3" s="1">
        <v>2</v>
      </c>
      <c r="U3" s="2">
        <v>0.16769999999999999</v>
      </c>
      <c r="V3" s="2">
        <v>0.24129999999999999</v>
      </c>
      <c r="W3" s="2">
        <v>0.28060000000000002</v>
      </c>
      <c r="X3" s="2">
        <v>0.30309999999999998</v>
      </c>
      <c r="Y3" s="2">
        <v>0.31640000000000001</v>
      </c>
      <c r="Z3" s="2">
        <v>0.32440000000000002</v>
      </c>
      <c r="AA3" s="2">
        <v>0.3291</v>
      </c>
      <c r="AB3" s="2">
        <v>0.33150000000000002</v>
      </c>
      <c r="AC3" s="2">
        <v>0.33250000000000002</v>
      </c>
      <c r="AD3" s="2">
        <v>0.33250000000000002</v>
      </c>
      <c r="AE3" s="2">
        <v>0.33179999999999998</v>
      </c>
      <c r="AF3" s="2">
        <v>0.3306</v>
      </c>
      <c r="AG3" s="2">
        <v>0.32900000000000001</v>
      </c>
      <c r="AH3" s="2">
        <v>0.32729999999999998</v>
      </c>
      <c r="AI3" s="2">
        <v>0.32529999999999998</v>
      </c>
      <c r="AJ3" s="2">
        <v>0.32319999999999999</v>
      </c>
      <c r="AK3" s="2">
        <v>0.3211</v>
      </c>
      <c r="AL3" s="2">
        <v>0.31850000000000001</v>
      </c>
      <c r="AM3" s="2">
        <v>0.31559999999999999</v>
      </c>
      <c r="AN3" s="2">
        <v>0.31259999999999999</v>
      </c>
      <c r="AO3" s="2">
        <v>0.30980000000000002</v>
      </c>
      <c r="AP3" s="2">
        <v>0.30690000000000001</v>
      </c>
      <c r="AQ3" s="2">
        <v>0.30430000000000001</v>
      </c>
      <c r="AR3" s="2">
        <v>0.30180000000000001</v>
      </c>
      <c r="AS3" s="2">
        <v>0.29920000000000002</v>
      </c>
      <c r="AT3" s="2">
        <v>0.29680000000000001</v>
      </c>
      <c r="AU3" s="2">
        <v>0.2944</v>
      </c>
      <c r="AV3" s="2">
        <v>0.29210000000000003</v>
      </c>
      <c r="AW3" s="2">
        <v>0.2898</v>
      </c>
      <c r="AX3" s="2">
        <v>0.28760000000000002</v>
      </c>
      <c r="AY3" s="2">
        <v>0.28539999999999999</v>
      </c>
      <c r="AZ3" s="2">
        <v>0.28339999999999999</v>
      </c>
      <c r="BA3" s="2">
        <v>0.28129999999999999</v>
      </c>
      <c r="BB3" s="2">
        <v>0.27939999999999998</v>
      </c>
      <c r="BC3" s="2">
        <v>0.27739999999999998</v>
      </c>
      <c r="BD3" s="2">
        <v>0.27550000000000002</v>
      </c>
      <c r="BE3" s="2">
        <v>0.2737</v>
      </c>
      <c r="BF3" s="2">
        <v>0.27189999999999998</v>
      </c>
      <c r="BG3" s="2">
        <v>0.27010000000000001</v>
      </c>
      <c r="BH3" s="2">
        <v>0.26840000000000003</v>
      </c>
      <c r="BI3" s="2">
        <v>0.26669999999999999</v>
      </c>
      <c r="BJ3" s="2">
        <v>0.2651</v>
      </c>
      <c r="BK3" s="2">
        <v>0.26350000000000001</v>
      </c>
      <c r="BL3" s="2">
        <v>0.26200000000000001</v>
      </c>
      <c r="BM3" s="2">
        <v>0.26040000000000002</v>
      </c>
      <c r="BN3" s="2">
        <v>0.25890000000000002</v>
      </c>
      <c r="BO3" s="2">
        <v>0.25740000000000002</v>
      </c>
      <c r="BR3" s="1">
        <v>4</v>
      </c>
      <c r="BS3" s="1">
        <v>0.68700000000000006</v>
      </c>
      <c r="BT3" s="1">
        <v>0.748</v>
      </c>
      <c r="BU3" s="1">
        <v>0.79200000000000004</v>
      </c>
      <c r="BV3" s="2" t="s">
        <v>24</v>
      </c>
      <c r="BW3" s="2">
        <f ca="1">INDIRECT("BS"&amp;COUNT(A:A)-1)</f>
        <v>0.73</v>
      </c>
    </row>
    <row r="4" spans="1:75" ht="21" customHeight="1" thickBot="1" x14ac:dyDescent="0.3">
      <c r="A4" s="11">
        <v>3320</v>
      </c>
      <c r="B4" s="1">
        <f t="shared" si="0"/>
        <v>3</v>
      </c>
      <c r="C4" s="1">
        <f t="shared" si="1"/>
        <v>0</v>
      </c>
      <c r="D4" s="11">
        <v>3320</v>
      </c>
      <c r="E4" s="16">
        <v>3350</v>
      </c>
      <c r="F4" s="1">
        <f t="shared" si="2"/>
        <v>3</v>
      </c>
      <c r="G4" s="1">
        <f t="shared" si="3"/>
        <v>5</v>
      </c>
      <c r="H4" s="1">
        <f t="shared" ca="1" si="4"/>
        <v>0.1401</v>
      </c>
      <c r="I4" s="1">
        <f t="shared" si="5"/>
        <v>30</v>
      </c>
      <c r="J4" s="1">
        <f t="shared" ca="1" si="6"/>
        <v>4.2030000000000003</v>
      </c>
      <c r="K4" s="1"/>
      <c r="P4" s="1">
        <v>4</v>
      </c>
      <c r="Q4" s="1" t="s">
        <v>25</v>
      </c>
      <c r="R4" s="1">
        <v>3</v>
      </c>
      <c r="W4" s="2">
        <v>8.7499999999999994E-2</v>
      </c>
      <c r="X4" s="2">
        <v>0.1401</v>
      </c>
      <c r="Y4" s="2">
        <v>0.17430000000000001</v>
      </c>
      <c r="Z4" s="2">
        <v>0.1976</v>
      </c>
      <c r="AA4" s="2">
        <v>0.21410000000000001</v>
      </c>
      <c r="AB4" s="2">
        <v>0.22600000000000001</v>
      </c>
      <c r="AC4" s="2">
        <v>0.23469999999999999</v>
      </c>
      <c r="AD4" s="2">
        <v>0.2412</v>
      </c>
      <c r="AE4" s="2">
        <v>0.246</v>
      </c>
      <c r="AF4" s="2">
        <v>0.2495</v>
      </c>
      <c r="AG4" s="2">
        <v>0.25209999999999999</v>
      </c>
      <c r="AH4" s="2">
        <v>0.254</v>
      </c>
      <c r="AI4" s="2">
        <v>0.25530000000000003</v>
      </c>
      <c r="AJ4" s="2">
        <v>0.25609999999999999</v>
      </c>
      <c r="AK4" s="2">
        <v>0.25650000000000001</v>
      </c>
      <c r="AL4" s="2">
        <v>0.25779999999999997</v>
      </c>
      <c r="AM4" s="2">
        <v>0.2571</v>
      </c>
      <c r="AN4" s="2">
        <v>0.25629999999999997</v>
      </c>
      <c r="AO4" s="2">
        <v>0.25540000000000002</v>
      </c>
      <c r="AP4" s="2">
        <v>0.25430000000000003</v>
      </c>
      <c r="AQ4" s="2">
        <v>0.25330000000000003</v>
      </c>
      <c r="AR4" s="2">
        <v>0.25219999999999998</v>
      </c>
      <c r="AS4" s="2">
        <v>0.251</v>
      </c>
      <c r="AT4" s="2">
        <v>0.24990000000000001</v>
      </c>
      <c r="AU4" s="2">
        <v>0.2487</v>
      </c>
      <c r="AV4" s="2">
        <v>0.2475</v>
      </c>
      <c r="AW4" s="2">
        <v>0.24629999999999999</v>
      </c>
      <c r="AX4" s="2">
        <v>0.24510000000000001</v>
      </c>
      <c r="AY4" s="2">
        <v>0.24390000000000001</v>
      </c>
      <c r="AZ4" s="2">
        <v>0.2427</v>
      </c>
      <c r="BA4" s="2">
        <v>0.24149999999999999</v>
      </c>
      <c r="BB4" s="2">
        <v>0.24030000000000001</v>
      </c>
      <c r="BC4" s="2">
        <v>0.23910000000000001</v>
      </c>
      <c r="BD4" s="2">
        <v>0.23799999999999999</v>
      </c>
      <c r="BE4" s="2">
        <v>0.23680000000000001</v>
      </c>
      <c r="BF4" s="2">
        <v>0.23569999999999999</v>
      </c>
      <c r="BG4" s="2">
        <v>0.23449999999999999</v>
      </c>
      <c r="BH4" s="2">
        <v>0.2334</v>
      </c>
      <c r="BI4" s="2">
        <v>0.23230000000000001</v>
      </c>
      <c r="BJ4" s="2">
        <v>0.23130000000000001</v>
      </c>
      <c r="BK4" s="2">
        <v>0.23019999999999999</v>
      </c>
      <c r="BL4" s="2">
        <v>0.2291</v>
      </c>
      <c r="BM4" s="2">
        <v>0.2281</v>
      </c>
      <c r="BN4" s="2">
        <v>0.2271</v>
      </c>
      <c r="BO4" s="2">
        <v>0.22600000000000001</v>
      </c>
      <c r="BR4" s="1">
        <v>5</v>
      </c>
      <c r="BS4" s="1">
        <v>0.68600000000000005</v>
      </c>
      <c r="BT4" s="1">
        <v>0.76200000000000001</v>
      </c>
      <c r="BU4" s="1">
        <v>0.80600000000000005</v>
      </c>
      <c r="BV4" s="2" t="s">
        <v>26</v>
      </c>
      <c r="BW4" s="2">
        <f ca="1">INDIRECT("BT"&amp;COUNT(A:A)-1)</f>
        <v>0.80300000000000005</v>
      </c>
    </row>
    <row r="5" spans="1:75" ht="21" customHeight="1" x14ac:dyDescent="0.25">
      <c r="A5" s="11">
        <v>3330</v>
      </c>
      <c r="B5" s="1">
        <f t="shared" si="0"/>
        <v>4</v>
      </c>
      <c r="C5" s="1">
        <f t="shared" si="1"/>
        <v>100</v>
      </c>
      <c r="F5" s="1"/>
      <c r="G5" s="1"/>
      <c r="H5" s="1"/>
      <c r="I5" s="1"/>
      <c r="J5" s="1"/>
      <c r="K5" s="1"/>
      <c r="P5" s="1">
        <v>5</v>
      </c>
      <c r="Q5" s="1" t="s">
        <v>27</v>
      </c>
      <c r="R5" s="1">
        <v>4</v>
      </c>
      <c r="Y5" s="2">
        <v>5.6099999999999997E-2</v>
      </c>
      <c r="Z5" s="2">
        <v>9.4700000000000006E-2</v>
      </c>
      <c r="AA5" s="2">
        <v>0.12239999999999999</v>
      </c>
      <c r="AB5" s="2">
        <v>0.1429</v>
      </c>
      <c r="AC5" s="2">
        <v>0.15859999999999999</v>
      </c>
      <c r="AD5" s="2">
        <v>0.17069999999999999</v>
      </c>
      <c r="AE5" s="2">
        <v>0.1802</v>
      </c>
      <c r="AF5" s="2">
        <v>0.18779999999999999</v>
      </c>
      <c r="AG5" s="2">
        <v>0.19389999999999999</v>
      </c>
      <c r="AH5" s="2">
        <v>0.1988</v>
      </c>
      <c r="AI5" s="2">
        <v>0.20269999999999999</v>
      </c>
      <c r="AJ5" s="2">
        <v>0.2059</v>
      </c>
      <c r="AK5" s="2">
        <v>0.20849999999999999</v>
      </c>
      <c r="AL5" s="2">
        <v>0.21190000000000001</v>
      </c>
      <c r="AM5" s="2">
        <v>0.21310000000000001</v>
      </c>
      <c r="AN5" s="2">
        <v>0.21390000000000001</v>
      </c>
      <c r="AO5" s="2">
        <v>0.2145</v>
      </c>
      <c r="AP5" s="2">
        <v>0.21479999999999999</v>
      </c>
      <c r="AQ5" s="2">
        <v>0.21510000000000001</v>
      </c>
      <c r="AR5" s="2">
        <v>0.2152</v>
      </c>
      <c r="AS5" s="2">
        <v>0.21510000000000001</v>
      </c>
      <c r="AT5" s="2">
        <v>0.215</v>
      </c>
      <c r="AU5" s="2">
        <v>0.21479999999999999</v>
      </c>
      <c r="AV5" s="2">
        <v>0.2145</v>
      </c>
      <c r="AW5" s="2">
        <v>0.21410000000000001</v>
      </c>
      <c r="AX5" s="2">
        <v>0.2137</v>
      </c>
      <c r="AY5" s="2">
        <v>0.2132</v>
      </c>
      <c r="AZ5" s="2">
        <v>0.1227</v>
      </c>
      <c r="BA5" s="2">
        <v>0.21210000000000001</v>
      </c>
      <c r="BB5" s="2">
        <v>0.21160000000000001</v>
      </c>
      <c r="BC5" s="2">
        <v>0.21099999999999999</v>
      </c>
      <c r="BD5" s="2">
        <v>0.2104</v>
      </c>
      <c r="BE5" s="2">
        <v>0.20979999999999999</v>
      </c>
      <c r="BF5" s="2">
        <v>0.20910000000000001</v>
      </c>
      <c r="BG5" s="2">
        <v>0.20849999999999999</v>
      </c>
      <c r="BH5" s="2">
        <v>0.20780000000000001</v>
      </c>
      <c r="BI5" s="2">
        <v>0.2072</v>
      </c>
      <c r="BJ5" s="2">
        <v>0.20649999999999999</v>
      </c>
      <c r="BK5" s="2">
        <v>0.20580000000000001</v>
      </c>
      <c r="BL5" s="2">
        <v>0.20519999999999999</v>
      </c>
      <c r="BM5" s="2">
        <v>0.20449999999999999</v>
      </c>
      <c r="BN5" s="2">
        <v>0.20380000000000001</v>
      </c>
      <c r="BO5" s="2">
        <v>0.20319999999999999</v>
      </c>
      <c r="BR5" s="1">
        <v>6</v>
      </c>
      <c r="BS5" s="1">
        <v>0.71299999999999997</v>
      </c>
      <c r="BT5" s="1">
        <v>0.78800000000000003</v>
      </c>
      <c r="BU5" s="1">
        <v>0.82599999999999996</v>
      </c>
      <c r="BV5" s="2" t="s">
        <v>28</v>
      </c>
      <c r="BW5" s="2">
        <f ca="1">INDIRECT("BU"&amp;COUNT(A:A)-1)</f>
        <v>0.83799999999999997</v>
      </c>
    </row>
    <row r="6" spans="1:75" ht="21" customHeight="1" x14ac:dyDescent="0.25">
      <c r="A6" s="11">
        <v>3350</v>
      </c>
      <c r="B6" s="1">
        <f t="shared" si="0"/>
        <v>5</v>
      </c>
      <c r="C6" s="1">
        <f t="shared" si="1"/>
        <v>900</v>
      </c>
      <c r="F6" s="1"/>
      <c r="G6" s="1"/>
      <c r="H6" s="1"/>
      <c r="I6" s="1"/>
      <c r="J6" s="1"/>
      <c r="K6" s="1"/>
      <c r="P6" s="1">
        <v>6</v>
      </c>
      <c r="Q6" s="1" t="s">
        <v>29</v>
      </c>
      <c r="R6" s="1">
        <v>5</v>
      </c>
      <c r="AA6" s="2">
        <v>3.9899999999999998E-2</v>
      </c>
      <c r="AB6" s="2">
        <v>6.9500000000000006E-2</v>
      </c>
      <c r="AC6" s="2">
        <v>9.2200000000000004E-2</v>
      </c>
      <c r="AD6" s="2">
        <v>0.1099</v>
      </c>
      <c r="AE6" s="2">
        <v>0.124</v>
      </c>
      <c r="AF6" s="2">
        <v>0.1353</v>
      </c>
      <c r="AG6" s="2">
        <v>0.1447</v>
      </c>
      <c r="AH6" s="2">
        <v>0.15240000000000001</v>
      </c>
      <c r="AI6" s="2">
        <v>0.15870000000000001</v>
      </c>
      <c r="AJ6" s="2">
        <v>0.1641</v>
      </c>
      <c r="AK6" s="2">
        <v>0.1686</v>
      </c>
      <c r="AL6" s="2">
        <v>0.1736</v>
      </c>
      <c r="AM6" s="2">
        <v>0.1764</v>
      </c>
      <c r="AN6" s="2">
        <v>0.1787</v>
      </c>
      <c r="AO6" s="2">
        <v>0.1807</v>
      </c>
      <c r="AP6" s="2">
        <v>0.1822</v>
      </c>
      <c r="AQ6" s="2">
        <v>0.18360000000000001</v>
      </c>
      <c r="AR6" s="2">
        <v>0.18479999999999999</v>
      </c>
      <c r="AS6" s="2">
        <v>0.1857</v>
      </c>
      <c r="AT6" s="2">
        <v>0.18640000000000001</v>
      </c>
      <c r="AU6" s="2">
        <v>0.187</v>
      </c>
      <c r="AV6" s="2">
        <v>0.18740000000000001</v>
      </c>
      <c r="AW6" s="2">
        <v>0.18779999999999999</v>
      </c>
      <c r="AX6" s="2">
        <v>0.188</v>
      </c>
      <c r="AY6" s="2">
        <v>0.18820000000000001</v>
      </c>
      <c r="AZ6" s="2">
        <v>0.1883</v>
      </c>
      <c r="BA6" s="2">
        <v>0.1883</v>
      </c>
      <c r="BB6" s="2">
        <v>0.1883</v>
      </c>
      <c r="BC6" s="2">
        <v>0.18809999999999999</v>
      </c>
      <c r="BD6" s="2">
        <v>0.188</v>
      </c>
      <c r="BE6" s="2">
        <v>0.18779999999999999</v>
      </c>
      <c r="BF6" s="2">
        <v>0.18759999999999999</v>
      </c>
      <c r="BG6" s="2">
        <v>0.18740000000000001</v>
      </c>
      <c r="BH6" s="2">
        <v>0.18709999999999999</v>
      </c>
      <c r="BI6" s="2">
        <v>0.18679999999999999</v>
      </c>
      <c r="BJ6" s="2">
        <v>0.1865</v>
      </c>
      <c r="BK6" s="2">
        <v>0.1862</v>
      </c>
      <c r="BL6" s="2">
        <v>0.18590000000000001</v>
      </c>
      <c r="BM6" s="2">
        <v>0.1855</v>
      </c>
      <c r="BN6" s="2">
        <v>0.18509999999999999</v>
      </c>
      <c r="BO6" s="2">
        <v>0.1847</v>
      </c>
      <c r="BR6" s="1">
        <v>7</v>
      </c>
      <c r="BS6" s="1">
        <v>0.73</v>
      </c>
      <c r="BT6" s="1">
        <v>0.80300000000000005</v>
      </c>
      <c r="BU6" s="1">
        <v>0.83799999999999997</v>
      </c>
    </row>
    <row r="7" spans="1:75" ht="21" customHeight="1" x14ac:dyDescent="0.25">
      <c r="A7" s="11">
        <v>3380</v>
      </c>
      <c r="B7" s="1">
        <f t="shared" si="0"/>
        <v>6</v>
      </c>
      <c r="C7" s="1">
        <f t="shared" si="1"/>
        <v>3600</v>
      </c>
      <c r="F7" s="1"/>
      <c r="G7" s="1"/>
      <c r="H7" s="1"/>
      <c r="I7" s="1"/>
      <c r="J7" s="1"/>
      <c r="P7" s="1">
        <v>7</v>
      </c>
      <c r="Q7" s="1" t="s">
        <v>30</v>
      </c>
      <c r="R7" s="1">
        <v>6</v>
      </c>
      <c r="AC7" s="2">
        <v>3.0300000000000001E-2</v>
      </c>
      <c r="AD7" s="2">
        <v>5.3900000000000003E-2</v>
      </c>
      <c r="AE7" s="2">
        <v>7.2700000000000001E-2</v>
      </c>
      <c r="AF7" s="2">
        <v>8.7999999999999995E-2</v>
      </c>
      <c r="AG7" s="2">
        <v>0.10050000000000001</v>
      </c>
      <c r="AH7" s="2">
        <v>0.1109</v>
      </c>
      <c r="AI7" s="2">
        <v>0.1197</v>
      </c>
      <c r="AJ7" s="2">
        <v>0.12709999999999999</v>
      </c>
      <c r="AK7" s="2">
        <v>0.13339999999999999</v>
      </c>
      <c r="AL7" s="2">
        <v>0.1399</v>
      </c>
      <c r="AM7" s="2">
        <v>0.14430000000000001</v>
      </c>
      <c r="AN7" s="2">
        <v>0.14799999999999999</v>
      </c>
      <c r="AO7" s="2">
        <v>0.1512</v>
      </c>
      <c r="AP7" s="2">
        <v>0.15390000000000001</v>
      </c>
      <c r="AQ7" s="2">
        <v>0.15629999999999999</v>
      </c>
      <c r="AR7" s="2">
        <v>0.15840000000000001</v>
      </c>
      <c r="AS7" s="2">
        <v>0.16009999999999999</v>
      </c>
      <c r="AT7" s="2">
        <v>0.16159999999999999</v>
      </c>
      <c r="AU7" s="2">
        <v>0.16300000000000001</v>
      </c>
      <c r="AV7" s="2">
        <v>0.1641</v>
      </c>
      <c r="AW7" s="2">
        <v>0.1651</v>
      </c>
      <c r="AX7" s="2">
        <v>0.16600000000000001</v>
      </c>
      <c r="AY7" s="2">
        <v>0.16669999999999999</v>
      </c>
      <c r="AZ7" s="2">
        <v>0.1673</v>
      </c>
      <c r="BA7" s="2">
        <v>0.1678</v>
      </c>
      <c r="BB7" s="2">
        <v>0.16830000000000001</v>
      </c>
      <c r="BC7" s="2">
        <v>0.1686</v>
      </c>
      <c r="BD7" s="2">
        <v>0.16889999999999999</v>
      </c>
      <c r="BE7" s="2">
        <v>0.1691</v>
      </c>
      <c r="BF7" s="2">
        <v>0.16930000000000001</v>
      </c>
      <c r="BG7" s="2">
        <v>0.1694</v>
      </c>
      <c r="BH7" s="2">
        <v>0.16950000000000001</v>
      </c>
      <c r="BI7" s="2">
        <v>0.16950000000000001</v>
      </c>
      <c r="BJ7" s="2">
        <v>0.16950000000000001</v>
      </c>
      <c r="BK7" s="2">
        <v>0.16950000000000001</v>
      </c>
      <c r="BL7" s="2">
        <v>0.16950000000000001</v>
      </c>
      <c r="BM7" s="2">
        <v>0.16930000000000001</v>
      </c>
      <c r="BN7" s="2">
        <v>0.16919999999999999</v>
      </c>
      <c r="BO7" s="2">
        <v>0.1691</v>
      </c>
      <c r="BR7" s="1">
        <v>8</v>
      </c>
      <c r="BS7" s="1">
        <v>0.749</v>
      </c>
      <c r="BT7" s="1">
        <v>0.81799999999999995</v>
      </c>
      <c r="BU7" s="1">
        <v>0.85099999999999998</v>
      </c>
    </row>
    <row r="8" spans="1:75" ht="21" customHeight="1" thickBot="1" x14ac:dyDescent="0.3">
      <c r="A8" s="16">
        <v>3400</v>
      </c>
      <c r="B8" s="1">
        <f t="shared" si="0"/>
        <v>7</v>
      </c>
      <c r="C8" s="1">
        <f t="shared" si="1"/>
        <v>6400</v>
      </c>
      <c r="D8" s="18"/>
      <c r="P8" s="1">
        <v>8</v>
      </c>
      <c r="Q8" s="1" t="s">
        <v>31</v>
      </c>
      <c r="R8" s="1">
        <v>7</v>
      </c>
      <c r="AE8" s="2">
        <v>2.4E-2</v>
      </c>
      <c r="AF8" s="2">
        <v>4.3299999999999998E-2</v>
      </c>
      <c r="AG8" s="2">
        <v>5.9299999999999999E-2</v>
      </c>
      <c r="AH8" s="2">
        <v>7.2499999999999995E-2</v>
      </c>
      <c r="AI8" s="2">
        <v>8.3699999999999997E-2</v>
      </c>
      <c r="AJ8" s="2">
        <v>9.3200000000000005E-2</v>
      </c>
      <c r="AK8" s="2">
        <v>0.1013</v>
      </c>
      <c r="AL8" s="2">
        <v>0.10920000000000001</v>
      </c>
      <c r="AM8" s="2">
        <v>0.115</v>
      </c>
      <c r="AN8" s="2">
        <v>0.1201</v>
      </c>
      <c r="AO8" s="2">
        <v>0.1245</v>
      </c>
      <c r="AP8" s="2">
        <v>0.1283</v>
      </c>
      <c r="AQ8" s="2">
        <v>0.13159999999999999</v>
      </c>
      <c r="AR8" s="2">
        <v>0.1346</v>
      </c>
      <c r="AS8" s="2">
        <v>0.13719999999999999</v>
      </c>
      <c r="AT8" s="2">
        <v>0.13950000000000001</v>
      </c>
      <c r="AU8" s="2">
        <v>0.14149999999999999</v>
      </c>
      <c r="AV8" s="2">
        <v>0.14330000000000001</v>
      </c>
      <c r="AW8" s="2">
        <v>0.1449</v>
      </c>
      <c r="AX8" s="2">
        <v>0.14630000000000001</v>
      </c>
      <c r="AY8" s="2">
        <v>0.14749999999999999</v>
      </c>
      <c r="AZ8" s="2">
        <v>0.1487</v>
      </c>
      <c r="BA8" s="2">
        <v>0.14960000000000001</v>
      </c>
      <c r="BB8" s="2">
        <v>0.15049999999999999</v>
      </c>
      <c r="BC8" s="2">
        <v>0.15129999999999999</v>
      </c>
      <c r="BD8" s="2">
        <v>0.152</v>
      </c>
      <c r="BE8" s="2">
        <v>0.15260000000000001</v>
      </c>
      <c r="BF8" s="2">
        <v>0.15310000000000001</v>
      </c>
      <c r="BG8" s="2">
        <v>0.1535</v>
      </c>
      <c r="BH8" s="2">
        <v>0.15390000000000001</v>
      </c>
      <c r="BI8" s="2">
        <v>0.1542</v>
      </c>
      <c r="BJ8" s="2">
        <v>0.1545</v>
      </c>
      <c r="BK8" s="2">
        <v>0.15479999999999999</v>
      </c>
      <c r="BL8" s="2">
        <v>0.155</v>
      </c>
      <c r="BM8" s="2">
        <v>0.15509999999999999</v>
      </c>
      <c r="BN8" s="2">
        <v>0.15529999999999999</v>
      </c>
      <c r="BO8" s="2">
        <v>0.15540000000000001</v>
      </c>
      <c r="BR8" s="1">
        <v>9</v>
      </c>
      <c r="BS8" s="1">
        <v>0.76400000000000001</v>
      </c>
      <c r="BT8" s="1">
        <v>0.82899999999999996</v>
      </c>
      <c r="BU8" s="1">
        <v>0.85899999999999999</v>
      </c>
    </row>
    <row r="9" spans="1:75" ht="21" customHeight="1" x14ac:dyDescent="0.25">
      <c r="A9" s="2"/>
      <c r="P9" s="1">
        <v>9</v>
      </c>
      <c r="Q9" s="1" t="s">
        <v>32</v>
      </c>
      <c r="R9" s="1">
        <v>8</v>
      </c>
      <c r="AG9" s="2">
        <v>1.9599999999999999E-2</v>
      </c>
      <c r="AH9" s="2">
        <v>3.5900000000000001E-2</v>
      </c>
      <c r="AI9" s="2">
        <v>4.9599999999999998E-2</v>
      </c>
      <c r="AJ9" s="2">
        <v>6.1199999999999997E-2</v>
      </c>
      <c r="AK9" s="2">
        <v>7.1099999999999997E-2</v>
      </c>
      <c r="AL9" s="2">
        <v>8.0399999999999999E-2</v>
      </c>
      <c r="AM9" s="2">
        <v>8.7800000000000003E-2</v>
      </c>
      <c r="AN9" s="2">
        <v>9.4100000000000003E-2</v>
      </c>
      <c r="AO9" s="2">
        <v>9.9699999999999997E-2</v>
      </c>
      <c r="AP9" s="2">
        <v>0.1046</v>
      </c>
      <c r="AQ9" s="2">
        <v>0.1089</v>
      </c>
      <c r="AR9" s="2">
        <v>0.1128</v>
      </c>
      <c r="AS9" s="2">
        <v>0.1162</v>
      </c>
      <c r="AT9" s="2">
        <v>0.1192</v>
      </c>
      <c r="AU9" s="2">
        <v>0.12189999999999999</v>
      </c>
      <c r="AV9" s="2">
        <v>0.12429999999999999</v>
      </c>
      <c r="AW9" s="2">
        <v>0.1265</v>
      </c>
      <c r="AX9" s="2">
        <v>0.12839999999999999</v>
      </c>
      <c r="AY9" s="2">
        <v>0.13009999999999999</v>
      </c>
      <c r="AZ9" s="2">
        <v>0.13170000000000001</v>
      </c>
      <c r="BA9" s="2">
        <v>0.1331</v>
      </c>
      <c r="BB9" s="2">
        <v>0.13439999999999999</v>
      </c>
      <c r="BC9" s="2">
        <v>0.1356</v>
      </c>
      <c r="BD9" s="2">
        <v>0.1366</v>
      </c>
      <c r="BE9" s="2">
        <v>0.1376</v>
      </c>
      <c r="BF9" s="2">
        <v>0.1384</v>
      </c>
      <c r="BG9" s="2">
        <v>0.13919999999999999</v>
      </c>
      <c r="BH9" s="2">
        <v>0.13980000000000001</v>
      </c>
      <c r="BI9" s="2">
        <v>0.14050000000000001</v>
      </c>
      <c r="BJ9" s="2">
        <v>0.14099999999999999</v>
      </c>
      <c r="BK9" s="2">
        <v>0.14149999999999999</v>
      </c>
      <c r="BL9" s="2">
        <v>0.14199999999999999</v>
      </c>
      <c r="BM9" s="2">
        <v>0.14230000000000001</v>
      </c>
      <c r="BN9" s="2">
        <v>0.14269999999999999</v>
      </c>
      <c r="BO9" s="2">
        <v>0.14299999999999999</v>
      </c>
      <c r="BR9" s="1">
        <v>10</v>
      </c>
      <c r="BS9" s="1">
        <v>0.78100000000000003</v>
      </c>
      <c r="BT9" s="1">
        <v>0.84199999999999997</v>
      </c>
      <c r="BU9" s="1">
        <v>0.86899999999999999</v>
      </c>
    </row>
    <row r="10" spans="1:75" ht="21" customHeight="1" x14ac:dyDescent="0.25">
      <c r="A10" s="2"/>
      <c r="P10" s="1">
        <v>10</v>
      </c>
      <c r="Q10" s="1" t="s">
        <v>33</v>
      </c>
      <c r="R10" s="1">
        <v>9</v>
      </c>
      <c r="AI10" s="2">
        <v>1.6299999999999999E-2</v>
      </c>
      <c r="AJ10" s="2">
        <v>3.0300000000000001E-2</v>
      </c>
      <c r="AK10" s="2">
        <v>4.2200000000000001E-2</v>
      </c>
      <c r="AL10" s="2">
        <v>5.2999999999999999E-2</v>
      </c>
      <c r="AM10" s="2">
        <v>6.1800000000000001E-2</v>
      </c>
      <c r="AN10" s="2">
        <v>6.9599999999999995E-2</v>
      </c>
      <c r="AO10" s="2">
        <v>7.6399999999999996E-2</v>
      </c>
      <c r="AP10" s="2">
        <v>8.2299999999999998E-2</v>
      </c>
      <c r="AQ10" s="2">
        <v>8.7599999999999997E-2</v>
      </c>
      <c r="AR10" s="2">
        <v>9.2299999999999993E-2</v>
      </c>
      <c r="AS10" s="2">
        <v>9.6500000000000002E-2</v>
      </c>
      <c r="AT10" s="2">
        <v>0.1002</v>
      </c>
      <c r="AU10" s="2">
        <v>0.1036</v>
      </c>
      <c r="AV10" s="2">
        <v>0.1066</v>
      </c>
      <c r="AW10" s="2">
        <v>0.10929999999999999</v>
      </c>
      <c r="AX10" s="2">
        <v>0.1118</v>
      </c>
      <c r="AY10" s="2">
        <v>0.114</v>
      </c>
      <c r="AZ10" s="2">
        <v>0.11600000000000001</v>
      </c>
      <c r="BA10" s="2">
        <v>0.1179</v>
      </c>
      <c r="BB10" s="2">
        <v>0.1196</v>
      </c>
      <c r="BC10" s="2">
        <v>0.1211</v>
      </c>
      <c r="BD10" s="2">
        <v>0.1225</v>
      </c>
      <c r="BE10" s="2">
        <v>0.1237</v>
      </c>
      <c r="BF10" s="2">
        <v>0.1249</v>
      </c>
      <c r="BG10" s="2">
        <v>0.12590000000000001</v>
      </c>
      <c r="BH10" s="2">
        <v>0.12690000000000001</v>
      </c>
      <c r="BI10" s="2">
        <v>0.1278</v>
      </c>
      <c r="BJ10" s="2">
        <v>0.12859999999999999</v>
      </c>
      <c r="BK10" s="2">
        <v>0.1293</v>
      </c>
      <c r="BL10" s="2">
        <v>0.13</v>
      </c>
      <c r="BM10" s="2">
        <v>0.13059999999999999</v>
      </c>
      <c r="BN10" s="2">
        <v>0.13120000000000001</v>
      </c>
      <c r="BO10" s="2">
        <v>0.13170000000000001</v>
      </c>
      <c r="BR10" s="1">
        <v>11</v>
      </c>
      <c r="BS10" s="1">
        <v>0.79200000000000004</v>
      </c>
      <c r="BT10" s="1">
        <v>0.85</v>
      </c>
      <c r="BU10" s="1">
        <v>0.876</v>
      </c>
    </row>
    <row r="11" spans="1:75" ht="21" customHeight="1" x14ac:dyDescent="0.25">
      <c r="A11" s="2"/>
      <c r="P11" s="1">
        <v>11</v>
      </c>
      <c r="Q11" s="1" t="s">
        <v>34</v>
      </c>
      <c r="R11" s="1">
        <v>10</v>
      </c>
      <c r="AK11" s="2">
        <v>1.4E-2</v>
      </c>
      <c r="AL11" s="2">
        <v>2.63E-2</v>
      </c>
      <c r="AM11" s="2">
        <v>3.6799999999999999E-2</v>
      </c>
      <c r="AN11" s="2">
        <v>4.5900000000000003E-2</v>
      </c>
      <c r="AO11" s="2">
        <v>5.3900000000000003E-2</v>
      </c>
      <c r="AP11" s="2">
        <v>6.0999999999999999E-2</v>
      </c>
      <c r="AQ11" s="2">
        <v>6.7199999999999996E-2</v>
      </c>
      <c r="AR11" s="2">
        <v>7.2800000000000004E-2</v>
      </c>
      <c r="AS11" s="2">
        <v>7.7799999999999994E-2</v>
      </c>
      <c r="AT11" s="2">
        <v>8.2199999999999995E-2</v>
      </c>
      <c r="AU11" s="2">
        <v>8.6199999999999999E-2</v>
      </c>
      <c r="AV11" s="2">
        <v>8.9899999999999994E-2</v>
      </c>
      <c r="AW11" s="2">
        <v>9.3100000000000002E-2</v>
      </c>
      <c r="AX11" s="2">
        <v>9.6100000000000005E-2</v>
      </c>
      <c r="AY11" s="2">
        <v>9.8799999999999999E-2</v>
      </c>
      <c r="AZ11" s="2">
        <v>0.1013</v>
      </c>
      <c r="BA11" s="2">
        <v>0.1036</v>
      </c>
      <c r="BB11" s="2">
        <v>0.1056</v>
      </c>
      <c r="BC11" s="2">
        <v>0.1075</v>
      </c>
      <c r="BD11" s="2">
        <v>0.10920000000000001</v>
      </c>
      <c r="BE11" s="2">
        <v>0.1108</v>
      </c>
      <c r="BF11" s="2">
        <v>0.1123</v>
      </c>
      <c r="BG11" s="2">
        <v>0.11360000000000001</v>
      </c>
      <c r="BH11" s="2">
        <v>0.1149</v>
      </c>
      <c r="BI11" s="2">
        <v>0.11600000000000001</v>
      </c>
      <c r="BJ11" s="2">
        <v>0.11700000000000001</v>
      </c>
      <c r="BK11" s="2">
        <v>0.11799999999999999</v>
      </c>
      <c r="BL11" s="2">
        <v>0.11890000000000001</v>
      </c>
      <c r="BM11" s="2">
        <v>0.1197</v>
      </c>
      <c r="BN11" s="2">
        <v>0.1205</v>
      </c>
      <c r="BO11" s="2">
        <v>0.1212</v>
      </c>
      <c r="BR11" s="1">
        <v>12</v>
      </c>
      <c r="BS11" s="1">
        <v>0.80500000000000005</v>
      </c>
      <c r="BT11" s="1">
        <v>0.85899999999999999</v>
      </c>
      <c r="BU11" s="1">
        <v>0.88300000000000001</v>
      </c>
    </row>
    <row r="12" spans="1:75" ht="21" customHeight="1" x14ac:dyDescent="0.25">
      <c r="A12" s="2"/>
      <c r="P12" s="1">
        <v>12</v>
      </c>
      <c r="Q12" s="1" t="s">
        <v>35</v>
      </c>
      <c r="R12" s="1">
        <v>11</v>
      </c>
      <c r="AM12" s="2">
        <v>1.2200000000000001E-2</v>
      </c>
      <c r="AN12" s="2">
        <v>2.2800000000000001E-2</v>
      </c>
      <c r="AO12" s="2">
        <v>3.2099999999999997E-2</v>
      </c>
      <c r="AP12" s="2">
        <v>4.0300000000000002E-2</v>
      </c>
      <c r="AQ12" s="2">
        <v>4.7600000000000003E-2</v>
      </c>
      <c r="AR12" s="2">
        <v>5.3999999999999999E-2</v>
      </c>
      <c r="AS12" s="2">
        <v>5.9799999999999999E-2</v>
      </c>
      <c r="AT12" s="2">
        <v>6.5000000000000002E-2</v>
      </c>
      <c r="AU12" s="2">
        <v>6.9699999999999998E-2</v>
      </c>
      <c r="AV12" s="2">
        <v>7.3899999999999993E-2</v>
      </c>
      <c r="AW12" s="2">
        <v>7.7700000000000005E-2</v>
      </c>
      <c r="AX12" s="2">
        <v>8.1199999999999994E-2</v>
      </c>
      <c r="AY12" s="2">
        <v>8.4400000000000003E-2</v>
      </c>
      <c r="AZ12" s="2">
        <v>8.7300000000000003E-2</v>
      </c>
      <c r="BA12" s="2">
        <v>0.09</v>
      </c>
      <c r="BB12" s="2">
        <v>9.2399999999999996E-2</v>
      </c>
      <c r="BC12" s="2">
        <v>9.4700000000000006E-2</v>
      </c>
      <c r="BD12" s="2">
        <v>9.6699999999999994E-2</v>
      </c>
      <c r="BE12" s="2">
        <v>9.8599999999999993E-2</v>
      </c>
      <c r="BF12" s="2">
        <v>0.1004</v>
      </c>
      <c r="BG12" s="2">
        <v>0.10199999999999999</v>
      </c>
      <c r="BH12" s="2">
        <v>0.10349999999999999</v>
      </c>
      <c r="BI12" s="2">
        <v>0.10489999999999999</v>
      </c>
      <c r="BJ12" s="2">
        <v>0.1062</v>
      </c>
      <c r="BK12" s="2">
        <v>0.10730000000000001</v>
      </c>
      <c r="BL12" s="2">
        <v>0.1085</v>
      </c>
      <c r="BM12" s="2">
        <v>0.1095</v>
      </c>
      <c r="BN12" s="2">
        <v>0.1105</v>
      </c>
      <c r="BO12" s="2">
        <v>0.1113</v>
      </c>
      <c r="BR12" s="1">
        <v>13</v>
      </c>
      <c r="BS12" s="1">
        <v>0.81399999999999995</v>
      </c>
      <c r="BT12" s="1">
        <v>0.86599999999999999</v>
      </c>
      <c r="BU12" s="1">
        <v>0.88900000000000001</v>
      </c>
    </row>
    <row r="13" spans="1:75" ht="21" customHeight="1" x14ac:dyDescent="0.25">
      <c r="P13" s="1">
        <v>13</v>
      </c>
      <c r="Q13" s="1" t="s">
        <v>36</v>
      </c>
      <c r="R13" s="1">
        <v>12</v>
      </c>
      <c r="AO13" s="2">
        <v>1.0699999999999999E-2</v>
      </c>
      <c r="AP13" s="2">
        <v>0.02</v>
      </c>
      <c r="AQ13" s="2">
        <v>2.8400000000000002E-2</v>
      </c>
      <c r="AR13" s="2">
        <v>3.5799999999999998E-2</v>
      </c>
      <c r="AS13" s="2">
        <v>4.24E-2</v>
      </c>
      <c r="AT13" s="2">
        <v>4.8300000000000003E-2</v>
      </c>
      <c r="AU13" s="2">
        <v>5.3699999999999998E-2</v>
      </c>
      <c r="AV13" s="2">
        <v>5.8500000000000003E-2</v>
      </c>
      <c r="AW13" s="2">
        <v>6.2899999999999998E-2</v>
      </c>
      <c r="AX13" s="2">
        <v>6.6900000000000001E-2</v>
      </c>
      <c r="AY13" s="2">
        <v>7.0599999999999996E-2</v>
      </c>
      <c r="AZ13" s="2">
        <v>7.3899999999999993E-2</v>
      </c>
      <c r="BA13" s="2">
        <v>7.6999999999999999E-2</v>
      </c>
      <c r="BB13" s="2">
        <v>7.9799999999999996E-2</v>
      </c>
      <c r="BC13" s="2">
        <v>8.2400000000000001E-2</v>
      </c>
      <c r="BD13" s="2">
        <v>8.48E-2</v>
      </c>
      <c r="BE13" s="2">
        <v>8.6999999999999994E-2</v>
      </c>
      <c r="BF13" s="2">
        <v>8.9099999999999999E-2</v>
      </c>
      <c r="BG13" s="2">
        <v>9.0899999999999995E-2</v>
      </c>
      <c r="BH13" s="2">
        <v>9.2700000000000005E-2</v>
      </c>
      <c r="BI13" s="2">
        <v>9.4299999999999995E-2</v>
      </c>
      <c r="BJ13" s="2">
        <v>9.5899999999999999E-2</v>
      </c>
      <c r="BK13" s="2">
        <v>9.7199999999999995E-2</v>
      </c>
      <c r="BL13" s="2">
        <v>9.8599999999999993E-2</v>
      </c>
      <c r="BM13" s="2">
        <v>9.98E-2</v>
      </c>
      <c r="BN13" s="2">
        <v>0.10100000000000001</v>
      </c>
      <c r="BO13" s="2">
        <v>0.10199999999999999</v>
      </c>
      <c r="BR13" s="1">
        <v>14</v>
      </c>
      <c r="BS13" s="1">
        <v>0.82499999999999996</v>
      </c>
      <c r="BT13" s="1">
        <v>0.874</v>
      </c>
      <c r="BU13" s="1">
        <v>0.89500000000000002</v>
      </c>
    </row>
    <row r="14" spans="1:75" ht="21" customHeight="1" x14ac:dyDescent="0.25">
      <c r="P14" s="1">
        <v>14</v>
      </c>
      <c r="Q14" s="1" t="s">
        <v>37</v>
      </c>
      <c r="R14" s="1">
        <v>13</v>
      </c>
      <c r="AP14" s="2">
        <v>0</v>
      </c>
      <c r="AQ14" s="2">
        <v>9.4000000000000004E-3</v>
      </c>
      <c r="AR14" s="2">
        <v>1.78E-2</v>
      </c>
      <c r="AS14" s="2">
        <v>2.53E-2</v>
      </c>
      <c r="AT14" s="2">
        <v>3.2000000000000001E-2</v>
      </c>
      <c r="AU14" s="2">
        <v>3.8100000000000002E-2</v>
      </c>
      <c r="AV14" s="2">
        <v>4.3499999999999997E-2</v>
      </c>
      <c r="AW14" s="2">
        <v>4.8500000000000001E-2</v>
      </c>
      <c r="AX14" s="2">
        <v>5.2999999999999999E-2</v>
      </c>
      <c r="AY14" s="2">
        <v>5.7200000000000001E-2</v>
      </c>
      <c r="AZ14" s="2">
        <v>6.0999999999999999E-2</v>
      </c>
      <c r="BA14" s="2">
        <v>6.4500000000000002E-2</v>
      </c>
      <c r="BB14" s="2">
        <v>6.7699999999999996E-2</v>
      </c>
      <c r="BC14" s="2">
        <v>7.0599999999999996E-2</v>
      </c>
      <c r="BD14" s="2">
        <v>7.3300000000000004E-2</v>
      </c>
      <c r="BE14" s="2">
        <v>7.5899999999999995E-2</v>
      </c>
      <c r="BF14" s="2">
        <v>7.8200000000000006E-2</v>
      </c>
      <c r="BG14" s="2">
        <v>8.0399999999999999E-2</v>
      </c>
      <c r="BH14" s="2">
        <v>8.2400000000000001E-2</v>
      </c>
      <c r="BI14" s="2">
        <v>8.4199999999999997E-2</v>
      </c>
      <c r="BJ14" s="2">
        <v>8.5999999999999993E-2</v>
      </c>
      <c r="BK14" s="2">
        <v>8.7599999999999997E-2</v>
      </c>
      <c r="BL14" s="2">
        <v>8.9200000000000002E-2</v>
      </c>
      <c r="BM14" s="2">
        <v>9.06E-2</v>
      </c>
      <c r="BN14" s="2">
        <v>9.1899999999999996E-2</v>
      </c>
      <c r="BO14" s="2">
        <v>9.3200000000000005E-2</v>
      </c>
      <c r="BR14" s="1">
        <v>15</v>
      </c>
      <c r="BS14" s="1">
        <v>0.83499999999999996</v>
      </c>
      <c r="BT14" s="1">
        <v>0.88100000000000001</v>
      </c>
      <c r="BU14" s="1">
        <v>0.90100000000000002</v>
      </c>
    </row>
    <row r="15" spans="1:75" ht="21" customHeight="1" x14ac:dyDescent="0.25">
      <c r="P15" s="1">
        <v>15</v>
      </c>
      <c r="Q15" s="1" t="s">
        <v>38</v>
      </c>
      <c r="R15" s="1">
        <v>14</v>
      </c>
      <c r="AR15" s="2">
        <v>0</v>
      </c>
      <c r="AS15" s="2">
        <v>8.3999999999999995E-3</v>
      </c>
      <c r="AT15" s="2">
        <v>1.5900000000000001E-2</v>
      </c>
      <c r="AU15" s="2">
        <v>2.2700000000000001E-2</v>
      </c>
      <c r="AV15" s="2">
        <v>2.8899999999999999E-2</v>
      </c>
      <c r="AW15" s="2">
        <v>3.44E-2</v>
      </c>
      <c r="AX15" s="2">
        <v>3.95E-2</v>
      </c>
      <c r="AY15" s="2">
        <v>4.41E-2</v>
      </c>
      <c r="AZ15" s="2">
        <v>4.8399999999999999E-2</v>
      </c>
      <c r="BA15" s="2">
        <v>5.2299999999999999E-2</v>
      </c>
      <c r="BB15" s="2">
        <v>5.5899999999999998E-2</v>
      </c>
      <c r="BC15" s="2">
        <v>5.9200000000000003E-2</v>
      </c>
      <c r="BD15" s="2">
        <v>6.2199999999999998E-2</v>
      </c>
      <c r="BE15" s="2">
        <v>6.5100000000000005E-2</v>
      </c>
      <c r="BF15" s="2">
        <v>6.7699999999999996E-2</v>
      </c>
      <c r="BG15" s="2">
        <v>7.0099999999999996E-2</v>
      </c>
      <c r="BH15" s="2">
        <v>7.2400000000000006E-2</v>
      </c>
      <c r="BI15" s="2">
        <v>7.4499999999999997E-2</v>
      </c>
      <c r="BJ15" s="2">
        <v>7.6499999999999999E-2</v>
      </c>
      <c r="BK15" s="2">
        <v>7.8299999999999995E-2</v>
      </c>
      <c r="BL15" s="2">
        <v>8.0100000000000005E-2</v>
      </c>
      <c r="BM15" s="2">
        <v>8.1699999999999995E-2</v>
      </c>
      <c r="BN15" s="2">
        <v>8.3199999999999996E-2</v>
      </c>
      <c r="BO15" s="2">
        <v>8.4599999999999995E-2</v>
      </c>
      <c r="BR15" s="1">
        <v>16</v>
      </c>
      <c r="BS15" s="1">
        <v>0.84399999999999997</v>
      </c>
      <c r="BT15" s="1">
        <v>0.88700000000000001</v>
      </c>
      <c r="BU15" s="1">
        <v>0.90600000000000003</v>
      </c>
    </row>
    <row r="16" spans="1:75" ht="21" customHeight="1" x14ac:dyDescent="0.25">
      <c r="P16" s="1">
        <v>16</v>
      </c>
      <c r="Q16" s="1" t="s">
        <v>39</v>
      </c>
      <c r="R16" s="1">
        <v>15</v>
      </c>
      <c r="AT16" s="2">
        <v>0</v>
      </c>
      <c r="AU16" s="2">
        <v>7.6E-3</v>
      </c>
      <c r="AV16" s="2">
        <v>1.44E-2</v>
      </c>
      <c r="AW16" s="2">
        <v>2.06E-2</v>
      </c>
      <c r="AX16" s="2">
        <v>2.6200000000000001E-2</v>
      </c>
      <c r="AY16" s="2">
        <v>3.1399999999999997E-2</v>
      </c>
      <c r="AZ16" s="2">
        <v>3.61E-2</v>
      </c>
      <c r="BA16" s="2">
        <v>4.0399999999999998E-2</v>
      </c>
      <c r="BB16" s="2">
        <v>4.4400000000000002E-2</v>
      </c>
      <c r="BC16" s="2">
        <v>4.8099999999999997E-2</v>
      </c>
      <c r="BD16" s="2">
        <v>5.1499999999999997E-2</v>
      </c>
      <c r="BE16" s="2">
        <v>5.4600000000000003E-2</v>
      </c>
      <c r="BF16" s="2">
        <v>5.7500000000000002E-2</v>
      </c>
      <c r="BG16" s="2">
        <v>6.0199999999999997E-2</v>
      </c>
      <c r="BH16" s="2">
        <v>6.2799999999999995E-2</v>
      </c>
      <c r="BI16" s="2">
        <v>6.5100000000000005E-2</v>
      </c>
      <c r="BJ16" s="2">
        <v>6.7299999999999999E-2</v>
      </c>
      <c r="BK16" s="2">
        <v>6.9400000000000003E-2</v>
      </c>
      <c r="BL16" s="2">
        <v>7.1300000000000002E-2</v>
      </c>
      <c r="BM16" s="2">
        <v>7.3099999999999998E-2</v>
      </c>
      <c r="BN16" s="2">
        <v>7.4800000000000005E-2</v>
      </c>
      <c r="BO16" s="2">
        <v>7.6399999999999996E-2</v>
      </c>
      <c r="BR16" s="1">
        <v>17</v>
      </c>
      <c r="BS16" s="1">
        <v>0.85099999999999998</v>
      </c>
      <c r="BT16" s="1">
        <v>0.89200000000000002</v>
      </c>
      <c r="BU16" s="1">
        <v>0.91</v>
      </c>
    </row>
    <row r="17" spans="16:73" ht="21" customHeight="1" x14ac:dyDescent="0.25">
      <c r="P17" s="1">
        <v>17</v>
      </c>
      <c r="Q17" s="1" t="s">
        <v>40</v>
      </c>
      <c r="R17" s="1">
        <v>16</v>
      </c>
      <c r="AV17" s="2">
        <v>0</v>
      </c>
      <c r="AW17" s="2">
        <v>6.7999999999999996E-3</v>
      </c>
      <c r="AX17" s="2">
        <v>1.3100000000000001E-2</v>
      </c>
      <c r="AY17" s="2">
        <v>1.8700000000000001E-2</v>
      </c>
      <c r="AZ17" s="2">
        <v>2.3900000000000001E-2</v>
      </c>
      <c r="BA17" s="2">
        <v>2.87E-2</v>
      </c>
      <c r="BB17" s="2">
        <v>3.3099999999999997E-2</v>
      </c>
      <c r="BC17" s="2">
        <v>3.7199999999999997E-2</v>
      </c>
      <c r="BD17" s="2">
        <v>4.0899999999999999E-2</v>
      </c>
      <c r="BE17" s="2">
        <v>4.4400000000000002E-2</v>
      </c>
      <c r="BF17" s="2">
        <v>4.7600000000000003E-2</v>
      </c>
      <c r="BG17" s="2">
        <v>5.0599999999999999E-2</v>
      </c>
      <c r="BH17" s="2">
        <v>5.3400000000000003E-2</v>
      </c>
      <c r="BI17" s="2">
        <v>5.6000000000000001E-2</v>
      </c>
      <c r="BJ17" s="2">
        <v>5.8400000000000001E-2</v>
      </c>
      <c r="BK17" s="2">
        <v>6.0699999999999997E-2</v>
      </c>
      <c r="BL17" s="2">
        <v>6.2799999999999995E-2</v>
      </c>
      <c r="BM17" s="2">
        <v>6.4799999999999996E-2</v>
      </c>
      <c r="BN17" s="2">
        <v>6.6699999999999995E-2</v>
      </c>
      <c r="BO17" s="2">
        <v>6.8500000000000005E-2</v>
      </c>
      <c r="BR17" s="1">
        <v>18</v>
      </c>
      <c r="BS17" s="1">
        <v>0.85799999999999998</v>
      </c>
      <c r="BT17" s="1">
        <v>0.89700000000000002</v>
      </c>
      <c r="BU17" s="1">
        <v>0.91400000000000003</v>
      </c>
    </row>
    <row r="18" spans="16:73" ht="21" customHeight="1" x14ac:dyDescent="0.25">
      <c r="P18" s="1">
        <v>18</v>
      </c>
      <c r="Q18" s="1" t="s">
        <v>41</v>
      </c>
      <c r="R18" s="1">
        <v>17</v>
      </c>
      <c r="AX18" s="2">
        <v>0</v>
      </c>
      <c r="AY18" s="2">
        <v>6.1999999999999998E-3</v>
      </c>
      <c r="AZ18" s="2">
        <v>1.1900000000000001E-2</v>
      </c>
      <c r="BA18" s="2">
        <v>1.72E-2</v>
      </c>
      <c r="BB18" s="2">
        <v>2.1999999999999999E-2</v>
      </c>
      <c r="BC18" s="2">
        <v>2.64E-2</v>
      </c>
      <c r="BD18" s="2">
        <v>3.0499999999999999E-2</v>
      </c>
      <c r="BE18" s="2">
        <v>3.4299999999999997E-2</v>
      </c>
      <c r="BF18" s="2">
        <v>3.7900000000000003E-2</v>
      </c>
      <c r="BG18" s="2">
        <v>4.1099999999999998E-2</v>
      </c>
      <c r="BH18" s="2">
        <v>4.4200000000000003E-2</v>
      </c>
      <c r="BI18" s="2">
        <v>4.7100000000000003E-2</v>
      </c>
      <c r="BJ18" s="2">
        <v>4.9700000000000001E-2</v>
      </c>
      <c r="BK18" s="2">
        <v>5.2200000000000003E-2</v>
      </c>
      <c r="BL18" s="2">
        <v>5.4600000000000003E-2</v>
      </c>
      <c r="BM18" s="2">
        <v>5.6800000000000003E-2</v>
      </c>
      <c r="BN18" s="2">
        <v>5.8799999999999998E-2</v>
      </c>
      <c r="BO18" s="2">
        <v>6.08E-2</v>
      </c>
      <c r="BR18" s="1">
        <v>19</v>
      </c>
      <c r="BS18" s="1">
        <v>0.86299999999999999</v>
      </c>
      <c r="BT18" s="1">
        <v>0.90100000000000002</v>
      </c>
      <c r="BU18" s="1">
        <v>0.91700000000000004</v>
      </c>
    </row>
    <row r="19" spans="16:73" ht="21" customHeight="1" x14ac:dyDescent="0.25">
      <c r="P19" s="1">
        <v>19</v>
      </c>
      <c r="Q19" s="1" t="s">
        <v>42</v>
      </c>
      <c r="R19" s="1">
        <v>18</v>
      </c>
      <c r="AZ19" s="2">
        <v>0</v>
      </c>
      <c r="BA19" s="2">
        <v>5.7000000000000002E-3</v>
      </c>
      <c r="BB19" s="2">
        <v>1.0999999999999999E-2</v>
      </c>
      <c r="BC19" s="2">
        <v>1.5800000000000002E-2</v>
      </c>
      <c r="BD19" s="2">
        <v>2.0299999999999999E-2</v>
      </c>
      <c r="BE19" s="2">
        <v>2.4400000000000002E-2</v>
      </c>
      <c r="BF19" s="2">
        <v>2.8299999999999999E-2</v>
      </c>
      <c r="BG19" s="2">
        <v>3.1800000000000002E-2</v>
      </c>
      <c r="BH19" s="2">
        <v>3.5200000000000002E-2</v>
      </c>
      <c r="BI19" s="2">
        <v>3.8300000000000001E-2</v>
      </c>
      <c r="BJ19" s="2">
        <v>4.1200000000000001E-2</v>
      </c>
      <c r="BK19" s="2">
        <v>4.3900000000000002E-2</v>
      </c>
      <c r="BL19" s="2">
        <v>4.65E-2</v>
      </c>
      <c r="BM19" s="2">
        <v>4.8899999999999999E-2</v>
      </c>
      <c r="BN19" s="2">
        <v>5.11E-2</v>
      </c>
      <c r="BO19" s="2">
        <v>5.3199999999999997E-2</v>
      </c>
      <c r="BR19" s="1">
        <v>20</v>
      </c>
      <c r="BS19" s="1">
        <v>0.86799999999999999</v>
      </c>
      <c r="BT19" s="1">
        <v>0.90500000000000003</v>
      </c>
      <c r="BU19" s="1">
        <v>0.92</v>
      </c>
    </row>
    <row r="20" spans="16:73" ht="21" customHeight="1" x14ac:dyDescent="0.25">
      <c r="P20" s="1">
        <v>20</v>
      </c>
      <c r="Q20" s="1" t="s">
        <v>43</v>
      </c>
      <c r="R20" s="1">
        <v>19</v>
      </c>
      <c r="BB20" s="2">
        <v>0</v>
      </c>
      <c r="BC20" s="2">
        <v>5.3E-3</v>
      </c>
      <c r="BD20" s="2">
        <v>1.01E-2</v>
      </c>
      <c r="BE20" s="2">
        <v>1.46E-2</v>
      </c>
      <c r="BF20" s="2">
        <v>1.8800000000000001E-2</v>
      </c>
      <c r="BG20" s="2">
        <v>2.2700000000000001E-2</v>
      </c>
      <c r="BH20" s="2">
        <v>2.63E-2</v>
      </c>
      <c r="BI20" s="2">
        <v>2.9600000000000001E-2</v>
      </c>
      <c r="BJ20" s="2">
        <v>3.2800000000000003E-2</v>
      </c>
      <c r="BK20" s="2">
        <v>3.5700000000000003E-2</v>
      </c>
      <c r="BL20" s="2">
        <v>3.85E-2</v>
      </c>
      <c r="BM20" s="2">
        <v>4.1099999999999998E-2</v>
      </c>
      <c r="BN20" s="2">
        <v>4.36E-2</v>
      </c>
      <c r="BO20" s="2">
        <v>4.5900000000000003E-2</v>
      </c>
      <c r="BR20" s="1">
        <v>21</v>
      </c>
      <c r="BS20" s="1">
        <v>0.873</v>
      </c>
      <c r="BT20" s="1">
        <v>0.90800000000000003</v>
      </c>
      <c r="BU20" s="1">
        <v>0.92300000000000004</v>
      </c>
    </row>
    <row r="21" spans="16:73" ht="21" customHeight="1" x14ac:dyDescent="0.25">
      <c r="P21" s="1">
        <v>21</v>
      </c>
      <c r="Q21" s="1" t="s">
        <v>44</v>
      </c>
      <c r="R21" s="1">
        <v>20</v>
      </c>
      <c r="BD21" s="2">
        <v>0</v>
      </c>
      <c r="BE21" s="2">
        <v>4.8999999999999998E-3</v>
      </c>
      <c r="BF21" s="2">
        <v>9.4000000000000004E-3</v>
      </c>
      <c r="BG21" s="2">
        <v>1.3599999999999999E-2</v>
      </c>
      <c r="BH21" s="2">
        <v>1.7500000000000002E-2</v>
      </c>
      <c r="BI21" s="2">
        <v>2.1100000000000001E-2</v>
      </c>
      <c r="BJ21" s="2">
        <v>2.4500000000000001E-2</v>
      </c>
      <c r="BK21" s="2">
        <v>2.7699999999999999E-2</v>
      </c>
      <c r="BL21" s="2">
        <v>3.0700000000000002E-2</v>
      </c>
      <c r="BM21" s="2">
        <v>3.3500000000000002E-2</v>
      </c>
      <c r="BN21" s="2">
        <v>3.61E-2</v>
      </c>
      <c r="BO21" s="2">
        <v>3.8600000000000002E-2</v>
      </c>
      <c r="BR21" s="1">
        <v>22</v>
      </c>
      <c r="BS21" s="1">
        <v>0.878</v>
      </c>
      <c r="BT21" s="1">
        <v>0.91100000000000003</v>
      </c>
      <c r="BU21" s="1">
        <v>0.92600000000000005</v>
      </c>
    </row>
    <row r="22" spans="16:73" ht="21" customHeight="1" x14ac:dyDescent="0.25">
      <c r="P22" s="1">
        <v>22</v>
      </c>
      <c r="Q22" s="1" t="s">
        <v>45</v>
      </c>
      <c r="R22" s="1">
        <v>21</v>
      </c>
      <c r="BF22" s="2">
        <v>0</v>
      </c>
      <c r="BG22" s="2">
        <v>4.4999999999999997E-3</v>
      </c>
      <c r="BH22" s="2">
        <v>8.6999999999999994E-3</v>
      </c>
      <c r="BI22" s="2">
        <v>1.26E-2</v>
      </c>
      <c r="BJ22" s="2">
        <v>1.6299999999999999E-2</v>
      </c>
      <c r="BK22" s="2">
        <v>1.9699999999999999E-2</v>
      </c>
      <c r="BL22" s="2">
        <v>2.29E-2</v>
      </c>
      <c r="BM22" s="2">
        <v>2.5899999999999999E-2</v>
      </c>
      <c r="BN22" s="2">
        <v>2.8799999999999999E-2</v>
      </c>
      <c r="BO22" s="2">
        <v>3.1399999999999997E-2</v>
      </c>
      <c r="BR22" s="1">
        <v>23</v>
      </c>
      <c r="BS22" s="1">
        <v>0.88100000000000001</v>
      </c>
      <c r="BT22" s="1">
        <v>0.91400000000000003</v>
      </c>
      <c r="BU22" s="1">
        <v>0.92800000000000005</v>
      </c>
    </row>
    <row r="23" spans="16:73" ht="21" customHeight="1" x14ac:dyDescent="0.25">
      <c r="P23" s="1">
        <v>23</v>
      </c>
      <c r="Q23" s="1" t="s">
        <v>46</v>
      </c>
      <c r="R23" s="1">
        <v>22</v>
      </c>
      <c r="BH23" s="2">
        <v>0</v>
      </c>
      <c r="BI23" s="2">
        <v>4.1999999999999997E-3</v>
      </c>
      <c r="BJ23" s="2">
        <v>8.0999999999999996E-3</v>
      </c>
      <c r="BK23" s="2">
        <v>1.18E-2</v>
      </c>
      <c r="BL23" s="2">
        <v>1.5299999999999999E-2</v>
      </c>
      <c r="BM23" s="2">
        <v>1.8499999999999999E-2</v>
      </c>
      <c r="BN23" s="2">
        <v>2.1499999999999998E-2</v>
      </c>
      <c r="BO23" s="2">
        <v>2.4400000000000002E-2</v>
      </c>
      <c r="BR23" s="1">
        <v>24</v>
      </c>
      <c r="BS23" s="1">
        <v>0.88400000000000001</v>
      </c>
      <c r="BT23" s="1">
        <v>0.91600000000000004</v>
      </c>
      <c r="BU23" s="1">
        <v>0.93</v>
      </c>
    </row>
    <row r="24" spans="16:73" ht="21" customHeight="1" x14ac:dyDescent="0.25">
      <c r="P24" s="1">
        <v>24</v>
      </c>
      <c r="Q24" s="1" t="s">
        <v>47</v>
      </c>
      <c r="R24" s="1">
        <v>23</v>
      </c>
      <c r="BJ24" s="2">
        <v>0</v>
      </c>
      <c r="BK24" s="2">
        <v>3.8999999999999998E-3</v>
      </c>
      <c r="BL24" s="2">
        <v>7.6E-3</v>
      </c>
      <c r="BM24" s="2">
        <v>1.11E-2</v>
      </c>
      <c r="BN24" s="2">
        <v>1.43E-2</v>
      </c>
      <c r="BO24" s="2">
        <v>1.7399999999999999E-2</v>
      </c>
      <c r="BR24" s="1">
        <v>25</v>
      </c>
      <c r="BS24" s="1">
        <v>0.88800000000000001</v>
      </c>
      <c r="BT24" s="1">
        <v>0.91800000000000004</v>
      </c>
      <c r="BU24" s="1">
        <v>0.93100000000000005</v>
      </c>
    </row>
    <row r="25" spans="16:73" ht="21" customHeight="1" x14ac:dyDescent="0.25">
      <c r="P25" s="1">
        <v>25</v>
      </c>
      <c r="Q25" s="1" t="s">
        <v>48</v>
      </c>
      <c r="R25" s="1">
        <v>24</v>
      </c>
      <c r="BL25" s="2">
        <v>0</v>
      </c>
      <c r="BM25" s="2">
        <v>3.7000000000000002E-3</v>
      </c>
      <c r="BN25" s="2">
        <v>7.1000000000000004E-3</v>
      </c>
      <c r="BO25" s="2">
        <v>1.04E-2</v>
      </c>
      <c r="BR25" s="1">
        <v>26</v>
      </c>
      <c r="BS25" s="1">
        <v>0.89100000000000001</v>
      </c>
      <c r="BT25" s="1">
        <v>0.92</v>
      </c>
      <c r="BU25" s="1">
        <v>0.93300000000000005</v>
      </c>
    </row>
    <row r="26" spans="16:73" ht="21" customHeight="1" x14ac:dyDescent="0.25">
      <c r="P26" s="1">
        <v>26</v>
      </c>
      <c r="Q26" s="1" t="s">
        <v>49</v>
      </c>
      <c r="R26" s="1">
        <v>25</v>
      </c>
      <c r="BN26" s="2">
        <v>0</v>
      </c>
      <c r="BO26" s="2">
        <v>3.5000000000000003E-2</v>
      </c>
      <c r="BR26" s="1">
        <v>27</v>
      </c>
      <c r="BS26" s="1">
        <v>0.89400000000000002</v>
      </c>
      <c r="BT26" s="1">
        <v>0.92300000000000004</v>
      </c>
      <c r="BU26" s="1">
        <v>0.93500000000000005</v>
      </c>
    </row>
    <row r="27" spans="16:73" ht="21" customHeight="1" x14ac:dyDescent="0.25">
      <c r="P27" s="1">
        <v>27</v>
      </c>
      <c r="Q27" s="1" t="s">
        <v>50</v>
      </c>
      <c r="R27" s="1">
        <v>26</v>
      </c>
      <c r="BR27" s="1">
        <v>28</v>
      </c>
      <c r="BS27" s="1">
        <v>0.89600000000000002</v>
      </c>
      <c r="BT27" s="1">
        <v>0.92400000000000004</v>
      </c>
      <c r="BU27" s="1">
        <v>0.93600000000000005</v>
      </c>
    </row>
    <row r="28" spans="16:73" ht="21" customHeight="1" x14ac:dyDescent="0.25">
      <c r="P28" s="1">
        <v>28</v>
      </c>
      <c r="Q28" s="1" t="s">
        <v>51</v>
      </c>
      <c r="R28" s="1">
        <v>27</v>
      </c>
      <c r="BR28" s="1">
        <v>29</v>
      </c>
      <c r="BS28" s="1">
        <v>0.89800000000000002</v>
      </c>
      <c r="BT28" s="1">
        <v>0.92600000000000005</v>
      </c>
      <c r="BU28" s="1">
        <v>0.93700000000000006</v>
      </c>
    </row>
    <row r="29" spans="16:73" ht="21" customHeight="1" x14ac:dyDescent="0.25">
      <c r="P29" s="1">
        <v>29</v>
      </c>
      <c r="Q29" s="1" t="s">
        <v>52</v>
      </c>
      <c r="R29" s="1">
        <v>28</v>
      </c>
      <c r="BR29" s="1">
        <v>30</v>
      </c>
      <c r="BS29" s="1">
        <v>0.9</v>
      </c>
      <c r="BT29" s="1">
        <v>0.92700000000000005</v>
      </c>
      <c r="BU29" s="1">
        <v>0.93899999999999995</v>
      </c>
    </row>
    <row r="30" spans="16:73" ht="21" customHeight="1" x14ac:dyDescent="0.25">
      <c r="P30" s="1">
        <v>30</v>
      </c>
      <c r="Q30" s="1" t="s">
        <v>53</v>
      </c>
      <c r="R30" s="1">
        <v>29</v>
      </c>
      <c r="BR30" s="1">
        <v>31</v>
      </c>
      <c r="BS30" s="1">
        <v>0.90200000000000002</v>
      </c>
      <c r="BT30" s="1">
        <v>0.92900000000000005</v>
      </c>
      <c r="BU30" s="1">
        <v>0.94</v>
      </c>
    </row>
    <row r="31" spans="16:73" ht="21" customHeight="1" x14ac:dyDescent="0.25">
      <c r="P31" s="1">
        <v>31</v>
      </c>
      <c r="Q31" s="1" t="s">
        <v>54</v>
      </c>
      <c r="R31" s="1">
        <v>30</v>
      </c>
      <c r="BR31" s="1">
        <v>32</v>
      </c>
      <c r="BS31" s="1">
        <v>0.90400000000000003</v>
      </c>
      <c r="BT31" s="1">
        <v>0.93</v>
      </c>
      <c r="BU31" s="1">
        <v>0.94099999999999995</v>
      </c>
    </row>
    <row r="32" spans="16:73" ht="21" customHeight="1" x14ac:dyDescent="0.25">
      <c r="P32" s="1">
        <v>32</v>
      </c>
      <c r="Q32" s="1" t="s">
        <v>55</v>
      </c>
      <c r="R32" s="1">
        <v>31</v>
      </c>
      <c r="BR32" s="1">
        <v>33</v>
      </c>
      <c r="BS32" s="1">
        <v>0.90600000000000003</v>
      </c>
      <c r="BT32" s="1">
        <v>0.93100000000000005</v>
      </c>
      <c r="BU32" s="1">
        <v>0.94199999999999995</v>
      </c>
    </row>
    <row r="33" spans="16:73" ht="21" customHeight="1" x14ac:dyDescent="0.25">
      <c r="P33" s="1">
        <v>33</v>
      </c>
      <c r="Q33" s="1" t="s">
        <v>56</v>
      </c>
      <c r="R33" s="1">
        <v>32</v>
      </c>
      <c r="BR33" s="1">
        <v>34</v>
      </c>
      <c r="BS33" s="1">
        <v>0.90800000000000003</v>
      </c>
      <c r="BT33" s="1">
        <v>0.93300000000000005</v>
      </c>
      <c r="BU33" s="1">
        <v>0.94299999999999995</v>
      </c>
    </row>
    <row r="34" spans="16:73" ht="21" customHeight="1" x14ac:dyDescent="0.25">
      <c r="P34" s="1">
        <v>34</v>
      </c>
      <c r="Q34" s="1" t="s">
        <v>57</v>
      </c>
      <c r="R34" s="1">
        <v>33</v>
      </c>
      <c r="BR34" s="1">
        <v>35</v>
      </c>
      <c r="BS34" s="1">
        <v>0.91</v>
      </c>
      <c r="BT34" s="1">
        <v>0.93400000000000005</v>
      </c>
      <c r="BU34" s="1">
        <v>0.94399999999999995</v>
      </c>
    </row>
    <row r="35" spans="16:73" ht="21" customHeight="1" x14ac:dyDescent="0.25">
      <c r="P35" s="1">
        <v>35</v>
      </c>
      <c r="Q35" s="1" t="s">
        <v>58</v>
      </c>
      <c r="R35" s="1">
        <v>34</v>
      </c>
      <c r="BR35" s="1">
        <v>36</v>
      </c>
      <c r="BS35" s="1">
        <v>0.91200000000000003</v>
      </c>
      <c r="BT35" s="1">
        <v>0.93500000000000005</v>
      </c>
      <c r="BU35" s="1">
        <v>0.94499999999999995</v>
      </c>
    </row>
    <row r="36" spans="16:73" ht="21" customHeight="1" x14ac:dyDescent="0.25">
      <c r="P36" s="1">
        <v>36</v>
      </c>
      <c r="Q36" s="1" t="s">
        <v>59</v>
      </c>
      <c r="R36" s="1">
        <v>35</v>
      </c>
      <c r="BR36" s="1">
        <v>37</v>
      </c>
      <c r="BS36" s="1">
        <v>0.91400000000000003</v>
      </c>
      <c r="BT36" s="1">
        <v>0.93600000000000005</v>
      </c>
      <c r="BU36" s="1">
        <v>0.94599999999999995</v>
      </c>
    </row>
    <row r="37" spans="16:73" ht="21" customHeight="1" x14ac:dyDescent="0.25">
      <c r="P37" s="1">
        <v>37</v>
      </c>
      <c r="Q37" s="1" t="s">
        <v>60</v>
      </c>
      <c r="R37" s="1">
        <v>36</v>
      </c>
      <c r="BR37" s="1">
        <v>38</v>
      </c>
      <c r="BS37" s="1">
        <v>0.91600000000000004</v>
      </c>
      <c r="BT37" s="1">
        <v>0.93799999999999994</v>
      </c>
      <c r="BU37" s="1">
        <v>0.94699999999999995</v>
      </c>
    </row>
    <row r="38" spans="16:73" ht="21" customHeight="1" x14ac:dyDescent="0.25">
      <c r="P38" s="1">
        <v>38</v>
      </c>
      <c r="Q38" s="1" t="s">
        <v>61</v>
      </c>
      <c r="R38" s="1">
        <v>37</v>
      </c>
      <c r="BR38" s="1">
        <v>39</v>
      </c>
      <c r="BS38" s="1">
        <v>0.91700000000000004</v>
      </c>
      <c r="BT38" s="1">
        <v>0.93899999999999995</v>
      </c>
      <c r="BU38" s="1">
        <v>0.94799999999999995</v>
      </c>
    </row>
    <row r="39" spans="16:73" ht="21" customHeight="1" x14ac:dyDescent="0.25">
      <c r="P39" s="1">
        <v>39</v>
      </c>
      <c r="Q39" s="1" t="s">
        <v>62</v>
      </c>
      <c r="R39" s="1">
        <v>38</v>
      </c>
      <c r="BR39" s="1">
        <v>40</v>
      </c>
      <c r="BS39" s="1">
        <v>0.91900000000000004</v>
      </c>
      <c r="BT39" s="1">
        <v>0.94</v>
      </c>
      <c r="BU39" s="1">
        <v>0.94899999999999995</v>
      </c>
    </row>
    <row r="40" spans="16:73" ht="21" customHeight="1" x14ac:dyDescent="0.25">
      <c r="P40" s="1">
        <v>40</v>
      </c>
      <c r="Q40" s="1" t="s">
        <v>63</v>
      </c>
      <c r="R40" s="1">
        <v>39</v>
      </c>
      <c r="BR40" s="1">
        <v>41</v>
      </c>
      <c r="BS40" s="1">
        <v>0.92</v>
      </c>
      <c r="BT40" s="1">
        <v>0.94099999999999995</v>
      </c>
      <c r="BU40" s="1">
        <v>0.95</v>
      </c>
    </row>
    <row r="41" spans="16:73" ht="21" customHeight="1" x14ac:dyDescent="0.25">
      <c r="P41" s="1">
        <v>41</v>
      </c>
      <c r="Q41" s="1" t="s">
        <v>64</v>
      </c>
      <c r="R41" s="1">
        <v>40</v>
      </c>
      <c r="BR41" s="1">
        <v>42</v>
      </c>
      <c r="BS41" s="1">
        <v>0.92200000000000004</v>
      </c>
      <c r="BT41" s="1">
        <v>0.94199999999999995</v>
      </c>
      <c r="BU41" s="1">
        <v>0.95099999999999996</v>
      </c>
    </row>
    <row r="42" spans="16:73" ht="21" customHeight="1" x14ac:dyDescent="0.25">
      <c r="P42" s="1">
        <v>42</v>
      </c>
      <c r="Q42" s="1" t="s">
        <v>65</v>
      </c>
      <c r="R42" s="1">
        <v>41</v>
      </c>
      <c r="BR42" s="1">
        <v>43</v>
      </c>
      <c r="BS42" s="1">
        <v>0.92300000000000004</v>
      </c>
      <c r="BT42" s="1">
        <v>0.94299999999999995</v>
      </c>
      <c r="BU42" s="1">
        <v>0.95099999999999996</v>
      </c>
    </row>
    <row r="43" spans="16:73" ht="21" customHeight="1" x14ac:dyDescent="0.25">
      <c r="P43" s="1">
        <v>43</v>
      </c>
      <c r="Q43" s="1" t="s">
        <v>66</v>
      </c>
      <c r="R43" s="1">
        <v>42</v>
      </c>
      <c r="BR43" s="1">
        <v>44</v>
      </c>
      <c r="BS43" s="1">
        <v>0.92400000000000004</v>
      </c>
      <c r="BT43" s="1">
        <v>0.94399999999999995</v>
      </c>
      <c r="BU43" s="1">
        <v>0.95199999999999996</v>
      </c>
    </row>
    <row r="44" spans="16:73" ht="21" customHeight="1" x14ac:dyDescent="0.25">
      <c r="P44" s="1">
        <v>44</v>
      </c>
      <c r="Q44" s="1" t="s">
        <v>67</v>
      </c>
      <c r="R44" s="1">
        <v>43</v>
      </c>
      <c r="BR44" s="1">
        <v>45</v>
      </c>
      <c r="BS44" s="1">
        <v>0.92600000000000005</v>
      </c>
      <c r="BT44" s="1">
        <v>0.94499999999999995</v>
      </c>
      <c r="BU44" s="1">
        <v>0.95299999999999996</v>
      </c>
    </row>
    <row r="45" spans="16:73" ht="21" customHeight="1" x14ac:dyDescent="0.25">
      <c r="P45" s="1">
        <v>45</v>
      </c>
      <c r="Q45" s="1" t="s">
        <v>68</v>
      </c>
      <c r="R45" s="1">
        <v>44</v>
      </c>
      <c r="BR45" s="1">
        <v>46</v>
      </c>
      <c r="BS45" s="1">
        <v>0.92700000000000005</v>
      </c>
      <c r="BT45" s="1">
        <v>0.94499999999999995</v>
      </c>
      <c r="BU45" s="1">
        <v>0.95299999999999996</v>
      </c>
    </row>
    <row r="46" spans="16:73" ht="21" customHeight="1" x14ac:dyDescent="0.25">
      <c r="P46" s="1">
        <v>46</v>
      </c>
      <c r="Q46" s="1" t="s">
        <v>69</v>
      </c>
      <c r="R46" s="1">
        <v>45</v>
      </c>
      <c r="BR46" s="1">
        <v>47</v>
      </c>
      <c r="BS46" s="1">
        <v>0.92800000000000005</v>
      </c>
      <c r="BT46" s="1">
        <v>0.94599999999999995</v>
      </c>
      <c r="BU46" s="1">
        <v>0.95399999999999996</v>
      </c>
    </row>
    <row r="47" spans="16:73" ht="21" customHeight="1" x14ac:dyDescent="0.25">
      <c r="P47" s="1">
        <v>47</v>
      </c>
      <c r="Q47" s="1" t="s">
        <v>70</v>
      </c>
      <c r="R47" s="1">
        <v>46</v>
      </c>
      <c r="BR47" s="1">
        <v>48</v>
      </c>
      <c r="BS47" s="1">
        <v>0.92900000000000005</v>
      </c>
      <c r="BT47" s="1">
        <v>0.94699999999999995</v>
      </c>
      <c r="BU47" s="1">
        <v>0.95399999999999996</v>
      </c>
    </row>
    <row r="48" spans="16:73" ht="21" customHeight="1" x14ac:dyDescent="0.25">
      <c r="P48" s="1">
        <v>48</v>
      </c>
      <c r="Q48" s="1" t="s">
        <v>71</v>
      </c>
      <c r="R48" s="1">
        <v>47</v>
      </c>
      <c r="BR48" s="1">
        <v>49</v>
      </c>
      <c r="BS48" s="1">
        <v>0.92900000000000005</v>
      </c>
      <c r="BT48" s="1">
        <v>0.94699999999999995</v>
      </c>
      <c r="BU48" s="1">
        <v>0.95499999999999996</v>
      </c>
    </row>
    <row r="49" spans="16:73" ht="21" customHeight="1" x14ac:dyDescent="0.25">
      <c r="P49" s="1">
        <v>49</v>
      </c>
      <c r="Q49" s="1" t="s">
        <v>72</v>
      </c>
      <c r="R49" s="1">
        <v>48</v>
      </c>
      <c r="BR49" s="1">
        <v>50</v>
      </c>
      <c r="BS49" s="1">
        <v>0.93</v>
      </c>
      <c r="BT49" s="1">
        <v>0.94699999999999995</v>
      </c>
      <c r="BU49" s="1">
        <v>0.95499999999999996</v>
      </c>
    </row>
    <row r="50" spans="16:73" ht="21" customHeight="1" x14ac:dyDescent="0.25">
      <c r="P50" s="1">
        <v>50</v>
      </c>
      <c r="Q50" s="1" t="s">
        <v>73</v>
      </c>
      <c r="R50" s="1">
        <v>49</v>
      </c>
    </row>
    <row r="51" spans="16:73" ht="21" customHeight="1" x14ac:dyDescent="0.25">
      <c r="R51" s="1">
        <v>50</v>
      </c>
    </row>
  </sheetData>
  <sortState ref="E2:E52">
    <sortCondition descending="1" ref="E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F0B1-183D-425F-B832-681458851D18}">
  <dimension ref="A1:BW51"/>
  <sheetViews>
    <sheetView topLeftCell="M1" workbookViewId="0">
      <selection activeCell="M3" sqref="M3"/>
    </sheetView>
  </sheetViews>
  <sheetFormatPr defaultRowHeight="21" customHeight="1" x14ac:dyDescent="0.25"/>
  <cols>
    <col min="1" max="1" width="18.42578125" style="1" bestFit="1" customWidth="1"/>
    <col min="2" max="2" width="9.140625" style="1"/>
    <col min="3" max="3" width="14.140625" style="1" bestFit="1" customWidth="1"/>
    <col min="4" max="4" width="15.7109375" style="2" bestFit="1" customWidth="1"/>
    <col min="5" max="5" width="16.5703125" style="2" bestFit="1" customWidth="1"/>
    <col min="6" max="8" width="9.140625" style="2"/>
    <col min="9" max="9" width="10" style="2" bestFit="1" customWidth="1"/>
    <col min="10" max="10" width="19.85546875" style="2" bestFit="1" customWidth="1"/>
    <col min="11" max="11" width="9.140625" style="2"/>
    <col min="12" max="12" width="11.28515625" style="2" bestFit="1" customWidth="1"/>
    <col min="13" max="13" width="11.28515625" style="2" customWidth="1"/>
    <col min="14" max="14" width="15.140625" style="2" bestFit="1" customWidth="1"/>
    <col min="15" max="15" width="199.140625" style="2" bestFit="1" customWidth="1"/>
    <col min="16" max="16" width="9.140625" style="1"/>
    <col min="17" max="17" width="13.42578125" style="1" bestFit="1" customWidth="1"/>
    <col min="18" max="18" width="9.140625" style="1"/>
    <col min="19" max="69" width="9.140625" style="2"/>
    <col min="70" max="70" width="9.140625" style="1"/>
    <col min="71" max="72" width="10.42578125" style="1" bestFit="1" customWidth="1"/>
    <col min="73" max="73" width="9.42578125" style="1" bestFit="1" customWidth="1"/>
    <col min="74" max="16384" width="9.140625" style="2"/>
  </cols>
  <sheetData>
    <row r="1" spans="1:75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>
        <v>2</v>
      </c>
      <c r="T1" s="2">
        <v>3</v>
      </c>
      <c r="U1" s="2">
        <v>4</v>
      </c>
      <c r="V1" s="2">
        <v>5</v>
      </c>
      <c r="W1" s="2">
        <v>6</v>
      </c>
      <c r="X1" s="2">
        <v>7</v>
      </c>
      <c r="Y1" s="2">
        <v>8</v>
      </c>
      <c r="Z1" s="2">
        <v>9</v>
      </c>
      <c r="AA1" s="2">
        <v>10</v>
      </c>
      <c r="AB1" s="2">
        <v>11</v>
      </c>
      <c r="AC1" s="2">
        <v>12</v>
      </c>
      <c r="AD1" s="2">
        <v>13</v>
      </c>
      <c r="AE1" s="2">
        <v>14</v>
      </c>
      <c r="AF1" s="2">
        <v>15</v>
      </c>
      <c r="AG1" s="2">
        <v>16</v>
      </c>
      <c r="AH1" s="2">
        <v>17</v>
      </c>
      <c r="AI1" s="2">
        <v>18</v>
      </c>
      <c r="AJ1" s="2">
        <v>19</v>
      </c>
      <c r="AK1" s="2">
        <v>20</v>
      </c>
      <c r="AL1" s="2">
        <v>21</v>
      </c>
      <c r="AM1" s="2">
        <v>22</v>
      </c>
      <c r="AN1" s="2">
        <v>23</v>
      </c>
      <c r="AO1" s="2">
        <v>24</v>
      </c>
      <c r="AP1" s="2">
        <v>25</v>
      </c>
      <c r="AQ1" s="2">
        <v>26</v>
      </c>
      <c r="AR1" s="2">
        <v>27</v>
      </c>
      <c r="AS1" s="2">
        <v>28</v>
      </c>
      <c r="AT1" s="2">
        <v>29</v>
      </c>
      <c r="AU1" s="2">
        <v>30</v>
      </c>
      <c r="AV1" s="2">
        <v>31</v>
      </c>
      <c r="AW1" s="2">
        <v>32</v>
      </c>
      <c r="AX1" s="2">
        <v>33</v>
      </c>
      <c r="AY1" s="2">
        <v>34</v>
      </c>
      <c r="AZ1" s="2">
        <v>35</v>
      </c>
      <c r="BA1" s="2">
        <v>36</v>
      </c>
      <c r="BB1" s="2">
        <v>37</v>
      </c>
      <c r="BC1" s="2">
        <v>38</v>
      </c>
      <c r="BD1" s="2">
        <v>39</v>
      </c>
      <c r="BE1" s="2">
        <v>40</v>
      </c>
      <c r="BF1" s="2">
        <v>41</v>
      </c>
      <c r="BG1" s="2">
        <v>42</v>
      </c>
      <c r="BH1" s="2">
        <v>43</v>
      </c>
      <c r="BI1" s="2">
        <v>44</v>
      </c>
      <c r="BJ1" s="2">
        <v>45</v>
      </c>
      <c r="BK1" s="2">
        <v>46</v>
      </c>
      <c r="BL1" s="2">
        <v>47</v>
      </c>
      <c r="BM1" s="2">
        <v>48</v>
      </c>
      <c r="BN1" s="2">
        <v>49</v>
      </c>
      <c r="BO1" s="2">
        <v>50</v>
      </c>
      <c r="BR1" s="1" t="s">
        <v>18</v>
      </c>
      <c r="BS1" s="1" t="s">
        <v>19</v>
      </c>
      <c r="BT1" s="1" t="s">
        <v>20</v>
      </c>
      <c r="BU1" s="1" t="s">
        <v>21</v>
      </c>
    </row>
    <row r="2" spans="1:75" ht="21" customHeight="1" x14ac:dyDescent="0.25">
      <c r="A2" s="11">
        <v>2950</v>
      </c>
      <c r="B2" s="1">
        <f>IF(A2="","",ROW()-1)</f>
        <v>1</v>
      </c>
      <c r="C2" s="1">
        <f>IFERROR((A2-AVERAGE(A:A))^2,"")</f>
        <v>18032.653061224471</v>
      </c>
      <c r="D2" s="11">
        <v>2950</v>
      </c>
      <c r="E2" s="11">
        <v>3200</v>
      </c>
      <c r="F2" s="1">
        <f>IF(B2="","",ROW()-1)</f>
        <v>1</v>
      </c>
      <c r="G2" s="1">
        <f>IFERROR(COUNT(A:A)-F2+1,"")</f>
        <v>7</v>
      </c>
      <c r="H2" s="1">
        <f ca="1">IFERROR(INDIRECT((INDIRECT("Q"&amp;(COUNT(A:A))))&amp;ROW()),"")</f>
        <v>0.62329999999999997</v>
      </c>
      <c r="I2" s="1">
        <f>IF(E2="","",-D2+E2)</f>
        <v>250</v>
      </c>
      <c r="J2" s="1">
        <f ca="1">IFERROR(H2*I2,"")</f>
        <v>155.82499999999999</v>
      </c>
      <c r="K2" s="1">
        <f ca="1">IF(J3="","",SUM(J:J))</f>
        <v>241.892</v>
      </c>
      <c r="L2" s="2">
        <f ca="1">IFERROR((K2^2)/SUM(C:C),"")</f>
        <v>0.85081466067303702</v>
      </c>
      <c r="M2" s="1">
        <v>0.05</v>
      </c>
      <c r="N2" s="1">
        <f ca="1">IF(M2="","",IFERROR(IF(M2=0.01,BW3,IF(M2=0.05,BW4,IF(M2=0.1,BW5:BW5,"Nível de significância não encontrado"))),""))</f>
        <v>0.80300000000000005</v>
      </c>
      <c r="O2" s="2" t="str">
        <f ca="1">IF(L2="","",IF(L2&gt;N2,"Não temos evidências para rejeitar a hipótese nula, e os dados são, pelo menos aproximadamente, provenientes de uma distribuição Normal segundo o teste de Shapiro-Wilk, com alfa nível de significância","Temos evidências para rejeitar a hipótese nula, e os dados não são provenientes de uma distribuição Normal, segundo o teste de Shapiro-Wilk, com alfa nível de significância"))</f>
        <v>Não temos evidências para rejeitar a hipótese nula, e os dados são, pelo menos aproximadamente, provenientes de uma distribuição Normal segundo o teste de Shapiro-Wilk, com alfa nível de significância</v>
      </c>
      <c r="P2" s="1">
        <v>2</v>
      </c>
      <c r="Q2" s="1" t="s">
        <v>22</v>
      </c>
      <c r="R2" s="1">
        <v>1</v>
      </c>
      <c r="S2" s="2">
        <v>0.70709999999999995</v>
      </c>
      <c r="T2" s="2">
        <v>0.70709999999999995</v>
      </c>
      <c r="U2" s="2">
        <v>0.68720000000000003</v>
      </c>
      <c r="V2" s="2">
        <v>0.66459999999999997</v>
      </c>
      <c r="W2" s="2">
        <v>0.6431</v>
      </c>
      <c r="X2" s="2">
        <v>0.62329999999999997</v>
      </c>
      <c r="Y2" s="2">
        <v>0.60619999999999996</v>
      </c>
      <c r="Z2" s="2">
        <v>0.58879999999999999</v>
      </c>
      <c r="AA2" s="2">
        <v>0.57389999999999997</v>
      </c>
      <c r="AB2" s="2">
        <v>0.56010000000000004</v>
      </c>
      <c r="AC2" s="2">
        <v>0.54749999999999999</v>
      </c>
      <c r="AD2" s="2">
        <v>0.53590000000000004</v>
      </c>
      <c r="AE2" s="2">
        <v>0.52510000000000001</v>
      </c>
      <c r="AF2" s="2">
        <v>0.51500000000000001</v>
      </c>
      <c r="AG2" s="2">
        <v>0.50560000000000005</v>
      </c>
      <c r="AH2" s="2">
        <v>0.49680000000000002</v>
      </c>
      <c r="AI2" s="2">
        <v>0.48859999999999998</v>
      </c>
      <c r="AJ2" s="2">
        <v>0.48080000000000001</v>
      </c>
      <c r="AK2" s="2">
        <v>0.47339999999999999</v>
      </c>
      <c r="AL2" s="2">
        <v>0.46429999999999999</v>
      </c>
      <c r="AM2" s="2">
        <v>0.45900000000000002</v>
      </c>
      <c r="AN2" s="2">
        <v>0.45419999999999999</v>
      </c>
      <c r="AO2" s="2">
        <v>0.44929999999999998</v>
      </c>
      <c r="AP2" s="2">
        <v>0.44500000000000001</v>
      </c>
      <c r="AQ2" s="2">
        <v>0.44069999999999998</v>
      </c>
      <c r="AR2" s="2">
        <v>0.43659999999999999</v>
      </c>
      <c r="AS2" s="2">
        <v>0.43280000000000002</v>
      </c>
      <c r="AT2" s="2">
        <v>0.42909999999999998</v>
      </c>
      <c r="AU2" s="2">
        <v>0.4254</v>
      </c>
      <c r="AV2" s="2">
        <v>0.42199999999999999</v>
      </c>
      <c r="AW2" s="2">
        <v>0.41880000000000001</v>
      </c>
      <c r="AX2" s="2">
        <v>0.41560000000000002</v>
      </c>
      <c r="AY2" s="2">
        <v>0.41270000000000001</v>
      </c>
      <c r="AZ2" s="2">
        <v>0.40960000000000002</v>
      </c>
      <c r="BA2" s="2">
        <v>0.40679999999999999</v>
      </c>
      <c r="BB2" s="2">
        <v>0.40400000000000003</v>
      </c>
      <c r="BC2" s="2">
        <v>0.40150000000000002</v>
      </c>
      <c r="BD2" s="2">
        <v>0.39889999999999998</v>
      </c>
      <c r="BE2" s="2">
        <v>0.39639999999999997</v>
      </c>
      <c r="BF2" s="2">
        <v>0.39400000000000002</v>
      </c>
      <c r="BG2" s="2">
        <v>0.39169999999999999</v>
      </c>
      <c r="BH2" s="2">
        <v>0.38940000000000002</v>
      </c>
      <c r="BI2" s="2">
        <v>0.38719999999999999</v>
      </c>
      <c r="BJ2" s="2">
        <v>0.38500000000000001</v>
      </c>
      <c r="BK2" s="2">
        <v>0.38300000000000001</v>
      </c>
      <c r="BL2" s="2">
        <v>0.38080000000000003</v>
      </c>
      <c r="BM2" s="2">
        <v>0.37890000000000001</v>
      </c>
      <c r="BN2" s="2">
        <v>0.377</v>
      </c>
      <c r="BO2" s="2">
        <v>0.37509999999999999</v>
      </c>
      <c r="BR2" s="1">
        <v>3</v>
      </c>
      <c r="BS2" s="1">
        <v>0.753</v>
      </c>
      <c r="BT2" s="1">
        <v>0.76700000000000002</v>
      </c>
      <c r="BU2" s="1">
        <v>0.78900000000000003</v>
      </c>
    </row>
    <row r="3" spans="1:75" ht="21" customHeight="1" x14ac:dyDescent="0.25">
      <c r="A3" s="11">
        <v>2980</v>
      </c>
      <c r="B3" s="1">
        <f t="shared" ref="B3:B8" si="0">IF(A3="","",ROW()-1)</f>
        <v>2</v>
      </c>
      <c r="C3" s="1">
        <f t="shared" ref="C3:C8" si="1">IFERROR((A3-AVERAGE(A:A))^2,"")</f>
        <v>10875.510204081618</v>
      </c>
      <c r="D3" s="11">
        <v>2980</v>
      </c>
      <c r="E3" s="11">
        <v>3190</v>
      </c>
      <c r="F3" s="1">
        <f t="shared" ref="F3:F4" si="2">IF(B3="","",ROW()-1)</f>
        <v>2</v>
      </c>
      <c r="G3" s="1">
        <f t="shared" ref="G3:G4" si="3">IFERROR(COUNT(A:A)-F3+1,"")</f>
        <v>6</v>
      </c>
      <c r="H3" s="1">
        <f t="shared" ref="H3:H4" ca="1" si="4">IFERROR(INDIRECT((INDIRECT("Q"&amp;(COUNT(A:A))))&amp;ROW()),"")</f>
        <v>0.30309999999999998</v>
      </c>
      <c r="I3" s="1">
        <f t="shared" ref="I3:I4" si="5">IF(E3="","",-D3+E3)</f>
        <v>210</v>
      </c>
      <c r="J3" s="1">
        <f t="shared" ref="J3:J4" ca="1" si="6">IFERROR(H3*I3,"")</f>
        <v>63.650999999999996</v>
      </c>
      <c r="K3" s="1"/>
      <c r="P3" s="1">
        <v>3</v>
      </c>
      <c r="Q3" s="1" t="s">
        <v>23</v>
      </c>
      <c r="R3" s="1">
        <v>2</v>
      </c>
      <c r="U3" s="2">
        <v>0.16769999999999999</v>
      </c>
      <c r="V3" s="2">
        <v>0.24129999999999999</v>
      </c>
      <c r="W3" s="2">
        <v>0.28060000000000002</v>
      </c>
      <c r="X3" s="2">
        <v>0.30309999999999998</v>
      </c>
      <c r="Y3" s="2">
        <v>0.31640000000000001</v>
      </c>
      <c r="Z3" s="2">
        <v>0.32440000000000002</v>
      </c>
      <c r="AA3" s="2">
        <v>0.3291</v>
      </c>
      <c r="AB3" s="2">
        <v>0.33150000000000002</v>
      </c>
      <c r="AC3" s="2">
        <v>0.33250000000000002</v>
      </c>
      <c r="AD3" s="2">
        <v>0.33250000000000002</v>
      </c>
      <c r="AE3" s="2">
        <v>0.33179999999999998</v>
      </c>
      <c r="AF3" s="2">
        <v>0.3306</v>
      </c>
      <c r="AG3" s="2">
        <v>0.32900000000000001</v>
      </c>
      <c r="AH3" s="2">
        <v>0.32729999999999998</v>
      </c>
      <c r="AI3" s="2">
        <v>0.32529999999999998</v>
      </c>
      <c r="AJ3" s="2">
        <v>0.32319999999999999</v>
      </c>
      <c r="AK3" s="2">
        <v>0.3211</v>
      </c>
      <c r="AL3" s="2">
        <v>0.31850000000000001</v>
      </c>
      <c r="AM3" s="2">
        <v>0.31559999999999999</v>
      </c>
      <c r="AN3" s="2">
        <v>0.31259999999999999</v>
      </c>
      <c r="AO3" s="2">
        <v>0.30980000000000002</v>
      </c>
      <c r="AP3" s="2">
        <v>0.30690000000000001</v>
      </c>
      <c r="AQ3" s="2">
        <v>0.30430000000000001</v>
      </c>
      <c r="AR3" s="2">
        <v>0.30180000000000001</v>
      </c>
      <c r="AS3" s="2">
        <v>0.29920000000000002</v>
      </c>
      <c r="AT3" s="2">
        <v>0.29680000000000001</v>
      </c>
      <c r="AU3" s="2">
        <v>0.2944</v>
      </c>
      <c r="AV3" s="2">
        <v>0.29210000000000003</v>
      </c>
      <c r="AW3" s="2">
        <v>0.2898</v>
      </c>
      <c r="AX3" s="2">
        <v>0.28760000000000002</v>
      </c>
      <c r="AY3" s="2">
        <v>0.28539999999999999</v>
      </c>
      <c r="AZ3" s="2">
        <v>0.28339999999999999</v>
      </c>
      <c r="BA3" s="2">
        <v>0.28129999999999999</v>
      </c>
      <c r="BB3" s="2">
        <v>0.27939999999999998</v>
      </c>
      <c r="BC3" s="2">
        <v>0.27739999999999998</v>
      </c>
      <c r="BD3" s="2">
        <v>0.27550000000000002</v>
      </c>
      <c r="BE3" s="2">
        <v>0.2737</v>
      </c>
      <c r="BF3" s="2">
        <v>0.27189999999999998</v>
      </c>
      <c r="BG3" s="2">
        <v>0.27010000000000001</v>
      </c>
      <c r="BH3" s="2">
        <v>0.26840000000000003</v>
      </c>
      <c r="BI3" s="2">
        <v>0.26669999999999999</v>
      </c>
      <c r="BJ3" s="2">
        <v>0.2651</v>
      </c>
      <c r="BK3" s="2">
        <v>0.26350000000000001</v>
      </c>
      <c r="BL3" s="2">
        <v>0.26200000000000001</v>
      </c>
      <c r="BM3" s="2">
        <v>0.26040000000000002</v>
      </c>
      <c r="BN3" s="2">
        <v>0.25890000000000002</v>
      </c>
      <c r="BO3" s="2">
        <v>0.25740000000000002</v>
      </c>
      <c r="BR3" s="1">
        <v>4</v>
      </c>
      <c r="BS3" s="1">
        <v>0.68700000000000006</v>
      </c>
      <c r="BT3" s="1">
        <v>0.748</v>
      </c>
      <c r="BU3" s="1">
        <v>0.79200000000000004</v>
      </c>
      <c r="BV3" s="2" t="s">
        <v>24</v>
      </c>
      <c r="BW3" s="2">
        <f ca="1">INDIRECT("BS"&amp;COUNT(A:A)-1)</f>
        <v>0.73</v>
      </c>
    </row>
    <row r="4" spans="1:75" ht="21" customHeight="1" thickBot="1" x14ac:dyDescent="0.3">
      <c r="A4" s="11">
        <v>2990</v>
      </c>
      <c r="B4" s="1">
        <f t="shared" si="0"/>
        <v>3</v>
      </c>
      <c r="C4" s="1">
        <f t="shared" si="1"/>
        <v>8889.7959183673338</v>
      </c>
      <c r="D4" s="11">
        <v>2990</v>
      </c>
      <c r="E4" s="16">
        <v>3150</v>
      </c>
      <c r="F4" s="1">
        <f t="shared" si="2"/>
        <v>3</v>
      </c>
      <c r="G4" s="1">
        <f t="shared" si="3"/>
        <v>5</v>
      </c>
      <c r="H4" s="1">
        <f t="shared" ca="1" si="4"/>
        <v>0.1401</v>
      </c>
      <c r="I4" s="1">
        <f t="shared" si="5"/>
        <v>160</v>
      </c>
      <c r="J4" s="1">
        <f t="shared" ca="1" si="6"/>
        <v>22.416</v>
      </c>
      <c r="K4" s="1"/>
      <c r="P4" s="1">
        <v>4</v>
      </c>
      <c r="Q4" s="1" t="s">
        <v>25</v>
      </c>
      <c r="R4" s="1">
        <v>3</v>
      </c>
      <c r="W4" s="2">
        <v>8.7499999999999994E-2</v>
      </c>
      <c r="X4" s="2">
        <v>0.1401</v>
      </c>
      <c r="Y4" s="2">
        <v>0.17430000000000001</v>
      </c>
      <c r="Z4" s="2">
        <v>0.1976</v>
      </c>
      <c r="AA4" s="2">
        <v>0.21410000000000001</v>
      </c>
      <c r="AB4" s="2">
        <v>0.22600000000000001</v>
      </c>
      <c r="AC4" s="2">
        <v>0.23469999999999999</v>
      </c>
      <c r="AD4" s="2">
        <v>0.2412</v>
      </c>
      <c r="AE4" s="2">
        <v>0.246</v>
      </c>
      <c r="AF4" s="2">
        <v>0.2495</v>
      </c>
      <c r="AG4" s="2">
        <v>0.25209999999999999</v>
      </c>
      <c r="AH4" s="2">
        <v>0.254</v>
      </c>
      <c r="AI4" s="2">
        <v>0.25530000000000003</v>
      </c>
      <c r="AJ4" s="2">
        <v>0.25609999999999999</v>
      </c>
      <c r="AK4" s="2">
        <v>0.25650000000000001</v>
      </c>
      <c r="AL4" s="2">
        <v>0.25779999999999997</v>
      </c>
      <c r="AM4" s="2">
        <v>0.2571</v>
      </c>
      <c r="AN4" s="2">
        <v>0.25629999999999997</v>
      </c>
      <c r="AO4" s="2">
        <v>0.25540000000000002</v>
      </c>
      <c r="AP4" s="2">
        <v>0.25430000000000003</v>
      </c>
      <c r="AQ4" s="2">
        <v>0.25330000000000003</v>
      </c>
      <c r="AR4" s="2">
        <v>0.25219999999999998</v>
      </c>
      <c r="AS4" s="2">
        <v>0.251</v>
      </c>
      <c r="AT4" s="2">
        <v>0.24990000000000001</v>
      </c>
      <c r="AU4" s="2">
        <v>0.2487</v>
      </c>
      <c r="AV4" s="2">
        <v>0.2475</v>
      </c>
      <c r="AW4" s="2">
        <v>0.24629999999999999</v>
      </c>
      <c r="AX4" s="2">
        <v>0.24510000000000001</v>
      </c>
      <c r="AY4" s="2">
        <v>0.24390000000000001</v>
      </c>
      <c r="AZ4" s="2">
        <v>0.2427</v>
      </c>
      <c r="BA4" s="2">
        <v>0.24149999999999999</v>
      </c>
      <c r="BB4" s="2">
        <v>0.24030000000000001</v>
      </c>
      <c r="BC4" s="2">
        <v>0.23910000000000001</v>
      </c>
      <c r="BD4" s="2">
        <v>0.23799999999999999</v>
      </c>
      <c r="BE4" s="2">
        <v>0.23680000000000001</v>
      </c>
      <c r="BF4" s="2">
        <v>0.23569999999999999</v>
      </c>
      <c r="BG4" s="2">
        <v>0.23449999999999999</v>
      </c>
      <c r="BH4" s="2">
        <v>0.2334</v>
      </c>
      <c r="BI4" s="2">
        <v>0.23230000000000001</v>
      </c>
      <c r="BJ4" s="2">
        <v>0.23130000000000001</v>
      </c>
      <c r="BK4" s="2">
        <v>0.23019999999999999</v>
      </c>
      <c r="BL4" s="2">
        <v>0.2291</v>
      </c>
      <c r="BM4" s="2">
        <v>0.2281</v>
      </c>
      <c r="BN4" s="2">
        <v>0.2271</v>
      </c>
      <c r="BO4" s="2">
        <v>0.22600000000000001</v>
      </c>
      <c r="BR4" s="1">
        <v>5</v>
      </c>
      <c r="BS4" s="1">
        <v>0.68600000000000005</v>
      </c>
      <c r="BT4" s="1">
        <v>0.76200000000000001</v>
      </c>
      <c r="BU4" s="1">
        <v>0.80600000000000005</v>
      </c>
      <c r="BV4" s="2" t="s">
        <v>26</v>
      </c>
      <c r="BW4" s="2">
        <f ca="1">INDIRECT("BT"&amp;COUNT(A:A)-1)</f>
        <v>0.80300000000000005</v>
      </c>
    </row>
    <row r="5" spans="1:75" ht="21" customHeight="1" x14ac:dyDescent="0.25">
      <c r="A5" s="11">
        <v>3130</v>
      </c>
      <c r="B5" s="1">
        <f t="shared" si="0"/>
        <v>4</v>
      </c>
      <c r="C5" s="1">
        <f t="shared" si="1"/>
        <v>2089.7959183673529</v>
      </c>
      <c r="F5" s="1"/>
      <c r="G5" s="1"/>
      <c r="H5" s="1"/>
      <c r="I5" s="1"/>
      <c r="J5" s="1"/>
      <c r="K5" s="1"/>
      <c r="P5" s="1">
        <v>5</v>
      </c>
      <c r="Q5" s="1" t="s">
        <v>27</v>
      </c>
      <c r="R5" s="1">
        <v>4</v>
      </c>
      <c r="Y5" s="2">
        <v>5.6099999999999997E-2</v>
      </c>
      <c r="Z5" s="2">
        <v>9.4700000000000006E-2</v>
      </c>
      <c r="AA5" s="2">
        <v>0.12239999999999999</v>
      </c>
      <c r="AB5" s="2">
        <v>0.1429</v>
      </c>
      <c r="AC5" s="2">
        <v>0.15859999999999999</v>
      </c>
      <c r="AD5" s="2">
        <v>0.17069999999999999</v>
      </c>
      <c r="AE5" s="2">
        <v>0.1802</v>
      </c>
      <c r="AF5" s="2">
        <v>0.18779999999999999</v>
      </c>
      <c r="AG5" s="2">
        <v>0.19389999999999999</v>
      </c>
      <c r="AH5" s="2">
        <v>0.1988</v>
      </c>
      <c r="AI5" s="2">
        <v>0.20269999999999999</v>
      </c>
      <c r="AJ5" s="2">
        <v>0.2059</v>
      </c>
      <c r="AK5" s="2">
        <v>0.20849999999999999</v>
      </c>
      <c r="AL5" s="2">
        <v>0.21190000000000001</v>
      </c>
      <c r="AM5" s="2">
        <v>0.21310000000000001</v>
      </c>
      <c r="AN5" s="2">
        <v>0.21390000000000001</v>
      </c>
      <c r="AO5" s="2">
        <v>0.2145</v>
      </c>
      <c r="AP5" s="2">
        <v>0.21479999999999999</v>
      </c>
      <c r="AQ5" s="2">
        <v>0.21510000000000001</v>
      </c>
      <c r="AR5" s="2">
        <v>0.2152</v>
      </c>
      <c r="AS5" s="2">
        <v>0.21510000000000001</v>
      </c>
      <c r="AT5" s="2">
        <v>0.215</v>
      </c>
      <c r="AU5" s="2">
        <v>0.21479999999999999</v>
      </c>
      <c r="AV5" s="2">
        <v>0.2145</v>
      </c>
      <c r="AW5" s="2">
        <v>0.21410000000000001</v>
      </c>
      <c r="AX5" s="2">
        <v>0.2137</v>
      </c>
      <c r="AY5" s="2">
        <v>0.2132</v>
      </c>
      <c r="AZ5" s="2">
        <v>0.1227</v>
      </c>
      <c r="BA5" s="2">
        <v>0.21210000000000001</v>
      </c>
      <c r="BB5" s="2">
        <v>0.21160000000000001</v>
      </c>
      <c r="BC5" s="2">
        <v>0.21099999999999999</v>
      </c>
      <c r="BD5" s="2">
        <v>0.2104</v>
      </c>
      <c r="BE5" s="2">
        <v>0.20979999999999999</v>
      </c>
      <c r="BF5" s="2">
        <v>0.20910000000000001</v>
      </c>
      <c r="BG5" s="2">
        <v>0.20849999999999999</v>
      </c>
      <c r="BH5" s="2">
        <v>0.20780000000000001</v>
      </c>
      <c r="BI5" s="2">
        <v>0.2072</v>
      </c>
      <c r="BJ5" s="2">
        <v>0.20649999999999999</v>
      </c>
      <c r="BK5" s="2">
        <v>0.20580000000000001</v>
      </c>
      <c r="BL5" s="2">
        <v>0.20519999999999999</v>
      </c>
      <c r="BM5" s="2">
        <v>0.20449999999999999</v>
      </c>
      <c r="BN5" s="2">
        <v>0.20380000000000001</v>
      </c>
      <c r="BO5" s="2">
        <v>0.20319999999999999</v>
      </c>
      <c r="BR5" s="1">
        <v>6</v>
      </c>
      <c r="BS5" s="1">
        <v>0.71299999999999997</v>
      </c>
      <c r="BT5" s="1">
        <v>0.78800000000000003</v>
      </c>
      <c r="BU5" s="1">
        <v>0.82599999999999996</v>
      </c>
      <c r="BV5" s="2" t="s">
        <v>28</v>
      </c>
      <c r="BW5" s="2">
        <f ca="1">INDIRECT("BU"&amp;COUNT(A:A)-1)</f>
        <v>0.83799999999999997</v>
      </c>
    </row>
    <row r="6" spans="1:75" ht="21" customHeight="1" x14ac:dyDescent="0.25">
      <c r="A6" s="11">
        <v>3150</v>
      </c>
      <c r="B6" s="1">
        <f t="shared" si="0"/>
        <v>5</v>
      </c>
      <c r="C6" s="1">
        <f t="shared" si="1"/>
        <v>4318.3673469387841</v>
      </c>
      <c r="F6" s="1"/>
      <c r="G6" s="1"/>
      <c r="H6" s="1"/>
      <c r="I6" s="1"/>
      <c r="J6" s="1"/>
      <c r="K6" s="1"/>
      <c r="P6" s="1">
        <v>6</v>
      </c>
      <c r="Q6" s="1" t="s">
        <v>29</v>
      </c>
      <c r="R6" s="1">
        <v>5</v>
      </c>
      <c r="AA6" s="2">
        <v>3.9899999999999998E-2</v>
      </c>
      <c r="AB6" s="2">
        <v>6.9500000000000006E-2</v>
      </c>
      <c r="AC6" s="2">
        <v>9.2200000000000004E-2</v>
      </c>
      <c r="AD6" s="2">
        <v>0.1099</v>
      </c>
      <c r="AE6" s="2">
        <v>0.124</v>
      </c>
      <c r="AF6" s="2">
        <v>0.1353</v>
      </c>
      <c r="AG6" s="2">
        <v>0.1447</v>
      </c>
      <c r="AH6" s="2">
        <v>0.15240000000000001</v>
      </c>
      <c r="AI6" s="2">
        <v>0.15870000000000001</v>
      </c>
      <c r="AJ6" s="2">
        <v>0.1641</v>
      </c>
      <c r="AK6" s="2">
        <v>0.1686</v>
      </c>
      <c r="AL6" s="2">
        <v>0.1736</v>
      </c>
      <c r="AM6" s="2">
        <v>0.1764</v>
      </c>
      <c r="AN6" s="2">
        <v>0.1787</v>
      </c>
      <c r="AO6" s="2">
        <v>0.1807</v>
      </c>
      <c r="AP6" s="2">
        <v>0.1822</v>
      </c>
      <c r="AQ6" s="2">
        <v>0.18360000000000001</v>
      </c>
      <c r="AR6" s="2">
        <v>0.18479999999999999</v>
      </c>
      <c r="AS6" s="2">
        <v>0.1857</v>
      </c>
      <c r="AT6" s="2">
        <v>0.18640000000000001</v>
      </c>
      <c r="AU6" s="2">
        <v>0.187</v>
      </c>
      <c r="AV6" s="2">
        <v>0.18740000000000001</v>
      </c>
      <c r="AW6" s="2">
        <v>0.18779999999999999</v>
      </c>
      <c r="AX6" s="2">
        <v>0.188</v>
      </c>
      <c r="AY6" s="2">
        <v>0.18820000000000001</v>
      </c>
      <c r="AZ6" s="2">
        <v>0.1883</v>
      </c>
      <c r="BA6" s="2">
        <v>0.1883</v>
      </c>
      <c r="BB6" s="2">
        <v>0.1883</v>
      </c>
      <c r="BC6" s="2">
        <v>0.18809999999999999</v>
      </c>
      <c r="BD6" s="2">
        <v>0.188</v>
      </c>
      <c r="BE6" s="2">
        <v>0.18779999999999999</v>
      </c>
      <c r="BF6" s="2">
        <v>0.18759999999999999</v>
      </c>
      <c r="BG6" s="2">
        <v>0.18740000000000001</v>
      </c>
      <c r="BH6" s="2">
        <v>0.18709999999999999</v>
      </c>
      <c r="BI6" s="2">
        <v>0.18679999999999999</v>
      </c>
      <c r="BJ6" s="2">
        <v>0.1865</v>
      </c>
      <c r="BK6" s="2">
        <v>0.1862</v>
      </c>
      <c r="BL6" s="2">
        <v>0.18590000000000001</v>
      </c>
      <c r="BM6" s="2">
        <v>0.1855</v>
      </c>
      <c r="BN6" s="2">
        <v>0.18509999999999999</v>
      </c>
      <c r="BO6" s="2">
        <v>0.1847</v>
      </c>
      <c r="BR6" s="1">
        <v>7</v>
      </c>
      <c r="BS6" s="1">
        <v>0.73</v>
      </c>
      <c r="BT6" s="1">
        <v>0.80300000000000005</v>
      </c>
      <c r="BU6" s="1">
        <v>0.83799999999999997</v>
      </c>
    </row>
    <row r="7" spans="1:75" ht="21" customHeight="1" x14ac:dyDescent="0.25">
      <c r="A7" s="11">
        <v>3190</v>
      </c>
      <c r="B7" s="1">
        <f t="shared" si="0"/>
        <v>6</v>
      </c>
      <c r="C7" s="1">
        <f t="shared" si="1"/>
        <v>11175.510204081645</v>
      </c>
      <c r="F7" s="1"/>
      <c r="G7" s="1"/>
      <c r="H7" s="1"/>
      <c r="I7" s="1"/>
      <c r="J7" s="1"/>
      <c r="P7" s="1">
        <v>7</v>
      </c>
      <c r="Q7" s="1" t="s">
        <v>30</v>
      </c>
      <c r="R7" s="1">
        <v>6</v>
      </c>
      <c r="AC7" s="2">
        <v>3.0300000000000001E-2</v>
      </c>
      <c r="AD7" s="2">
        <v>5.3900000000000003E-2</v>
      </c>
      <c r="AE7" s="2">
        <v>7.2700000000000001E-2</v>
      </c>
      <c r="AF7" s="2">
        <v>8.7999999999999995E-2</v>
      </c>
      <c r="AG7" s="2">
        <v>0.10050000000000001</v>
      </c>
      <c r="AH7" s="2">
        <v>0.1109</v>
      </c>
      <c r="AI7" s="2">
        <v>0.1197</v>
      </c>
      <c r="AJ7" s="2">
        <v>0.12709999999999999</v>
      </c>
      <c r="AK7" s="2">
        <v>0.13339999999999999</v>
      </c>
      <c r="AL7" s="2">
        <v>0.1399</v>
      </c>
      <c r="AM7" s="2">
        <v>0.14430000000000001</v>
      </c>
      <c r="AN7" s="2">
        <v>0.14799999999999999</v>
      </c>
      <c r="AO7" s="2">
        <v>0.1512</v>
      </c>
      <c r="AP7" s="2">
        <v>0.15390000000000001</v>
      </c>
      <c r="AQ7" s="2">
        <v>0.15629999999999999</v>
      </c>
      <c r="AR7" s="2">
        <v>0.15840000000000001</v>
      </c>
      <c r="AS7" s="2">
        <v>0.16009999999999999</v>
      </c>
      <c r="AT7" s="2">
        <v>0.16159999999999999</v>
      </c>
      <c r="AU7" s="2">
        <v>0.16300000000000001</v>
      </c>
      <c r="AV7" s="2">
        <v>0.1641</v>
      </c>
      <c r="AW7" s="2">
        <v>0.1651</v>
      </c>
      <c r="AX7" s="2">
        <v>0.16600000000000001</v>
      </c>
      <c r="AY7" s="2">
        <v>0.16669999999999999</v>
      </c>
      <c r="AZ7" s="2">
        <v>0.1673</v>
      </c>
      <c r="BA7" s="2">
        <v>0.1678</v>
      </c>
      <c r="BB7" s="2">
        <v>0.16830000000000001</v>
      </c>
      <c r="BC7" s="2">
        <v>0.1686</v>
      </c>
      <c r="BD7" s="2">
        <v>0.16889999999999999</v>
      </c>
      <c r="BE7" s="2">
        <v>0.1691</v>
      </c>
      <c r="BF7" s="2">
        <v>0.16930000000000001</v>
      </c>
      <c r="BG7" s="2">
        <v>0.1694</v>
      </c>
      <c r="BH7" s="2">
        <v>0.16950000000000001</v>
      </c>
      <c r="BI7" s="2">
        <v>0.16950000000000001</v>
      </c>
      <c r="BJ7" s="2">
        <v>0.16950000000000001</v>
      </c>
      <c r="BK7" s="2">
        <v>0.16950000000000001</v>
      </c>
      <c r="BL7" s="2">
        <v>0.16950000000000001</v>
      </c>
      <c r="BM7" s="2">
        <v>0.16930000000000001</v>
      </c>
      <c r="BN7" s="2">
        <v>0.16919999999999999</v>
      </c>
      <c r="BO7" s="2">
        <v>0.1691</v>
      </c>
      <c r="BR7" s="1">
        <v>8</v>
      </c>
      <c r="BS7" s="1">
        <v>0.749</v>
      </c>
      <c r="BT7" s="1">
        <v>0.81799999999999995</v>
      </c>
      <c r="BU7" s="1">
        <v>0.85099999999999998</v>
      </c>
    </row>
    <row r="8" spans="1:75" ht="21" customHeight="1" thickBot="1" x14ac:dyDescent="0.3">
      <c r="A8" s="16">
        <v>3200</v>
      </c>
      <c r="B8" s="1">
        <f t="shared" si="0"/>
        <v>7</v>
      </c>
      <c r="C8" s="1">
        <f t="shared" si="1"/>
        <v>13389.795918367361</v>
      </c>
      <c r="D8" s="18"/>
      <c r="P8" s="1">
        <v>8</v>
      </c>
      <c r="Q8" s="1" t="s">
        <v>31</v>
      </c>
      <c r="R8" s="1">
        <v>7</v>
      </c>
      <c r="AE8" s="2">
        <v>2.4E-2</v>
      </c>
      <c r="AF8" s="2">
        <v>4.3299999999999998E-2</v>
      </c>
      <c r="AG8" s="2">
        <v>5.9299999999999999E-2</v>
      </c>
      <c r="AH8" s="2">
        <v>7.2499999999999995E-2</v>
      </c>
      <c r="AI8" s="2">
        <v>8.3699999999999997E-2</v>
      </c>
      <c r="AJ8" s="2">
        <v>9.3200000000000005E-2</v>
      </c>
      <c r="AK8" s="2">
        <v>0.1013</v>
      </c>
      <c r="AL8" s="2">
        <v>0.10920000000000001</v>
      </c>
      <c r="AM8" s="2">
        <v>0.115</v>
      </c>
      <c r="AN8" s="2">
        <v>0.1201</v>
      </c>
      <c r="AO8" s="2">
        <v>0.1245</v>
      </c>
      <c r="AP8" s="2">
        <v>0.1283</v>
      </c>
      <c r="AQ8" s="2">
        <v>0.13159999999999999</v>
      </c>
      <c r="AR8" s="2">
        <v>0.1346</v>
      </c>
      <c r="AS8" s="2">
        <v>0.13719999999999999</v>
      </c>
      <c r="AT8" s="2">
        <v>0.13950000000000001</v>
      </c>
      <c r="AU8" s="2">
        <v>0.14149999999999999</v>
      </c>
      <c r="AV8" s="2">
        <v>0.14330000000000001</v>
      </c>
      <c r="AW8" s="2">
        <v>0.1449</v>
      </c>
      <c r="AX8" s="2">
        <v>0.14630000000000001</v>
      </c>
      <c r="AY8" s="2">
        <v>0.14749999999999999</v>
      </c>
      <c r="AZ8" s="2">
        <v>0.1487</v>
      </c>
      <c r="BA8" s="2">
        <v>0.14960000000000001</v>
      </c>
      <c r="BB8" s="2">
        <v>0.15049999999999999</v>
      </c>
      <c r="BC8" s="2">
        <v>0.15129999999999999</v>
      </c>
      <c r="BD8" s="2">
        <v>0.152</v>
      </c>
      <c r="BE8" s="2">
        <v>0.15260000000000001</v>
      </c>
      <c r="BF8" s="2">
        <v>0.15310000000000001</v>
      </c>
      <c r="BG8" s="2">
        <v>0.1535</v>
      </c>
      <c r="BH8" s="2">
        <v>0.15390000000000001</v>
      </c>
      <c r="BI8" s="2">
        <v>0.1542</v>
      </c>
      <c r="BJ8" s="2">
        <v>0.1545</v>
      </c>
      <c r="BK8" s="2">
        <v>0.15479999999999999</v>
      </c>
      <c r="BL8" s="2">
        <v>0.155</v>
      </c>
      <c r="BM8" s="2">
        <v>0.15509999999999999</v>
      </c>
      <c r="BN8" s="2">
        <v>0.15529999999999999</v>
      </c>
      <c r="BO8" s="2">
        <v>0.15540000000000001</v>
      </c>
      <c r="BR8" s="1">
        <v>9</v>
      </c>
      <c r="BS8" s="1">
        <v>0.76400000000000001</v>
      </c>
      <c r="BT8" s="1">
        <v>0.82899999999999996</v>
      </c>
      <c r="BU8" s="1">
        <v>0.85899999999999999</v>
      </c>
    </row>
    <row r="9" spans="1:75" ht="21" customHeight="1" x14ac:dyDescent="0.25">
      <c r="A9" s="2"/>
      <c r="P9" s="1">
        <v>9</v>
      </c>
      <c r="Q9" s="1" t="s">
        <v>32</v>
      </c>
      <c r="R9" s="1">
        <v>8</v>
      </c>
      <c r="AG9" s="2">
        <v>1.9599999999999999E-2</v>
      </c>
      <c r="AH9" s="2">
        <v>3.5900000000000001E-2</v>
      </c>
      <c r="AI9" s="2">
        <v>4.9599999999999998E-2</v>
      </c>
      <c r="AJ9" s="2">
        <v>6.1199999999999997E-2</v>
      </c>
      <c r="AK9" s="2">
        <v>7.1099999999999997E-2</v>
      </c>
      <c r="AL9" s="2">
        <v>8.0399999999999999E-2</v>
      </c>
      <c r="AM9" s="2">
        <v>8.7800000000000003E-2</v>
      </c>
      <c r="AN9" s="2">
        <v>9.4100000000000003E-2</v>
      </c>
      <c r="AO9" s="2">
        <v>9.9699999999999997E-2</v>
      </c>
      <c r="AP9" s="2">
        <v>0.1046</v>
      </c>
      <c r="AQ9" s="2">
        <v>0.1089</v>
      </c>
      <c r="AR9" s="2">
        <v>0.1128</v>
      </c>
      <c r="AS9" s="2">
        <v>0.1162</v>
      </c>
      <c r="AT9" s="2">
        <v>0.1192</v>
      </c>
      <c r="AU9" s="2">
        <v>0.12189999999999999</v>
      </c>
      <c r="AV9" s="2">
        <v>0.12429999999999999</v>
      </c>
      <c r="AW9" s="2">
        <v>0.1265</v>
      </c>
      <c r="AX9" s="2">
        <v>0.12839999999999999</v>
      </c>
      <c r="AY9" s="2">
        <v>0.13009999999999999</v>
      </c>
      <c r="AZ9" s="2">
        <v>0.13170000000000001</v>
      </c>
      <c r="BA9" s="2">
        <v>0.1331</v>
      </c>
      <c r="BB9" s="2">
        <v>0.13439999999999999</v>
      </c>
      <c r="BC9" s="2">
        <v>0.1356</v>
      </c>
      <c r="BD9" s="2">
        <v>0.1366</v>
      </c>
      <c r="BE9" s="2">
        <v>0.1376</v>
      </c>
      <c r="BF9" s="2">
        <v>0.1384</v>
      </c>
      <c r="BG9" s="2">
        <v>0.13919999999999999</v>
      </c>
      <c r="BH9" s="2">
        <v>0.13980000000000001</v>
      </c>
      <c r="BI9" s="2">
        <v>0.14050000000000001</v>
      </c>
      <c r="BJ9" s="2">
        <v>0.14099999999999999</v>
      </c>
      <c r="BK9" s="2">
        <v>0.14149999999999999</v>
      </c>
      <c r="BL9" s="2">
        <v>0.14199999999999999</v>
      </c>
      <c r="BM9" s="2">
        <v>0.14230000000000001</v>
      </c>
      <c r="BN9" s="2">
        <v>0.14269999999999999</v>
      </c>
      <c r="BO9" s="2">
        <v>0.14299999999999999</v>
      </c>
      <c r="BR9" s="1">
        <v>10</v>
      </c>
      <c r="BS9" s="1">
        <v>0.78100000000000003</v>
      </c>
      <c r="BT9" s="1">
        <v>0.84199999999999997</v>
      </c>
      <c r="BU9" s="1">
        <v>0.86899999999999999</v>
      </c>
    </row>
    <row r="10" spans="1:75" ht="21" customHeight="1" x14ac:dyDescent="0.25">
      <c r="A10" s="2"/>
      <c r="P10" s="1">
        <v>10</v>
      </c>
      <c r="Q10" s="1" t="s">
        <v>33</v>
      </c>
      <c r="R10" s="1">
        <v>9</v>
      </c>
      <c r="AI10" s="2">
        <v>1.6299999999999999E-2</v>
      </c>
      <c r="AJ10" s="2">
        <v>3.0300000000000001E-2</v>
      </c>
      <c r="AK10" s="2">
        <v>4.2200000000000001E-2</v>
      </c>
      <c r="AL10" s="2">
        <v>5.2999999999999999E-2</v>
      </c>
      <c r="AM10" s="2">
        <v>6.1800000000000001E-2</v>
      </c>
      <c r="AN10" s="2">
        <v>6.9599999999999995E-2</v>
      </c>
      <c r="AO10" s="2">
        <v>7.6399999999999996E-2</v>
      </c>
      <c r="AP10" s="2">
        <v>8.2299999999999998E-2</v>
      </c>
      <c r="AQ10" s="2">
        <v>8.7599999999999997E-2</v>
      </c>
      <c r="AR10" s="2">
        <v>9.2299999999999993E-2</v>
      </c>
      <c r="AS10" s="2">
        <v>9.6500000000000002E-2</v>
      </c>
      <c r="AT10" s="2">
        <v>0.1002</v>
      </c>
      <c r="AU10" s="2">
        <v>0.1036</v>
      </c>
      <c r="AV10" s="2">
        <v>0.1066</v>
      </c>
      <c r="AW10" s="2">
        <v>0.10929999999999999</v>
      </c>
      <c r="AX10" s="2">
        <v>0.1118</v>
      </c>
      <c r="AY10" s="2">
        <v>0.114</v>
      </c>
      <c r="AZ10" s="2">
        <v>0.11600000000000001</v>
      </c>
      <c r="BA10" s="2">
        <v>0.1179</v>
      </c>
      <c r="BB10" s="2">
        <v>0.1196</v>
      </c>
      <c r="BC10" s="2">
        <v>0.1211</v>
      </c>
      <c r="BD10" s="2">
        <v>0.1225</v>
      </c>
      <c r="BE10" s="2">
        <v>0.1237</v>
      </c>
      <c r="BF10" s="2">
        <v>0.1249</v>
      </c>
      <c r="BG10" s="2">
        <v>0.12590000000000001</v>
      </c>
      <c r="BH10" s="2">
        <v>0.12690000000000001</v>
      </c>
      <c r="BI10" s="2">
        <v>0.1278</v>
      </c>
      <c r="BJ10" s="2">
        <v>0.12859999999999999</v>
      </c>
      <c r="BK10" s="2">
        <v>0.1293</v>
      </c>
      <c r="BL10" s="2">
        <v>0.13</v>
      </c>
      <c r="BM10" s="2">
        <v>0.13059999999999999</v>
      </c>
      <c r="BN10" s="2">
        <v>0.13120000000000001</v>
      </c>
      <c r="BO10" s="2">
        <v>0.13170000000000001</v>
      </c>
      <c r="BR10" s="1">
        <v>11</v>
      </c>
      <c r="BS10" s="1">
        <v>0.79200000000000004</v>
      </c>
      <c r="BT10" s="1">
        <v>0.85</v>
      </c>
      <c r="BU10" s="1">
        <v>0.876</v>
      </c>
    </row>
    <row r="11" spans="1:75" ht="21" customHeight="1" x14ac:dyDescent="0.25">
      <c r="A11" s="2"/>
      <c r="P11" s="1">
        <v>11</v>
      </c>
      <c r="Q11" s="1" t="s">
        <v>34</v>
      </c>
      <c r="R11" s="1">
        <v>10</v>
      </c>
      <c r="AK11" s="2">
        <v>1.4E-2</v>
      </c>
      <c r="AL11" s="2">
        <v>2.63E-2</v>
      </c>
      <c r="AM11" s="2">
        <v>3.6799999999999999E-2</v>
      </c>
      <c r="AN11" s="2">
        <v>4.5900000000000003E-2</v>
      </c>
      <c r="AO11" s="2">
        <v>5.3900000000000003E-2</v>
      </c>
      <c r="AP11" s="2">
        <v>6.0999999999999999E-2</v>
      </c>
      <c r="AQ11" s="2">
        <v>6.7199999999999996E-2</v>
      </c>
      <c r="AR11" s="2">
        <v>7.2800000000000004E-2</v>
      </c>
      <c r="AS11" s="2">
        <v>7.7799999999999994E-2</v>
      </c>
      <c r="AT11" s="2">
        <v>8.2199999999999995E-2</v>
      </c>
      <c r="AU11" s="2">
        <v>8.6199999999999999E-2</v>
      </c>
      <c r="AV11" s="2">
        <v>8.9899999999999994E-2</v>
      </c>
      <c r="AW11" s="2">
        <v>9.3100000000000002E-2</v>
      </c>
      <c r="AX11" s="2">
        <v>9.6100000000000005E-2</v>
      </c>
      <c r="AY11" s="2">
        <v>9.8799999999999999E-2</v>
      </c>
      <c r="AZ11" s="2">
        <v>0.1013</v>
      </c>
      <c r="BA11" s="2">
        <v>0.1036</v>
      </c>
      <c r="BB11" s="2">
        <v>0.1056</v>
      </c>
      <c r="BC11" s="2">
        <v>0.1075</v>
      </c>
      <c r="BD11" s="2">
        <v>0.10920000000000001</v>
      </c>
      <c r="BE11" s="2">
        <v>0.1108</v>
      </c>
      <c r="BF11" s="2">
        <v>0.1123</v>
      </c>
      <c r="BG11" s="2">
        <v>0.11360000000000001</v>
      </c>
      <c r="BH11" s="2">
        <v>0.1149</v>
      </c>
      <c r="BI11" s="2">
        <v>0.11600000000000001</v>
      </c>
      <c r="BJ11" s="2">
        <v>0.11700000000000001</v>
      </c>
      <c r="BK11" s="2">
        <v>0.11799999999999999</v>
      </c>
      <c r="BL11" s="2">
        <v>0.11890000000000001</v>
      </c>
      <c r="BM11" s="2">
        <v>0.1197</v>
      </c>
      <c r="BN11" s="2">
        <v>0.1205</v>
      </c>
      <c r="BO11" s="2">
        <v>0.1212</v>
      </c>
      <c r="BR11" s="1">
        <v>12</v>
      </c>
      <c r="BS11" s="1">
        <v>0.80500000000000005</v>
      </c>
      <c r="BT11" s="1">
        <v>0.85899999999999999</v>
      </c>
      <c r="BU11" s="1">
        <v>0.88300000000000001</v>
      </c>
    </row>
    <row r="12" spans="1:75" ht="21" customHeight="1" x14ac:dyDescent="0.25">
      <c r="A12" s="2"/>
      <c r="P12" s="1">
        <v>12</v>
      </c>
      <c r="Q12" s="1" t="s">
        <v>35</v>
      </c>
      <c r="R12" s="1">
        <v>11</v>
      </c>
      <c r="AM12" s="2">
        <v>1.2200000000000001E-2</v>
      </c>
      <c r="AN12" s="2">
        <v>2.2800000000000001E-2</v>
      </c>
      <c r="AO12" s="2">
        <v>3.2099999999999997E-2</v>
      </c>
      <c r="AP12" s="2">
        <v>4.0300000000000002E-2</v>
      </c>
      <c r="AQ12" s="2">
        <v>4.7600000000000003E-2</v>
      </c>
      <c r="AR12" s="2">
        <v>5.3999999999999999E-2</v>
      </c>
      <c r="AS12" s="2">
        <v>5.9799999999999999E-2</v>
      </c>
      <c r="AT12" s="2">
        <v>6.5000000000000002E-2</v>
      </c>
      <c r="AU12" s="2">
        <v>6.9699999999999998E-2</v>
      </c>
      <c r="AV12" s="2">
        <v>7.3899999999999993E-2</v>
      </c>
      <c r="AW12" s="2">
        <v>7.7700000000000005E-2</v>
      </c>
      <c r="AX12" s="2">
        <v>8.1199999999999994E-2</v>
      </c>
      <c r="AY12" s="2">
        <v>8.4400000000000003E-2</v>
      </c>
      <c r="AZ12" s="2">
        <v>8.7300000000000003E-2</v>
      </c>
      <c r="BA12" s="2">
        <v>0.09</v>
      </c>
      <c r="BB12" s="2">
        <v>9.2399999999999996E-2</v>
      </c>
      <c r="BC12" s="2">
        <v>9.4700000000000006E-2</v>
      </c>
      <c r="BD12" s="2">
        <v>9.6699999999999994E-2</v>
      </c>
      <c r="BE12" s="2">
        <v>9.8599999999999993E-2</v>
      </c>
      <c r="BF12" s="2">
        <v>0.1004</v>
      </c>
      <c r="BG12" s="2">
        <v>0.10199999999999999</v>
      </c>
      <c r="BH12" s="2">
        <v>0.10349999999999999</v>
      </c>
      <c r="BI12" s="2">
        <v>0.10489999999999999</v>
      </c>
      <c r="BJ12" s="2">
        <v>0.1062</v>
      </c>
      <c r="BK12" s="2">
        <v>0.10730000000000001</v>
      </c>
      <c r="BL12" s="2">
        <v>0.1085</v>
      </c>
      <c r="BM12" s="2">
        <v>0.1095</v>
      </c>
      <c r="BN12" s="2">
        <v>0.1105</v>
      </c>
      <c r="BO12" s="2">
        <v>0.1113</v>
      </c>
      <c r="BR12" s="1">
        <v>13</v>
      </c>
      <c r="BS12" s="1">
        <v>0.81399999999999995</v>
      </c>
      <c r="BT12" s="1">
        <v>0.86599999999999999</v>
      </c>
      <c r="BU12" s="1">
        <v>0.88900000000000001</v>
      </c>
    </row>
    <row r="13" spans="1:75" ht="21" customHeight="1" x14ac:dyDescent="0.25">
      <c r="P13" s="1">
        <v>13</v>
      </c>
      <c r="Q13" s="1" t="s">
        <v>36</v>
      </c>
      <c r="R13" s="1">
        <v>12</v>
      </c>
      <c r="AO13" s="2">
        <v>1.0699999999999999E-2</v>
      </c>
      <c r="AP13" s="2">
        <v>0.02</v>
      </c>
      <c r="AQ13" s="2">
        <v>2.8400000000000002E-2</v>
      </c>
      <c r="AR13" s="2">
        <v>3.5799999999999998E-2</v>
      </c>
      <c r="AS13" s="2">
        <v>4.24E-2</v>
      </c>
      <c r="AT13" s="2">
        <v>4.8300000000000003E-2</v>
      </c>
      <c r="AU13" s="2">
        <v>5.3699999999999998E-2</v>
      </c>
      <c r="AV13" s="2">
        <v>5.8500000000000003E-2</v>
      </c>
      <c r="AW13" s="2">
        <v>6.2899999999999998E-2</v>
      </c>
      <c r="AX13" s="2">
        <v>6.6900000000000001E-2</v>
      </c>
      <c r="AY13" s="2">
        <v>7.0599999999999996E-2</v>
      </c>
      <c r="AZ13" s="2">
        <v>7.3899999999999993E-2</v>
      </c>
      <c r="BA13" s="2">
        <v>7.6999999999999999E-2</v>
      </c>
      <c r="BB13" s="2">
        <v>7.9799999999999996E-2</v>
      </c>
      <c r="BC13" s="2">
        <v>8.2400000000000001E-2</v>
      </c>
      <c r="BD13" s="2">
        <v>8.48E-2</v>
      </c>
      <c r="BE13" s="2">
        <v>8.6999999999999994E-2</v>
      </c>
      <c r="BF13" s="2">
        <v>8.9099999999999999E-2</v>
      </c>
      <c r="BG13" s="2">
        <v>9.0899999999999995E-2</v>
      </c>
      <c r="BH13" s="2">
        <v>9.2700000000000005E-2</v>
      </c>
      <c r="BI13" s="2">
        <v>9.4299999999999995E-2</v>
      </c>
      <c r="BJ13" s="2">
        <v>9.5899999999999999E-2</v>
      </c>
      <c r="BK13" s="2">
        <v>9.7199999999999995E-2</v>
      </c>
      <c r="BL13" s="2">
        <v>9.8599999999999993E-2</v>
      </c>
      <c r="BM13" s="2">
        <v>9.98E-2</v>
      </c>
      <c r="BN13" s="2">
        <v>0.10100000000000001</v>
      </c>
      <c r="BO13" s="2">
        <v>0.10199999999999999</v>
      </c>
      <c r="BR13" s="1">
        <v>14</v>
      </c>
      <c r="BS13" s="1">
        <v>0.82499999999999996</v>
      </c>
      <c r="BT13" s="1">
        <v>0.874</v>
      </c>
      <c r="BU13" s="1">
        <v>0.89500000000000002</v>
      </c>
    </row>
    <row r="14" spans="1:75" ht="21" customHeight="1" x14ac:dyDescent="0.25">
      <c r="P14" s="1">
        <v>14</v>
      </c>
      <c r="Q14" s="1" t="s">
        <v>37</v>
      </c>
      <c r="R14" s="1">
        <v>13</v>
      </c>
      <c r="AP14" s="2">
        <v>0</v>
      </c>
      <c r="AQ14" s="2">
        <v>9.4000000000000004E-3</v>
      </c>
      <c r="AR14" s="2">
        <v>1.78E-2</v>
      </c>
      <c r="AS14" s="2">
        <v>2.53E-2</v>
      </c>
      <c r="AT14" s="2">
        <v>3.2000000000000001E-2</v>
      </c>
      <c r="AU14" s="2">
        <v>3.8100000000000002E-2</v>
      </c>
      <c r="AV14" s="2">
        <v>4.3499999999999997E-2</v>
      </c>
      <c r="AW14" s="2">
        <v>4.8500000000000001E-2</v>
      </c>
      <c r="AX14" s="2">
        <v>5.2999999999999999E-2</v>
      </c>
      <c r="AY14" s="2">
        <v>5.7200000000000001E-2</v>
      </c>
      <c r="AZ14" s="2">
        <v>6.0999999999999999E-2</v>
      </c>
      <c r="BA14" s="2">
        <v>6.4500000000000002E-2</v>
      </c>
      <c r="BB14" s="2">
        <v>6.7699999999999996E-2</v>
      </c>
      <c r="BC14" s="2">
        <v>7.0599999999999996E-2</v>
      </c>
      <c r="BD14" s="2">
        <v>7.3300000000000004E-2</v>
      </c>
      <c r="BE14" s="2">
        <v>7.5899999999999995E-2</v>
      </c>
      <c r="BF14" s="2">
        <v>7.8200000000000006E-2</v>
      </c>
      <c r="BG14" s="2">
        <v>8.0399999999999999E-2</v>
      </c>
      <c r="BH14" s="2">
        <v>8.2400000000000001E-2</v>
      </c>
      <c r="BI14" s="2">
        <v>8.4199999999999997E-2</v>
      </c>
      <c r="BJ14" s="2">
        <v>8.5999999999999993E-2</v>
      </c>
      <c r="BK14" s="2">
        <v>8.7599999999999997E-2</v>
      </c>
      <c r="BL14" s="2">
        <v>8.9200000000000002E-2</v>
      </c>
      <c r="BM14" s="2">
        <v>9.06E-2</v>
      </c>
      <c r="BN14" s="2">
        <v>9.1899999999999996E-2</v>
      </c>
      <c r="BO14" s="2">
        <v>9.3200000000000005E-2</v>
      </c>
      <c r="BR14" s="1">
        <v>15</v>
      </c>
      <c r="BS14" s="1">
        <v>0.83499999999999996</v>
      </c>
      <c r="BT14" s="1">
        <v>0.88100000000000001</v>
      </c>
      <c r="BU14" s="1">
        <v>0.90100000000000002</v>
      </c>
    </row>
    <row r="15" spans="1:75" ht="21" customHeight="1" x14ac:dyDescent="0.25">
      <c r="P15" s="1">
        <v>15</v>
      </c>
      <c r="Q15" s="1" t="s">
        <v>38</v>
      </c>
      <c r="R15" s="1">
        <v>14</v>
      </c>
      <c r="AR15" s="2">
        <v>0</v>
      </c>
      <c r="AS15" s="2">
        <v>8.3999999999999995E-3</v>
      </c>
      <c r="AT15" s="2">
        <v>1.5900000000000001E-2</v>
      </c>
      <c r="AU15" s="2">
        <v>2.2700000000000001E-2</v>
      </c>
      <c r="AV15" s="2">
        <v>2.8899999999999999E-2</v>
      </c>
      <c r="AW15" s="2">
        <v>3.44E-2</v>
      </c>
      <c r="AX15" s="2">
        <v>3.95E-2</v>
      </c>
      <c r="AY15" s="2">
        <v>4.41E-2</v>
      </c>
      <c r="AZ15" s="2">
        <v>4.8399999999999999E-2</v>
      </c>
      <c r="BA15" s="2">
        <v>5.2299999999999999E-2</v>
      </c>
      <c r="BB15" s="2">
        <v>5.5899999999999998E-2</v>
      </c>
      <c r="BC15" s="2">
        <v>5.9200000000000003E-2</v>
      </c>
      <c r="BD15" s="2">
        <v>6.2199999999999998E-2</v>
      </c>
      <c r="BE15" s="2">
        <v>6.5100000000000005E-2</v>
      </c>
      <c r="BF15" s="2">
        <v>6.7699999999999996E-2</v>
      </c>
      <c r="BG15" s="2">
        <v>7.0099999999999996E-2</v>
      </c>
      <c r="BH15" s="2">
        <v>7.2400000000000006E-2</v>
      </c>
      <c r="BI15" s="2">
        <v>7.4499999999999997E-2</v>
      </c>
      <c r="BJ15" s="2">
        <v>7.6499999999999999E-2</v>
      </c>
      <c r="BK15" s="2">
        <v>7.8299999999999995E-2</v>
      </c>
      <c r="BL15" s="2">
        <v>8.0100000000000005E-2</v>
      </c>
      <c r="BM15" s="2">
        <v>8.1699999999999995E-2</v>
      </c>
      <c r="BN15" s="2">
        <v>8.3199999999999996E-2</v>
      </c>
      <c r="BO15" s="2">
        <v>8.4599999999999995E-2</v>
      </c>
      <c r="BR15" s="1">
        <v>16</v>
      </c>
      <c r="BS15" s="1">
        <v>0.84399999999999997</v>
      </c>
      <c r="BT15" s="1">
        <v>0.88700000000000001</v>
      </c>
      <c r="BU15" s="1">
        <v>0.90600000000000003</v>
      </c>
    </row>
    <row r="16" spans="1:75" ht="21" customHeight="1" x14ac:dyDescent="0.25">
      <c r="P16" s="1">
        <v>16</v>
      </c>
      <c r="Q16" s="1" t="s">
        <v>39</v>
      </c>
      <c r="R16" s="1">
        <v>15</v>
      </c>
      <c r="AT16" s="2">
        <v>0</v>
      </c>
      <c r="AU16" s="2">
        <v>7.6E-3</v>
      </c>
      <c r="AV16" s="2">
        <v>1.44E-2</v>
      </c>
      <c r="AW16" s="2">
        <v>2.06E-2</v>
      </c>
      <c r="AX16" s="2">
        <v>2.6200000000000001E-2</v>
      </c>
      <c r="AY16" s="2">
        <v>3.1399999999999997E-2</v>
      </c>
      <c r="AZ16" s="2">
        <v>3.61E-2</v>
      </c>
      <c r="BA16" s="2">
        <v>4.0399999999999998E-2</v>
      </c>
      <c r="BB16" s="2">
        <v>4.4400000000000002E-2</v>
      </c>
      <c r="BC16" s="2">
        <v>4.8099999999999997E-2</v>
      </c>
      <c r="BD16" s="2">
        <v>5.1499999999999997E-2</v>
      </c>
      <c r="BE16" s="2">
        <v>5.4600000000000003E-2</v>
      </c>
      <c r="BF16" s="2">
        <v>5.7500000000000002E-2</v>
      </c>
      <c r="BG16" s="2">
        <v>6.0199999999999997E-2</v>
      </c>
      <c r="BH16" s="2">
        <v>6.2799999999999995E-2</v>
      </c>
      <c r="BI16" s="2">
        <v>6.5100000000000005E-2</v>
      </c>
      <c r="BJ16" s="2">
        <v>6.7299999999999999E-2</v>
      </c>
      <c r="BK16" s="2">
        <v>6.9400000000000003E-2</v>
      </c>
      <c r="BL16" s="2">
        <v>7.1300000000000002E-2</v>
      </c>
      <c r="BM16" s="2">
        <v>7.3099999999999998E-2</v>
      </c>
      <c r="BN16" s="2">
        <v>7.4800000000000005E-2</v>
      </c>
      <c r="BO16" s="2">
        <v>7.6399999999999996E-2</v>
      </c>
      <c r="BR16" s="1">
        <v>17</v>
      </c>
      <c r="BS16" s="1">
        <v>0.85099999999999998</v>
      </c>
      <c r="BT16" s="1">
        <v>0.89200000000000002</v>
      </c>
      <c r="BU16" s="1">
        <v>0.91</v>
      </c>
    </row>
    <row r="17" spans="16:73" ht="21" customHeight="1" x14ac:dyDescent="0.25">
      <c r="P17" s="1">
        <v>17</v>
      </c>
      <c r="Q17" s="1" t="s">
        <v>40</v>
      </c>
      <c r="R17" s="1">
        <v>16</v>
      </c>
      <c r="AV17" s="2">
        <v>0</v>
      </c>
      <c r="AW17" s="2">
        <v>6.7999999999999996E-3</v>
      </c>
      <c r="AX17" s="2">
        <v>1.3100000000000001E-2</v>
      </c>
      <c r="AY17" s="2">
        <v>1.8700000000000001E-2</v>
      </c>
      <c r="AZ17" s="2">
        <v>2.3900000000000001E-2</v>
      </c>
      <c r="BA17" s="2">
        <v>2.87E-2</v>
      </c>
      <c r="BB17" s="2">
        <v>3.3099999999999997E-2</v>
      </c>
      <c r="BC17" s="2">
        <v>3.7199999999999997E-2</v>
      </c>
      <c r="BD17" s="2">
        <v>4.0899999999999999E-2</v>
      </c>
      <c r="BE17" s="2">
        <v>4.4400000000000002E-2</v>
      </c>
      <c r="BF17" s="2">
        <v>4.7600000000000003E-2</v>
      </c>
      <c r="BG17" s="2">
        <v>5.0599999999999999E-2</v>
      </c>
      <c r="BH17" s="2">
        <v>5.3400000000000003E-2</v>
      </c>
      <c r="BI17" s="2">
        <v>5.6000000000000001E-2</v>
      </c>
      <c r="BJ17" s="2">
        <v>5.8400000000000001E-2</v>
      </c>
      <c r="BK17" s="2">
        <v>6.0699999999999997E-2</v>
      </c>
      <c r="BL17" s="2">
        <v>6.2799999999999995E-2</v>
      </c>
      <c r="BM17" s="2">
        <v>6.4799999999999996E-2</v>
      </c>
      <c r="BN17" s="2">
        <v>6.6699999999999995E-2</v>
      </c>
      <c r="BO17" s="2">
        <v>6.8500000000000005E-2</v>
      </c>
      <c r="BR17" s="1">
        <v>18</v>
      </c>
      <c r="BS17" s="1">
        <v>0.85799999999999998</v>
      </c>
      <c r="BT17" s="1">
        <v>0.89700000000000002</v>
      </c>
      <c r="BU17" s="1">
        <v>0.91400000000000003</v>
      </c>
    </row>
    <row r="18" spans="16:73" ht="21" customHeight="1" x14ac:dyDescent="0.25">
      <c r="P18" s="1">
        <v>18</v>
      </c>
      <c r="Q18" s="1" t="s">
        <v>41</v>
      </c>
      <c r="R18" s="1">
        <v>17</v>
      </c>
      <c r="AX18" s="2">
        <v>0</v>
      </c>
      <c r="AY18" s="2">
        <v>6.1999999999999998E-3</v>
      </c>
      <c r="AZ18" s="2">
        <v>1.1900000000000001E-2</v>
      </c>
      <c r="BA18" s="2">
        <v>1.72E-2</v>
      </c>
      <c r="BB18" s="2">
        <v>2.1999999999999999E-2</v>
      </c>
      <c r="BC18" s="2">
        <v>2.64E-2</v>
      </c>
      <c r="BD18" s="2">
        <v>3.0499999999999999E-2</v>
      </c>
      <c r="BE18" s="2">
        <v>3.4299999999999997E-2</v>
      </c>
      <c r="BF18" s="2">
        <v>3.7900000000000003E-2</v>
      </c>
      <c r="BG18" s="2">
        <v>4.1099999999999998E-2</v>
      </c>
      <c r="BH18" s="2">
        <v>4.4200000000000003E-2</v>
      </c>
      <c r="BI18" s="2">
        <v>4.7100000000000003E-2</v>
      </c>
      <c r="BJ18" s="2">
        <v>4.9700000000000001E-2</v>
      </c>
      <c r="BK18" s="2">
        <v>5.2200000000000003E-2</v>
      </c>
      <c r="BL18" s="2">
        <v>5.4600000000000003E-2</v>
      </c>
      <c r="BM18" s="2">
        <v>5.6800000000000003E-2</v>
      </c>
      <c r="BN18" s="2">
        <v>5.8799999999999998E-2</v>
      </c>
      <c r="BO18" s="2">
        <v>6.08E-2</v>
      </c>
      <c r="BR18" s="1">
        <v>19</v>
      </c>
      <c r="BS18" s="1">
        <v>0.86299999999999999</v>
      </c>
      <c r="BT18" s="1">
        <v>0.90100000000000002</v>
      </c>
      <c r="BU18" s="1">
        <v>0.91700000000000004</v>
      </c>
    </row>
    <row r="19" spans="16:73" ht="21" customHeight="1" x14ac:dyDescent="0.25">
      <c r="P19" s="1">
        <v>19</v>
      </c>
      <c r="Q19" s="1" t="s">
        <v>42</v>
      </c>
      <c r="R19" s="1">
        <v>18</v>
      </c>
      <c r="AZ19" s="2">
        <v>0</v>
      </c>
      <c r="BA19" s="2">
        <v>5.7000000000000002E-3</v>
      </c>
      <c r="BB19" s="2">
        <v>1.0999999999999999E-2</v>
      </c>
      <c r="BC19" s="2">
        <v>1.5800000000000002E-2</v>
      </c>
      <c r="BD19" s="2">
        <v>2.0299999999999999E-2</v>
      </c>
      <c r="BE19" s="2">
        <v>2.4400000000000002E-2</v>
      </c>
      <c r="BF19" s="2">
        <v>2.8299999999999999E-2</v>
      </c>
      <c r="BG19" s="2">
        <v>3.1800000000000002E-2</v>
      </c>
      <c r="BH19" s="2">
        <v>3.5200000000000002E-2</v>
      </c>
      <c r="BI19" s="2">
        <v>3.8300000000000001E-2</v>
      </c>
      <c r="BJ19" s="2">
        <v>4.1200000000000001E-2</v>
      </c>
      <c r="BK19" s="2">
        <v>4.3900000000000002E-2</v>
      </c>
      <c r="BL19" s="2">
        <v>4.65E-2</v>
      </c>
      <c r="BM19" s="2">
        <v>4.8899999999999999E-2</v>
      </c>
      <c r="BN19" s="2">
        <v>5.11E-2</v>
      </c>
      <c r="BO19" s="2">
        <v>5.3199999999999997E-2</v>
      </c>
      <c r="BR19" s="1">
        <v>20</v>
      </c>
      <c r="BS19" s="1">
        <v>0.86799999999999999</v>
      </c>
      <c r="BT19" s="1">
        <v>0.90500000000000003</v>
      </c>
      <c r="BU19" s="1">
        <v>0.92</v>
      </c>
    </row>
    <row r="20" spans="16:73" ht="21" customHeight="1" x14ac:dyDescent="0.25">
      <c r="P20" s="1">
        <v>20</v>
      </c>
      <c r="Q20" s="1" t="s">
        <v>43</v>
      </c>
      <c r="R20" s="1">
        <v>19</v>
      </c>
      <c r="BB20" s="2">
        <v>0</v>
      </c>
      <c r="BC20" s="2">
        <v>5.3E-3</v>
      </c>
      <c r="BD20" s="2">
        <v>1.01E-2</v>
      </c>
      <c r="BE20" s="2">
        <v>1.46E-2</v>
      </c>
      <c r="BF20" s="2">
        <v>1.8800000000000001E-2</v>
      </c>
      <c r="BG20" s="2">
        <v>2.2700000000000001E-2</v>
      </c>
      <c r="BH20" s="2">
        <v>2.63E-2</v>
      </c>
      <c r="BI20" s="2">
        <v>2.9600000000000001E-2</v>
      </c>
      <c r="BJ20" s="2">
        <v>3.2800000000000003E-2</v>
      </c>
      <c r="BK20" s="2">
        <v>3.5700000000000003E-2</v>
      </c>
      <c r="BL20" s="2">
        <v>3.85E-2</v>
      </c>
      <c r="BM20" s="2">
        <v>4.1099999999999998E-2</v>
      </c>
      <c r="BN20" s="2">
        <v>4.36E-2</v>
      </c>
      <c r="BO20" s="2">
        <v>4.5900000000000003E-2</v>
      </c>
      <c r="BR20" s="1">
        <v>21</v>
      </c>
      <c r="BS20" s="1">
        <v>0.873</v>
      </c>
      <c r="BT20" s="1">
        <v>0.90800000000000003</v>
      </c>
      <c r="BU20" s="1">
        <v>0.92300000000000004</v>
      </c>
    </row>
    <row r="21" spans="16:73" ht="21" customHeight="1" x14ac:dyDescent="0.25">
      <c r="P21" s="1">
        <v>21</v>
      </c>
      <c r="Q21" s="1" t="s">
        <v>44</v>
      </c>
      <c r="R21" s="1">
        <v>20</v>
      </c>
      <c r="BD21" s="2">
        <v>0</v>
      </c>
      <c r="BE21" s="2">
        <v>4.8999999999999998E-3</v>
      </c>
      <c r="BF21" s="2">
        <v>9.4000000000000004E-3</v>
      </c>
      <c r="BG21" s="2">
        <v>1.3599999999999999E-2</v>
      </c>
      <c r="BH21" s="2">
        <v>1.7500000000000002E-2</v>
      </c>
      <c r="BI21" s="2">
        <v>2.1100000000000001E-2</v>
      </c>
      <c r="BJ21" s="2">
        <v>2.4500000000000001E-2</v>
      </c>
      <c r="BK21" s="2">
        <v>2.7699999999999999E-2</v>
      </c>
      <c r="BL21" s="2">
        <v>3.0700000000000002E-2</v>
      </c>
      <c r="BM21" s="2">
        <v>3.3500000000000002E-2</v>
      </c>
      <c r="BN21" s="2">
        <v>3.61E-2</v>
      </c>
      <c r="BO21" s="2">
        <v>3.8600000000000002E-2</v>
      </c>
      <c r="BR21" s="1">
        <v>22</v>
      </c>
      <c r="BS21" s="1">
        <v>0.878</v>
      </c>
      <c r="BT21" s="1">
        <v>0.91100000000000003</v>
      </c>
      <c r="BU21" s="1">
        <v>0.92600000000000005</v>
      </c>
    </row>
    <row r="22" spans="16:73" ht="21" customHeight="1" x14ac:dyDescent="0.25">
      <c r="P22" s="1">
        <v>22</v>
      </c>
      <c r="Q22" s="1" t="s">
        <v>45</v>
      </c>
      <c r="R22" s="1">
        <v>21</v>
      </c>
      <c r="BF22" s="2">
        <v>0</v>
      </c>
      <c r="BG22" s="2">
        <v>4.4999999999999997E-3</v>
      </c>
      <c r="BH22" s="2">
        <v>8.6999999999999994E-3</v>
      </c>
      <c r="BI22" s="2">
        <v>1.26E-2</v>
      </c>
      <c r="BJ22" s="2">
        <v>1.6299999999999999E-2</v>
      </c>
      <c r="BK22" s="2">
        <v>1.9699999999999999E-2</v>
      </c>
      <c r="BL22" s="2">
        <v>2.29E-2</v>
      </c>
      <c r="BM22" s="2">
        <v>2.5899999999999999E-2</v>
      </c>
      <c r="BN22" s="2">
        <v>2.8799999999999999E-2</v>
      </c>
      <c r="BO22" s="2">
        <v>3.1399999999999997E-2</v>
      </c>
      <c r="BR22" s="1">
        <v>23</v>
      </c>
      <c r="BS22" s="1">
        <v>0.88100000000000001</v>
      </c>
      <c r="BT22" s="1">
        <v>0.91400000000000003</v>
      </c>
      <c r="BU22" s="1">
        <v>0.92800000000000005</v>
      </c>
    </row>
    <row r="23" spans="16:73" ht="21" customHeight="1" x14ac:dyDescent="0.25">
      <c r="P23" s="1">
        <v>23</v>
      </c>
      <c r="Q23" s="1" t="s">
        <v>46</v>
      </c>
      <c r="R23" s="1">
        <v>22</v>
      </c>
      <c r="BH23" s="2">
        <v>0</v>
      </c>
      <c r="BI23" s="2">
        <v>4.1999999999999997E-3</v>
      </c>
      <c r="BJ23" s="2">
        <v>8.0999999999999996E-3</v>
      </c>
      <c r="BK23" s="2">
        <v>1.18E-2</v>
      </c>
      <c r="BL23" s="2">
        <v>1.5299999999999999E-2</v>
      </c>
      <c r="BM23" s="2">
        <v>1.8499999999999999E-2</v>
      </c>
      <c r="BN23" s="2">
        <v>2.1499999999999998E-2</v>
      </c>
      <c r="BO23" s="2">
        <v>2.4400000000000002E-2</v>
      </c>
      <c r="BR23" s="1">
        <v>24</v>
      </c>
      <c r="BS23" s="1">
        <v>0.88400000000000001</v>
      </c>
      <c r="BT23" s="1">
        <v>0.91600000000000004</v>
      </c>
      <c r="BU23" s="1">
        <v>0.93</v>
      </c>
    </row>
    <row r="24" spans="16:73" ht="21" customHeight="1" x14ac:dyDescent="0.25">
      <c r="P24" s="1">
        <v>24</v>
      </c>
      <c r="Q24" s="1" t="s">
        <v>47</v>
      </c>
      <c r="R24" s="1">
        <v>23</v>
      </c>
      <c r="BJ24" s="2">
        <v>0</v>
      </c>
      <c r="BK24" s="2">
        <v>3.8999999999999998E-3</v>
      </c>
      <c r="BL24" s="2">
        <v>7.6E-3</v>
      </c>
      <c r="BM24" s="2">
        <v>1.11E-2</v>
      </c>
      <c r="BN24" s="2">
        <v>1.43E-2</v>
      </c>
      <c r="BO24" s="2">
        <v>1.7399999999999999E-2</v>
      </c>
      <c r="BR24" s="1">
        <v>25</v>
      </c>
      <c r="BS24" s="1">
        <v>0.88800000000000001</v>
      </c>
      <c r="BT24" s="1">
        <v>0.91800000000000004</v>
      </c>
      <c r="BU24" s="1">
        <v>0.93100000000000005</v>
      </c>
    </row>
    <row r="25" spans="16:73" ht="21" customHeight="1" x14ac:dyDescent="0.25">
      <c r="P25" s="1">
        <v>25</v>
      </c>
      <c r="Q25" s="1" t="s">
        <v>48</v>
      </c>
      <c r="R25" s="1">
        <v>24</v>
      </c>
      <c r="BL25" s="2">
        <v>0</v>
      </c>
      <c r="BM25" s="2">
        <v>3.7000000000000002E-3</v>
      </c>
      <c r="BN25" s="2">
        <v>7.1000000000000004E-3</v>
      </c>
      <c r="BO25" s="2">
        <v>1.04E-2</v>
      </c>
      <c r="BR25" s="1">
        <v>26</v>
      </c>
      <c r="BS25" s="1">
        <v>0.89100000000000001</v>
      </c>
      <c r="BT25" s="1">
        <v>0.92</v>
      </c>
      <c r="BU25" s="1">
        <v>0.93300000000000005</v>
      </c>
    </row>
    <row r="26" spans="16:73" ht="21" customHeight="1" x14ac:dyDescent="0.25">
      <c r="P26" s="1">
        <v>26</v>
      </c>
      <c r="Q26" s="1" t="s">
        <v>49</v>
      </c>
      <c r="R26" s="1">
        <v>25</v>
      </c>
      <c r="BN26" s="2">
        <v>0</v>
      </c>
      <c r="BO26" s="2">
        <v>3.5000000000000003E-2</v>
      </c>
      <c r="BR26" s="1">
        <v>27</v>
      </c>
      <c r="BS26" s="1">
        <v>0.89400000000000002</v>
      </c>
      <c r="BT26" s="1">
        <v>0.92300000000000004</v>
      </c>
      <c r="BU26" s="1">
        <v>0.93500000000000005</v>
      </c>
    </row>
    <row r="27" spans="16:73" ht="21" customHeight="1" x14ac:dyDescent="0.25">
      <c r="P27" s="1">
        <v>27</v>
      </c>
      <c r="Q27" s="1" t="s">
        <v>50</v>
      </c>
      <c r="R27" s="1">
        <v>26</v>
      </c>
      <c r="BR27" s="1">
        <v>28</v>
      </c>
      <c r="BS27" s="1">
        <v>0.89600000000000002</v>
      </c>
      <c r="BT27" s="1">
        <v>0.92400000000000004</v>
      </c>
      <c r="BU27" s="1">
        <v>0.93600000000000005</v>
      </c>
    </row>
    <row r="28" spans="16:73" ht="21" customHeight="1" x14ac:dyDescent="0.25">
      <c r="P28" s="1">
        <v>28</v>
      </c>
      <c r="Q28" s="1" t="s">
        <v>51</v>
      </c>
      <c r="R28" s="1">
        <v>27</v>
      </c>
      <c r="BR28" s="1">
        <v>29</v>
      </c>
      <c r="BS28" s="1">
        <v>0.89800000000000002</v>
      </c>
      <c r="BT28" s="1">
        <v>0.92600000000000005</v>
      </c>
      <c r="BU28" s="1">
        <v>0.93700000000000006</v>
      </c>
    </row>
    <row r="29" spans="16:73" ht="21" customHeight="1" x14ac:dyDescent="0.25">
      <c r="P29" s="1">
        <v>29</v>
      </c>
      <c r="Q29" s="1" t="s">
        <v>52</v>
      </c>
      <c r="R29" s="1">
        <v>28</v>
      </c>
      <c r="BR29" s="1">
        <v>30</v>
      </c>
      <c r="BS29" s="1">
        <v>0.9</v>
      </c>
      <c r="BT29" s="1">
        <v>0.92700000000000005</v>
      </c>
      <c r="BU29" s="1">
        <v>0.93899999999999995</v>
      </c>
    </row>
    <row r="30" spans="16:73" ht="21" customHeight="1" x14ac:dyDescent="0.25">
      <c r="P30" s="1">
        <v>30</v>
      </c>
      <c r="Q30" s="1" t="s">
        <v>53</v>
      </c>
      <c r="R30" s="1">
        <v>29</v>
      </c>
      <c r="BR30" s="1">
        <v>31</v>
      </c>
      <c r="BS30" s="1">
        <v>0.90200000000000002</v>
      </c>
      <c r="BT30" s="1">
        <v>0.92900000000000005</v>
      </c>
      <c r="BU30" s="1">
        <v>0.94</v>
      </c>
    </row>
    <row r="31" spans="16:73" ht="21" customHeight="1" x14ac:dyDescent="0.25">
      <c r="P31" s="1">
        <v>31</v>
      </c>
      <c r="Q31" s="1" t="s">
        <v>54</v>
      </c>
      <c r="R31" s="1">
        <v>30</v>
      </c>
      <c r="BR31" s="1">
        <v>32</v>
      </c>
      <c r="BS31" s="1">
        <v>0.90400000000000003</v>
      </c>
      <c r="BT31" s="1">
        <v>0.93</v>
      </c>
      <c r="BU31" s="1">
        <v>0.94099999999999995</v>
      </c>
    </row>
    <row r="32" spans="16:73" ht="21" customHeight="1" x14ac:dyDescent="0.25">
      <c r="P32" s="1">
        <v>32</v>
      </c>
      <c r="Q32" s="1" t="s">
        <v>55</v>
      </c>
      <c r="R32" s="1">
        <v>31</v>
      </c>
      <c r="BR32" s="1">
        <v>33</v>
      </c>
      <c r="BS32" s="1">
        <v>0.90600000000000003</v>
      </c>
      <c r="BT32" s="1">
        <v>0.93100000000000005</v>
      </c>
      <c r="BU32" s="1">
        <v>0.94199999999999995</v>
      </c>
    </row>
    <row r="33" spans="16:73" ht="21" customHeight="1" x14ac:dyDescent="0.25">
      <c r="P33" s="1">
        <v>33</v>
      </c>
      <c r="Q33" s="1" t="s">
        <v>56</v>
      </c>
      <c r="R33" s="1">
        <v>32</v>
      </c>
      <c r="BR33" s="1">
        <v>34</v>
      </c>
      <c r="BS33" s="1">
        <v>0.90800000000000003</v>
      </c>
      <c r="BT33" s="1">
        <v>0.93300000000000005</v>
      </c>
      <c r="BU33" s="1">
        <v>0.94299999999999995</v>
      </c>
    </row>
    <row r="34" spans="16:73" ht="21" customHeight="1" x14ac:dyDescent="0.25">
      <c r="P34" s="1">
        <v>34</v>
      </c>
      <c r="Q34" s="1" t="s">
        <v>57</v>
      </c>
      <c r="R34" s="1">
        <v>33</v>
      </c>
      <c r="BR34" s="1">
        <v>35</v>
      </c>
      <c r="BS34" s="1">
        <v>0.91</v>
      </c>
      <c r="BT34" s="1">
        <v>0.93400000000000005</v>
      </c>
      <c r="BU34" s="1">
        <v>0.94399999999999995</v>
      </c>
    </row>
    <row r="35" spans="16:73" ht="21" customHeight="1" x14ac:dyDescent="0.25">
      <c r="P35" s="1">
        <v>35</v>
      </c>
      <c r="Q35" s="1" t="s">
        <v>58</v>
      </c>
      <c r="R35" s="1">
        <v>34</v>
      </c>
      <c r="BR35" s="1">
        <v>36</v>
      </c>
      <c r="BS35" s="1">
        <v>0.91200000000000003</v>
      </c>
      <c r="BT35" s="1">
        <v>0.93500000000000005</v>
      </c>
      <c r="BU35" s="1">
        <v>0.94499999999999995</v>
      </c>
    </row>
    <row r="36" spans="16:73" ht="21" customHeight="1" x14ac:dyDescent="0.25">
      <c r="P36" s="1">
        <v>36</v>
      </c>
      <c r="Q36" s="1" t="s">
        <v>59</v>
      </c>
      <c r="R36" s="1">
        <v>35</v>
      </c>
      <c r="BR36" s="1">
        <v>37</v>
      </c>
      <c r="BS36" s="1">
        <v>0.91400000000000003</v>
      </c>
      <c r="BT36" s="1">
        <v>0.93600000000000005</v>
      </c>
      <c r="BU36" s="1">
        <v>0.94599999999999995</v>
      </c>
    </row>
    <row r="37" spans="16:73" ht="21" customHeight="1" x14ac:dyDescent="0.25">
      <c r="P37" s="1">
        <v>37</v>
      </c>
      <c r="Q37" s="1" t="s">
        <v>60</v>
      </c>
      <c r="R37" s="1">
        <v>36</v>
      </c>
      <c r="BR37" s="1">
        <v>38</v>
      </c>
      <c r="BS37" s="1">
        <v>0.91600000000000004</v>
      </c>
      <c r="BT37" s="1">
        <v>0.93799999999999994</v>
      </c>
      <c r="BU37" s="1">
        <v>0.94699999999999995</v>
      </c>
    </row>
    <row r="38" spans="16:73" ht="21" customHeight="1" x14ac:dyDescent="0.25">
      <c r="P38" s="1">
        <v>38</v>
      </c>
      <c r="Q38" s="1" t="s">
        <v>61</v>
      </c>
      <c r="R38" s="1">
        <v>37</v>
      </c>
      <c r="BR38" s="1">
        <v>39</v>
      </c>
      <c r="BS38" s="1">
        <v>0.91700000000000004</v>
      </c>
      <c r="BT38" s="1">
        <v>0.93899999999999995</v>
      </c>
      <c r="BU38" s="1">
        <v>0.94799999999999995</v>
      </c>
    </row>
    <row r="39" spans="16:73" ht="21" customHeight="1" x14ac:dyDescent="0.25">
      <c r="P39" s="1">
        <v>39</v>
      </c>
      <c r="Q39" s="1" t="s">
        <v>62</v>
      </c>
      <c r="R39" s="1">
        <v>38</v>
      </c>
      <c r="BR39" s="1">
        <v>40</v>
      </c>
      <c r="BS39" s="1">
        <v>0.91900000000000004</v>
      </c>
      <c r="BT39" s="1">
        <v>0.94</v>
      </c>
      <c r="BU39" s="1">
        <v>0.94899999999999995</v>
      </c>
    </row>
    <row r="40" spans="16:73" ht="21" customHeight="1" x14ac:dyDescent="0.25">
      <c r="P40" s="1">
        <v>40</v>
      </c>
      <c r="Q40" s="1" t="s">
        <v>63</v>
      </c>
      <c r="R40" s="1">
        <v>39</v>
      </c>
      <c r="BR40" s="1">
        <v>41</v>
      </c>
      <c r="BS40" s="1">
        <v>0.92</v>
      </c>
      <c r="BT40" s="1">
        <v>0.94099999999999995</v>
      </c>
      <c r="BU40" s="1">
        <v>0.95</v>
      </c>
    </row>
    <row r="41" spans="16:73" ht="21" customHeight="1" x14ac:dyDescent="0.25">
      <c r="P41" s="1">
        <v>41</v>
      </c>
      <c r="Q41" s="1" t="s">
        <v>64</v>
      </c>
      <c r="R41" s="1">
        <v>40</v>
      </c>
      <c r="BR41" s="1">
        <v>42</v>
      </c>
      <c r="BS41" s="1">
        <v>0.92200000000000004</v>
      </c>
      <c r="BT41" s="1">
        <v>0.94199999999999995</v>
      </c>
      <c r="BU41" s="1">
        <v>0.95099999999999996</v>
      </c>
    </row>
    <row r="42" spans="16:73" ht="21" customHeight="1" x14ac:dyDescent="0.25">
      <c r="P42" s="1">
        <v>42</v>
      </c>
      <c r="Q42" s="1" t="s">
        <v>65</v>
      </c>
      <c r="R42" s="1">
        <v>41</v>
      </c>
      <c r="BR42" s="1">
        <v>43</v>
      </c>
      <c r="BS42" s="1">
        <v>0.92300000000000004</v>
      </c>
      <c r="BT42" s="1">
        <v>0.94299999999999995</v>
      </c>
      <c r="BU42" s="1">
        <v>0.95099999999999996</v>
      </c>
    </row>
    <row r="43" spans="16:73" ht="21" customHeight="1" x14ac:dyDescent="0.25">
      <c r="P43" s="1">
        <v>43</v>
      </c>
      <c r="Q43" s="1" t="s">
        <v>66</v>
      </c>
      <c r="R43" s="1">
        <v>42</v>
      </c>
      <c r="BR43" s="1">
        <v>44</v>
      </c>
      <c r="BS43" s="1">
        <v>0.92400000000000004</v>
      </c>
      <c r="BT43" s="1">
        <v>0.94399999999999995</v>
      </c>
      <c r="BU43" s="1">
        <v>0.95199999999999996</v>
      </c>
    </row>
    <row r="44" spans="16:73" ht="21" customHeight="1" x14ac:dyDescent="0.25">
      <c r="P44" s="1">
        <v>44</v>
      </c>
      <c r="Q44" s="1" t="s">
        <v>67</v>
      </c>
      <c r="R44" s="1">
        <v>43</v>
      </c>
      <c r="BR44" s="1">
        <v>45</v>
      </c>
      <c r="BS44" s="1">
        <v>0.92600000000000005</v>
      </c>
      <c r="BT44" s="1">
        <v>0.94499999999999995</v>
      </c>
      <c r="BU44" s="1">
        <v>0.95299999999999996</v>
      </c>
    </row>
    <row r="45" spans="16:73" ht="21" customHeight="1" x14ac:dyDescent="0.25">
      <c r="P45" s="1">
        <v>45</v>
      </c>
      <c r="Q45" s="1" t="s">
        <v>68</v>
      </c>
      <c r="R45" s="1">
        <v>44</v>
      </c>
      <c r="BR45" s="1">
        <v>46</v>
      </c>
      <c r="BS45" s="1">
        <v>0.92700000000000005</v>
      </c>
      <c r="BT45" s="1">
        <v>0.94499999999999995</v>
      </c>
      <c r="BU45" s="1">
        <v>0.95299999999999996</v>
      </c>
    </row>
    <row r="46" spans="16:73" ht="21" customHeight="1" x14ac:dyDescent="0.25">
      <c r="P46" s="1">
        <v>46</v>
      </c>
      <c r="Q46" s="1" t="s">
        <v>69</v>
      </c>
      <c r="R46" s="1">
        <v>45</v>
      </c>
      <c r="BR46" s="1">
        <v>47</v>
      </c>
      <c r="BS46" s="1">
        <v>0.92800000000000005</v>
      </c>
      <c r="BT46" s="1">
        <v>0.94599999999999995</v>
      </c>
      <c r="BU46" s="1">
        <v>0.95399999999999996</v>
      </c>
    </row>
    <row r="47" spans="16:73" ht="21" customHeight="1" x14ac:dyDescent="0.25">
      <c r="P47" s="1">
        <v>47</v>
      </c>
      <c r="Q47" s="1" t="s">
        <v>70</v>
      </c>
      <c r="R47" s="1">
        <v>46</v>
      </c>
      <c r="BR47" s="1">
        <v>48</v>
      </c>
      <c r="BS47" s="1">
        <v>0.92900000000000005</v>
      </c>
      <c r="BT47" s="1">
        <v>0.94699999999999995</v>
      </c>
      <c r="BU47" s="1">
        <v>0.95399999999999996</v>
      </c>
    </row>
    <row r="48" spans="16:73" ht="21" customHeight="1" x14ac:dyDescent="0.25">
      <c r="P48" s="1">
        <v>48</v>
      </c>
      <c r="Q48" s="1" t="s">
        <v>71</v>
      </c>
      <c r="R48" s="1">
        <v>47</v>
      </c>
      <c r="BR48" s="1">
        <v>49</v>
      </c>
      <c r="BS48" s="1">
        <v>0.92900000000000005</v>
      </c>
      <c r="BT48" s="1">
        <v>0.94699999999999995</v>
      </c>
      <c r="BU48" s="1">
        <v>0.95499999999999996</v>
      </c>
    </row>
    <row r="49" spans="16:73" ht="21" customHeight="1" x14ac:dyDescent="0.25">
      <c r="P49" s="1">
        <v>49</v>
      </c>
      <c r="Q49" s="1" t="s">
        <v>72</v>
      </c>
      <c r="R49" s="1">
        <v>48</v>
      </c>
      <c r="BR49" s="1">
        <v>50</v>
      </c>
      <c r="BS49" s="1">
        <v>0.93</v>
      </c>
      <c r="BT49" s="1">
        <v>0.94699999999999995</v>
      </c>
      <c r="BU49" s="1">
        <v>0.95499999999999996</v>
      </c>
    </row>
    <row r="50" spans="16:73" ht="21" customHeight="1" x14ac:dyDescent="0.25">
      <c r="P50" s="1">
        <v>50</v>
      </c>
      <c r="Q50" s="1" t="s">
        <v>73</v>
      </c>
      <c r="R50" s="1">
        <v>49</v>
      </c>
    </row>
    <row r="51" spans="16:73" ht="21" customHeight="1" x14ac:dyDescent="0.25">
      <c r="R51" s="1">
        <v>50</v>
      </c>
    </row>
  </sheetData>
  <sortState ref="E2:E52">
    <sortCondition descending="1" ref="E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B779-C446-4086-A586-C3A623A99809}">
  <dimension ref="A1:Q11"/>
  <sheetViews>
    <sheetView workbookViewId="0">
      <selection activeCell="A2" sqref="A2:A8"/>
    </sheetView>
  </sheetViews>
  <sheetFormatPr defaultRowHeight="21" customHeight="1" x14ac:dyDescent="0.25"/>
  <cols>
    <col min="1" max="1" width="9.140625" style="2"/>
    <col min="2" max="2" width="21.7109375" style="2" bestFit="1" customWidth="1"/>
    <col min="3" max="4" width="9.140625" style="2"/>
    <col min="5" max="5" width="11.28515625" style="2" bestFit="1" customWidth="1"/>
    <col min="6" max="9" width="9.140625" style="2"/>
    <col min="10" max="10" width="41.140625" style="2" bestFit="1" customWidth="1"/>
    <col min="11" max="11" width="9.140625" style="2"/>
    <col min="12" max="12" width="21.85546875" style="2" bestFit="1" customWidth="1"/>
    <col min="13" max="16384" width="9.140625" style="2"/>
  </cols>
  <sheetData>
    <row r="1" spans="1:17" ht="21" customHeight="1" x14ac:dyDescent="0.25">
      <c r="A1" s="2" t="s">
        <v>74</v>
      </c>
      <c r="L1" s="2" t="s">
        <v>75</v>
      </c>
      <c r="M1" s="3" t="s">
        <v>76</v>
      </c>
      <c r="N1" s="3" t="s">
        <v>77</v>
      </c>
      <c r="O1" s="3" t="s">
        <v>78</v>
      </c>
    </row>
    <row r="2" spans="1:17" ht="21" customHeight="1" x14ac:dyDescent="0.25">
      <c r="A2" s="11">
        <v>3320</v>
      </c>
      <c r="B2" s="2" t="s">
        <v>79</v>
      </c>
      <c r="C2" s="2">
        <f>IFERROR(SMALL(A:A,1),"")</f>
        <v>3180</v>
      </c>
      <c r="E2" s="2" t="s">
        <v>80</v>
      </c>
      <c r="F2" s="2">
        <f>IFERROR((C3-C2)/C6,"")</f>
        <v>0.45454545454545453</v>
      </c>
      <c r="L2" s="1">
        <v>3</v>
      </c>
      <c r="M2" s="1">
        <v>0.94099999999999995</v>
      </c>
      <c r="N2" s="1">
        <v>0.97</v>
      </c>
      <c r="O2" s="1">
        <v>0.99399999999999999</v>
      </c>
    </row>
    <row r="3" spans="1:17" ht="21" customHeight="1" x14ac:dyDescent="0.25">
      <c r="A3" s="11">
        <v>3350</v>
      </c>
      <c r="B3" s="2" t="s">
        <v>81</v>
      </c>
      <c r="C3" s="2">
        <f>IFERROR(SMALL(A:A,2),"")</f>
        <v>3280</v>
      </c>
      <c r="E3" s="2" t="s">
        <v>82</v>
      </c>
      <c r="F3" s="2">
        <f>IFERROR((C4-C5)/C6,"")</f>
        <v>9.0909090909090912E-2</v>
      </c>
      <c r="H3" s="2" t="s">
        <v>83</v>
      </c>
      <c r="L3" s="1">
        <v>4</v>
      </c>
      <c r="M3" s="1">
        <v>0.76500000000000001</v>
      </c>
      <c r="N3" s="1">
        <v>0.82899999999999996</v>
      </c>
      <c r="O3" s="1">
        <v>0.92600000000000005</v>
      </c>
      <c r="P3" s="3" t="s">
        <v>76</v>
      </c>
      <c r="Q3" s="2">
        <f ca="1">INDIRECT("M"&amp;(COUNT(A:A)-1))</f>
        <v>0.50700000000000001</v>
      </c>
    </row>
    <row r="4" spans="1:17" ht="21" customHeight="1" x14ac:dyDescent="0.25">
      <c r="A4" s="11">
        <v>3380</v>
      </c>
      <c r="B4" s="2" t="s">
        <v>84</v>
      </c>
      <c r="C4" s="2">
        <f>IFERROR(LARGE(A:A,1),"")</f>
        <v>3400</v>
      </c>
      <c r="E4" s="3" t="s">
        <v>76</v>
      </c>
      <c r="F4" s="2">
        <f ca="1">IFERROR(Q3,"")</f>
        <v>0.50700000000000001</v>
      </c>
      <c r="H4" s="2" t="s">
        <v>85</v>
      </c>
      <c r="I4" s="2">
        <f>$C$2</f>
        <v>3180</v>
      </c>
      <c r="J4" s="2" t="str">
        <f ca="1">IF(F4="","",IF($F$2&lt;F4,"Não é uma anomalia (com 90% de confiança)","É uma anomalia (com 90% de confiança)"))</f>
        <v>Não é uma anomalia (com 90% de confiança)</v>
      </c>
      <c r="L4" s="1">
        <v>5</v>
      </c>
      <c r="M4" s="1">
        <v>0.64200000000000002</v>
      </c>
      <c r="N4" s="1">
        <v>0.71</v>
      </c>
      <c r="O4" s="1">
        <v>0.82099999999999995</v>
      </c>
      <c r="P4" s="3" t="s">
        <v>77</v>
      </c>
      <c r="Q4" s="2">
        <f ca="1">INDIRECT("N"&amp;(COUNT(A:A)-1))</f>
        <v>0.56799999999999995</v>
      </c>
    </row>
    <row r="5" spans="1:17" ht="21" customHeight="1" x14ac:dyDescent="0.25">
      <c r="A5" s="11">
        <v>3280</v>
      </c>
      <c r="B5" s="2" t="s">
        <v>86</v>
      </c>
      <c r="C5" s="2">
        <f>IFERROR(LARGE(A:A,2),"")</f>
        <v>3380</v>
      </c>
      <c r="E5" s="3" t="s">
        <v>77</v>
      </c>
      <c r="F5" s="2">
        <f ca="1">IFERROR(Q4,"")</f>
        <v>0.56799999999999995</v>
      </c>
      <c r="H5" s="2" t="s">
        <v>85</v>
      </c>
      <c r="I5" s="2">
        <f t="shared" ref="I5:I6" si="0">$C$2</f>
        <v>3180</v>
      </c>
      <c r="J5" s="2" t="str">
        <f ca="1">IF(F5="","",IF($F$2&lt;F5,"Não é uma anomalia (com 95% de confiança)","É uma anomalia (com 95% de confiança)"))</f>
        <v>Não é uma anomalia (com 95% de confiança)</v>
      </c>
      <c r="L5" s="1">
        <v>6</v>
      </c>
      <c r="M5" s="1">
        <v>0.56000000000000005</v>
      </c>
      <c r="N5" s="1">
        <v>0.625</v>
      </c>
      <c r="O5" s="1">
        <v>0.74</v>
      </c>
      <c r="P5" s="3" t="s">
        <v>78</v>
      </c>
      <c r="Q5" s="2">
        <f ca="1">INDIRECT("O"&amp;(COUNT(A:A)-1))</f>
        <v>0.68</v>
      </c>
    </row>
    <row r="6" spans="1:17" ht="21" customHeight="1" x14ac:dyDescent="0.25">
      <c r="A6" s="11">
        <v>3330</v>
      </c>
      <c r="B6" s="2" t="s">
        <v>87</v>
      </c>
      <c r="C6" s="2">
        <f>IFERROR(C4-C2,"")</f>
        <v>220</v>
      </c>
      <c r="E6" s="3" t="s">
        <v>78</v>
      </c>
      <c r="F6" s="2">
        <f ca="1">IFERROR(Q5,"")</f>
        <v>0.68</v>
      </c>
      <c r="H6" s="2" t="s">
        <v>85</v>
      </c>
      <c r="I6" s="2">
        <f t="shared" si="0"/>
        <v>3180</v>
      </c>
      <c r="J6" s="2" t="str">
        <f ca="1">IF(F6="","",IF($F$2&lt;F6,"Não é uma anomalia (com 99% de confiança)","É uma anomalia (com 99% de confiança)"))</f>
        <v>Não é uma anomalia (com 99% de confiança)</v>
      </c>
      <c r="L6" s="1">
        <v>7</v>
      </c>
      <c r="M6" s="1">
        <v>0.50700000000000001</v>
      </c>
      <c r="N6" s="1">
        <v>0.56799999999999995</v>
      </c>
      <c r="O6" s="1">
        <v>0.68</v>
      </c>
    </row>
    <row r="7" spans="1:17" ht="21" customHeight="1" x14ac:dyDescent="0.25">
      <c r="A7" s="11">
        <v>3180</v>
      </c>
      <c r="L7" s="1">
        <v>8</v>
      </c>
      <c r="M7" s="1">
        <v>0.46800000000000003</v>
      </c>
      <c r="N7" s="1">
        <v>0.52600000000000002</v>
      </c>
      <c r="O7" s="1">
        <v>0.63400000000000001</v>
      </c>
    </row>
    <row r="8" spans="1:17" ht="21" customHeight="1" thickBot="1" x14ac:dyDescent="0.3">
      <c r="A8" s="16">
        <v>3400</v>
      </c>
      <c r="H8" s="2" t="s">
        <v>85</v>
      </c>
      <c r="I8" s="2">
        <f>$C$4</f>
        <v>3400</v>
      </c>
      <c r="J8" s="2" t="str">
        <f ca="1">IF(F4="","",IF($F$3&lt;F4,"Não é uma anomalia (com 90% de confiança)","É uma anomalia (com 90% de confiança)"))</f>
        <v>Não é uma anomalia (com 90% de confiança)</v>
      </c>
      <c r="L8" s="1">
        <v>9</v>
      </c>
      <c r="M8" s="1">
        <v>0.437</v>
      </c>
      <c r="N8" s="1">
        <v>0.49299999999999999</v>
      </c>
      <c r="O8" s="1">
        <v>0.59799999999999998</v>
      </c>
    </row>
    <row r="9" spans="1:17" ht="21" customHeight="1" x14ac:dyDescent="0.25">
      <c r="A9" s="1"/>
      <c r="H9" s="2" t="s">
        <v>85</v>
      </c>
      <c r="I9" s="2">
        <f t="shared" ref="I9:I10" si="1">$C$4</f>
        <v>3400</v>
      </c>
      <c r="J9" s="2" t="str">
        <f ca="1">IF(F5="","",IF($F$3&lt;F5,"Não é uma anomalia (com 95% de confiança)","É uma anomalia (com 95% de confiança)"))</f>
        <v>Não é uma anomalia (com 95% de confiança)</v>
      </c>
      <c r="L9" s="1">
        <v>10</v>
      </c>
      <c r="M9" s="1">
        <v>0.41199999999999998</v>
      </c>
      <c r="N9" s="1">
        <v>0.46600000000000003</v>
      </c>
      <c r="O9" s="1">
        <v>0.56799999999999995</v>
      </c>
    </row>
    <row r="10" spans="1:17" ht="21" customHeight="1" x14ac:dyDescent="0.25">
      <c r="A10" s="1"/>
      <c r="H10" s="2" t="s">
        <v>85</v>
      </c>
      <c r="I10" s="2">
        <f t="shared" si="1"/>
        <v>3400</v>
      </c>
      <c r="J10" s="2" t="str">
        <f ca="1">IF(F6="","",IF($F$3&lt;F6,"Não é uma anomalia (com 99% de confiança)","É uma anomalia (com 99% de confiança)"))</f>
        <v>Não é uma anomalia (com 99% de confiança)</v>
      </c>
    </row>
    <row r="11" spans="1:17" ht="21" customHeight="1" x14ac:dyDescent="0.25">
      <c r="A1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9ABF3-F1C7-42B2-8968-D57BA640AFF1}">
  <dimension ref="A1:Q11"/>
  <sheetViews>
    <sheetView workbookViewId="0">
      <selection activeCell="A2" sqref="A2:A8"/>
    </sheetView>
  </sheetViews>
  <sheetFormatPr defaultRowHeight="21" customHeight="1" x14ac:dyDescent="0.25"/>
  <cols>
    <col min="1" max="1" width="9.140625" style="2"/>
    <col min="2" max="2" width="21.7109375" style="2" bestFit="1" customWidth="1"/>
    <col min="3" max="4" width="9.140625" style="2"/>
    <col min="5" max="5" width="11.28515625" style="2" bestFit="1" customWidth="1"/>
    <col min="6" max="9" width="9.140625" style="2"/>
    <col min="10" max="10" width="41.140625" style="2" bestFit="1" customWidth="1"/>
    <col min="11" max="11" width="9.140625" style="2"/>
    <col min="12" max="12" width="21.85546875" style="2" bestFit="1" customWidth="1"/>
    <col min="13" max="16384" width="9.140625" style="2"/>
  </cols>
  <sheetData>
    <row r="1" spans="1:17" ht="21" customHeight="1" x14ac:dyDescent="0.25">
      <c r="A1" s="2" t="s">
        <v>74</v>
      </c>
      <c r="L1" s="2" t="s">
        <v>75</v>
      </c>
      <c r="M1" s="3" t="s">
        <v>76</v>
      </c>
      <c r="N1" s="3" t="s">
        <v>77</v>
      </c>
      <c r="O1" s="3" t="s">
        <v>78</v>
      </c>
    </row>
    <row r="2" spans="1:17" ht="21" customHeight="1" x14ac:dyDescent="0.25">
      <c r="A2" s="11">
        <v>2950</v>
      </c>
      <c r="B2" s="2" t="s">
        <v>79</v>
      </c>
      <c r="C2" s="2">
        <f>IFERROR(SMALL(A:A,1),"")</f>
        <v>2950</v>
      </c>
      <c r="E2" s="2" t="s">
        <v>80</v>
      </c>
      <c r="F2" s="2">
        <f>IFERROR((C3-C2)/C6,"")</f>
        <v>0.12</v>
      </c>
      <c r="L2" s="1">
        <v>3</v>
      </c>
      <c r="M2" s="1">
        <v>0.94099999999999995</v>
      </c>
      <c r="N2" s="1">
        <v>0.97</v>
      </c>
      <c r="O2" s="1">
        <v>0.99399999999999999</v>
      </c>
    </row>
    <row r="3" spans="1:17" ht="21" customHeight="1" x14ac:dyDescent="0.25">
      <c r="A3" s="11">
        <v>2980</v>
      </c>
      <c r="B3" s="2" t="s">
        <v>81</v>
      </c>
      <c r="C3" s="2">
        <f>IFERROR(SMALL(A:A,2),"")</f>
        <v>2980</v>
      </c>
      <c r="E3" s="2" t="s">
        <v>82</v>
      </c>
      <c r="F3" s="2">
        <f>IFERROR((C4-C5)/C6,"")</f>
        <v>0.04</v>
      </c>
      <c r="H3" s="2" t="s">
        <v>83</v>
      </c>
      <c r="L3" s="1">
        <v>4</v>
      </c>
      <c r="M3" s="1">
        <v>0.76500000000000001</v>
      </c>
      <c r="N3" s="1">
        <v>0.82899999999999996</v>
      </c>
      <c r="O3" s="1">
        <v>0.92600000000000005</v>
      </c>
      <c r="P3" s="3" t="s">
        <v>76</v>
      </c>
      <c r="Q3" s="2">
        <f ca="1">INDIRECT("M"&amp;(COUNT(A:A)-1))</f>
        <v>0.50700000000000001</v>
      </c>
    </row>
    <row r="4" spans="1:17" ht="21" customHeight="1" x14ac:dyDescent="0.25">
      <c r="A4" s="11">
        <v>3150</v>
      </c>
      <c r="B4" s="2" t="s">
        <v>84</v>
      </c>
      <c r="C4" s="2">
        <f>IFERROR(LARGE(A:A,1),"")</f>
        <v>3200</v>
      </c>
      <c r="E4" s="3" t="s">
        <v>76</v>
      </c>
      <c r="F4" s="2">
        <f ca="1">IFERROR(Q3,"")</f>
        <v>0.50700000000000001</v>
      </c>
      <c r="H4" s="2" t="s">
        <v>85</v>
      </c>
      <c r="I4" s="2">
        <f>$C$2</f>
        <v>2950</v>
      </c>
      <c r="J4" s="2" t="str">
        <f ca="1">IF(F4="","",IF($F$2&lt;F4,"Não é uma anomalia (com 90% de confiança)","É uma anomalia (com 90% de confiança)"))</f>
        <v>Não é uma anomalia (com 90% de confiança)</v>
      </c>
      <c r="L4" s="1">
        <v>5</v>
      </c>
      <c r="M4" s="1">
        <v>0.64200000000000002</v>
      </c>
      <c r="N4" s="1">
        <v>0.71</v>
      </c>
      <c r="O4" s="1">
        <v>0.82099999999999995</v>
      </c>
      <c r="P4" s="3" t="s">
        <v>77</v>
      </c>
      <c r="Q4" s="2">
        <f ca="1">INDIRECT("N"&amp;(COUNT(A:A)-1))</f>
        <v>0.56799999999999995</v>
      </c>
    </row>
    <row r="5" spans="1:17" ht="21" customHeight="1" x14ac:dyDescent="0.25">
      <c r="A5" s="11">
        <v>3130</v>
      </c>
      <c r="B5" s="2" t="s">
        <v>86</v>
      </c>
      <c r="C5" s="2">
        <f>IFERROR(LARGE(A:A,2),"")</f>
        <v>3190</v>
      </c>
      <c r="E5" s="3" t="s">
        <v>77</v>
      </c>
      <c r="F5" s="2">
        <f ca="1">IFERROR(Q4,"")</f>
        <v>0.56799999999999995</v>
      </c>
      <c r="H5" s="2" t="s">
        <v>85</v>
      </c>
      <c r="I5" s="2">
        <f t="shared" ref="I5:I6" si="0">$C$2</f>
        <v>2950</v>
      </c>
      <c r="J5" s="2" t="str">
        <f ca="1">IF(F5="","",IF($F$2&lt;F5,"Não é uma anomalia (com 95% de confiança)","É uma anomalia (com 95% de confiança)"))</f>
        <v>Não é uma anomalia (com 95% de confiança)</v>
      </c>
      <c r="L5" s="1">
        <v>6</v>
      </c>
      <c r="M5" s="1">
        <v>0.56000000000000005</v>
      </c>
      <c r="N5" s="1">
        <v>0.625</v>
      </c>
      <c r="O5" s="1">
        <v>0.74</v>
      </c>
      <c r="P5" s="3" t="s">
        <v>78</v>
      </c>
      <c r="Q5" s="2">
        <f ca="1">INDIRECT("O"&amp;(COUNT(A:A)-1))</f>
        <v>0.68</v>
      </c>
    </row>
    <row r="6" spans="1:17" ht="21" customHeight="1" x14ac:dyDescent="0.25">
      <c r="A6" s="11">
        <v>2990</v>
      </c>
      <c r="B6" s="2" t="s">
        <v>87</v>
      </c>
      <c r="C6" s="2">
        <f>IFERROR(C4-C2,"")</f>
        <v>250</v>
      </c>
      <c r="E6" s="3" t="s">
        <v>78</v>
      </c>
      <c r="F6" s="2">
        <f ca="1">IFERROR(Q5,"")</f>
        <v>0.68</v>
      </c>
      <c r="H6" s="2" t="s">
        <v>85</v>
      </c>
      <c r="I6" s="2">
        <f t="shared" si="0"/>
        <v>2950</v>
      </c>
      <c r="J6" s="2" t="str">
        <f ca="1">IF(F6="","",IF($F$2&lt;F6,"Não é uma anomalia (com 99% de confiança)","É uma anomalia (com 99% de confiança)"))</f>
        <v>Não é uma anomalia (com 99% de confiança)</v>
      </c>
      <c r="L6" s="1">
        <v>7</v>
      </c>
      <c r="M6" s="1">
        <v>0.50700000000000001</v>
      </c>
      <c r="N6" s="1">
        <v>0.56799999999999995</v>
      </c>
      <c r="O6" s="1">
        <v>0.68</v>
      </c>
    </row>
    <row r="7" spans="1:17" ht="21" customHeight="1" x14ac:dyDescent="0.25">
      <c r="A7" s="11">
        <v>3200</v>
      </c>
      <c r="L7" s="1">
        <v>8</v>
      </c>
      <c r="M7" s="1">
        <v>0.46800000000000003</v>
      </c>
      <c r="N7" s="1">
        <v>0.52600000000000002</v>
      </c>
      <c r="O7" s="1">
        <v>0.63400000000000001</v>
      </c>
    </row>
    <row r="8" spans="1:17" ht="21" customHeight="1" thickBot="1" x14ac:dyDescent="0.3">
      <c r="A8" s="16">
        <v>3190</v>
      </c>
      <c r="H8" s="2" t="s">
        <v>85</v>
      </c>
      <c r="I8" s="2">
        <f>$C$4</f>
        <v>3200</v>
      </c>
      <c r="J8" s="2" t="str">
        <f ca="1">IF(F4="","",IF($F$3&lt;F4,"Não é uma anomalia (com 90% de confiança)","É uma anomalia (com 90% de confiança)"))</f>
        <v>Não é uma anomalia (com 90% de confiança)</v>
      </c>
      <c r="L8" s="1">
        <v>9</v>
      </c>
      <c r="M8" s="1">
        <v>0.437</v>
      </c>
      <c r="N8" s="1">
        <v>0.49299999999999999</v>
      </c>
      <c r="O8" s="1">
        <v>0.59799999999999998</v>
      </c>
    </row>
    <row r="9" spans="1:17" ht="21" customHeight="1" x14ac:dyDescent="0.25">
      <c r="A9" s="1"/>
      <c r="H9" s="2" t="s">
        <v>85</v>
      </c>
      <c r="I9" s="2">
        <f t="shared" ref="I9:I10" si="1">$C$4</f>
        <v>3200</v>
      </c>
      <c r="J9" s="2" t="str">
        <f ca="1">IF(F5="","",IF($F$3&lt;F5,"Não é uma anomalia (com 95% de confiança)","É uma anomalia (com 95% de confiança)"))</f>
        <v>Não é uma anomalia (com 95% de confiança)</v>
      </c>
      <c r="L9" s="1">
        <v>10</v>
      </c>
      <c r="M9" s="1">
        <v>0.41199999999999998</v>
      </c>
      <c r="N9" s="1">
        <v>0.46600000000000003</v>
      </c>
      <c r="O9" s="1">
        <v>0.56799999999999995</v>
      </c>
    </row>
    <row r="10" spans="1:17" ht="21" customHeight="1" x14ac:dyDescent="0.25">
      <c r="A10" s="1"/>
      <c r="H10" s="2" t="s">
        <v>85</v>
      </c>
      <c r="I10" s="2">
        <f t="shared" si="1"/>
        <v>3200</v>
      </c>
      <c r="J10" s="2" t="str">
        <f ca="1">IF(F6="","",IF($F$3&lt;F6,"Não é uma anomalia (com 99% de confiança)","É uma anomalia (com 99% de confiança)"))</f>
        <v>Não é uma anomalia (com 99% de confiança)</v>
      </c>
    </row>
    <row r="11" spans="1:17" ht="21" customHeight="1" x14ac:dyDescent="0.25">
      <c r="A11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5DDC-4149-40AC-8A20-829F290062B1}">
  <dimension ref="A1:V15"/>
  <sheetViews>
    <sheetView topLeftCell="J1" workbookViewId="0">
      <selection activeCell="K2" sqref="K2:K15"/>
    </sheetView>
  </sheetViews>
  <sheetFormatPr defaultRowHeight="21" customHeight="1" x14ac:dyDescent="0.25"/>
  <cols>
    <col min="1" max="1" width="23.28515625" style="2" bestFit="1" customWidth="1"/>
    <col min="2" max="2" width="9.140625" style="2"/>
    <col min="3" max="3" width="16.7109375" style="2" bestFit="1" customWidth="1"/>
    <col min="4" max="4" width="12.85546875" style="2" bestFit="1" customWidth="1"/>
    <col min="5" max="5" width="19.5703125" style="2" bestFit="1" customWidth="1"/>
    <col min="6" max="6" width="21.42578125" style="2" bestFit="1" customWidth="1"/>
    <col min="7" max="7" width="32.28515625" style="2" bestFit="1" customWidth="1"/>
    <col min="8" max="8" width="14.140625" style="2" bestFit="1" customWidth="1"/>
    <col min="9" max="9" width="11" style="2" bestFit="1" customWidth="1"/>
    <col min="10" max="10" width="9.140625" style="2"/>
    <col min="11" max="11" width="20.28515625" style="2" bestFit="1" customWidth="1"/>
    <col min="12" max="12" width="14.140625" style="2" bestFit="1" customWidth="1"/>
    <col min="13" max="13" width="14" style="2" bestFit="1" customWidth="1"/>
    <col min="14" max="14" width="18.140625" style="2" bestFit="1" customWidth="1"/>
    <col min="15" max="15" width="14.140625" style="2" bestFit="1" customWidth="1"/>
    <col min="16" max="16" width="10" style="2" bestFit="1" customWidth="1"/>
    <col min="17" max="21" width="9.140625" style="2"/>
    <col min="22" max="22" width="32" style="2" bestFit="1" customWidth="1"/>
    <col min="23" max="16384" width="9.140625" style="2"/>
  </cols>
  <sheetData>
    <row r="1" spans="1:22" ht="21" customHeight="1" x14ac:dyDescent="0.25">
      <c r="A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106</v>
      </c>
      <c r="U1" s="2" t="s">
        <v>107</v>
      </c>
      <c r="V1" s="1" t="s">
        <v>14</v>
      </c>
    </row>
    <row r="2" spans="1:22" ht="21" customHeight="1" x14ac:dyDescent="0.25">
      <c r="A2" s="2" t="s">
        <v>108</v>
      </c>
      <c r="B2" s="2">
        <v>0.05</v>
      </c>
      <c r="C2" s="10">
        <v>1</v>
      </c>
      <c r="D2" s="11">
        <v>3320</v>
      </c>
      <c r="E2" s="2">
        <f>AVERAGE(D2:D11)</f>
        <v>3232</v>
      </c>
      <c r="F2" s="2">
        <f>ABS(D2-E2)</f>
        <v>88</v>
      </c>
      <c r="G2" s="2">
        <f>AVERAGE(F2:F11)</f>
        <v>102.42857142857142</v>
      </c>
      <c r="H2" s="2">
        <f>(F2-AVERAGE(F:F))^2</f>
        <v>120.55143690129123</v>
      </c>
      <c r="I2" s="2">
        <f>IFERROR(SUM(H:H),"")</f>
        <v>18021.994169096197</v>
      </c>
      <c r="J2" s="2">
        <f>IF(I2="","",COUNT(D:D)-1)</f>
        <v>13</v>
      </c>
      <c r="K2" s="2">
        <f>(G2-AVERAGE(F:F))^2</f>
        <v>11.895460224906174</v>
      </c>
      <c r="L2" s="2">
        <f>IFERROR(SUM(K:K),"")</f>
        <v>188.51603498542195</v>
      </c>
      <c r="M2" s="2">
        <f>IF(L2="","",B3-1)</f>
        <v>1</v>
      </c>
      <c r="N2" s="2">
        <f>IFERROR(L2/M2,"")</f>
        <v>188.51603498542195</v>
      </c>
      <c r="O2" s="2">
        <f>(F2-G2)^2</f>
        <v>208.1836734693874</v>
      </c>
      <c r="P2" s="2">
        <f>IFERROR(SUM(O:O),"")</f>
        <v>17812.784256559753</v>
      </c>
      <c r="Q2" s="2">
        <f>IF(P2="","",COUNT(D:D)-B3)</f>
        <v>12</v>
      </c>
      <c r="R2" s="2">
        <f>IFERROR(P2/Q2,"")</f>
        <v>1484.3986880466462</v>
      </c>
      <c r="S2" s="2">
        <f>IFERROR(N2/R2,"")</f>
        <v>0.12699824952923833</v>
      </c>
      <c r="T2" s="2">
        <f>IFERROR(_xlfn.F.INV((1-B2),M2,Q2),"")</f>
        <v>4.7472253467225123</v>
      </c>
      <c r="U2" s="2">
        <f>IFERROR(FDIST(S2,M2,Q2),"")</f>
        <v>0.72775204833654827</v>
      </c>
      <c r="V2" s="1" t="str">
        <f>IF(S2="","",IF(S2&gt;T2,"As variâncias não são homogeneas","As variâncias são homogeneas"))</f>
        <v>As variâncias são homogeneas</v>
      </c>
    </row>
    <row r="3" spans="1:22" ht="21" customHeight="1" x14ac:dyDescent="0.25">
      <c r="A3" s="2" t="s">
        <v>109</v>
      </c>
      <c r="B3" s="2">
        <v>2</v>
      </c>
      <c r="C3" s="10">
        <v>2</v>
      </c>
      <c r="D3" s="11">
        <v>3350</v>
      </c>
      <c r="E3" s="2">
        <f>E2</f>
        <v>3232</v>
      </c>
      <c r="F3" s="2">
        <f>ABS(D3-E3)</f>
        <v>118</v>
      </c>
      <c r="G3" s="2">
        <f>G2</f>
        <v>102.42857142857142</v>
      </c>
      <c r="H3" s="2">
        <f>(F3-AVERAGE(F:F))^2</f>
        <v>361.77592669720934</v>
      </c>
      <c r="K3" s="2">
        <f t="shared" ref="K3:K15" si="0">(G3-AVERAGE(F:F))^2</f>
        <v>11.895460224906174</v>
      </c>
      <c r="O3" s="2">
        <f t="shared" ref="O3:O16" si="1">(F3-G3)^2</f>
        <v>242.46938775510242</v>
      </c>
    </row>
    <row r="4" spans="1:22" ht="21" customHeight="1" x14ac:dyDescent="0.25">
      <c r="C4" s="10">
        <v>3</v>
      </c>
      <c r="D4" s="11">
        <v>3380</v>
      </c>
      <c r="E4" s="2">
        <f t="shared" ref="E4:E8" si="2">E3</f>
        <v>3232</v>
      </c>
      <c r="F4" s="2">
        <f t="shared" ref="F4:F8" si="3">ABS(D4-E4)</f>
        <v>148</v>
      </c>
      <c r="G4" s="2">
        <f t="shared" ref="G4:G8" si="4">G3</f>
        <v>102.42857142857142</v>
      </c>
      <c r="H4" s="2">
        <f t="shared" ref="H4:H8" si="5">(F4-AVERAGE(F:F))^2</f>
        <v>2403.0004164931274</v>
      </c>
      <c r="K4" s="2">
        <f t="shared" si="0"/>
        <v>11.895460224906174</v>
      </c>
      <c r="O4" s="2">
        <f t="shared" si="1"/>
        <v>2076.7551020408173</v>
      </c>
    </row>
    <row r="5" spans="1:22" ht="21" customHeight="1" x14ac:dyDescent="0.25">
      <c r="C5" s="10">
        <v>4</v>
      </c>
      <c r="D5" s="11">
        <v>3280</v>
      </c>
      <c r="E5" s="2">
        <f t="shared" si="2"/>
        <v>3232</v>
      </c>
      <c r="F5" s="2">
        <f t="shared" si="3"/>
        <v>48</v>
      </c>
      <c r="G5" s="2">
        <f t="shared" si="4"/>
        <v>102.42857142857142</v>
      </c>
      <c r="H5" s="2">
        <f t="shared" si="5"/>
        <v>2598.9187838400671</v>
      </c>
      <c r="K5" s="2">
        <f t="shared" si="0"/>
        <v>11.895460224906174</v>
      </c>
      <c r="O5" s="2">
        <f t="shared" si="1"/>
        <v>2962.4693877551008</v>
      </c>
    </row>
    <row r="6" spans="1:22" ht="21" customHeight="1" x14ac:dyDescent="0.25">
      <c r="C6" s="10">
        <v>5</v>
      </c>
      <c r="D6" s="11">
        <v>3330</v>
      </c>
      <c r="E6" s="2">
        <f t="shared" si="2"/>
        <v>3232</v>
      </c>
      <c r="F6" s="2">
        <f t="shared" si="3"/>
        <v>98</v>
      </c>
      <c r="G6" s="2">
        <f t="shared" si="4"/>
        <v>102.42857142857142</v>
      </c>
      <c r="H6" s="2">
        <f t="shared" si="5"/>
        <v>0.95960016659726022</v>
      </c>
      <c r="K6" s="2">
        <f t="shared" si="0"/>
        <v>11.895460224906174</v>
      </c>
      <c r="O6" s="2">
        <f t="shared" si="1"/>
        <v>19.612244897959076</v>
      </c>
    </row>
    <row r="7" spans="1:22" ht="21" customHeight="1" x14ac:dyDescent="0.25">
      <c r="C7" s="10">
        <v>6</v>
      </c>
      <c r="D7" s="11">
        <v>3180</v>
      </c>
      <c r="E7" s="2">
        <f t="shared" si="2"/>
        <v>3232</v>
      </c>
      <c r="F7" s="2">
        <f t="shared" si="3"/>
        <v>52</v>
      </c>
      <c r="G7" s="2">
        <f t="shared" si="4"/>
        <v>102.42857142857142</v>
      </c>
      <c r="H7" s="2">
        <f t="shared" si="5"/>
        <v>2207.0820491461895</v>
      </c>
      <c r="K7" s="2">
        <f t="shared" si="0"/>
        <v>11.895460224906174</v>
      </c>
      <c r="O7" s="2">
        <f t="shared" si="1"/>
        <v>2543.0408163265292</v>
      </c>
    </row>
    <row r="8" spans="1:22" ht="21" customHeight="1" thickBot="1" x14ac:dyDescent="0.3">
      <c r="C8" s="15">
        <v>7</v>
      </c>
      <c r="D8" s="16">
        <v>3400</v>
      </c>
      <c r="E8" s="2">
        <f t="shared" si="2"/>
        <v>3232</v>
      </c>
      <c r="F8" s="2">
        <f t="shared" si="3"/>
        <v>168</v>
      </c>
      <c r="G8" s="2">
        <f t="shared" si="4"/>
        <v>102.42857142857142</v>
      </c>
      <c r="H8" s="2">
        <f t="shared" si="5"/>
        <v>4763.816743023739</v>
      </c>
      <c r="K8" s="2">
        <f t="shared" si="0"/>
        <v>11.895460224906174</v>
      </c>
      <c r="O8" s="2">
        <f t="shared" si="1"/>
        <v>4299.6122448979604</v>
      </c>
    </row>
    <row r="9" spans="1:22" ht="21" customHeight="1" x14ac:dyDescent="0.25">
      <c r="C9" s="10">
        <v>1</v>
      </c>
      <c r="D9" s="11">
        <v>2950</v>
      </c>
      <c r="E9" s="2">
        <f>AVERAGE(D9:D18)</f>
        <v>3084.2857142857142</v>
      </c>
      <c r="F9" s="2">
        <f>ABS(D9-E9)</f>
        <v>134.28571428571422</v>
      </c>
      <c r="G9" s="2">
        <f>AVERAGE(F9:F18)</f>
        <v>95.102040816326536</v>
      </c>
      <c r="H9" s="2">
        <f>(F9-AVERAGE(F:F))^2</f>
        <v>1246.5222823823358</v>
      </c>
      <c r="K9" s="2">
        <f t="shared" si="0"/>
        <v>15.035401915868384</v>
      </c>
      <c r="O9" s="2">
        <f t="shared" si="1"/>
        <v>1535.3602665555964</v>
      </c>
    </row>
    <row r="10" spans="1:22" ht="21" customHeight="1" x14ac:dyDescent="0.25">
      <c r="C10" s="10">
        <v>2</v>
      </c>
      <c r="D10" s="11">
        <v>2980</v>
      </c>
      <c r="E10" s="2">
        <f>E9</f>
        <v>3084.2857142857142</v>
      </c>
      <c r="F10" s="2">
        <f>ABS(D10-E10)</f>
        <v>104.28571428571422</v>
      </c>
      <c r="G10" s="2">
        <f>G9</f>
        <v>95.102040816326536</v>
      </c>
      <c r="H10" s="2">
        <f>(F10-AVERAGE(F:F))^2</f>
        <v>28.154935443564444</v>
      </c>
      <c r="K10" s="2">
        <f t="shared" si="0"/>
        <v>15.035401915868384</v>
      </c>
      <c r="O10" s="2">
        <f t="shared" si="1"/>
        <v>84.339858392335231</v>
      </c>
    </row>
    <row r="11" spans="1:22" ht="21" customHeight="1" x14ac:dyDescent="0.25">
      <c r="C11" s="10">
        <v>3</v>
      </c>
      <c r="D11" s="11">
        <v>3150</v>
      </c>
      <c r="E11" s="2">
        <f t="shared" ref="E11:E15" si="6">E10</f>
        <v>3084.2857142857142</v>
      </c>
      <c r="F11" s="2">
        <f t="shared" ref="F11:F15" si="7">ABS(D11-E11)</f>
        <v>65.714285714285779</v>
      </c>
      <c r="G11" s="2">
        <f t="shared" ref="G11:G15" si="8">G10</f>
        <v>95.102040816326536</v>
      </c>
      <c r="H11" s="2">
        <f t="shared" ref="H11:H15" si="9">(F11-AVERAGE(F:F))^2</f>
        <v>1106.5805914202376</v>
      </c>
      <c r="K11" s="2">
        <f t="shared" si="0"/>
        <v>15.035401915868384</v>
      </c>
      <c r="O11" s="2">
        <f t="shared" si="1"/>
        <v>863.64014993752255</v>
      </c>
    </row>
    <row r="12" spans="1:22" ht="21" customHeight="1" x14ac:dyDescent="0.25">
      <c r="C12" s="10">
        <v>4</v>
      </c>
      <c r="D12" s="11">
        <v>3130</v>
      </c>
      <c r="E12" s="2">
        <f t="shared" si="6"/>
        <v>3084.2857142857142</v>
      </c>
      <c r="F12" s="2">
        <f t="shared" si="7"/>
        <v>45.714285714285779</v>
      </c>
      <c r="G12" s="2">
        <f t="shared" si="8"/>
        <v>95.102040816326536</v>
      </c>
      <c r="H12" s="2">
        <f t="shared" si="9"/>
        <v>2837.1928363181942</v>
      </c>
      <c r="K12" s="2">
        <f t="shared" si="0"/>
        <v>15.035401915868384</v>
      </c>
      <c r="O12" s="2">
        <f t="shared" si="1"/>
        <v>2439.1503540191529</v>
      </c>
    </row>
    <row r="13" spans="1:22" ht="21" customHeight="1" x14ac:dyDescent="0.25">
      <c r="C13" s="10">
        <v>5</v>
      </c>
      <c r="D13" s="11">
        <v>2990</v>
      </c>
      <c r="E13" s="2">
        <f t="shared" si="6"/>
        <v>3084.2857142857142</v>
      </c>
      <c r="F13" s="2">
        <f t="shared" si="7"/>
        <v>94.285714285714221</v>
      </c>
      <c r="G13" s="2">
        <f t="shared" si="8"/>
        <v>95.102040816326536</v>
      </c>
      <c r="H13" s="2">
        <f t="shared" si="9"/>
        <v>22.032486463973999</v>
      </c>
      <c r="K13" s="2">
        <f t="shared" si="0"/>
        <v>15.035401915868384</v>
      </c>
      <c r="O13" s="2">
        <f t="shared" si="1"/>
        <v>0.66638900458153905</v>
      </c>
    </row>
    <row r="14" spans="1:22" ht="21" customHeight="1" x14ac:dyDescent="0.25">
      <c r="C14" s="10">
        <v>6</v>
      </c>
      <c r="D14" s="11">
        <v>3200</v>
      </c>
      <c r="E14" s="2">
        <f t="shared" si="6"/>
        <v>3084.2857142857142</v>
      </c>
      <c r="F14" s="2">
        <f t="shared" si="7"/>
        <v>115.71428571428578</v>
      </c>
      <c r="G14" s="2">
        <f t="shared" si="8"/>
        <v>95.102040816326536</v>
      </c>
      <c r="H14" s="2">
        <f t="shared" si="9"/>
        <v>280.04997917534564</v>
      </c>
      <c r="K14" s="2">
        <f t="shared" si="0"/>
        <v>15.035401915868384</v>
      </c>
      <c r="O14" s="2">
        <f t="shared" si="1"/>
        <v>424.86463973344684</v>
      </c>
    </row>
    <row r="15" spans="1:22" ht="21" customHeight="1" thickBot="1" x14ac:dyDescent="0.3">
      <c r="C15" s="15">
        <v>7</v>
      </c>
      <c r="D15" s="16">
        <v>3190</v>
      </c>
      <c r="E15" s="2">
        <f t="shared" si="6"/>
        <v>3084.2857142857142</v>
      </c>
      <c r="F15" s="2">
        <f t="shared" si="7"/>
        <v>105.71428571428578</v>
      </c>
      <c r="G15" s="2">
        <f t="shared" si="8"/>
        <v>95.102040816326536</v>
      </c>
      <c r="H15" s="2">
        <f t="shared" si="9"/>
        <v>45.356101624324012</v>
      </c>
      <c r="K15" s="2">
        <f t="shared" si="0"/>
        <v>15.035401915868384</v>
      </c>
      <c r="O15" s="2">
        <f t="shared" si="1"/>
        <v>112.619741774262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Exercicio</vt:lpstr>
      <vt:lpstr>Shapiro-Wilk 1</vt:lpstr>
      <vt:lpstr>Shapiro-Wilk 2</vt:lpstr>
      <vt:lpstr>TesteQ 1</vt:lpstr>
      <vt:lpstr>TesteQ 2</vt:lpstr>
      <vt:lpstr>Levene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2020-02-19T17:30:58Z</dcterms:created>
  <dcterms:modified xsi:type="dcterms:W3CDTF">2020-02-20T18:33:24Z</dcterms:modified>
</cp:coreProperties>
</file>