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8800" windowHeight="16140"/>
  </bookViews>
  <sheets>
    <sheet name="Marketing Budget Plan" sheetId="1" r:id="rId1"/>
    <sheet name="Personnel - Chart" sheetId="4" r:id="rId2"/>
    <sheet name="Market Research - Chart" sheetId="5" r:id="rId3"/>
    <sheet name="Communications - Chart" sheetId="6" r:id="rId4"/>
    <sheet name="Other Categories - Chart" sheetId="7" r:id="rId5"/>
  </sheets>
  <definedNames>
    <definedName name="FiscalYear">'Marketing Budget Plan'!$P$1</definedName>
    <definedName name="_xlnm.Print_Titles" localSheetId="0">'Marketing Budget Plan'!$6:$6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O12" i="1"/>
  <c r="C35" i="1"/>
  <c r="D35" i="1"/>
  <c r="E35" i="1"/>
  <c r="F35" i="1"/>
  <c r="G35" i="1"/>
  <c r="H35" i="1"/>
  <c r="I35" i="1"/>
  <c r="J35" i="1"/>
  <c r="K35" i="1"/>
  <c r="L35" i="1"/>
  <c r="M35" i="1"/>
  <c r="O33" i="1"/>
  <c r="O34" i="1"/>
  <c r="O31" i="1"/>
  <c r="O32" i="1"/>
  <c r="O35" i="1"/>
  <c r="B35" i="1"/>
  <c r="N35" i="1"/>
  <c r="M28" i="1"/>
  <c r="L28" i="1"/>
  <c r="K28" i="1"/>
  <c r="J28" i="1"/>
  <c r="I28" i="1"/>
  <c r="H28" i="1"/>
  <c r="G28" i="1"/>
  <c r="F28" i="1"/>
  <c r="E28" i="1"/>
  <c r="D28" i="1"/>
  <c r="C28" i="1"/>
  <c r="B28" i="1"/>
  <c r="O27" i="1"/>
  <c r="O23" i="1"/>
  <c r="O24" i="1"/>
  <c r="O25" i="1"/>
  <c r="O26" i="1"/>
  <c r="O28" i="1"/>
  <c r="N28" i="1"/>
  <c r="O17" i="1"/>
  <c r="O18" i="1"/>
  <c r="O19" i="1"/>
  <c r="O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C14" i="1"/>
  <c r="C8" i="1"/>
  <c r="D14" i="1"/>
  <c r="D8" i="1"/>
  <c r="E14" i="1"/>
  <c r="E8" i="1"/>
  <c r="F14" i="1"/>
  <c r="F8" i="1"/>
  <c r="G14" i="1"/>
  <c r="G8" i="1"/>
  <c r="H14" i="1"/>
  <c r="H8" i="1"/>
  <c r="I14" i="1"/>
  <c r="I8" i="1"/>
  <c r="J14" i="1"/>
  <c r="J8" i="1"/>
  <c r="K14" i="1"/>
  <c r="K8" i="1"/>
  <c r="L14" i="1"/>
  <c r="L8" i="1"/>
  <c r="M14" i="1"/>
  <c r="M8" i="1"/>
  <c r="B14" i="1"/>
  <c r="B8" i="1"/>
  <c r="N8" i="1"/>
  <c r="O8" i="1"/>
  <c r="O11" i="1"/>
  <c r="O13" i="1"/>
  <c r="O14" i="1"/>
  <c r="N14" i="1"/>
  <c r="N32" i="1"/>
  <c r="N33" i="1"/>
  <c r="N34" i="1"/>
  <c r="N31" i="1"/>
  <c r="N24" i="1"/>
  <c r="N25" i="1"/>
  <c r="N26" i="1"/>
  <c r="N27" i="1"/>
  <c r="N23" i="1"/>
  <c r="N18" i="1"/>
  <c r="N19" i="1"/>
  <c r="N17" i="1"/>
  <c r="N13" i="1"/>
  <c r="N11" i="1"/>
  <c r="B6" i="1"/>
  <c r="C6" i="1"/>
  <c r="D6" i="1"/>
  <c r="E6" i="1"/>
  <c r="F6" i="1"/>
  <c r="G6" i="1"/>
  <c r="H6" i="1"/>
  <c r="I6" i="1"/>
  <c r="J6" i="1"/>
  <c r="K6" i="1"/>
  <c r="L6" i="1"/>
  <c r="M6" i="1"/>
</calcChain>
</file>

<file path=xl/comments1.xml><?xml version="1.0" encoding="utf-8"?>
<comments xmlns="http://schemas.openxmlformats.org/spreadsheetml/2006/main">
  <authors>
    <author xml:space="preserve">   </author>
  </authors>
  <commentList>
    <comment ref="Q2" authorId="0">
      <text>
        <r>
          <rPr>
            <b/>
            <sz val="9"/>
            <color theme="1" tint="0.24994659260841701"/>
            <rFont val="Hei"/>
            <charset val="134"/>
          </rPr>
          <t>如果您更改了财政年度的起始日期，则第 6 行的标题也会随之自动更新。</t>
        </r>
      </text>
    </comment>
    <comment ref="Q17" authorId="0">
      <text>
        <r>
          <rPr>
            <b/>
            <sz val="9"/>
            <color theme="1" tint="0.24994659260841701"/>
            <rFont val="Hei"/>
            <charset val="134"/>
          </rPr>
          <t>每个表格“概要”列中的小图表会自动更新，能够一目了然地显示全年数据的趋势。
这些图表称为“迷你图”。当您点击进入包含迷你图的任一单元格时，可以看到功能区上有“迷你图”选项卡，您可以在多方面自定义这些灵活的小图表。</t>
        </r>
      </text>
    </comment>
  </commentList>
</comments>
</file>

<file path=xl/sharedStrings.xml><?xml version="1.0" encoding="utf-8"?>
<sst xmlns="http://schemas.openxmlformats.org/spreadsheetml/2006/main" count="29" uniqueCount="29">
  <si>
    <r>
      <rPr>
        <b/>
        <sz val="14"/>
        <color rgb="FF6E9EC2"/>
        <rFont val="Hei"/>
        <charset val="134"/>
      </rPr>
      <t>财政年度
始于：</t>
    </r>
  </si>
  <si>
    <t>每月
平均</t>
  </si>
  <si>
    <t>合计</t>
  </si>
  <si>
    <t>概要</t>
  </si>
  <si>
    <r>
      <rPr>
        <b/>
        <sz val="14"/>
        <color rgb="FF6E9EC2" tint="-0.49995422223578601"/>
        <rFont val="Hei"/>
        <charset val="134"/>
      </rPr>
      <t>预算总额</t>
    </r>
  </si>
  <si>
    <t>职员预算总额</t>
  </si>
  <si>
    <t>公司调查费用</t>
  </si>
  <si>
    <t>网络调查</t>
  </si>
  <si>
    <t>独立调查</t>
  </si>
  <si>
    <t>市场调查预算总额</t>
  </si>
  <si>
    <r>
      <rPr>
        <b/>
        <sz val="14"/>
        <color rgb="FF6E9EC2" tint="-0.49995422223578601"/>
        <rFont val="Hei"/>
        <charset val="134"/>
      </rPr>
      <t>传播推广</t>
    </r>
  </si>
  <si>
    <t>品牌推广</t>
  </si>
  <si>
    <t>促销活动</t>
  </si>
  <si>
    <t>报纸广告</t>
  </si>
  <si>
    <t>网络广告</t>
  </si>
  <si>
    <t>直销</t>
  </si>
  <si>
    <t>传播推广预算总额</t>
  </si>
  <si>
    <r>
      <rPr>
        <b/>
        <sz val="14"/>
        <color rgb="FF6E9EC2" tint="-0.49995422223578601"/>
        <rFont val="Hei"/>
        <charset val="134"/>
      </rPr>
      <t>其他</t>
    </r>
  </si>
  <si>
    <t>邮费</t>
  </si>
  <si>
    <t>差旅</t>
  </si>
  <si>
    <t>电话费</t>
  </si>
  <si>
    <t>计算机/办公设备</t>
  </si>
  <si>
    <t>其他预算总额</t>
  </si>
  <si>
    <r>
      <rPr>
        <b/>
        <sz val="14"/>
        <color rgb="FF6E9EC2" tint="-0.49995422223578601"/>
        <rFont val="Hei"/>
        <charset val="134"/>
      </rPr>
      <t>职员</t>
    </r>
    <phoneticPr fontId="10" type="noConversion"/>
  </si>
  <si>
    <r>
      <rPr>
        <b/>
        <sz val="22"/>
        <color rgb="FF6E9EC2" tint="-0.249977111117893"/>
        <rFont val="Hei"/>
        <charset val="134"/>
      </rPr>
      <t>产品开发预算</t>
    </r>
    <phoneticPr fontId="10" type="noConversion"/>
  </si>
  <si>
    <t>奖金</t>
    <phoneticPr fontId="10" type="noConversion"/>
  </si>
  <si>
    <t>实习生（美工）</t>
    <phoneticPr fontId="10" type="noConversion"/>
  </si>
  <si>
    <t>实习生（产品3人）</t>
    <phoneticPr fontId="10" type="noConversion"/>
  </si>
  <si>
    <r>
      <rPr>
        <b/>
        <sz val="14"/>
        <color rgb="FF6E9EC2" tint="-0.49995422223578601"/>
        <rFont val="Hei"/>
        <charset val="134"/>
      </rPr>
      <t>供应商调查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</si>
</sst>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mm"/>
    <numFmt numFmtId="177" formatCode="#,##0_);\(#,##0\)"/>
  </numFmts>
  <fonts count="26" x14ac:knownFonts="1">
    <font>
      <sz val="12"/>
      <color theme="1" tint="0.24994659260841701"/>
      <name val="News Gothic MT"/>
      <family val="2"/>
      <scheme val="minor"/>
    </font>
    <font>
      <sz val="12"/>
      <color theme="1"/>
      <name val="News Gothic MT"/>
      <family val="2"/>
      <scheme val="minor"/>
    </font>
    <font>
      <sz val="12"/>
      <color theme="0"/>
      <name val="News Gothic MT"/>
      <family val="2"/>
      <scheme val="minor"/>
    </font>
    <font>
      <b/>
      <sz val="12"/>
      <color theme="1" tint="0.24994659260841701"/>
      <name val="News Gothic MT"/>
      <family val="2"/>
      <scheme val="minor"/>
    </font>
    <font>
      <sz val="11"/>
      <color theme="0"/>
      <name val="News Gothic MT"/>
      <family val="2"/>
      <scheme val="minor"/>
    </font>
    <font>
      <b/>
      <sz val="22"/>
      <color theme="4" tint="-0.24994659260841701"/>
      <name val="News Gothic MT"/>
      <family val="2"/>
      <scheme val="major"/>
    </font>
    <font>
      <b/>
      <sz val="14"/>
      <color theme="4" tint="-0.24994659260841701"/>
      <name val="News Gothic MT"/>
      <family val="2"/>
      <scheme val="minor"/>
    </font>
    <font>
      <b/>
      <sz val="11"/>
      <color theme="1" tint="0.34998626667073579"/>
      <name val="News Gothic MT"/>
      <family val="2"/>
      <scheme val="minor"/>
    </font>
    <font>
      <u/>
      <sz val="12"/>
      <color theme="10"/>
      <name val="News Gothic MT"/>
      <family val="2"/>
      <scheme val="minor"/>
    </font>
    <font>
      <u/>
      <sz val="12"/>
      <color theme="11"/>
      <name val="News Gothic MT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6" tint="-0.249977111117893"/>
      <name val="Hei"/>
      <charset val="134"/>
    </font>
    <font>
      <b/>
      <sz val="22"/>
      <color rgb="FF6E9EC2" tint="-0.249977111117893"/>
      <name val="Hei"/>
      <charset val="134"/>
    </font>
    <font>
      <b/>
      <sz val="22"/>
      <color theme="4" tint="-0.24994659260841701"/>
      <name val="Hei"/>
      <charset val="134"/>
    </font>
    <font>
      <b/>
      <sz val="14"/>
      <color theme="6"/>
      <name val="Hei"/>
      <charset val="134"/>
    </font>
    <font>
      <b/>
      <sz val="14"/>
      <color rgb="FF6E9EC2"/>
      <name val="Hei"/>
      <charset val="134"/>
    </font>
    <font>
      <sz val="12"/>
      <color theme="1"/>
      <name val="Hei"/>
      <charset val="134"/>
    </font>
    <font>
      <sz val="11"/>
      <color theme="0"/>
      <name val="Hei"/>
      <charset val="134"/>
    </font>
    <font>
      <b/>
      <sz val="12"/>
      <color theme="1"/>
      <name val="Hei"/>
      <charset val="134"/>
    </font>
    <font>
      <b/>
      <sz val="12"/>
      <color theme="1" tint="0.24994659260841701"/>
      <name val="Hei"/>
      <charset val="134"/>
    </font>
    <font>
      <sz val="12"/>
      <color theme="1" tint="0.24994659260841701"/>
      <name val="Hei"/>
      <charset val="134"/>
    </font>
    <font>
      <b/>
      <sz val="14"/>
      <color theme="6" tint="-0.499984740745262"/>
      <name val="Hei"/>
      <charset val="134"/>
    </font>
    <font>
      <b/>
      <sz val="14"/>
      <color rgb="FF6E9EC2" tint="-0.49995422223578601"/>
      <name val="Hei"/>
      <charset val="134"/>
    </font>
    <font>
      <b/>
      <sz val="11"/>
      <color theme="1" tint="0.34998626667073579"/>
      <name val="Hei"/>
      <charset val="134"/>
    </font>
    <font>
      <b/>
      <sz val="14"/>
      <color theme="4" tint="-0.24994659260841701"/>
      <name val="Hei"/>
      <charset val="134"/>
    </font>
    <font>
      <b/>
      <sz val="9"/>
      <color theme="1" tint="0.24994659260841701"/>
      <name val="Hei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/>
      <right/>
      <top/>
      <bottom style="thick">
        <color theme="6"/>
      </bottom>
      <diagonal/>
    </border>
  </borders>
  <cellStyleXfs count="34">
    <xf numFmtId="0" fontId="0" fillId="0" borderId="0"/>
    <xf numFmtId="0" fontId="5" fillId="0" borderId="1" applyNumberFormat="0" applyFill="0" applyAlignment="0" applyProtection="0"/>
    <xf numFmtId="0" fontId="3" fillId="5" borderId="2" applyNumberFormat="0" applyProtection="0">
      <alignment horizontal="right"/>
    </xf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1" applyNumberFormat="0" applyFill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1" fillId="0" borderId="1" xfId="1" applyFont="1" applyFill="1" applyAlignment="1"/>
    <xf numFmtId="0" fontId="13" fillId="0" borderId="1" xfId="1" applyFont="1" applyFill="1" applyAlignment="1"/>
    <xf numFmtId="0" fontId="13" fillId="0" borderId="1" xfId="1" applyFont="1" applyFill="1"/>
    <xf numFmtId="0" fontId="14" fillId="0" borderId="1" xfId="3" applyFont="1" applyFill="1" applyAlignment="1">
      <alignment horizontal="right" vertical="center" wrapText="1"/>
    </xf>
    <xf numFmtId="57" fontId="14" fillId="0" borderId="1" xfId="3" applyNumberFormat="1" applyFont="1" applyFill="1" applyAlignment="1">
      <alignment horizontal="center" vertical="center"/>
    </xf>
    <xf numFmtId="0" fontId="16" fillId="0" borderId="0" xfId="0" applyFont="1" applyFill="1" applyBorder="1"/>
    <xf numFmtId="0" fontId="17" fillId="4" borderId="0" xfId="7" applyFont="1" applyBorder="1" applyAlignment="1">
      <alignment horizontal="left" vertical="center"/>
    </xf>
    <xf numFmtId="0" fontId="17" fillId="4" borderId="0" xfId="7" applyFont="1" applyBorder="1"/>
    <xf numFmtId="0" fontId="17" fillId="4" borderId="0" xfId="7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right"/>
    </xf>
    <xf numFmtId="0" fontId="19" fillId="5" borderId="2" xfId="2" applyFont="1">
      <alignment horizontal="right"/>
    </xf>
    <xf numFmtId="58" fontId="19" fillId="5" borderId="2" xfId="2" applyNumberFormat="1" applyFont="1">
      <alignment horizontal="right"/>
    </xf>
    <xf numFmtId="176" fontId="19" fillId="5" borderId="2" xfId="2" applyNumberFormat="1" applyFont="1" applyAlignment="1">
      <alignment horizontal="right" wrapText="1"/>
    </xf>
    <xf numFmtId="176" fontId="19" fillId="5" borderId="2" xfId="2" applyNumberFormat="1" applyFont="1" applyAlignment="1">
      <alignment horizontal="center"/>
    </xf>
    <xf numFmtId="0" fontId="20" fillId="0" borderId="0" xfId="0" applyFont="1"/>
    <xf numFmtId="0" fontId="21" fillId="0" borderId="1" xfId="3" applyFont="1"/>
    <xf numFmtId="37" fontId="23" fillId="0" borderId="1" xfId="6" applyNumberFormat="1" applyFont="1" applyBorder="1"/>
    <xf numFmtId="1" fontId="23" fillId="0" borderId="1" xfId="6" applyNumberFormat="1" applyFont="1" applyBorder="1"/>
    <xf numFmtId="0" fontId="18" fillId="0" borderId="0" xfId="0" applyFont="1" applyFill="1" applyBorder="1" applyAlignment="1">
      <alignment vertical="center" wrapText="1"/>
    </xf>
    <xf numFmtId="3" fontId="16" fillId="0" borderId="0" xfId="0" applyNumberFormat="1" applyFont="1" applyFill="1" applyBorder="1" applyAlignment="1">
      <alignment vertical="center"/>
    </xf>
    <xf numFmtId="0" fontId="24" fillId="0" borderId="1" xfId="3" applyFont="1"/>
    <xf numFmtId="0" fontId="20" fillId="0" borderId="0" xfId="0" applyFont="1" applyFill="1" applyBorder="1" applyAlignment="1">
      <alignment vertical="center" wrapText="1"/>
    </xf>
    <xf numFmtId="38" fontId="20" fillId="0" borderId="0" xfId="0" applyNumberFormat="1" applyFont="1" applyFill="1" applyBorder="1" applyAlignment="1">
      <alignment vertical="center"/>
    </xf>
    <xf numFmtId="37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38" fontId="1" fillId="0" borderId="0" xfId="0" applyNumberFormat="1" applyFont="1" applyFill="1" applyBorder="1" applyAlignment="1">
      <alignment vertical="center"/>
    </xf>
    <xf numFmtId="37" fontId="1" fillId="0" borderId="0" xfId="0" applyNumberFormat="1" applyFont="1" applyFill="1" applyBorder="1" applyAlignment="1">
      <alignment vertical="center"/>
    </xf>
    <xf numFmtId="0" fontId="17" fillId="4" borderId="0" xfId="7" applyFont="1" applyBorder="1" applyAlignment="1">
      <alignment horizontal="left" vertical="center"/>
    </xf>
    <xf numFmtId="0" fontId="17" fillId="4" borderId="0" xfId="7" applyFont="1" applyBorder="1" applyAlignment="1">
      <alignment horizontal="right"/>
    </xf>
    <xf numFmtId="177" fontId="16" fillId="0" borderId="0" xfId="0" applyNumberFormat="1" applyFont="1" applyFill="1" applyBorder="1" applyAlignment="1">
      <alignment vertical="center"/>
    </xf>
  </cellXfs>
  <cellStyles count="34">
    <cellStyle name="60% - 强调文字颜色 1" xfId="4" builtinId="32" customBuiltin="1"/>
    <cellStyle name="60% - 强调文字颜色 3" xfId="7" builtinId="40"/>
    <cellStyle name="60% - 强调文字颜色 5" xfId="5" builtinId="48" customBuiltin="1"/>
    <cellStyle name="标题" xfId="1" builtinId="15" customBuiltin="1"/>
    <cellStyle name="标题 2" xfId="2" builtinId="17" customBuiltin="1"/>
    <cellStyle name="标题 3" xfId="3" builtinId="18" customBuiltin="1"/>
    <cellStyle name="标题 4" xfId="6" builtinId="19" customBuilti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普通" xfId="0" builtinId="0" customBuiltin="1"/>
  </cellStyles>
  <dxfs count="246"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numFmt numFmtId="177" formatCode="#,##0_);\(#,##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14"/>
        <color theme="6" tint="-0.499984740745262"/>
        <name val="He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177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177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177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ill>
        <patternFill patternType="none">
          <fgColor auto="1"/>
          <bgColor auto="1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ill>
        <patternFill patternType="solid">
          <fgColor theme="6" tint="0.39994506668294322"/>
          <bgColor theme="6" tint="0.39994506668294322"/>
        </patternFill>
      </fill>
    </dxf>
    <dxf>
      <fill>
        <patternFill patternType="solid">
          <fgColor theme="6" tint="0.39994506668294322"/>
          <bgColor theme="6" tint="0.3999450666829432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6" tint="0.599963377788628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</dxfs>
  <tableStyles count="2" defaultTableStyle="TableStyleMedium2" defaultPivotStyle="PivotStyleLight16">
    <tableStyle name="Marketing Tables" pivot="0" count="5">
      <tableStyleElement type="wholeTable" dxfId="245"/>
      <tableStyleElement type="headerRow" dxfId="244"/>
      <tableStyleElement type="totalRow" dxfId="243"/>
      <tableStyleElement type="firstRowStripe" dxfId="242"/>
      <tableStyleElement type="firstColumnStripe" dxfId="241"/>
    </tableStyle>
    <tableStyle name="Marketing Tables Light" pivot="0" count="4">
      <tableStyleElement type="wholeTable" dxfId="240"/>
      <tableStyleElement type="headerRow" dxfId="239"/>
      <tableStyleElement type="totalRow" dxfId="238"/>
      <tableStyleElement type="firstRowStripe" dxfId="237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853057893672"/>
          <c:y val="0.12531479618378"/>
          <c:w val="0.912903582202538"/>
          <c:h val="0.82680772503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'Marketing Budget Plan'!$A$11</c:f>
              <c:strCache>
                <c:ptCount val="1"/>
                <c:pt idx="0">
                  <c:v>实习生（产品3人）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Plan'!$B$11:$M$11</c:f>
              <c:numCache>
                <c:formatCode>#,##0;[Red]\-#,##0</c:formatCode>
                <c:ptCount val="12"/>
                <c:pt idx="0">
                  <c:v>9000.0</c:v>
                </c:pt>
                <c:pt idx="1">
                  <c:v>9000.0</c:v>
                </c:pt>
                <c:pt idx="2">
                  <c:v>9000.0</c:v>
                </c:pt>
                <c:pt idx="3">
                  <c:v>9000.0</c:v>
                </c:pt>
                <c:pt idx="4">
                  <c:v>9000.0</c:v>
                </c:pt>
              </c:numCache>
            </c:numRef>
          </c:val>
        </c:ser>
        <c:ser>
          <c:idx val="1"/>
          <c:order val="1"/>
          <c:tx>
            <c:strRef>
              <c:f>'Marketing Budget Plan'!#REF!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'Marketing Budget Plan'!#REF!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'Marketing Budget Plan'!$A$13</c:f>
              <c:strCache>
                <c:ptCount val="1"/>
                <c:pt idx="0">
                  <c:v>奖金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Plan'!$B$13:$M$13</c:f>
              <c:numCache>
                <c:formatCode>#,##0;[Red]\-#,##0</c:formatCode>
                <c:ptCount val="12"/>
                <c:pt idx="0">
                  <c:v>1000.0</c:v>
                </c:pt>
                <c:pt idx="1">
                  <c:v>5000.0</c:v>
                </c:pt>
                <c:pt idx="2">
                  <c:v>0.0</c:v>
                </c:pt>
                <c:pt idx="3">
                  <c:v>0.0</c:v>
                </c:pt>
                <c:pt idx="4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181192"/>
        <c:axId val="-2121190504"/>
      </c:barChart>
      <c:dateAx>
        <c:axId val="-2121181192"/>
        <c:scaling>
          <c:orientation val="minMax"/>
        </c:scaling>
        <c:delete val="0"/>
        <c:axPos val="b"/>
        <c:numFmt formatCode="m&quot;MM&quot;d&quot;DD&quot;" sourceLinked="1"/>
        <c:majorTickMark val="none"/>
        <c:minorTickMark val="none"/>
        <c:tickLblPos val="nextTo"/>
        <c:crossAx val="-2121190504"/>
        <c:crosses val="autoZero"/>
        <c:auto val="1"/>
        <c:lblOffset val="100"/>
        <c:baseTimeUnit val="months"/>
      </c:dateAx>
      <c:valAx>
        <c:axId val="-2121190504"/>
        <c:scaling>
          <c:orientation val="minMax"/>
        </c:scaling>
        <c:delete val="0"/>
        <c:axPos val="l"/>
        <c:majorGridlines/>
        <c:numFmt formatCode="#,##0;[Red]\-#,##0" sourceLinked="1"/>
        <c:majorTickMark val="none"/>
        <c:minorTickMark val="none"/>
        <c:tickLblPos val="nextTo"/>
        <c:crossAx val="-2121181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853057893672"/>
          <c:y val="0.12531479618378"/>
          <c:w val="0.912903582202538"/>
          <c:h val="0.82680772503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'Marketing Budget Plan'!$A$17</c:f>
              <c:strCache>
                <c:ptCount val="1"/>
                <c:pt idx="0">
                  <c:v>公司调查费用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Plan'!$B$17:$M$17</c:f>
              <c:numCache>
                <c:formatCode>#,##0;[Red]\-#,##0</c:formatCode>
                <c:ptCount val="12"/>
                <c:pt idx="0">
                  <c:v>8000.0</c:v>
                </c:pt>
                <c:pt idx="1">
                  <c:v>7000.0</c:v>
                </c:pt>
                <c:pt idx="2">
                  <c:v>8000.0</c:v>
                </c:pt>
                <c:pt idx="3">
                  <c:v>6000.0</c:v>
                </c:pt>
                <c:pt idx="4">
                  <c:v>7000.0</c:v>
                </c:pt>
              </c:numCache>
            </c:numRef>
          </c:val>
        </c:ser>
        <c:ser>
          <c:idx val="1"/>
          <c:order val="1"/>
          <c:tx>
            <c:strRef>
              <c:f>'Marketing Budget Plan'!$A$18</c:f>
              <c:strCache>
                <c:ptCount val="1"/>
                <c:pt idx="0">
                  <c:v>网络调查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Plan'!$B$18:$M$18</c:f>
              <c:numCache>
                <c:formatCode>#,##0;[Red]\-#,##0</c:formatCode>
                <c:ptCount val="12"/>
                <c:pt idx="0">
                  <c:v>5000.0</c:v>
                </c:pt>
                <c:pt idx="1">
                  <c:v>3000.0</c:v>
                </c:pt>
                <c:pt idx="2">
                  <c:v>4000.0</c:v>
                </c:pt>
                <c:pt idx="3">
                  <c:v>2000.0</c:v>
                </c:pt>
                <c:pt idx="4">
                  <c:v>1000.0</c:v>
                </c:pt>
              </c:numCache>
            </c:numRef>
          </c:val>
        </c:ser>
        <c:ser>
          <c:idx val="2"/>
          <c:order val="2"/>
          <c:tx>
            <c:strRef>
              <c:f>'Marketing Budget Plan'!$A$19</c:f>
              <c:strCache>
                <c:ptCount val="1"/>
                <c:pt idx="0">
                  <c:v>独立调查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Plan'!$B$19:$M$19</c:f>
              <c:numCache>
                <c:formatCode>#,##0;[Red]\-#,##0</c:formatCode>
                <c:ptCount val="12"/>
                <c:pt idx="0">
                  <c:v>3500.0</c:v>
                </c:pt>
                <c:pt idx="1">
                  <c:v>4000.0</c:v>
                </c:pt>
                <c:pt idx="2">
                  <c:v>2000.0</c:v>
                </c:pt>
                <c:pt idx="3">
                  <c:v>2500.0</c:v>
                </c:pt>
                <c:pt idx="4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237560"/>
        <c:axId val="-2121240648"/>
      </c:barChart>
      <c:dateAx>
        <c:axId val="-2121237560"/>
        <c:scaling>
          <c:orientation val="minMax"/>
        </c:scaling>
        <c:delete val="0"/>
        <c:axPos val="b"/>
        <c:numFmt formatCode="m&quot;MM&quot;d&quot;DD&quot;" sourceLinked="1"/>
        <c:majorTickMark val="none"/>
        <c:minorTickMark val="none"/>
        <c:tickLblPos val="nextTo"/>
        <c:crossAx val="-2121240648"/>
        <c:crosses val="autoZero"/>
        <c:auto val="1"/>
        <c:lblOffset val="100"/>
        <c:baseTimeUnit val="months"/>
      </c:dateAx>
      <c:valAx>
        <c:axId val="-2121240648"/>
        <c:scaling>
          <c:orientation val="minMax"/>
        </c:scaling>
        <c:delete val="0"/>
        <c:axPos val="l"/>
        <c:majorGridlines/>
        <c:numFmt formatCode="#,##0;[Red]\-#,##0" sourceLinked="1"/>
        <c:majorTickMark val="none"/>
        <c:minorTickMark val="none"/>
        <c:tickLblPos val="nextTo"/>
        <c:crossAx val="-2121237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853057893672"/>
          <c:y val="0.12531479618378"/>
          <c:w val="0.912903582202538"/>
          <c:h val="0.82680772503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'Marketing Budget Plan'!$A$23</c:f>
              <c:strCache>
                <c:ptCount val="1"/>
                <c:pt idx="0">
                  <c:v>品牌推广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Plan'!$B$23:$M$23</c:f>
              <c:numCache>
                <c:formatCode>#,##0;[Red]\-#,##0</c:formatCode>
                <c:ptCount val="12"/>
                <c:pt idx="0">
                  <c:v>521.0</c:v>
                </c:pt>
                <c:pt idx="1">
                  <c:v>323.0</c:v>
                </c:pt>
                <c:pt idx="2">
                  <c:v>274.0</c:v>
                </c:pt>
                <c:pt idx="3">
                  <c:v>451.0</c:v>
                </c:pt>
                <c:pt idx="4">
                  <c:v>104.0</c:v>
                </c:pt>
              </c:numCache>
            </c:numRef>
          </c:val>
        </c:ser>
        <c:ser>
          <c:idx val="1"/>
          <c:order val="1"/>
          <c:tx>
            <c:strRef>
              <c:f>'Marketing Budget Plan'!$A$24</c:f>
              <c:strCache>
                <c:ptCount val="1"/>
                <c:pt idx="0">
                  <c:v>促销活动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Plan'!$B$24:$M$24</c:f>
              <c:numCache>
                <c:formatCode>#,##0;[Red]\-#,##0</c:formatCode>
                <c:ptCount val="12"/>
              </c:numCache>
            </c:numRef>
          </c:val>
        </c:ser>
        <c:ser>
          <c:idx val="2"/>
          <c:order val="2"/>
          <c:tx>
            <c:strRef>
              <c:f>'Marketing Budget Plan'!$A$25</c:f>
              <c:strCache>
                <c:ptCount val="1"/>
                <c:pt idx="0">
                  <c:v>报纸广告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Plan'!$B$25:$M$25</c:f>
              <c:numCache>
                <c:formatCode>#,##0;[Red]\-#,##0</c:formatCode>
                <c:ptCount val="12"/>
              </c:numCache>
            </c:numRef>
          </c:val>
        </c:ser>
        <c:ser>
          <c:idx val="3"/>
          <c:order val="3"/>
          <c:tx>
            <c:strRef>
              <c:f>'Marketing Budget Plan'!$A$26</c:f>
              <c:strCache>
                <c:ptCount val="1"/>
                <c:pt idx="0">
                  <c:v>网络广告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Plan'!$B$26:$M$26</c:f>
              <c:numCache>
                <c:formatCode>#,##0;[Red]\-#,##0</c:formatCode>
                <c:ptCount val="12"/>
                <c:pt idx="0">
                  <c:v>10572.0</c:v>
                </c:pt>
                <c:pt idx="1">
                  <c:v>14514.0</c:v>
                </c:pt>
                <c:pt idx="2">
                  <c:v>10561.0</c:v>
                </c:pt>
                <c:pt idx="3">
                  <c:v>13170.0</c:v>
                </c:pt>
                <c:pt idx="4">
                  <c:v>12478.0</c:v>
                </c:pt>
              </c:numCache>
            </c:numRef>
          </c:val>
        </c:ser>
        <c:ser>
          <c:idx val="4"/>
          <c:order val="4"/>
          <c:tx>
            <c:strRef>
              <c:f>'Marketing Budget Plan'!$A$27</c:f>
              <c:strCache>
                <c:ptCount val="1"/>
                <c:pt idx="0">
                  <c:v>直销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Plan'!$B$27:$M$27</c:f>
              <c:numCache>
                <c:formatCode>#,##0;[Red]\-#,##0</c:formatCode>
                <c:ptCount val="12"/>
                <c:pt idx="0">
                  <c:v>250.0</c:v>
                </c:pt>
                <c:pt idx="1">
                  <c:v>428.0</c:v>
                </c:pt>
                <c:pt idx="2">
                  <c:v>165.0</c:v>
                </c:pt>
                <c:pt idx="3">
                  <c:v>1168.0</c:v>
                </c:pt>
                <c:pt idx="4">
                  <c:v>345.0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7600456"/>
        <c:axId val="-2117597304"/>
      </c:barChart>
      <c:dateAx>
        <c:axId val="-2117600456"/>
        <c:scaling>
          <c:orientation val="minMax"/>
        </c:scaling>
        <c:delete val="0"/>
        <c:axPos val="b"/>
        <c:numFmt formatCode="m&quot;MM&quot;d&quot;DD&quot;" sourceLinked="1"/>
        <c:majorTickMark val="none"/>
        <c:minorTickMark val="none"/>
        <c:tickLblPos val="nextTo"/>
        <c:crossAx val="-2117597304"/>
        <c:crosses val="autoZero"/>
        <c:auto val="1"/>
        <c:lblOffset val="100"/>
        <c:baseTimeUnit val="months"/>
      </c:dateAx>
      <c:valAx>
        <c:axId val="-2117597304"/>
        <c:scaling>
          <c:orientation val="minMax"/>
        </c:scaling>
        <c:delete val="0"/>
        <c:axPos val="l"/>
        <c:majorGridlines/>
        <c:numFmt formatCode="#,##0;[Red]\-#,##0" sourceLinked="1"/>
        <c:majorTickMark val="none"/>
        <c:minorTickMark val="none"/>
        <c:tickLblPos val="nextTo"/>
        <c:crossAx val="-2117600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853057893672"/>
          <c:y val="0.12531479618378"/>
          <c:w val="0.912903582202538"/>
          <c:h val="0.826807725034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'Marketing Budget Plan'!$A$31</c:f>
              <c:strCache>
                <c:ptCount val="1"/>
                <c:pt idx="0">
                  <c:v>邮费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Plan'!$B$31:$M$31</c:f>
              <c:numCache>
                <c:formatCode>#,##0;[Red]\-#,##0</c:formatCode>
                <c:ptCount val="12"/>
                <c:pt idx="0">
                  <c:v>521.0</c:v>
                </c:pt>
                <c:pt idx="1">
                  <c:v>323.0</c:v>
                </c:pt>
                <c:pt idx="2">
                  <c:v>274.0</c:v>
                </c:pt>
                <c:pt idx="3">
                  <c:v>451.0</c:v>
                </c:pt>
                <c:pt idx="4">
                  <c:v>104.0</c:v>
                </c:pt>
              </c:numCache>
            </c:numRef>
          </c:val>
        </c:ser>
        <c:ser>
          <c:idx val="1"/>
          <c:order val="1"/>
          <c:tx>
            <c:strRef>
              <c:f>'Marketing Budget Plan'!$A$32</c:f>
              <c:strCache>
                <c:ptCount val="1"/>
                <c:pt idx="0">
                  <c:v>差旅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Plan'!$B$32:$M$32</c:f>
              <c:numCache>
                <c:formatCode>#,##0;[Red]\-#,##0</c:formatCode>
                <c:ptCount val="12"/>
                <c:pt idx="0">
                  <c:v>12000.0</c:v>
                </c:pt>
                <c:pt idx="1">
                  <c:v>13000.0</c:v>
                </c:pt>
                <c:pt idx="2">
                  <c:v>14000.0</c:v>
                </c:pt>
                <c:pt idx="3">
                  <c:v>12000.0</c:v>
                </c:pt>
                <c:pt idx="4">
                  <c:v>11000.0</c:v>
                </c:pt>
              </c:numCache>
            </c:numRef>
          </c:val>
        </c:ser>
        <c:ser>
          <c:idx val="2"/>
          <c:order val="2"/>
          <c:tx>
            <c:strRef>
              <c:f>'Marketing Budget Plan'!$A$33</c:f>
              <c:strCache>
                <c:ptCount val="1"/>
                <c:pt idx="0">
                  <c:v>电话费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Plan'!$B$33:$M$33</c:f>
              <c:numCache>
                <c:formatCode>#,##0;[Red]\-#,##0</c:formatCode>
                <c:ptCount val="12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'Marketing Budget Plan'!$A$34</c:f>
              <c:strCache>
                <c:ptCount val="1"/>
                <c:pt idx="0">
                  <c:v>计算机/办公设备</c:v>
                </c:pt>
              </c:strCache>
            </c:strRef>
          </c:tx>
          <c:invertIfNegative val="0"/>
          <c:cat>
            <c:numRef>
              <c:f>'Marketing Budget Plan'!$B$6:$M$6</c:f>
              <c:numCache>
                <c:formatCode>m"MM"d"DD"</c:formatCode>
                <c:ptCount val="12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</c:numCache>
            </c:numRef>
          </c:cat>
          <c:val>
            <c:numRef>
              <c:f>'Marketing Budget Plan'!$B$34:$M$34</c:f>
              <c:numCache>
                <c:formatCode>#,##0;[Red]\-#,##0</c:formatCode>
                <c:ptCount val="12"/>
                <c:pt idx="0">
                  <c:v>200.0</c:v>
                </c:pt>
                <c:pt idx="1">
                  <c:v>300.0</c:v>
                </c:pt>
                <c:pt idx="2">
                  <c:v>400.0</c:v>
                </c:pt>
                <c:pt idx="3">
                  <c:v>500.0</c:v>
                </c:pt>
                <c:pt idx="4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678360"/>
        <c:axId val="-2119698264"/>
      </c:barChart>
      <c:dateAx>
        <c:axId val="-2119678360"/>
        <c:scaling>
          <c:orientation val="minMax"/>
        </c:scaling>
        <c:delete val="0"/>
        <c:axPos val="b"/>
        <c:numFmt formatCode="m&quot;MM&quot;d&quot;DD&quot;" sourceLinked="1"/>
        <c:majorTickMark val="none"/>
        <c:minorTickMark val="none"/>
        <c:tickLblPos val="nextTo"/>
        <c:crossAx val="-2119698264"/>
        <c:crosses val="autoZero"/>
        <c:auto val="1"/>
        <c:lblOffset val="100"/>
        <c:baseTimeUnit val="months"/>
      </c:dateAx>
      <c:valAx>
        <c:axId val="-2119698264"/>
        <c:scaling>
          <c:orientation val="minMax"/>
        </c:scaling>
        <c:delete val="0"/>
        <c:axPos val="l"/>
        <c:majorGridlines/>
        <c:numFmt formatCode="#,##0;[Red]\-#,##0" sourceLinked="1"/>
        <c:majorTickMark val="none"/>
        <c:minorTickMark val="none"/>
        <c:tickLblPos val="nextTo"/>
        <c:crossAx val="-2119678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5"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/>
  <sheetViews>
    <sheetView zoomScale="13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7"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4" name="Personnel" displayName="Personnel" ref="A11:P14" headerRowCount="0" totalsRowCount="1" headerRowDxfId="236" dataDxfId="235">
  <tableColumns count="16">
    <tableColumn id="1" name="Description" totalsRowLabel="职员预算总额" headerRowDxfId="234" dataDxfId="233" totalsRowDxfId="18"/>
    <tableColumn id="3" name="Column1" totalsRowFunction="sum" headerRowDxfId="232" dataDxfId="231" totalsRowDxfId="17"/>
    <tableColumn id="4" name="Column2" totalsRowFunction="sum" headerRowDxfId="230" dataDxfId="229" totalsRowDxfId="16"/>
    <tableColumn id="5" name="Column3" totalsRowFunction="sum" headerRowDxfId="228" dataDxfId="227" totalsRowDxfId="15"/>
    <tableColumn id="6" name="Column4" totalsRowFunction="sum" headerRowDxfId="226" dataDxfId="225" totalsRowDxfId="14"/>
    <tableColumn id="7" name="Column5" totalsRowFunction="sum" headerRowDxfId="224" dataDxfId="223" totalsRowDxfId="13"/>
    <tableColumn id="8" name="Column6" totalsRowFunction="sum" headerRowDxfId="222" dataDxfId="221" totalsRowDxfId="12"/>
    <tableColumn id="9" name="Column7" totalsRowFunction="sum" headerRowDxfId="220" dataDxfId="219" totalsRowDxfId="11"/>
    <tableColumn id="10" name="Column8" totalsRowFunction="sum" headerRowDxfId="218" dataDxfId="217" totalsRowDxfId="10"/>
    <tableColumn id="11" name="Column9" totalsRowFunction="sum" headerRowDxfId="216" dataDxfId="215" totalsRowDxfId="9"/>
    <tableColumn id="12" name="Column10" totalsRowFunction="sum" headerRowDxfId="214" dataDxfId="213" totalsRowDxfId="8"/>
    <tableColumn id="13" name="Column11" totalsRowFunction="sum" headerRowDxfId="212" dataDxfId="211" totalsRowDxfId="7"/>
    <tableColumn id="14" name="Column12" totalsRowFunction="sum" headerRowDxfId="210" dataDxfId="209" totalsRowDxfId="6"/>
    <tableColumn id="15" name="Average" totalsRowFunction="custom" headerRowDxfId="208" dataDxfId="207" totalsRowDxfId="5">
      <calculatedColumnFormula>IFERROR(AVERAGE(Personnel[[#This Row],[Column1]:[Column12]]),"")</calculatedColumnFormula>
      <totalsRowFormula>IFERROR(AVERAGE(Personnel[[#All],[Column1]:[Column12]]),"")</totalsRowFormula>
    </tableColumn>
    <tableColumn id="2" name="Total" totalsRowFunction="sum" headerRowDxfId="206" dataDxfId="205" totalsRowDxfId="4">
      <calculatedColumnFormula>SUM(Personnel[[#This Row],[Column1]:[Column12]])</calculatedColumnFormula>
    </tableColumn>
    <tableColumn id="16" name="Overview" headerRowDxfId="204" dataDxfId="203" totalsRowDxfId="3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MarketResearch" displayName="MarketResearch" ref="A17:P20" headerRowCount="0" totalsRowCount="1" headerRowDxfId="202" dataDxfId="201">
  <tableColumns count="16">
    <tableColumn id="1" name="Description" totalsRowLabel="市场调查预算总额" headerRowDxfId="200" dataDxfId="199" totalsRowDxfId="198"/>
    <tableColumn id="3" name="Column1" totalsRowFunction="sum" headerRowDxfId="197" dataDxfId="196" totalsRowDxfId="195"/>
    <tableColumn id="4" name="Column2" totalsRowFunction="sum" headerRowDxfId="194" dataDxfId="193" totalsRowDxfId="192"/>
    <tableColumn id="5" name="Column3" totalsRowFunction="sum" headerRowDxfId="191" dataDxfId="190" totalsRowDxfId="189"/>
    <tableColumn id="6" name="Column4" totalsRowFunction="sum" headerRowDxfId="188" dataDxfId="187" totalsRowDxfId="186"/>
    <tableColumn id="7" name="Column5" totalsRowFunction="sum" headerRowDxfId="185" dataDxfId="184" totalsRowDxfId="183"/>
    <tableColumn id="8" name="Column6" totalsRowFunction="sum" headerRowDxfId="182" dataDxfId="181" totalsRowDxfId="180"/>
    <tableColumn id="9" name="Column7" totalsRowFunction="sum" headerRowDxfId="179" dataDxfId="178" totalsRowDxfId="177"/>
    <tableColumn id="10" name="Column8" totalsRowFunction="sum" headerRowDxfId="176" dataDxfId="175" totalsRowDxfId="174"/>
    <tableColumn id="11" name="Column9" totalsRowFunction="sum" headerRowDxfId="173" dataDxfId="172" totalsRowDxfId="171"/>
    <tableColumn id="12" name="Column10" totalsRowFunction="sum" headerRowDxfId="170" dataDxfId="169" totalsRowDxfId="168"/>
    <tableColumn id="13" name="Column11" totalsRowFunction="sum" headerRowDxfId="167" dataDxfId="166" totalsRowDxfId="165"/>
    <tableColumn id="14" name="Column12" totalsRowFunction="sum" headerRowDxfId="164" dataDxfId="163" totalsRowDxfId="162"/>
    <tableColumn id="15" name="Average" totalsRowFunction="custom" headerRowDxfId="161" dataDxfId="160" totalsRowDxfId="159">
      <calculatedColumnFormula>IFERROR(AVERAGE(MarketResearch[[#This Row],[Column1]:[Column12]]),"")</calculatedColumnFormula>
      <totalsRowFormula>IFERROR(AVERAGE(MarketResearch[[#All],[Column1]:[Column12]]),"")</totalsRowFormula>
    </tableColumn>
    <tableColumn id="2" name="Total" totalsRowFunction="sum" headerRowDxfId="158" dataDxfId="157" totalsRowDxfId="156">
      <calculatedColumnFormula>SUM(MarketResearch[[#This Row],[Column1]:[Column12]])</calculatedColumnFormula>
    </tableColumn>
    <tableColumn id="16" name="Overview" headerRowDxfId="155" dataDxfId="154" totalsRowDxfId="153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id="5" name="Communications" displayName="Communications" ref="A23:P28" headerRowCount="0" totalsRowCount="1" headerRowDxfId="152" dataDxfId="151">
  <tableColumns count="16">
    <tableColumn id="1" name="Description" totalsRowLabel="传播推广预算总额" headerRowDxfId="150" dataDxfId="149" totalsRowDxfId="148"/>
    <tableColumn id="3" name="Column1" totalsRowFunction="sum" headerRowDxfId="147" dataDxfId="146" totalsRowDxfId="145"/>
    <tableColumn id="4" name="Column2" totalsRowFunction="sum" headerRowDxfId="144" dataDxfId="143" totalsRowDxfId="142"/>
    <tableColumn id="5" name="Column3" totalsRowFunction="sum" headerRowDxfId="141" dataDxfId="140" totalsRowDxfId="139"/>
    <tableColumn id="6" name="Column4" totalsRowFunction="sum" headerRowDxfId="138" dataDxfId="137" totalsRowDxfId="136"/>
    <tableColumn id="7" name="Column5" totalsRowFunction="sum" headerRowDxfId="135" dataDxfId="134" totalsRowDxfId="133"/>
    <tableColumn id="8" name="Column6" totalsRowFunction="sum" headerRowDxfId="132" dataDxfId="131" totalsRowDxfId="130"/>
    <tableColumn id="9" name="Column7" totalsRowFunction="sum" headerRowDxfId="129" dataDxfId="128" totalsRowDxfId="127"/>
    <tableColumn id="10" name="Column8" totalsRowFunction="sum" headerRowDxfId="126" dataDxfId="125" totalsRowDxfId="124"/>
    <tableColumn id="11" name="Column9" totalsRowFunction="sum" headerRowDxfId="123" dataDxfId="122" totalsRowDxfId="121"/>
    <tableColumn id="12" name="Column10" totalsRowFunction="sum" headerRowDxfId="120" dataDxfId="119" totalsRowDxfId="118"/>
    <tableColumn id="13" name="Column11" totalsRowFunction="sum" headerRowDxfId="117" dataDxfId="116" totalsRowDxfId="115"/>
    <tableColumn id="14" name="Column12" totalsRowFunction="sum" headerRowDxfId="114" dataDxfId="113" totalsRowDxfId="112"/>
    <tableColumn id="15" name="Average" totalsRowFunction="custom" headerRowDxfId="111" dataDxfId="110" totalsRowDxfId="109">
      <calculatedColumnFormula>IFERROR(AVERAGE(Communications[[#This Row],[Column1]:[Column12]]),"")</calculatedColumnFormula>
      <totalsRowFormula>IFERROR(AVERAGE(Communications[[#All],[Column1]:[Column12]]),"")</totalsRowFormula>
    </tableColumn>
    <tableColumn id="16" name="Total" totalsRowFunction="sum" headerRowDxfId="108" dataDxfId="107" totalsRowDxfId="106">
      <calculatedColumnFormula>SUM(Communications[[#This Row],[Column1]:[Column12]])</calculatedColumnFormula>
    </tableColumn>
    <tableColumn id="2" name="Overview" headerRowDxfId="105" dataDxfId="104" totalsRowDxfId="103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id="6" name="Other" displayName="Other" ref="A31:P35" headerRowCount="0" totalsRowCount="1" headerRowDxfId="102" dataDxfId="101">
  <tableColumns count="16">
    <tableColumn id="1" name="Description" totalsRowLabel="其他预算总额" headerRowDxfId="100" dataDxfId="99" totalsRowDxfId="98"/>
    <tableColumn id="3" name="Column1" totalsRowFunction="sum" headerRowDxfId="97" dataDxfId="96" totalsRowDxfId="95"/>
    <tableColumn id="4" name="Column2" totalsRowFunction="sum" headerRowDxfId="94" dataDxfId="93" totalsRowDxfId="92"/>
    <tableColumn id="5" name="Column3" totalsRowFunction="sum" headerRowDxfId="91" dataDxfId="90" totalsRowDxfId="89"/>
    <tableColumn id="6" name="Column4" totalsRowFunction="sum" headerRowDxfId="88" dataDxfId="87" totalsRowDxfId="86"/>
    <tableColumn id="7" name="Column5" totalsRowFunction="sum" headerRowDxfId="85" dataDxfId="84" totalsRowDxfId="83"/>
    <tableColumn id="8" name="Column6" totalsRowFunction="sum" headerRowDxfId="82" dataDxfId="81" totalsRowDxfId="80"/>
    <tableColumn id="9" name="Column7" totalsRowFunction="sum" headerRowDxfId="79" dataDxfId="78" totalsRowDxfId="77"/>
    <tableColumn id="10" name="Column8" totalsRowFunction="sum" headerRowDxfId="76" dataDxfId="75" totalsRowDxfId="74"/>
    <tableColumn id="11" name="Column9" totalsRowFunction="sum" headerRowDxfId="73" dataDxfId="72" totalsRowDxfId="71"/>
    <tableColumn id="12" name="Column10" totalsRowFunction="sum" headerRowDxfId="70" dataDxfId="69" totalsRowDxfId="68"/>
    <tableColumn id="13" name="Column11" totalsRowFunction="sum" headerRowDxfId="67" dataDxfId="66" totalsRowDxfId="65"/>
    <tableColumn id="14" name="Column12" totalsRowFunction="sum" headerRowDxfId="64" dataDxfId="63" totalsRowDxfId="62"/>
    <tableColumn id="15" name="Average" totalsRowFunction="custom" headerRowDxfId="61" dataDxfId="60" totalsRowDxfId="59">
      <calculatedColumnFormula>IFERROR(AVERAGE(Other[[#This Row],[Column1]:[Column12]]),"")</calculatedColumnFormula>
      <totalsRowFormula>IFERROR(AVERAGE(Other[[#All],[Column1]:[Column12]]),"")</totalsRowFormula>
    </tableColumn>
    <tableColumn id="2" name="Total" totalsRowFunction="sum" headerRowDxfId="58" dataDxfId="57" totalsRowDxfId="56">
      <calculatedColumnFormula>SUM(Other[[#This Row],[Column1]:[Column12]])</calculatedColumnFormula>
    </tableColumn>
    <tableColumn id="16" name="Overview" headerRowDxfId="55" dataDxfId="54" totalsRowDxfId="53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8:P8" headerRowCount="0" totalsRowShown="0" headerRowDxfId="52" dataDxfId="51">
  <tableColumns count="16">
    <tableColumn id="1" name="Description" headerRowDxfId="50" dataDxfId="49"/>
    <tableColumn id="2" name="Column1" headerRowDxfId="48" dataDxfId="47">
      <calculatedColumnFormula>SUM(Personnel[[#Totals],[Column1]],MarketResearch[[#Totals],[Column1]],Communications[[#Totals],[Column1]],Other[[#Totals],[Column1]])</calculatedColumnFormula>
    </tableColumn>
    <tableColumn id="3" name="Column2" headerRowDxfId="46" dataDxfId="45">
      <calculatedColumnFormula>SUM(Personnel[[#Totals],[Column2]],MarketResearch[[#Totals],[Column2]],Communications[[#Totals],[Column2]],Other[[#Totals],[Column2]])</calculatedColumnFormula>
    </tableColumn>
    <tableColumn id="4" name="Column3" headerRowDxfId="44" dataDxfId="43">
      <calculatedColumnFormula>SUM(Personnel[[#Totals],[Column3]],MarketResearch[[#Totals],[Column3]],Communications[[#Totals],[Column3]],Other[[#Totals],[Column3]])</calculatedColumnFormula>
    </tableColumn>
    <tableColumn id="5" name="Column4" headerRowDxfId="42" dataDxfId="41">
      <calculatedColumnFormula>SUM(Personnel[[#Totals],[Column4]],MarketResearch[[#Totals],[Column4]],Communications[[#Totals],[Column4]],Other[[#Totals],[Column4]])</calculatedColumnFormula>
    </tableColumn>
    <tableColumn id="6" name="Column5" headerRowDxfId="40" dataDxfId="39">
      <calculatedColumnFormula>SUM(Personnel[[#Totals],[Column5]],MarketResearch[[#Totals],[Column5]],Communications[[#Totals],[Column5]],Other[[#Totals],[Column5]])</calculatedColumnFormula>
    </tableColumn>
    <tableColumn id="7" name="Column6" headerRowDxfId="38" dataDxfId="37">
      <calculatedColumnFormula>SUM(Personnel[[#Totals],[Column6]],MarketResearch[[#Totals],[Column6]],Communications[[#Totals],[Column6]],Other[[#Totals],[Column6]])</calculatedColumnFormula>
    </tableColumn>
    <tableColumn id="8" name="Column7" headerRowDxfId="36" dataDxfId="35">
      <calculatedColumnFormula>SUM(Personnel[[#Totals],[Column7]],MarketResearch[[#Totals],[Column7]],Communications[[#Totals],[Column7]],Other[[#Totals],[Column7]])</calculatedColumnFormula>
    </tableColumn>
    <tableColumn id="9" name="Column8" headerRowDxfId="34" dataDxfId="33">
      <calculatedColumnFormula>SUM(Personnel[[#Totals],[Column8]],MarketResearch[[#Totals],[Column8]],Communications[[#Totals],[Column8]],Other[[#Totals],[Column8]])</calculatedColumnFormula>
    </tableColumn>
    <tableColumn id="10" name="Column9" headerRowDxfId="32" dataDxfId="31">
      <calculatedColumnFormula>SUM(Personnel[[#Totals],[Column9]],MarketResearch[[#Totals],[Column9]],Communications[[#Totals],[Column9]],Other[[#Totals],[Column9]])</calculatedColumnFormula>
    </tableColumn>
    <tableColumn id="11" name="Column10" headerRowDxfId="30" dataDxfId="29">
      <calculatedColumnFormula>SUM(Personnel[[#Totals],[Column10]],MarketResearch[[#Totals],[Column10]],Communications[[#Totals],[Column10]],Other[[#Totals],[Column10]])</calculatedColumnFormula>
    </tableColumn>
    <tableColumn id="12" name="Column11" headerRowDxfId="28" dataDxfId="27">
      <calculatedColumnFormula>SUM(Personnel[[#Totals],[Column11]],MarketResearch[[#Totals],[Column11]],Communications[[#Totals],[Column11]],Other[[#Totals],[Column11]])</calculatedColumnFormula>
    </tableColumn>
    <tableColumn id="13" name="Column12" headerRowDxfId="26" dataDxfId="25">
      <calculatedColumnFormula>SUM(Personnel[[#Totals],[Column12]],MarketResearch[[#Totals],[Column12]],Communications[[#Totals],[Column12]],Other[[#Totals],[Column12]])</calculatedColumnFormula>
    </tableColumn>
    <tableColumn id="14" name="Average" headerRowDxfId="24" dataDxfId="23">
      <calculatedColumnFormula>AVERAGE(B10:M10)</calculatedColumnFormula>
    </tableColumn>
    <tableColumn id="15" name="Total" headerRowDxfId="22" dataDxfId="21">
      <calculatedColumnFormula>SUM(B10:M10)</calculatedColumnFormula>
    </tableColumn>
    <tableColumn id="16" name="Overview" headerRowDxfId="20" dataDxfId="19"/>
  </tableColumns>
  <tableStyleInfo name="Marketing Tables Light" showFirstColumn="0" showLastColumn="0" showRowStripes="1" showColumnStripes="0"/>
</table>
</file>

<file path=xl/theme/theme1.xml><?xml version="1.0" encoding="utf-8"?>
<a:theme xmlns:a="http://schemas.openxmlformats.org/drawingml/2006/main" name="Inspiration">
  <a:themeElements>
    <a:clrScheme name="Inspiration">
      <a:dk1>
        <a:sysClr val="windowText" lastClr="000000"/>
      </a:dk1>
      <a:lt1>
        <a:sysClr val="window" lastClr="FFFFFF"/>
      </a:lt1>
      <a:dk2>
        <a:srgbClr val="2F2F26"/>
      </a:dk2>
      <a:lt2>
        <a:srgbClr val="9FA795"/>
      </a:lt2>
      <a:accent1>
        <a:srgbClr val="749805"/>
      </a:accent1>
      <a:accent2>
        <a:srgbClr val="BACC82"/>
      </a:accent2>
      <a:accent3>
        <a:srgbClr val="6E9EC2"/>
      </a:accent3>
      <a:accent4>
        <a:srgbClr val="2046A5"/>
      </a:accent4>
      <a:accent5>
        <a:srgbClr val="5039C6"/>
      </a:accent5>
      <a:accent6>
        <a:srgbClr val="7411D0"/>
      </a:accent6>
      <a:hlink>
        <a:srgbClr val="FFC000"/>
      </a:hlink>
      <a:folHlink>
        <a:srgbClr val="C0C000"/>
      </a:folHlink>
    </a:clrScheme>
    <a:fontScheme name="Inspiration">
      <a:majorFont>
        <a:latin typeface="News Gothic MT"/>
        <a:ea typeface=""/>
        <a:cs typeface=""/>
        <a:font script="Jpan" typeface="メイリオ"/>
      </a:majorFont>
      <a:minorFont>
        <a:latin typeface="News Gothic MT"/>
        <a:ea typeface=""/>
        <a:cs typeface=""/>
        <a:font script="Jpan" typeface="メイリオ"/>
      </a:minorFont>
    </a:fontScheme>
    <a:fmtScheme name="Inspiration">
      <a:fillStyleLst>
        <a:solidFill>
          <a:schemeClr val="phClr"/>
        </a:solidFill>
        <a:gradFill rotWithShape="1">
          <a:gsLst>
            <a:gs pos="25000">
              <a:schemeClr val="phClr">
                <a:tint val="90000"/>
                <a:shade val="100000"/>
                <a:alpha val="90000"/>
                <a:satMod val="150000"/>
              </a:schemeClr>
            </a:gs>
            <a:gs pos="100000">
              <a:schemeClr val="phClr">
                <a:tint val="100000"/>
                <a:shade val="60000"/>
                <a:satMod val="13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0000"/>
                <a:shade val="100000"/>
                <a:alpha val="85000"/>
                <a:satMod val="150000"/>
              </a:schemeClr>
            </a:gs>
            <a:gs pos="33000">
              <a:schemeClr val="phClr">
                <a:tint val="90000"/>
                <a:shade val="100000"/>
                <a:alpha val="95000"/>
                <a:satMod val="130000"/>
              </a:schemeClr>
            </a:gs>
            <a:gs pos="67000">
              <a:schemeClr val="phClr">
                <a:shade val="70000"/>
                <a:satMod val="135000"/>
              </a:schemeClr>
            </a:gs>
            <a:gs pos="100000">
              <a:schemeClr val="phClr">
                <a:shade val="50000"/>
                <a:satMod val="135000"/>
              </a:schemeClr>
            </a:gs>
          </a:gsLst>
          <a:lin ang="132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38100" cap="flat" cmpd="thickThin" algn="ctr">
          <a:solidFill>
            <a:schemeClr val="phClr"/>
          </a:solidFill>
          <a:prstDash val="solid"/>
        </a:ln>
        <a:ln w="38100" cap="flat" cmpd="thinThick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woPt" dir="tl"/>
          </a:scene3d>
          <a:sp3d extrusionH="12700" prstMaterial="softEdge">
            <a:bevelT w="25400" h="50800"/>
          </a:sp3d>
        </a:effectStyle>
        <a:effectStyle>
          <a:effectLst>
            <a:innerShdw blurRad="50800" dist="25400" dir="2400000">
              <a:srgbClr val="808080">
                <a:alpha val="75000"/>
              </a:srgbClr>
            </a:innerShdw>
            <a:reflection blurRad="38100" stA="26000" endPos="35000" dist="12700" dir="5400000" fadeDir="48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Q35"/>
  <sheetViews>
    <sheetView showGridLines="0" tabSelected="1" topLeftCell="A17" zoomScale="150" zoomScaleNormal="150" zoomScalePageLayoutView="150" workbookViewId="0">
      <selection activeCell="B44" sqref="B44"/>
    </sheetView>
  </sheetViews>
  <sheetFormatPr baseColWidth="10" defaultColWidth="9.125" defaultRowHeight="13" x14ac:dyDescent="0"/>
  <cols>
    <col min="1" max="1" width="29.125" style="6" customWidth="1"/>
    <col min="2" max="14" width="8.75" style="6" customWidth="1"/>
    <col min="15" max="15" width="12" style="6" customWidth="1"/>
    <col min="16" max="16" width="13.75" style="6" customWidth="1"/>
    <col min="17" max="16384" width="9.125" style="6"/>
  </cols>
  <sheetData>
    <row r="1" spans="1:17" ht="31" thickBot="1">
      <c r="A1" s="1" t="s">
        <v>24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 t="s">
        <v>0</v>
      </c>
      <c r="P1" s="5">
        <v>40544</v>
      </c>
    </row>
    <row r="2" spans="1:1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32"/>
      <c r="P3" s="32"/>
    </row>
    <row r="4" spans="1:17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32"/>
      <c r="P4" s="32"/>
    </row>
    <row r="5" spans="1:17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O5" s="12"/>
    </row>
    <row r="6" spans="1:17" ht="27" thickBot="1">
      <c r="A6" s="13"/>
      <c r="B6" s="14">
        <f>FiscalYear</f>
        <v>40544</v>
      </c>
      <c r="C6" s="14">
        <f>DATE(YEAR(B6),MONTH(B6)+1,1)</f>
        <v>40575</v>
      </c>
      <c r="D6" s="14">
        <f t="shared" ref="D6:M6" si="0">DATE(YEAR(C6),MONTH(C6)+1,1)</f>
        <v>40603</v>
      </c>
      <c r="E6" s="14">
        <f t="shared" si="0"/>
        <v>40634</v>
      </c>
      <c r="F6" s="14">
        <f t="shared" si="0"/>
        <v>40664</v>
      </c>
      <c r="G6" s="14">
        <f t="shared" si="0"/>
        <v>40695</v>
      </c>
      <c r="H6" s="14">
        <f t="shared" si="0"/>
        <v>40725</v>
      </c>
      <c r="I6" s="14">
        <f t="shared" si="0"/>
        <v>40756</v>
      </c>
      <c r="J6" s="14">
        <f t="shared" si="0"/>
        <v>40787</v>
      </c>
      <c r="K6" s="14">
        <f t="shared" si="0"/>
        <v>40817</v>
      </c>
      <c r="L6" s="14">
        <f t="shared" si="0"/>
        <v>40848</v>
      </c>
      <c r="M6" s="14">
        <f t="shared" si="0"/>
        <v>40878</v>
      </c>
      <c r="N6" s="15" t="s">
        <v>1</v>
      </c>
      <c r="O6" s="15" t="s">
        <v>2</v>
      </c>
      <c r="P6" s="16" t="s">
        <v>3</v>
      </c>
    </row>
    <row r="7" spans="1:17" ht="14" thickTop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7" ht="21" customHeight="1" thickBot="1">
      <c r="A8" s="18" t="s">
        <v>4</v>
      </c>
      <c r="B8" s="19">
        <f>SUM(Personnel[[#Totals],[Column1]],MarketResearch[[#Totals],[Column1]],Communications[[#Totals],[Column1]],Other[[#Totals],[Column1]])</f>
        <v>54664</v>
      </c>
      <c r="C8" s="19">
        <f>SUM(Personnel[[#Totals],[Column2]],MarketResearch[[#Totals],[Column2]],Communications[[#Totals],[Column2]],Other[[#Totals],[Column2]])</f>
        <v>60988</v>
      </c>
      <c r="D8" s="19">
        <f>SUM(Personnel[[#Totals],[Column3]],MarketResearch[[#Totals],[Column3]],Communications[[#Totals],[Column3]],Other[[#Totals],[Column3]])</f>
        <v>52774</v>
      </c>
      <c r="E8" s="19">
        <f>SUM(Personnel[[#Totals],[Column4]],MarketResearch[[#Totals],[Column4]],Communications[[#Totals],[Column4]],Other[[#Totals],[Column4]])</f>
        <v>51340</v>
      </c>
      <c r="F8" s="19">
        <f>SUM(Personnel[[#Totals],[Column5]],MarketResearch[[#Totals],[Column5]],Communications[[#Totals],[Column5]],Other[[#Totals],[Column5]])</f>
        <v>56331</v>
      </c>
      <c r="G8" s="19">
        <f>SUM(Personnel[[#Totals],[Column6]],MarketResearch[[#Totals],[Column6]],Communications[[#Totals],[Column6]],Other[[#Totals],[Column6]])</f>
        <v>0</v>
      </c>
      <c r="H8" s="19">
        <f>SUM(Personnel[[#Totals],[Column7]],MarketResearch[[#Totals],[Column7]],Communications[[#Totals],[Column7]],Other[[#Totals],[Column7]])</f>
        <v>0</v>
      </c>
      <c r="I8" s="19">
        <f>SUM(Personnel[[#Totals],[Column8]],MarketResearch[[#Totals],[Column8]],Communications[[#Totals],[Column8]],Other[[#Totals],[Column8]])</f>
        <v>0</v>
      </c>
      <c r="J8" s="19">
        <f>SUM(Personnel[[#Totals],[Column9]],MarketResearch[[#Totals],[Column9]],Communications[[#Totals],[Column9]],Other[[#Totals],[Column9]])</f>
        <v>0</v>
      </c>
      <c r="K8" s="19">
        <f>SUM(Personnel[[#Totals],[Column10]],MarketResearch[[#Totals],[Column10]],Communications[[#Totals],[Column10]],Other[[#Totals],[Column10]])</f>
        <v>0</v>
      </c>
      <c r="L8" s="19">
        <f>SUM(Personnel[[#Totals],[Column11]],MarketResearch[[#Totals],[Column11]],Communications[[#Totals],[Column11]],Other[[#Totals],[Column11]])</f>
        <v>0</v>
      </c>
      <c r="M8" s="19">
        <f>SUM(Personnel[[#Totals],[Column12]],MarketResearch[[#Totals],[Column12]],Communications[[#Totals],[Column12]],Other[[#Totals],[Column12]])</f>
        <v>0</v>
      </c>
      <c r="N8" s="19">
        <f>AVERAGE(B8:M8)</f>
        <v>23008.083333333332</v>
      </c>
      <c r="O8" s="19">
        <f>SUM(B8:M8)</f>
        <v>276097</v>
      </c>
      <c r="P8" s="20"/>
    </row>
    <row r="9" spans="1:17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7" ht="16" thickBot="1">
      <c r="A10" s="18" t="s">
        <v>23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7">
      <c r="A11" s="24" t="s">
        <v>27</v>
      </c>
      <c r="B11" s="25">
        <v>9000</v>
      </c>
      <c r="C11" s="25">
        <v>9000</v>
      </c>
      <c r="D11" s="25">
        <v>9000</v>
      </c>
      <c r="E11" s="25">
        <v>9000</v>
      </c>
      <c r="F11" s="25">
        <v>9000</v>
      </c>
      <c r="G11" s="25"/>
      <c r="H11" s="25"/>
      <c r="I11" s="25"/>
      <c r="J11" s="25"/>
      <c r="K11" s="25"/>
      <c r="L11" s="25"/>
      <c r="M11" s="25"/>
      <c r="N11" s="25">
        <f>IFERROR(AVERAGE(Personnel[[#This Row],[Column1]:[Column12]]),"")</f>
        <v>9000</v>
      </c>
      <c r="O11" s="26">
        <f>SUM(Personnel[[#This Row],[Column1]:[Column12]])</f>
        <v>45000</v>
      </c>
      <c r="P11" s="27"/>
    </row>
    <row r="12" spans="1:17">
      <c r="A12" s="24" t="s">
        <v>26</v>
      </c>
      <c r="B12" s="25">
        <v>4000</v>
      </c>
      <c r="C12" s="25">
        <v>4000</v>
      </c>
      <c r="D12" s="25">
        <v>4000</v>
      </c>
      <c r="E12" s="25">
        <v>4000</v>
      </c>
      <c r="F12" s="25">
        <v>4000</v>
      </c>
      <c r="G12" s="25"/>
      <c r="H12" s="25"/>
      <c r="I12" s="25"/>
      <c r="J12" s="25"/>
      <c r="K12" s="25"/>
      <c r="L12" s="25"/>
      <c r="M12" s="25"/>
      <c r="N12" s="25">
        <f>IFERROR(AVERAGE(Personnel[[#This Row],[Column1]:[Column12]]),"")</f>
        <v>4000</v>
      </c>
      <c r="O12" s="33">
        <f>SUM(Personnel[[#This Row],[Column1]:[Column12]])</f>
        <v>20000</v>
      </c>
      <c r="P12" s="27"/>
    </row>
    <row r="13" spans="1:17">
      <c r="A13" s="24" t="s">
        <v>25</v>
      </c>
      <c r="B13" s="25">
        <v>1000</v>
      </c>
      <c r="C13" s="25">
        <v>5000</v>
      </c>
      <c r="D13" s="25">
        <v>0</v>
      </c>
      <c r="E13" s="25">
        <v>0</v>
      </c>
      <c r="F13" s="25">
        <v>10000</v>
      </c>
      <c r="G13" s="25"/>
      <c r="H13" s="25"/>
      <c r="I13" s="25"/>
      <c r="J13" s="25"/>
      <c r="K13" s="25"/>
      <c r="L13" s="25"/>
      <c r="M13" s="25"/>
      <c r="N13" s="25">
        <f>IFERROR(AVERAGE(Personnel[[#This Row],[Column1]:[Column12]]),"")</f>
        <v>3200</v>
      </c>
      <c r="O13" s="26">
        <f>SUM(Personnel[[#This Row],[Column1]:[Column12]])</f>
        <v>16000</v>
      </c>
      <c r="P13" s="27"/>
    </row>
    <row r="14" spans="1:17" ht="16">
      <c r="A14" s="24" t="s">
        <v>5</v>
      </c>
      <c r="B14" s="29">
        <f>SUBTOTAL(109,Personnel[Column1])</f>
        <v>14000</v>
      </c>
      <c r="C14" s="29">
        <f>SUBTOTAL(109,Personnel[Column2])</f>
        <v>18000</v>
      </c>
      <c r="D14" s="29">
        <f>SUBTOTAL(109,Personnel[Column3])</f>
        <v>13000</v>
      </c>
      <c r="E14" s="29">
        <f>SUBTOTAL(109,Personnel[Column4])</f>
        <v>13000</v>
      </c>
      <c r="F14" s="29">
        <f>SUBTOTAL(109,Personnel[Column5])</f>
        <v>23000</v>
      </c>
      <c r="G14" s="29">
        <f>SUBTOTAL(109,Personnel[Column6])</f>
        <v>0</v>
      </c>
      <c r="H14" s="29">
        <f>SUBTOTAL(109,Personnel[Column7])</f>
        <v>0</v>
      </c>
      <c r="I14" s="29">
        <f>SUBTOTAL(109,Personnel[Column8])</f>
        <v>0</v>
      </c>
      <c r="J14" s="29">
        <f>SUBTOTAL(109,Personnel[Column9])</f>
        <v>0</v>
      </c>
      <c r="K14" s="29">
        <f>SUBTOTAL(109,Personnel[Column10])</f>
        <v>0</v>
      </c>
      <c r="L14" s="29">
        <f>SUBTOTAL(109,Personnel[Column11])</f>
        <v>0</v>
      </c>
      <c r="M14" s="29">
        <f>SUBTOTAL(109,Personnel[Column12])</f>
        <v>0</v>
      </c>
      <c r="N14" s="25">
        <f>IFERROR(AVERAGE(Personnel[[#All],[Column1]:[Column12]]),"")</f>
        <v>6000</v>
      </c>
      <c r="O14" s="30">
        <f>SUBTOTAL(109,Personnel[Total])</f>
        <v>81000</v>
      </c>
      <c r="P14" s="27"/>
    </row>
    <row r="16" spans="1:17" ht="16" thickBot="1">
      <c r="A16" s="18" t="s">
        <v>28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7">
      <c r="A17" s="24" t="s">
        <v>6</v>
      </c>
      <c r="B17" s="25">
        <v>8000</v>
      </c>
      <c r="C17" s="25">
        <v>7000</v>
      </c>
      <c r="D17" s="25">
        <v>8000</v>
      </c>
      <c r="E17" s="25">
        <v>6000</v>
      </c>
      <c r="F17" s="25">
        <v>7000</v>
      </c>
      <c r="G17" s="25"/>
      <c r="H17" s="25"/>
      <c r="I17" s="25"/>
      <c r="J17" s="25"/>
      <c r="K17" s="25"/>
      <c r="L17" s="25"/>
      <c r="M17" s="25"/>
      <c r="N17" s="25">
        <f>IFERROR(AVERAGE(MarketResearch[[#This Row],[Column1]:[Column12]]),"")</f>
        <v>7200</v>
      </c>
      <c r="O17" s="26">
        <f>SUM(MarketResearch[[#This Row],[Column1]:[Column12]])</f>
        <v>36000</v>
      </c>
      <c r="P17" s="27"/>
    </row>
    <row r="18" spans="1:17">
      <c r="A18" s="24" t="s">
        <v>7</v>
      </c>
      <c r="B18" s="25">
        <v>5000</v>
      </c>
      <c r="C18" s="25">
        <v>3000</v>
      </c>
      <c r="D18" s="25">
        <v>4000</v>
      </c>
      <c r="E18" s="25">
        <v>2000</v>
      </c>
      <c r="F18" s="25">
        <v>1000</v>
      </c>
      <c r="G18" s="25"/>
      <c r="H18" s="25"/>
      <c r="I18" s="25"/>
      <c r="J18" s="25"/>
      <c r="K18" s="25"/>
      <c r="L18" s="25"/>
      <c r="M18" s="25"/>
      <c r="N18" s="25">
        <f>IFERROR(AVERAGE(MarketResearch[[#This Row],[Column1]:[Column12]]),"")</f>
        <v>3000</v>
      </c>
      <c r="O18" s="26">
        <f>SUM(MarketResearch[[#This Row],[Column1]:[Column12]])</f>
        <v>15000</v>
      </c>
      <c r="P18" s="27"/>
    </row>
    <row r="19" spans="1:17">
      <c r="A19" s="24" t="s">
        <v>8</v>
      </c>
      <c r="B19" s="25">
        <v>3500</v>
      </c>
      <c r="C19" s="25">
        <v>4000</v>
      </c>
      <c r="D19" s="25">
        <v>2000</v>
      </c>
      <c r="E19" s="25">
        <v>2500</v>
      </c>
      <c r="F19" s="25">
        <v>1000</v>
      </c>
      <c r="G19" s="25"/>
      <c r="H19" s="25"/>
      <c r="I19" s="25"/>
      <c r="J19" s="25"/>
      <c r="K19" s="25"/>
      <c r="L19" s="25"/>
      <c r="M19" s="25"/>
      <c r="N19" s="25">
        <f>IFERROR(AVERAGE(MarketResearch[[#This Row],[Column1]:[Column12]]),"")</f>
        <v>2600</v>
      </c>
      <c r="O19" s="26">
        <f>SUM(MarketResearch[[#This Row],[Column1]:[Column12]])</f>
        <v>13000</v>
      </c>
      <c r="P19" s="27"/>
    </row>
    <row r="20" spans="1:17" ht="16">
      <c r="A20" s="24" t="s">
        <v>9</v>
      </c>
      <c r="B20" s="29">
        <f>SUBTOTAL(109,MarketResearch[Column1])</f>
        <v>16500</v>
      </c>
      <c r="C20" s="29">
        <f>SUBTOTAL(109,MarketResearch[Column2])</f>
        <v>14000</v>
      </c>
      <c r="D20" s="29">
        <f>SUBTOTAL(109,MarketResearch[Column3])</f>
        <v>14000</v>
      </c>
      <c r="E20" s="29">
        <f>SUBTOTAL(109,MarketResearch[Column4])</f>
        <v>10500</v>
      </c>
      <c r="F20" s="29">
        <f>SUBTOTAL(109,MarketResearch[Column5])</f>
        <v>9000</v>
      </c>
      <c r="G20" s="29">
        <f>SUBTOTAL(109,MarketResearch[Column6])</f>
        <v>0</v>
      </c>
      <c r="H20" s="29">
        <f>SUBTOTAL(109,MarketResearch[Column7])</f>
        <v>0</v>
      </c>
      <c r="I20" s="29">
        <f>SUBTOTAL(109,MarketResearch[Column8])</f>
        <v>0</v>
      </c>
      <c r="J20" s="29">
        <f>SUBTOTAL(109,MarketResearch[Column9])</f>
        <v>0</v>
      </c>
      <c r="K20" s="29">
        <f>SUBTOTAL(109,MarketResearch[Column10])</f>
        <v>0</v>
      </c>
      <c r="L20" s="29">
        <f>SUBTOTAL(109,MarketResearch[Column11])</f>
        <v>0</v>
      </c>
      <c r="M20" s="29">
        <f>SUBTOTAL(109,MarketResearch[Column12])</f>
        <v>0</v>
      </c>
      <c r="N20" s="25">
        <f>IFERROR(AVERAGE(MarketResearch[[#All],[Column1]:[Column12]]),"")</f>
        <v>4740.7407407407409</v>
      </c>
      <c r="O20" s="30">
        <f>SUBTOTAL(109,MarketResearch[Total])</f>
        <v>64000</v>
      </c>
      <c r="P20" s="27"/>
    </row>
    <row r="22" spans="1:17" ht="16" thickBot="1">
      <c r="A22" s="18" t="s">
        <v>10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7">
      <c r="A23" s="24" t="s">
        <v>11</v>
      </c>
      <c r="B23" s="25">
        <v>521</v>
      </c>
      <c r="C23" s="25">
        <v>323</v>
      </c>
      <c r="D23" s="25">
        <v>274</v>
      </c>
      <c r="E23" s="25">
        <v>451</v>
      </c>
      <c r="F23" s="25">
        <v>104</v>
      </c>
      <c r="G23" s="25"/>
      <c r="H23" s="25"/>
      <c r="I23" s="25"/>
      <c r="J23" s="25"/>
      <c r="K23" s="25"/>
      <c r="L23" s="25"/>
      <c r="M23" s="25"/>
      <c r="N23" s="25">
        <f>IFERROR(AVERAGE(Communications[[#This Row],[Column1]:[Column12]]),"")</f>
        <v>334.6</v>
      </c>
      <c r="O23" s="26">
        <f>SUM(Communications[[#This Row],[Column1]:[Column12]])</f>
        <v>1673</v>
      </c>
      <c r="P23" s="27"/>
    </row>
    <row r="24" spans="1:17">
      <c r="A24" s="24" t="s">
        <v>12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 t="str">
        <f>IFERROR(AVERAGE(Communications[[#This Row],[Column1]:[Column12]]),"")</f>
        <v/>
      </c>
      <c r="O24" s="26">
        <f>SUM(Communications[[#This Row],[Column1]:[Column12]])</f>
        <v>0</v>
      </c>
      <c r="P24" s="27"/>
    </row>
    <row r="25" spans="1:17">
      <c r="A25" s="24" t="s">
        <v>13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 t="str">
        <f>IFERROR(AVERAGE(Communications[[#This Row],[Column1]:[Column12]]),"")</f>
        <v/>
      </c>
      <c r="O25" s="26">
        <f>SUM(Communications[[#This Row],[Column1]:[Column12]])</f>
        <v>0</v>
      </c>
      <c r="P25" s="27"/>
    </row>
    <row r="26" spans="1:17">
      <c r="A26" s="24" t="s">
        <v>14</v>
      </c>
      <c r="B26" s="25">
        <v>10572</v>
      </c>
      <c r="C26" s="25">
        <v>14514</v>
      </c>
      <c r="D26" s="25">
        <v>10561</v>
      </c>
      <c r="E26" s="25">
        <v>13170</v>
      </c>
      <c r="F26" s="25">
        <v>12478</v>
      </c>
      <c r="G26" s="25"/>
      <c r="H26" s="25"/>
      <c r="I26" s="25"/>
      <c r="J26" s="25"/>
      <c r="K26" s="25"/>
      <c r="L26" s="25"/>
      <c r="M26" s="25"/>
      <c r="N26" s="25">
        <f>IFERROR(AVERAGE(Communications[[#This Row],[Column1]:[Column12]]),"")</f>
        <v>12259</v>
      </c>
      <c r="O26" s="26">
        <f>SUM(Communications[[#This Row],[Column1]:[Column12]])</f>
        <v>61295</v>
      </c>
      <c r="P26" s="27"/>
    </row>
    <row r="27" spans="1:17">
      <c r="A27" s="24" t="s">
        <v>15</v>
      </c>
      <c r="B27" s="25">
        <v>250</v>
      </c>
      <c r="C27" s="25">
        <v>428</v>
      </c>
      <c r="D27" s="25">
        <v>165</v>
      </c>
      <c r="E27" s="25">
        <v>1168</v>
      </c>
      <c r="F27" s="25">
        <v>345</v>
      </c>
      <c r="G27" s="25"/>
      <c r="H27" s="25"/>
      <c r="I27" s="25"/>
      <c r="J27" s="25"/>
      <c r="K27" s="25"/>
      <c r="L27" s="25"/>
      <c r="M27" s="25"/>
      <c r="N27" s="25">
        <f>IFERROR(AVERAGE(Communications[[#This Row],[Column1]:[Column12]]),"")</f>
        <v>471.2</v>
      </c>
      <c r="O27" s="26">
        <f>SUM(Communications[[#This Row],[Column1]:[Column12]])</f>
        <v>2356</v>
      </c>
      <c r="P27" s="27"/>
    </row>
    <row r="28" spans="1:17" ht="16">
      <c r="A28" s="24" t="s">
        <v>16</v>
      </c>
      <c r="B28" s="29">
        <f>SUBTOTAL(109,Communications[Column1])</f>
        <v>11343</v>
      </c>
      <c r="C28" s="29">
        <f>SUBTOTAL(109,Communications[Column2])</f>
        <v>15265</v>
      </c>
      <c r="D28" s="29">
        <f>SUBTOTAL(109,Communications[Column3])</f>
        <v>11000</v>
      </c>
      <c r="E28" s="29">
        <f>SUBTOTAL(109,Communications[Column4])</f>
        <v>14789</v>
      </c>
      <c r="F28" s="29">
        <f>SUBTOTAL(109,Communications[Column5])</f>
        <v>12927</v>
      </c>
      <c r="G28" s="29">
        <f>SUBTOTAL(109,Communications[Column6])</f>
        <v>0</v>
      </c>
      <c r="H28" s="29">
        <f>SUBTOTAL(109,Communications[Column7])</f>
        <v>0</v>
      </c>
      <c r="I28" s="29">
        <f>SUBTOTAL(109,Communications[Column8])</f>
        <v>0</v>
      </c>
      <c r="J28" s="29">
        <f>SUBTOTAL(109,Communications[Column9])</f>
        <v>0</v>
      </c>
      <c r="K28" s="29">
        <f>SUBTOTAL(109,Communications[Column10])</f>
        <v>0</v>
      </c>
      <c r="L28" s="29">
        <f>SUBTOTAL(109,Communications[Column11])</f>
        <v>0</v>
      </c>
      <c r="M28" s="29">
        <f>SUBTOTAL(109,Communications[Column12])</f>
        <v>0</v>
      </c>
      <c r="N28" s="25">
        <f>IFERROR(AVERAGE(Communications[[#All],[Column1]:[Column12]]),"")</f>
        <v>4838.8148148148148</v>
      </c>
      <c r="O28" s="30">
        <f>SUBTOTAL(109,Communications[Total])</f>
        <v>65324</v>
      </c>
      <c r="P28" s="28"/>
    </row>
    <row r="30" spans="1:17" ht="16" thickBot="1">
      <c r="A30" s="18" t="s">
        <v>17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7">
      <c r="A31" s="24" t="s">
        <v>18</v>
      </c>
      <c r="B31" s="25">
        <v>521</v>
      </c>
      <c r="C31" s="25">
        <v>323</v>
      </c>
      <c r="D31" s="25">
        <v>274</v>
      </c>
      <c r="E31" s="25">
        <v>451</v>
      </c>
      <c r="F31" s="25">
        <v>104</v>
      </c>
      <c r="G31" s="25"/>
      <c r="H31" s="25"/>
      <c r="I31" s="25"/>
      <c r="J31" s="25"/>
      <c r="K31" s="25"/>
      <c r="L31" s="25"/>
      <c r="M31" s="25"/>
      <c r="N31" s="25">
        <f>IFERROR(AVERAGE(Other[[#This Row],[Column1]:[Column12]]),"")</f>
        <v>334.6</v>
      </c>
      <c r="O31" s="26">
        <f>SUM(Other[[#This Row],[Column1]:[Column12]])</f>
        <v>1673</v>
      </c>
      <c r="P31" s="27"/>
    </row>
    <row r="32" spans="1:17">
      <c r="A32" s="24" t="s">
        <v>19</v>
      </c>
      <c r="B32" s="25">
        <v>12000</v>
      </c>
      <c r="C32" s="25">
        <v>13000</v>
      </c>
      <c r="D32" s="25">
        <v>14000</v>
      </c>
      <c r="E32" s="25">
        <v>12000</v>
      </c>
      <c r="F32" s="25">
        <v>11000</v>
      </c>
      <c r="G32" s="25"/>
      <c r="H32" s="25"/>
      <c r="I32" s="25"/>
      <c r="J32" s="25"/>
      <c r="K32" s="25"/>
      <c r="L32" s="25"/>
      <c r="M32" s="25"/>
      <c r="N32" s="25">
        <f>IFERROR(AVERAGE(Other[[#This Row],[Column1]:[Column12]]),"")</f>
        <v>12400</v>
      </c>
      <c r="O32" s="26">
        <f>SUM(Other[[#This Row],[Column1]:[Column12]])</f>
        <v>62000</v>
      </c>
      <c r="P32" s="27"/>
    </row>
    <row r="33" spans="1:16">
      <c r="A33" s="24" t="s">
        <v>20</v>
      </c>
      <c r="B33" s="25">
        <v>100</v>
      </c>
      <c r="C33" s="25">
        <v>100</v>
      </c>
      <c r="D33" s="25">
        <v>100</v>
      </c>
      <c r="E33" s="25">
        <v>100</v>
      </c>
      <c r="F33" s="25">
        <v>100</v>
      </c>
      <c r="G33" s="25"/>
      <c r="H33" s="25"/>
      <c r="I33" s="25"/>
      <c r="J33" s="25"/>
      <c r="K33" s="25"/>
      <c r="L33" s="25"/>
      <c r="M33" s="25"/>
      <c r="N33" s="25">
        <f>IFERROR(AVERAGE(Other[[#This Row],[Column1]:[Column12]]),"")</f>
        <v>100</v>
      </c>
      <c r="O33" s="26">
        <f>SUM(Other[[#This Row],[Column1]:[Column12]])</f>
        <v>500</v>
      </c>
      <c r="P33" s="27"/>
    </row>
    <row r="34" spans="1:16">
      <c r="A34" s="24" t="s">
        <v>21</v>
      </c>
      <c r="B34" s="25">
        <v>200</v>
      </c>
      <c r="C34" s="25">
        <v>300</v>
      </c>
      <c r="D34" s="25">
        <v>400</v>
      </c>
      <c r="E34" s="25">
        <v>500</v>
      </c>
      <c r="F34" s="25">
        <v>200</v>
      </c>
      <c r="G34" s="25"/>
      <c r="H34" s="25"/>
      <c r="I34" s="25"/>
      <c r="J34" s="25"/>
      <c r="K34" s="25"/>
      <c r="L34" s="25"/>
      <c r="M34" s="25"/>
      <c r="N34" s="25">
        <f>IFERROR(AVERAGE(Other[[#This Row],[Column1]:[Column12]]),"")</f>
        <v>320</v>
      </c>
      <c r="O34" s="26">
        <f>SUM(Other[[#This Row],[Column1]:[Column12]])</f>
        <v>1600</v>
      </c>
      <c r="P34" s="27"/>
    </row>
    <row r="35" spans="1:16" ht="16">
      <c r="A35" s="24" t="s">
        <v>22</v>
      </c>
      <c r="B35" s="29">
        <f>SUBTOTAL(109,Other[Column1])</f>
        <v>12821</v>
      </c>
      <c r="C35" s="29">
        <f>SUBTOTAL(109,Other[Column2])</f>
        <v>13723</v>
      </c>
      <c r="D35" s="29">
        <f>SUBTOTAL(109,Other[Column3])</f>
        <v>14774</v>
      </c>
      <c r="E35" s="29">
        <f>SUBTOTAL(109,Other[Column4])</f>
        <v>13051</v>
      </c>
      <c r="F35" s="29">
        <f>SUBTOTAL(109,Other[Column5])</f>
        <v>11404</v>
      </c>
      <c r="G35" s="29">
        <f>SUBTOTAL(109,Other[Column6])</f>
        <v>0</v>
      </c>
      <c r="H35" s="29">
        <f>SUBTOTAL(109,Other[Column7])</f>
        <v>0</v>
      </c>
      <c r="I35" s="29">
        <f>SUBTOTAL(109,Other[Column8])</f>
        <v>0</v>
      </c>
      <c r="J35" s="29">
        <f>SUBTOTAL(109,Other[Column9])</f>
        <v>0</v>
      </c>
      <c r="K35" s="29">
        <f>SUBTOTAL(109,Other[Column10])</f>
        <v>0</v>
      </c>
      <c r="L35" s="29">
        <f>SUBTOTAL(109,Other[Column11])</f>
        <v>0</v>
      </c>
      <c r="M35" s="29">
        <f>SUBTOTAL(109,Other[Column12])</f>
        <v>0</v>
      </c>
      <c r="N35" s="25">
        <f>IFERROR(AVERAGE(Other[[#All],[Column1]:[Column12]]),"")</f>
        <v>4110.8125</v>
      </c>
      <c r="O35" s="30">
        <f>SUBTOTAL(109,Other[Total])</f>
        <v>65773</v>
      </c>
      <c r="P35" s="27"/>
    </row>
  </sheetData>
  <mergeCells count="3">
    <mergeCell ref="A2:P2"/>
    <mergeCell ref="O3:P3"/>
    <mergeCell ref="O4:P4"/>
  </mergeCells>
  <phoneticPr fontId="10" type="noConversion"/>
  <conditionalFormatting sqref="B9:O9 O31:O34 O17:O19 N23:N27 N11:O13">
    <cfRule type="cellIs" dxfId="2" priority="13" operator="lessThan">
      <formula>0</formula>
    </cfRule>
  </conditionalFormatting>
  <conditionalFormatting sqref="N17:N19">
    <cfRule type="cellIs" dxfId="1" priority="3" operator="lessThan">
      <formula>0</formula>
    </cfRule>
  </conditionalFormatting>
  <conditionalFormatting sqref="N31:N34">
    <cfRule type="cellIs" dxfId="0" priority="1" operator="lessThan">
      <formula>0</formula>
    </cfRule>
  </conditionalFormatting>
  <pageMargins left="0.7" right="0.7" top="0.75" bottom="0.75" header="0.3" footer="0.3"/>
  <headerFooter>
    <evenFooter>&amp;L&amp;12&amp;"News Gothic MT,Regular"&amp;K010.24995打印日期： &amp;K010.24995&amp;D&amp;R&amp;12&amp;"News Gothic MT,Regular"&amp;K010.24995第 &amp;K010.24995&amp;P&amp;"News Gothic MT,Regular"&amp;K010.24995 页，共 &amp;N 页</evenFooter>
  </headerFooter>
  <ignoredErrors>
    <ignoredError sqref="N8:O10" calculatedColumn="1"/>
    <ignoredError sqref="O29:O34 N29:N34 N11:O11 N15:O19 N21:O27 N13:O13" emptyCellReference="1" calculatedColumn="1"/>
  </ignoredErrors>
  <legacy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negative="1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'Marketing Budget Plan'!B11:M11</xm:f>
              <xm:sqref>P11</xm:sqref>
            </x14:sparkline>
            <x14:sparkline>
              <xm:f>'Marketing Budget Plan'!B12:M12</xm:f>
              <xm:sqref>P12</xm:sqref>
            </x14:sparkline>
            <x14:sparkline>
              <xm:f>'Marketing Budget Plan'!B19:M19</xm:f>
              <xm:sqref>P19</xm:sqref>
            </x14:sparkline>
            <x14:sparkline>
              <xm:f>'Marketing Budget Plan'!B18:M18</xm:f>
              <xm:sqref>P18</xm:sqref>
            </x14:sparkline>
            <x14:sparkline>
              <xm:f>'Marketing Budget Plan'!B17:M17</xm:f>
              <xm:sqref>P17</xm:sqref>
            </x14:sparkline>
            <x14:sparkline>
              <xm:f>'Marketing Budget Plan'!B13:M13</xm:f>
              <xm:sqref>P13</xm:sqref>
            </x14:sparkline>
            <x14:sparkline>
              <xm:f>'Marketing Budget Plan'!C23:N23</xm:f>
              <xm:sqref>P23</xm:sqref>
            </x14:sparkline>
            <x14:sparkline>
              <xm:f>'Marketing Budget Plan'!C24:N24</xm:f>
              <xm:sqref>P24</xm:sqref>
            </x14:sparkline>
            <x14:sparkline>
              <xm:f>'Marketing Budget Plan'!C25:N25</xm:f>
              <xm:sqref>P25</xm:sqref>
            </x14:sparkline>
            <x14:sparkline>
              <xm:f>'Marketing Budget Plan'!C26:N26</xm:f>
              <xm:sqref>P26</xm:sqref>
            </x14:sparkline>
            <x14:sparkline>
              <xm:f>'Marketing Budget Plan'!C27:N27</xm:f>
              <xm:sqref>P27</xm:sqref>
            </x14:sparkline>
            <x14:sparkline>
              <xm:f>'Marketing Budget Plan'!B31:M31</xm:f>
              <xm:sqref>P31</xm:sqref>
            </x14:sparkline>
            <x14:sparkline>
              <xm:f>'Marketing Budget Plan'!B32:M32</xm:f>
              <xm:sqref>P32</xm:sqref>
            </x14:sparkline>
            <x14:sparkline>
              <xm:f>'Marketing Budget Plan'!B33:M33</xm:f>
              <xm:sqref>P33</xm:sqref>
            </x14:sparkline>
            <x14:sparkline>
              <xm:f>'Marketing Budget Plan'!B34:M34</xm:f>
              <xm:sqref>P34</xm:sqref>
            </x14:sparkline>
          </x14:sparklines>
        </x14:sparklineGroup>
        <x14:sparklineGroup manualMax="0" manualMin="0" type="column" displayEmptyCellsAs="gap" high="1" low="1" negative="1">
          <x14:colorSeries theme="6"/>
          <x14:colorNegative theme="7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'Marketing Budget Plan'!B8:M8</xm:f>
              <xm:sqref>P8</xm:sqref>
            </x14:sparkline>
          </x14:sparklines>
        </x14:sparklineGroup>
        <x14:sparklineGroup manualMax="0" manualMin="0" type="column" displayEmptyCellsAs="gap" high="1" low="1" negative="1">
          <x14:colorSeries theme="6"/>
          <x14:colorNegative theme="7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'Marketing Budget Plan'!B14:M14</xm:f>
              <xm:sqref>P14</xm:sqref>
            </x14:sparkline>
          </x14:sparklines>
        </x14:sparklineGroup>
        <x14:sparklineGroup manualMax="0" manualMin="0" type="column" displayEmptyCellsAs="gap" high="1" low="1" negative="1">
          <x14:colorSeries theme="6"/>
          <x14:colorNegative theme="7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'Marketing Budget Plan'!B20:M20</xm:f>
              <xm:sqref>P20</xm:sqref>
            </x14:sparkline>
          </x14:sparklines>
        </x14:sparklineGroup>
        <x14:sparklineGroup manualMax="0" manualMin="0" type="column" displayEmptyCellsAs="gap" high="1" low="1" negative="1">
          <x14:colorSeries theme="6"/>
          <x14:colorNegative theme="7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'Marketing Budget Plan'!C28:N28</xm:f>
              <xm:sqref>P28</xm:sqref>
            </x14:sparkline>
          </x14:sparklines>
        </x14:sparklineGroup>
        <x14:sparklineGroup manualMax="0" manualMin="0" type="column" displayEmptyCellsAs="gap" high="1" low="1" negative="1">
          <x14:colorSeries theme="6"/>
          <x14:colorNegative theme="7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'Marketing Budget Plan'!B35:M35</xm:f>
              <xm:sqref>P35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4</vt:i4>
      </vt:variant>
    </vt:vector>
  </HeadingPairs>
  <TitlesOfParts>
    <vt:vector size="5" baseType="lpstr">
      <vt:lpstr>Marketing Budget Plan</vt:lpstr>
      <vt:lpstr>Personnel - Chart</vt:lpstr>
      <vt:lpstr>Market Research - Chart</vt:lpstr>
      <vt:lpstr>Communications - Chart</vt:lpstr>
      <vt:lpstr>Other Categories -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Fan</cp:lastModifiedBy>
  <dcterms:created xsi:type="dcterms:W3CDTF">2010-04-05T15:18:52Z</dcterms:created>
  <dcterms:modified xsi:type="dcterms:W3CDTF">2018-01-07T05:33:50Z</dcterms:modified>
  <cp:category/>
</cp:coreProperties>
</file>