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ISHWARYA\Desktop\"/>
    </mc:Choice>
  </mc:AlternateContent>
  <xr:revisionPtr revIDLastSave="0" documentId="13_ncr:1_{DF1B34B4-EF83-4429-A73B-B42A87BEC5A5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HATCHERIES" sheetId="5" r:id="rId1"/>
    <sheet name="FEEDMILLS" sheetId="1" r:id="rId2"/>
    <sheet name="BFDA PONDS" sheetId="2" r:id="rId3"/>
    <sheet name="CULTIVATORS" sheetId="3" r:id="rId4"/>
    <sheet name="CASE" sheetId="7" r:id="rId5"/>
    <sheet name="SCBA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3" i="7" l="1"/>
  <c r="M33" i="7"/>
  <c r="K33" i="7"/>
  <c r="G33" i="7"/>
  <c r="G33" i="6"/>
  <c r="F31" i="7" l="1"/>
  <c r="E31" i="7"/>
  <c r="D31" i="7"/>
  <c r="L31" i="7" s="1"/>
  <c r="C31" i="7"/>
  <c r="J31" i="7" s="1"/>
  <c r="F30" i="7"/>
  <c r="M30" i="7" s="1"/>
  <c r="E30" i="7"/>
  <c r="D30" i="7"/>
  <c r="L30" i="7" s="1"/>
  <c r="C30" i="7"/>
  <c r="J30" i="7" s="1"/>
  <c r="L29" i="7"/>
  <c r="F29" i="7"/>
  <c r="E29" i="7"/>
  <c r="D29" i="7"/>
  <c r="C29" i="7"/>
  <c r="J29" i="7" s="1"/>
  <c r="F28" i="7"/>
  <c r="E28" i="7"/>
  <c r="D28" i="7"/>
  <c r="L28" i="7" s="1"/>
  <c r="C28" i="7"/>
  <c r="J28" i="7" s="1"/>
  <c r="F27" i="7"/>
  <c r="E27" i="7"/>
  <c r="D27" i="7"/>
  <c r="L27" i="7" s="1"/>
  <c r="C27" i="7"/>
  <c r="J27" i="7" s="1"/>
  <c r="F26" i="7"/>
  <c r="M26" i="7" s="1"/>
  <c r="E26" i="7"/>
  <c r="D26" i="7"/>
  <c r="L26" i="7" s="1"/>
  <c r="C26" i="7"/>
  <c r="J26" i="7" s="1"/>
  <c r="L25" i="7"/>
  <c r="F25" i="7"/>
  <c r="E25" i="7"/>
  <c r="D25" i="7"/>
  <c r="C25" i="7"/>
  <c r="J25" i="7" s="1"/>
  <c r="F24" i="7"/>
  <c r="E24" i="7"/>
  <c r="D24" i="7"/>
  <c r="L24" i="7" s="1"/>
  <c r="C24" i="7"/>
  <c r="J24" i="7" s="1"/>
  <c r="F23" i="7"/>
  <c r="E23" i="7"/>
  <c r="D23" i="7"/>
  <c r="L23" i="7" s="1"/>
  <c r="C23" i="7"/>
  <c r="J23" i="7" s="1"/>
  <c r="F22" i="7"/>
  <c r="M22" i="7" s="1"/>
  <c r="E22" i="7"/>
  <c r="D22" i="7"/>
  <c r="L22" i="7" s="1"/>
  <c r="C22" i="7"/>
  <c r="J22" i="7" s="1"/>
  <c r="L21" i="7"/>
  <c r="F21" i="7"/>
  <c r="E21" i="7"/>
  <c r="D21" i="7"/>
  <c r="C21" i="7"/>
  <c r="J21" i="7" s="1"/>
  <c r="F20" i="7"/>
  <c r="E20" i="7"/>
  <c r="D20" i="7"/>
  <c r="L20" i="7" s="1"/>
  <c r="C20" i="7"/>
  <c r="J20" i="7" s="1"/>
  <c r="F19" i="7"/>
  <c r="E19" i="7"/>
  <c r="D19" i="7"/>
  <c r="L19" i="7" s="1"/>
  <c r="C19" i="7"/>
  <c r="J19" i="7" s="1"/>
  <c r="F18" i="7"/>
  <c r="M18" i="7" s="1"/>
  <c r="E18" i="7"/>
  <c r="D18" i="7"/>
  <c r="L18" i="7" s="1"/>
  <c r="C18" i="7"/>
  <c r="J18" i="7" s="1"/>
  <c r="L17" i="7"/>
  <c r="F17" i="7"/>
  <c r="E17" i="7"/>
  <c r="D17" i="7"/>
  <c r="C17" i="7"/>
  <c r="J17" i="7" s="1"/>
  <c r="F16" i="7"/>
  <c r="E16" i="7"/>
  <c r="D16" i="7"/>
  <c r="L16" i="7" s="1"/>
  <c r="C16" i="7"/>
  <c r="J16" i="7" s="1"/>
  <c r="F15" i="7"/>
  <c r="E15" i="7"/>
  <c r="D15" i="7"/>
  <c r="L15" i="7" s="1"/>
  <c r="C15" i="7"/>
  <c r="J15" i="7" s="1"/>
  <c r="F14" i="7"/>
  <c r="M14" i="7" s="1"/>
  <c r="E14" i="7"/>
  <c r="D14" i="7"/>
  <c r="L14" i="7" s="1"/>
  <c r="C14" i="7"/>
  <c r="J14" i="7" s="1"/>
  <c r="L13" i="7"/>
  <c r="F13" i="7"/>
  <c r="E13" i="7"/>
  <c r="D13" i="7"/>
  <c r="C13" i="7"/>
  <c r="J13" i="7" s="1"/>
  <c r="F12" i="7"/>
  <c r="E12" i="7"/>
  <c r="D12" i="7"/>
  <c r="L12" i="7" s="1"/>
  <c r="C12" i="7"/>
  <c r="J12" i="7" s="1"/>
  <c r="F11" i="7"/>
  <c r="E11" i="7"/>
  <c r="D11" i="7"/>
  <c r="L11" i="7" s="1"/>
  <c r="C11" i="7"/>
  <c r="J11" i="7" s="1"/>
  <c r="F10" i="7"/>
  <c r="M10" i="7" s="1"/>
  <c r="E10" i="7"/>
  <c r="D10" i="7"/>
  <c r="L10" i="7" s="1"/>
  <c r="C10" i="7"/>
  <c r="J10" i="7" s="1"/>
  <c r="L9" i="7"/>
  <c r="F9" i="7"/>
  <c r="E9" i="7"/>
  <c r="D9" i="7"/>
  <c r="C9" i="7"/>
  <c r="J9" i="7" s="1"/>
  <c r="F8" i="7"/>
  <c r="E8" i="7"/>
  <c r="D8" i="7"/>
  <c r="L8" i="7" s="1"/>
  <c r="C8" i="7"/>
  <c r="J8" i="7" s="1"/>
  <c r="F7" i="7"/>
  <c r="E7" i="7"/>
  <c r="D7" i="7"/>
  <c r="L7" i="7" s="1"/>
  <c r="C7" i="7"/>
  <c r="J7" i="7" s="1"/>
  <c r="F6" i="7"/>
  <c r="M6" i="7" s="1"/>
  <c r="E6" i="7"/>
  <c r="D6" i="7"/>
  <c r="L6" i="7" s="1"/>
  <c r="C6" i="7"/>
  <c r="J6" i="7" s="1"/>
  <c r="L5" i="7"/>
  <c r="F5" i="7"/>
  <c r="E5" i="7"/>
  <c r="D5" i="7"/>
  <c r="C5" i="7"/>
  <c r="J5" i="7" s="1"/>
  <c r="W31" i="6"/>
  <c r="P31" i="6"/>
  <c r="F31" i="6"/>
  <c r="E31" i="6"/>
  <c r="D31" i="6"/>
  <c r="N31" i="6" s="1"/>
  <c r="C31" i="6"/>
  <c r="M31" i="6" s="1"/>
  <c r="U31" i="6" s="1"/>
  <c r="W30" i="6"/>
  <c r="P30" i="6"/>
  <c r="F30" i="6"/>
  <c r="E30" i="6"/>
  <c r="D30" i="6"/>
  <c r="N30" i="6" s="1"/>
  <c r="C30" i="6"/>
  <c r="M30" i="6" s="1"/>
  <c r="W29" i="6"/>
  <c r="P29" i="6"/>
  <c r="F29" i="6"/>
  <c r="E29" i="6"/>
  <c r="D29" i="6"/>
  <c r="N29" i="6" s="1"/>
  <c r="C29" i="6"/>
  <c r="M29" i="6" s="1"/>
  <c r="W28" i="6"/>
  <c r="P28" i="6"/>
  <c r="F28" i="6"/>
  <c r="E28" i="6"/>
  <c r="D28" i="6"/>
  <c r="N28" i="6" s="1"/>
  <c r="C28" i="6"/>
  <c r="W27" i="6"/>
  <c r="P27" i="6"/>
  <c r="F27" i="6"/>
  <c r="E27" i="6"/>
  <c r="D27" i="6"/>
  <c r="N27" i="6" s="1"/>
  <c r="C27" i="6"/>
  <c r="M27" i="6" s="1"/>
  <c r="W26" i="6"/>
  <c r="P26" i="6"/>
  <c r="F26" i="6"/>
  <c r="E26" i="6"/>
  <c r="D26" i="6"/>
  <c r="N26" i="6" s="1"/>
  <c r="C26" i="6"/>
  <c r="M26" i="6" s="1"/>
  <c r="W25" i="6"/>
  <c r="P25" i="6"/>
  <c r="F25" i="6"/>
  <c r="E25" i="6"/>
  <c r="D25" i="6"/>
  <c r="N25" i="6" s="1"/>
  <c r="C25" i="6"/>
  <c r="M25" i="6" s="1"/>
  <c r="W24" i="6"/>
  <c r="P24" i="6"/>
  <c r="F24" i="6"/>
  <c r="E24" i="6"/>
  <c r="D24" i="6"/>
  <c r="N24" i="6" s="1"/>
  <c r="C24" i="6"/>
  <c r="W23" i="6"/>
  <c r="P23" i="6"/>
  <c r="F23" i="6"/>
  <c r="E23" i="6"/>
  <c r="D23" i="6"/>
  <c r="N23" i="6" s="1"/>
  <c r="C23" i="6"/>
  <c r="M23" i="6" s="1"/>
  <c r="W22" i="6"/>
  <c r="P22" i="6"/>
  <c r="F22" i="6"/>
  <c r="E22" i="6"/>
  <c r="D22" i="6"/>
  <c r="N22" i="6" s="1"/>
  <c r="C22" i="6"/>
  <c r="M22" i="6" s="1"/>
  <c r="W21" i="6"/>
  <c r="P21" i="6"/>
  <c r="F21" i="6"/>
  <c r="E21" i="6"/>
  <c r="D21" i="6"/>
  <c r="N21" i="6" s="1"/>
  <c r="C21" i="6"/>
  <c r="M21" i="6" s="1"/>
  <c r="U21" i="6" s="1"/>
  <c r="W20" i="6"/>
  <c r="P20" i="6"/>
  <c r="F20" i="6"/>
  <c r="E20" i="6"/>
  <c r="D20" i="6"/>
  <c r="N20" i="6" s="1"/>
  <c r="C20" i="6"/>
  <c r="W19" i="6"/>
  <c r="P19" i="6"/>
  <c r="F19" i="6"/>
  <c r="E19" i="6"/>
  <c r="D19" i="6"/>
  <c r="N19" i="6" s="1"/>
  <c r="C19" i="6"/>
  <c r="M19" i="6" s="1"/>
  <c r="W18" i="6"/>
  <c r="P18" i="6"/>
  <c r="F18" i="6"/>
  <c r="E18" i="6"/>
  <c r="D18" i="6"/>
  <c r="C18" i="6"/>
  <c r="M18" i="6" s="1"/>
  <c r="W17" i="6"/>
  <c r="P17" i="6"/>
  <c r="F17" i="6"/>
  <c r="E17" i="6"/>
  <c r="D17" i="6"/>
  <c r="N17" i="6" s="1"/>
  <c r="C17" i="6"/>
  <c r="M17" i="6" s="1"/>
  <c r="U17" i="6" s="1"/>
  <c r="W16" i="6"/>
  <c r="P16" i="6"/>
  <c r="F16" i="6"/>
  <c r="E16" i="6"/>
  <c r="D16" i="6"/>
  <c r="N16" i="6" s="1"/>
  <c r="C16" i="6"/>
  <c r="W15" i="6"/>
  <c r="P15" i="6"/>
  <c r="F15" i="6"/>
  <c r="E15" i="6"/>
  <c r="D15" i="6"/>
  <c r="N15" i="6" s="1"/>
  <c r="C15" i="6"/>
  <c r="M15" i="6" s="1"/>
  <c r="W14" i="6"/>
  <c r="P14" i="6"/>
  <c r="F14" i="6"/>
  <c r="E14" i="6"/>
  <c r="D14" i="6"/>
  <c r="C14" i="6"/>
  <c r="M14" i="6" s="1"/>
  <c r="W13" i="6"/>
  <c r="P13" i="6"/>
  <c r="F13" i="6"/>
  <c r="E13" i="6"/>
  <c r="D13" i="6"/>
  <c r="N13" i="6" s="1"/>
  <c r="C13" i="6"/>
  <c r="M13" i="6" s="1"/>
  <c r="U13" i="6" s="1"/>
  <c r="W12" i="6"/>
  <c r="P12" i="6"/>
  <c r="F12" i="6"/>
  <c r="E12" i="6"/>
  <c r="D12" i="6"/>
  <c r="N12" i="6" s="1"/>
  <c r="C12" i="6"/>
  <c r="M12" i="6" s="1"/>
  <c r="W11" i="6"/>
  <c r="P11" i="6"/>
  <c r="F11" i="6"/>
  <c r="E11" i="6"/>
  <c r="D11" i="6"/>
  <c r="N11" i="6" s="1"/>
  <c r="C11" i="6"/>
  <c r="M11" i="6" s="1"/>
  <c r="W10" i="6"/>
  <c r="P10" i="6"/>
  <c r="F10" i="6"/>
  <c r="E10" i="6"/>
  <c r="D10" i="6"/>
  <c r="C10" i="6"/>
  <c r="M10" i="6" s="1"/>
  <c r="W9" i="6"/>
  <c r="P9" i="6"/>
  <c r="F9" i="6"/>
  <c r="E9" i="6"/>
  <c r="D9" i="6"/>
  <c r="N9" i="6" s="1"/>
  <c r="C9" i="6"/>
  <c r="M9" i="6" s="1"/>
  <c r="U9" i="6" s="1"/>
  <c r="W8" i="6"/>
  <c r="P8" i="6"/>
  <c r="F8" i="6"/>
  <c r="E8" i="6"/>
  <c r="D8" i="6"/>
  <c r="N8" i="6" s="1"/>
  <c r="C8" i="6"/>
  <c r="W7" i="6"/>
  <c r="P7" i="6"/>
  <c r="F7" i="6"/>
  <c r="E7" i="6"/>
  <c r="D7" i="6"/>
  <c r="C7" i="6"/>
  <c r="M7" i="6" s="1"/>
  <c r="F6" i="6"/>
  <c r="E6" i="6"/>
  <c r="D6" i="6"/>
  <c r="N6" i="6" s="1"/>
  <c r="C6" i="6"/>
  <c r="F5" i="6"/>
  <c r="E5" i="6"/>
  <c r="D5" i="6"/>
  <c r="N5" i="6" s="1"/>
  <c r="C5" i="6"/>
  <c r="M5" i="6" s="1"/>
  <c r="U5" i="6" s="1"/>
  <c r="V5" i="6" s="1"/>
  <c r="J29" i="3"/>
  <c r="K29" i="3" s="1"/>
  <c r="D29" i="3"/>
  <c r="E29" i="3" s="1"/>
  <c r="C29" i="3"/>
  <c r="D28" i="3"/>
  <c r="C28" i="3"/>
  <c r="J28" i="3" s="1"/>
  <c r="K28" i="3" s="1"/>
  <c r="D27" i="3"/>
  <c r="C27" i="3"/>
  <c r="J27" i="3" s="1"/>
  <c r="J26" i="3"/>
  <c r="K26" i="3" s="1"/>
  <c r="D26" i="3"/>
  <c r="E26" i="3" s="1"/>
  <c r="C26" i="3"/>
  <c r="J25" i="3"/>
  <c r="K25" i="3" s="1"/>
  <c r="D25" i="3"/>
  <c r="E25" i="3" s="1"/>
  <c r="C25" i="3"/>
  <c r="D24" i="3"/>
  <c r="C24" i="3"/>
  <c r="J24" i="3" s="1"/>
  <c r="K24" i="3" s="1"/>
  <c r="D23" i="3"/>
  <c r="C23" i="3"/>
  <c r="J23" i="3" s="1"/>
  <c r="J22" i="3"/>
  <c r="K22" i="3" s="1"/>
  <c r="D22" i="3"/>
  <c r="E22" i="3" s="1"/>
  <c r="C22" i="3"/>
  <c r="J21" i="3"/>
  <c r="K21" i="3" s="1"/>
  <c r="D21" i="3"/>
  <c r="E21" i="3" s="1"/>
  <c r="C21" i="3"/>
  <c r="D20" i="3"/>
  <c r="C20" i="3"/>
  <c r="J20" i="3" s="1"/>
  <c r="K20" i="3" s="1"/>
  <c r="D19" i="3"/>
  <c r="C19" i="3"/>
  <c r="J19" i="3" s="1"/>
  <c r="J18" i="3"/>
  <c r="K18" i="3" s="1"/>
  <c r="D18" i="3"/>
  <c r="E18" i="3" s="1"/>
  <c r="C18" i="3"/>
  <c r="J17" i="3"/>
  <c r="K17" i="3" s="1"/>
  <c r="D17" i="3"/>
  <c r="E17" i="3" s="1"/>
  <c r="C17" i="3"/>
  <c r="D16" i="3"/>
  <c r="C16" i="3"/>
  <c r="J16" i="3" s="1"/>
  <c r="K16" i="3" s="1"/>
  <c r="D15" i="3"/>
  <c r="C15" i="3"/>
  <c r="J15" i="3" s="1"/>
  <c r="J14" i="3"/>
  <c r="K14" i="3" s="1"/>
  <c r="D14" i="3"/>
  <c r="E14" i="3" s="1"/>
  <c r="C14" i="3"/>
  <c r="J13" i="3"/>
  <c r="K13" i="3" s="1"/>
  <c r="D13" i="3"/>
  <c r="E13" i="3" s="1"/>
  <c r="C13" i="3"/>
  <c r="D12" i="3"/>
  <c r="C12" i="3"/>
  <c r="J12" i="3" s="1"/>
  <c r="K12" i="3" s="1"/>
  <c r="D11" i="3"/>
  <c r="C11" i="3"/>
  <c r="J11" i="3" s="1"/>
  <c r="J10" i="3"/>
  <c r="K10" i="3" s="1"/>
  <c r="D10" i="3"/>
  <c r="E10" i="3" s="1"/>
  <c r="C10" i="3"/>
  <c r="J9" i="3"/>
  <c r="K9" i="3" s="1"/>
  <c r="D9" i="3"/>
  <c r="E9" i="3" s="1"/>
  <c r="C9" i="3"/>
  <c r="D8" i="3"/>
  <c r="C8" i="3"/>
  <c r="J8" i="3" s="1"/>
  <c r="K8" i="3" s="1"/>
  <c r="D7" i="3"/>
  <c r="C7" i="3"/>
  <c r="J7" i="3" s="1"/>
  <c r="J6" i="3"/>
  <c r="K6" i="3" s="1"/>
  <c r="D6" i="3"/>
  <c r="E6" i="3" s="1"/>
  <c r="C6" i="3"/>
  <c r="J5" i="3"/>
  <c r="K5" i="3" s="1"/>
  <c r="D5" i="3"/>
  <c r="E5" i="3" s="1"/>
  <c r="C5" i="3"/>
  <c r="D4" i="3"/>
  <c r="C4" i="3"/>
  <c r="J4" i="3" s="1"/>
  <c r="K4" i="3" s="1"/>
  <c r="D30" i="2"/>
  <c r="R29" i="2"/>
  <c r="M29" i="2"/>
  <c r="K29" i="2"/>
  <c r="L29" i="2" s="1"/>
  <c r="H29" i="2"/>
  <c r="R28" i="2"/>
  <c r="M28" i="2"/>
  <c r="N28" i="2" s="1"/>
  <c r="K28" i="2"/>
  <c r="L28" i="2" s="1"/>
  <c r="H28" i="2"/>
  <c r="R27" i="2"/>
  <c r="M27" i="2"/>
  <c r="N27" i="2" s="1"/>
  <c r="K27" i="2"/>
  <c r="L27" i="2" s="1"/>
  <c r="H27" i="2"/>
  <c r="R26" i="2"/>
  <c r="M26" i="2"/>
  <c r="K26" i="2"/>
  <c r="L26" i="2" s="1"/>
  <c r="H26" i="2"/>
  <c r="R25" i="2"/>
  <c r="M25" i="2"/>
  <c r="K25" i="2"/>
  <c r="L25" i="2" s="1"/>
  <c r="H25" i="2"/>
  <c r="R24" i="2"/>
  <c r="M24" i="2"/>
  <c r="N24" i="2" s="1"/>
  <c r="K24" i="2"/>
  <c r="L24" i="2" s="1"/>
  <c r="H24" i="2"/>
  <c r="R23" i="2"/>
  <c r="M23" i="2"/>
  <c r="N23" i="2" s="1"/>
  <c r="K23" i="2"/>
  <c r="L23" i="2" s="1"/>
  <c r="H23" i="2"/>
  <c r="R22" i="2"/>
  <c r="M22" i="2"/>
  <c r="K22" i="2"/>
  <c r="L22" i="2" s="1"/>
  <c r="H22" i="2"/>
  <c r="R21" i="2"/>
  <c r="M21" i="2"/>
  <c r="K21" i="2"/>
  <c r="L21" i="2" s="1"/>
  <c r="H21" i="2"/>
  <c r="R20" i="2"/>
  <c r="M20" i="2"/>
  <c r="N20" i="2" s="1"/>
  <c r="K20" i="2"/>
  <c r="H20" i="2"/>
  <c r="R19" i="2"/>
  <c r="M19" i="2"/>
  <c r="N19" i="2" s="1"/>
  <c r="K19" i="2"/>
  <c r="L19" i="2" s="1"/>
  <c r="H19" i="2"/>
  <c r="R18" i="2"/>
  <c r="M18" i="2"/>
  <c r="K18" i="2"/>
  <c r="L18" i="2" s="1"/>
  <c r="H18" i="2"/>
  <c r="R17" i="2"/>
  <c r="M17" i="2"/>
  <c r="K17" i="2"/>
  <c r="L17" i="2" s="1"/>
  <c r="H17" i="2"/>
  <c r="R16" i="2"/>
  <c r="M16" i="2"/>
  <c r="N16" i="2" s="1"/>
  <c r="K16" i="2"/>
  <c r="L16" i="2" s="1"/>
  <c r="H16" i="2"/>
  <c r="R15" i="2"/>
  <c r="M15" i="2"/>
  <c r="N15" i="2" s="1"/>
  <c r="K15" i="2"/>
  <c r="L15" i="2" s="1"/>
  <c r="H15" i="2"/>
  <c r="R14" i="2"/>
  <c r="M14" i="2"/>
  <c r="K14" i="2"/>
  <c r="L14" i="2" s="1"/>
  <c r="H14" i="2"/>
  <c r="R13" i="2"/>
  <c r="M13" i="2"/>
  <c r="K13" i="2"/>
  <c r="L13" i="2" s="1"/>
  <c r="H13" i="2"/>
  <c r="R12" i="2"/>
  <c r="M12" i="2"/>
  <c r="N12" i="2" s="1"/>
  <c r="K12" i="2"/>
  <c r="H12" i="2"/>
  <c r="R11" i="2"/>
  <c r="M11" i="2"/>
  <c r="N11" i="2" s="1"/>
  <c r="K11" i="2"/>
  <c r="L11" i="2" s="1"/>
  <c r="H11" i="2"/>
  <c r="R10" i="2"/>
  <c r="M10" i="2"/>
  <c r="K10" i="2"/>
  <c r="L10" i="2" s="1"/>
  <c r="H10" i="2"/>
  <c r="R9" i="2"/>
  <c r="M9" i="2"/>
  <c r="K9" i="2"/>
  <c r="L9" i="2" s="1"/>
  <c r="H9" i="2"/>
  <c r="R8" i="2"/>
  <c r="M8" i="2"/>
  <c r="K8" i="2"/>
  <c r="F8" i="2"/>
  <c r="H8" i="2" s="1"/>
  <c r="R7" i="2"/>
  <c r="M7" i="2"/>
  <c r="K7" i="2"/>
  <c r="F7" i="2"/>
  <c r="H7" i="2" s="1"/>
  <c r="R6" i="2"/>
  <c r="M6" i="2"/>
  <c r="K6" i="2"/>
  <c r="F6" i="2"/>
  <c r="H6" i="2" s="1"/>
  <c r="R5" i="2"/>
  <c r="M5" i="2"/>
  <c r="K5" i="2"/>
  <c r="F5" i="2"/>
  <c r="H5" i="2" s="1"/>
  <c r="R4" i="2"/>
  <c r="M4" i="2"/>
  <c r="K4" i="2"/>
  <c r="F4" i="2"/>
  <c r="H4" i="2" s="1"/>
  <c r="R3" i="2"/>
  <c r="R32" i="2" s="1"/>
  <c r="M3" i="2"/>
  <c r="N3" i="2" s="1"/>
  <c r="K3" i="2"/>
  <c r="L3" i="2" s="1"/>
  <c r="H3" i="2"/>
  <c r="H32" i="2" s="1"/>
  <c r="D31" i="1"/>
  <c r="S30" i="1"/>
  <c r="N30" i="1"/>
  <c r="L30" i="1"/>
  <c r="E30" i="1"/>
  <c r="S29" i="1"/>
  <c r="N29" i="1"/>
  <c r="L29" i="1"/>
  <c r="E29" i="1"/>
  <c r="S28" i="1"/>
  <c r="N28" i="1"/>
  <c r="L28" i="1"/>
  <c r="E28" i="1"/>
  <c r="S27" i="1"/>
  <c r="N27" i="1"/>
  <c r="L27" i="1"/>
  <c r="E27" i="1"/>
  <c r="S26" i="1"/>
  <c r="N26" i="1"/>
  <c r="L26" i="1"/>
  <c r="E26" i="1"/>
  <c r="S25" i="1"/>
  <c r="N25" i="1"/>
  <c r="L25" i="1"/>
  <c r="E25" i="1"/>
  <c r="S24" i="1"/>
  <c r="N24" i="1"/>
  <c r="L24" i="1"/>
  <c r="E24" i="1"/>
  <c r="S23" i="1"/>
  <c r="N23" i="1"/>
  <c r="L23" i="1"/>
  <c r="E23" i="1"/>
  <c r="S22" i="1"/>
  <c r="N22" i="1"/>
  <c r="L22" i="1"/>
  <c r="E22" i="1"/>
  <c r="S21" i="1"/>
  <c r="N21" i="1"/>
  <c r="L21" i="1"/>
  <c r="E21" i="1"/>
  <c r="S20" i="1"/>
  <c r="N20" i="1"/>
  <c r="L20" i="1"/>
  <c r="E20" i="1"/>
  <c r="S19" i="1"/>
  <c r="N19" i="1"/>
  <c r="L19" i="1"/>
  <c r="E19" i="1"/>
  <c r="S18" i="1"/>
  <c r="N18" i="1"/>
  <c r="L18" i="1"/>
  <c r="E18" i="1"/>
  <c r="S17" i="1"/>
  <c r="N17" i="1"/>
  <c r="L17" i="1"/>
  <c r="E17" i="1"/>
  <c r="S16" i="1"/>
  <c r="N16" i="1"/>
  <c r="L16" i="1"/>
  <c r="E16" i="1"/>
  <c r="S15" i="1"/>
  <c r="N15" i="1"/>
  <c r="L15" i="1"/>
  <c r="E15" i="1"/>
  <c r="S14" i="1"/>
  <c r="N14" i="1"/>
  <c r="L14" i="1"/>
  <c r="E14" i="1"/>
  <c r="S13" i="1"/>
  <c r="N13" i="1"/>
  <c r="L13" i="1"/>
  <c r="E13" i="1"/>
  <c r="S12" i="1"/>
  <c r="N12" i="1"/>
  <c r="L12" i="1"/>
  <c r="E12" i="1"/>
  <c r="S11" i="1"/>
  <c r="N11" i="1"/>
  <c r="L11" i="1"/>
  <c r="E11" i="1"/>
  <c r="S10" i="1"/>
  <c r="N10" i="1"/>
  <c r="L10" i="1"/>
  <c r="E10" i="1"/>
  <c r="S9" i="1"/>
  <c r="N9" i="1"/>
  <c r="L9" i="1"/>
  <c r="E9" i="1"/>
  <c r="S8" i="1"/>
  <c r="N8" i="1"/>
  <c r="L8" i="1"/>
  <c r="E8" i="1"/>
  <c r="S7" i="1"/>
  <c r="N7" i="1"/>
  <c r="L7" i="1"/>
  <c r="E7" i="1"/>
  <c r="S6" i="1"/>
  <c r="N6" i="1"/>
  <c r="L6" i="1"/>
  <c r="E6" i="1"/>
  <c r="S5" i="1"/>
  <c r="N5" i="1"/>
  <c r="O5" i="1" s="1"/>
  <c r="L5" i="1"/>
  <c r="M5" i="1" s="1"/>
  <c r="G5" i="1"/>
  <c r="S4" i="1"/>
  <c r="N4" i="1"/>
  <c r="L4" i="1"/>
  <c r="M4" i="1" s="1"/>
  <c r="G4" i="1"/>
  <c r="D30" i="5"/>
  <c r="N29" i="5"/>
  <c r="L29" i="5"/>
  <c r="F29" i="5"/>
  <c r="E29" i="5"/>
  <c r="N28" i="5"/>
  <c r="L28" i="5"/>
  <c r="E28" i="5"/>
  <c r="N27" i="5"/>
  <c r="L27" i="5"/>
  <c r="E27" i="5"/>
  <c r="N26" i="5"/>
  <c r="L26" i="5"/>
  <c r="E26" i="5"/>
  <c r="O26" i="5" s="1"/>
  <c r="N25" i="5"/>
  <c r="L25" i="5"/>
  <c r="E25" i="5"/>
  <c r="O25" i="5" s="1"/>
  <c r="N24" i="5"/>
  <c r="L24" i="5"/>
  <c r="E24" i="5"/>
  <c r="M24" i="5" s="1"/>
  <c r="N23" i="5"/>
  <c r="L23" i="5"/>
  <c r="E23" i="5"/>
  <c r="N22" i="5"/>
  <c r="L22" i="5"/>
  <c r="E22" i="5"/>
  <c r="N21" i="5"/>
  <c r="L21" i="5"/>
  <c r="E21" i="5"/>
  <c r="G21" i="5" s="1"/>
  <c r="N20" i="5"/>
  <c r="L20" i="5"/>
  <c r="E20" i="5"/>
  <c r="M20" i="5" s="1"/>
  <c r="N19" i="5"/>
  <c r="L19" i="5"/>
  <c r="E19" i="5"/>
  <c r="N18" i="5"/>
  <c r="L18" i="5"/>
  <c r="E18" i="5"/>
  <c r="N17" i="5"/>
  <c r="L17" i="5"/>
  <c r="E17" i="5"/>
  <c r="G17" i="5" s="1"/>
  <c r="N16" i="5"/>
  <c r="L16" i="5"/>
  <c r="E16" i="5"/>
  <c r="N15" i="5"/>
  <c r="L15" i="5"/>
  <c r="E15" i="5"/>
  <c r="M15" i="5" s="1"/>
  <c r="N14" i="5"/>
  <c r="L14" i="5"/>
  <c r="E14" i="5"/>
  <c r="N13" i="5"/>
  <c r="L13" i="5"/>
  <c r="M13" i="5" s="1"/>
  <c r="E13" i="5"/>
  <c r="N12" i="5"/>
  <c r="L12" i="5"/>
  <c r="E12" i="5"/>
  <c r="N11" i="5"/>
  <c r="L11" i="5"/>
  <c r="E11" i="5"/>
  <c r="M11" i="5" s="1"/>
  <c r="N10" i="5"/>
  <c r="L10" i="5"/>
  <c r="E10" i="5"/>
  <c r="O10" i="5" s="1"/>
  <c r="N9" i="5"/>
  <c r="L9" i="5"/>
  <c r="E9" i="5"/>
  <c r="N8" i="5"/>
  <c r="L8" i="5"/>
  <c r="E8" i="5"/>
  <c r="M8" i="5" s="1"/>
  <c r="N7" i="5"/>
  <c r="L7" i="5"/>
  <c r="E7" i="5"/>
  <c r="N6" i="5"/>
  <c r="L6" i="5"/>
  <c r="E6" i="5"/>
  <c r="O6" i="5" s="1"/>
  <c r="N5" i="5"/>
  <c r="O5" i="5" s="1"/>
  <c r="L5" i="5"/>
  <c r="M5" i="5" s="1"/>
  <c r="G5" i="5"/>
  <c r="N4" i="5"/>
  <c r="L4" i="5"/>
  <c r="M4" i="5" s="1"/>
  <c r="G4" i="5"/>
  <c r="G10" i="6" l="1"/>
  <c r="G14" i="6"/>
  <c r="G18" i="6"/>
  <c r="U25" i="6"/>
  <c r="G30" i="6"/>
  <c r="E4" i="3"/>
  <c r="E8" i="3"/>
  <c r="E12" i="3"/>
  <c r="E16" i="3"/>
  <c r="E20" i="3"/>
  <c r="E24" i="3"/>
  <c r="E28" i="3"/>
  <c r="K7" i="3"/>
  <c r="K11" i="3"/>
  <c r="K31" i="3" s="1"/>
  <c r="K15" i="3"/>
  <c r="K19" i="3"/>
  <c r="K23" i="3"/>
  <c r="K27" i="3"/>
  <c r="O9" i="2"/>
  <c r="O10" i="2"/>
  <c r="O17" i="2"/>
  <c r="O18" i="2"/>
  <c r="O25" i="2"/>
  <c r="O26" i="2"/>
  <c r="O8" i="1"/>
  <c r="O10" i="1"/>
  <c r="O12" i="1"/>
  <c r="O14" i="1"/>
  <c r="O17" i="1"/>
  <c r="O19" i="1"/>
  <c r="O21" i="1"/>
  <c r="O22" i="1"/>
  <c r="O24" i="1"/>
  <c r="O25" i="1"/>
  <c r="O26" i="1"/>
  <c r="O28" i="1"/>
  <c r="O29" i="1"/>
  <c r="O30" i="1"/>
  <c r="S33" i="1"/>
  <c r="O6" i="1"/>
  <c r="O7" i="1"/>
  <c r="O9" i="1"/>
  <c r="O11" i="1"/>
  <c r="O13" i="1"/>
  <c r="O15" i="1"/>
  <c r="O16" i="1"/>
  <c r="O18" i="1"/>
  <c r="O20" i="1"/>
  <c r="O23" i="1"/>
  <c r="O27" i="1"/>
  <c r="O9" i="5"/>
  <c r="G25" i="5"/>
  <c r="G9" i="5"/>
  <c r="O13" i="5"/>
  <c r="P23" i="5"/>
  <c r="P4" i="5"/>
  <c r="P7" i="5"/>
  <c r="G13" i="5"/>
  <c r="P14" i="5"/>
  <c r="M27" i="5"/>
  <c r="X5" i="6"/>
  <c r="Q5" i="6"/>
  <c r="X19" i="6"/>
  <c r="X27" i="6"/>
  <c r="N24" i="7"/>
  <c r="N28" i="7"/>
  <c r="G5" i="6"/>
  <c r="G6" i="6"/>
  <c r="G8" i="6"/>
  <c r="G11" i="6"/>
  <c r="G15" i="6"/>
  <c r="G16" i="6"/>
  <c r="G19" i="6"/>
  <c r="G20" i="6"/>
  <c r="G23" i="6"/>
  <c r="G24" i="6"/>
  <c r="G27" i="6"/>
  <c r="G28" i="6"/>
  <c r="U30" i="6"/>
  <c r="V30" i="6" s="1"/>
  <c r="K7" i="7"/>
  <c r="K8" i="7"/>
  <c r="K11" i="7"/>
  <c r="K12" i="7"/>
  <c r="K16" i="7"/>
  <c r="K20" i="7"/>
  <c r="K24" i="7"/>
  <c r="K27" i="7"/>
  <c r="K28" i="7"/>
  <c r="K31" i="7"/>
  <c r="N8" i="7"/>
  <c r="N12" i="7"/>
  <c r="N16" i="7"/>
  <c r="G29" i="6"/>
  <c r="N6" i="7"/>
  <c r="N10" i="7"/>
  <c r="N14" i="7"/>
  <c r="N18" i="7"/>
  <c r="N22" i="7"/>
  <c r="N26" i="7"/>
  <c r="N30" i="7"/>
  <c r="X23" i="6"/>
  <c r="N20" i="7"/>
  <c r="G7" i="6"/>
  <c r="G9" i="6"/>
  <c r="N10" i="6"/>
  <c r="U10" i="6" s="1"/>
  <c r="V10" i="6" s="1"/>
  <c r="G13" i="6"/>
  <c r="U14" i="6"/>
  <c r="V14" i="6" s="1"/>
  <c r="N14" i="6"/>
  <c r="X15" i="6"/>
  <c r="G17" i="6"/>
  <c r="U18" i="6"/>
  <c r="V18" i="6" s="1"/>
  <c r="N18" i="6"/>
  <c r="G21" i="6"/>
  <c r="U22" i="6"/>
  <c r="V22" i="6" s="1"/>
  <c r="G25" i="6"/>
  <c r="U26" i="6"/>
  <c r="V26" i="6" s="1"/>
  <c r="G31" i="6"/>
  <c r="K5" i="7"/>
  <c r="K6" i="7"/>
  <c r="K9" i="7"/>
  <c r="K10" i="7"/>
  <c r="K13" i="7"/>
  <c r="K14" i="7"/>
  <c r="K17" i="7"/>
  <c r="K18" i="7"/>
  <c r="K21" i="7"/>
  <c r="K22" i="7"/>
  <c r="K25" i="7"/>
  <c r="K26" i="7"/>
  <c r="K29" i="7"/>
  <c r="K30" i="7"/>
  <c r="O12" i="2"/>
  <c r="O20" i="2"/>
  <c r="L4" i="2"/>
  <c r="L5" i="2"/>
  <c r="O6" i="2"/>
  <c r="L7" i="2"/>
  <c r="O8" i="2"/>
  <c r="O13" i="2"/>
  <c r="O14" i="2"/>
  <c r="O21" i="2"/>
  <c r="O22" i="2"/>
  <c r="O28" i="2"/>
  <c r="N4" i="2"/>
  <c r="N5" i="2"/>
  <c r="N6" i="2"/>
  <c r="N7" i="2"/>
  <c r="N8" i="2"/>
  <c r="O29" i="2"/>
  <c r="P4" i="1"/>
  <c r="O21" i="5"/>
  <c r="M9" i="5"/>
  <c r="M10" i="5"/>
  <c r="M31" i="5" s="1"/>
  <c r="O17" i="5"/>
  <c r="P19" i="5"/>
  <c r="O22" i="5"/>
  <c r="M25" i="5"/>
  <c r="M26" i="5"/>
  <c r="M6" i="5"/>
  <c r="M7" i="5"/>
  <c r="P15" i="5"/>
  <c r="M16" i="5"/>
  <c r="O18" i="5"/>
  <c r="M21" i="5"/>
  <c r="P22" i="5"/>
  <c r="M23" i="5"/>
  <c r="P11" i="5"/>
  <c r="M12" i="5"/>
  <c r="O14" i="5"/>
  <c r="M17" i="5"/>
  <c r="P18" i="5"/>
  <c r="M19" i="5"/>
  <c r="P27" i="5"/>
  <c r="M28" i="5"/>
  <c r="M29" i="5"/>
  <c r="K15" i="7"/>
  <c r="K19" i="7"/>
  <c r="K23" i="7"/>
  <c r="M8" i="7"/>
  <c r="M12" i="7"/>
  <c r="M16" i="7"/>
  <c r="M20" i="7"/>
  <c r="M24" i="7"/>
  <c r="M28" i="7"/>
  <c r="G9" i="7"/>
  <c r="M9" i="7"/>
  <c r="G11" i="7"/>
  <c r="M11" i="7"/>
  <c r="G17" i="7"/>
  <c r="M17" i="7"/>
  <c r="G19" i="7"/>
  <c r="M19" i="7"/>
  <c r="G21" i="7"/>
  <c r="M21" i="7"/>
  <c r="G23" i="7"/>
  <c r="M23" i="7"/>
  <c r="G25" i="7"/>
  <c r="M25" i="7"/>
  <c r="G29" i="7"/>
  <c r="M29" i="7"/>
  <c r="G31" i="7"/>
  <c r="M31" i="7"/>
  <c r="N5" i="7"/>
  <c r="N7" i="7"/>
  <c r="N9" i="7"/>
  <c r="N11" i="7"/>
  <c r="N13" i="7"/>
  <c r="N15" i="7"/>
  <c r="N17" i="7"/>
  <c r="N19" i="7"/>
  <c r="N21" i="7"/>
  <c r="N23" i="7"/>
  <c r="N25" i="7"/>
  <c r="N27" i="7"/>
  <c r="N29" i="7"/>
  <c r="N31" i="7"/>
  <c r="G5" i="7"/>
  <c r="M5" i="7"/>
  <c r="G7" i="7"/>
  <c r="M7" i="7"/>
  <c r="G13" i="7"/>
  <c r="M13" i="7"/>
  <c r="G15" i="7"/>
  <c r="M15" i="7"/>
  <c r="G27" i="7"/>
  <c r="M27" i="7"/>
  <c r="G6" i="7"/>
  <c r="G8" i="7"/>
  <c r="G10" i="7"/>
  <c r="G12" i="7"/>
  <c r="G14" i="7"/>
  <c r="G16" i="7"/>
  <c r="G18" i="7"/>
  <c r="G20" i="7"/>
  <c r="G22" i="7"/>
  <c r="G24" i="7"/>
  <c r="G26" i="7"/>
  <c r="G28" i="7"/>
  <c r="G30" i="7"/>
  <c r="X29" i="6"/>
  <c r="V9" i="6"/>
  <c r="Q12" i="6"/>
  <c r="U12" i="6"/>
  <c r="V12" i="6" s="1"/>
  <c r="X12" i="6"/>
  <c r="V13" i="6"/>
  <c r="V17" i="6"/>
  <c r="V21" i="6"/>
  <c r="V25" i="6"/>
  <c r="X30" i="6"/>
  <c r="Q31" i="6"/>
  <c r="X9" i="6"/>
  <c r="U11" i="6"/>
  <c r="V11" i="6" s="1"/>
  <c r="X13" i="6"/>
  <c r="U15" i="6"/>
  <c r="V15" i="6" s="1"/>
  <c r="X17" i="6"/>
  <c r="U19" i="6"/>
  <c r="V19" i="6" s="1"/>
  <c r="X21" i="6"/>
  <c r="U23" i="6"/>
  <c r="X25" i="6"/>
  <c r="U27" i="6"/>
  <c r="X31" i="6"/>
  <c r="X10" i="6"/>
  <c r="X11" i="6"/>
  <c r="Q11" i="6"/>
  <c r="X14" i="6"/>
  <c r="Q15" i="6"/>
  <c r="X18" i="6"/>
  <c r="Q19" i="6"/>
  <c r="X22" i="6"/>
  <c r="Q23" i="6"/>
  <c r="X26" i="6"/>
  <c r="Q27" i="6"/>
  <c r="U29" i="6"/>
  <c r="V29" i="6" s="1"/>
  <c r="G12" i="6"/>
  <c r="M6" i="6"/>
  <c r="X6" i="6" s="1"/>
  <c r="N7" i="6"/>
  <c r="M8" i="6"/>
  <c r="Q9" i="6"/>
  <c r="Q13" i="6"/>
  <c r="M16" i="6"/>
  <c r="Q17" i="6"/>
  <c r="M20" i="6"/>
  <c r="Q21" i="6"/>
  <c r="V23" i="6"/>
  <c r="M24" i="6"/>
  <c r="Q25" i="6"/>
  <c r="V27" i="6"/>
  <c r="M28" i="6"/>
  <c r="U28" i="6" s="1"/>
  <c r="V28" i="6" s="1"/>
  <c r="Q29" i="6"/>
  <c r="V31" i="6"/>
  <c r="Q10" i="6"/>
  <c r="Q14" i="6"/>
  <c r="Q18" i="6"/>
  <c r="G22" i="6"/>
  <c r="Q22" i="6"/>
  <c r="G26" i="6"/>
  <c r="Q26" i="6"/>
  <c r="Q30" i="6"/>
  <c r="E11" i="3"/>
  <c r="E19" i="3"/>
  <c r="E23" i="3"/>
  <c r="E27" i="3"/>
  <c r="E7" i="3"/>
  <c r="E31" i="3" s="1"/>
  <c r="E15" i="3"/>
  <c r="O3" i="2"/>
  <c r="O4" i="2"/>
  <c r="O5" i="2"/>
  <c r="O7" i="2"/>
  <c r="O16" i="2"/>
  <c r="O24" i="2"/>
  <c r="L6" i="2"/>
  <c r="L8" i="2"/>
  <c r="N10" i="2"/>
  <c r="O11" i="2"/>
  <c r="L12" i="2"/>
  <c r="N14" i="2"/>
  <c r="O15" i="2"/>
  <c r="N18" i="2"/>
  <c r="O19" i="2"/>
  <c r="L20" i="2"/>
  <c r="N22" i="2"/>
  <c r="O23" i="2"/>
  <c r="N26" i="2"/>
  <c r="O27" i="2"/>
  <c r="H31" i="2"/>
  <c r="N9" i="2"/>
  <c r="N13" i="2"/>
  <c r="N17" i="2"/>
  <c r="N21" i="2"/>
  <c r="N25" i="2"/>
  <c r="N29" i="2"/>
  <c r="O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P6" i="5"/>
  <c r="P10" i="5"/>
  <c r="P26" i="5"/>
  <c r="P5" i="5"/>
  <c r="G8" i="5"/>
  <c r="O8" i="5"/>
  <c r="P9" i="5"/>
  <c r="G12" i="5"/>
  <c r="O12" i="5"/>
  <c r="P13" i="5"/>
  <c r="M14" i="5"/>
  <c r="G16" i="5"/>
  <c r="O16" i="5"/>
  <c r="P17" i="5"/>
  <c r="M18" i="5"/>
  <c r="G20" i="5"/>
  <c r="O20" i="5"/>
  <c r="P21" i="5"/>
  <c r="M22" i="5"/>
  <c r="G24" i="5"/>
  <c r="O24" i="5"/>
  <c r="P25" i="5"/>
  <c r="G28" i="5"/>
  <c r="O28" i="5"/>
  <c r="G29" i="5"/>
  <c r="O29" i="5"/>
  <c r="O7" i="5"/>
  <c r="O11" i="5"/>
  <c r="O15" i="5"/>
  <c r="O19" i="5"/>
  <c r="G23" i="5"/>
  <c r="G27" i="5"/>
  <c r="O27" i="5"/>
  <c r="P28" i="5"/>
  <c r="P29" i="5"/>
  <c r="O4" i="5"/>
  <c r="G7" i="5"/>
  <c r="P8" i="5"/>
  <c r="G11" i="5"/>
  <c r="P12" i="5"/>
  <c r="G15" i="5"/>
  <c r="P16" i="5"/>
  <c r="G19" i="5"/>
  <c r="P20" i="5"/>
  <c r="O23" i="5"/>
  <c r="P24" i="5"/>
  <c r="G6" i="5"/>
  <c r="D31" i="5" s="1"/>
  <c r="G10" i="5"/>
  <c r="G14" i="5"/>
  <c r="G18" i="5"/>
  <c r="G22" i="5"/>
  <c r="G26" i="5"/>
  <c r="N31" i="2" l="1"/>
  <c r="O32" i="1"/>
  <c r="Q32" i="1"/>
  <c r="M34" i="7"/>
  <c r="K34" i="7"/>
  <c r="G34" i="6"/>
  <c r="L31" i="2"/>
  <c r="G32" i="1"/>
  <c r="M32" i="1"/>
  <c r="M32" i="5"/>
  <c r="Q31" i="5"/>
  <c r="G31" i="5"/>
  <c r="F36" i="7"/>
  <c r="G34" i="7"/>
  <c r="O34" i="7"/>
  <c r="Q8" i="6"/>
  <c r="X8" i="6"/>
  <c r="U8" i="6"/>
  <c r="V8" i="6" s="1"/>
  <c r="X20" i="6"/>
  <c r="Q20" i="6"/>
  <c r="U20" i="6"/>
  <c r="V20" i="6" s="1"/>
  <c r="X7" i="6"/>
  <c r="Q7" i="6"/>
  <c r="X16" i="6"/>
  <c r="Q16" i="6"/>
  <c r="U16" i="6"/>
  <c r="V16" i="6" s="1"/>
  <c r="Q24" i="6"/>
  <c r="X24" i="6"/>
  <c r="U24" i="6"/>
  <c r="V24" i="6" s="1"/>
  <c r="Q6" i="6"/>
  <c r="U6" i="6"/>
  <c r="V6" i="6" s="1"/>
  <c r="Q28" i="6"/>
  <c r="U7" i="6"/>
  <c r="V7" i="6" s="1"/>
  <c r="X28" i="6"/>
  <c r="P31" i="2"/>
  <c r="O32" i="5"/>
  <c r="O31" i="5"/>
  <c r="Q32" i="5"/>
  <c r="X33" i="6" l="1"/>
  <c r="X34" i="6"/>
  <c r="V33" i="6"/>
  <c r="V34" i="6"/>
  <c r="N34" i="6"/>
  <c r="N33" i="6"/>
</calcChain>
</file>

<file path=xl/sharedStrings.xml><?xml version="1.0" encoding="utf-8"?>
<sst xmlns="http://schemas.openxmlformats.org/spreadsheetml/2006/main" count="334" uniqueCount="66">
  <si>
    <t>Figures in Rs. (lakhs)</t>
  </si>
  <si>
    <t>Sensitivity Analysis</t>
  </si>
  <si>
    <t>Year</t>
  </si>
  <si>
    <t>Capital Cost</t>
  </si>
  <si>
    <t>Operating Cost</t>
  </si>
  <si>
    <t>Commission</t>
  </si>
  <si>
    <t>Cash Inflow</t>
  </si>
  <si>
    <t>Net Cash Flow</t>
  </si>
  <si>
    <t>Change in Capital Cost (+10%)</t>
  </si>
  <si>
    <t>Net flow</t>
  </si>
  <si>
    <t>Change in operating cost (+10%)</t>
  </si>
  <si>
    <t>Change in both: Net flows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</si>
  <si>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</si>
  <si>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</si>
  <si>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</si>
  <si>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</si>
  <si>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</si>
  <si>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</si>
  <si>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</si>
  <si>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</si>
  <si>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</si>
  <si>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</si>
  <si>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</si>
  <si>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2027-28</t>
  </si>
  <si>
    <t>2028-29</t>
  </si>
  <si>
    <t>2029-30</t>
  </si>
  <si>
    <t>2030-31</t>
  </si>
  <si>
    <t>2031-32</t>
  </si>
  <si>
    <t>2032-33</t>
  </si>
  <si>
    <t>2033-34</t>
  </si>
  <si>
    <t>2034-35</t>
  </si>
  <si>
    <t>2035-36</t>
  </si>
  <si>
    <t>2036-37</t>
  </si>
  <si>
    <t>2037-38</t>
  </si>
  <si>
    <t>2038-39</t>
  </si>
  <si>
    <t>2039-40</t>
  </si>
  <si>
    <t>2041-42+ salvage value</t>
  </si>
  <si>
    <t>NPV</t>
  </si>
  <si>
    <t>IRR</t>
  </si>
  <si>
    <t>Cost of capital</t>
  </si>
  <si>
    <t>2040-41</t>
  </si>
  <si>
    <t>2041-42</t>
  </si>
  <si>
    <t>2042-43+ SALVAGE</t>
  </si>
  <si>
    <t>-</t>
  </si>
  <si>
    <t>Consultancy fees</t>
  </si>
  <si>
    <t>Stipend</t>
  </si>
  <si>
    <t>2042-43</t>
  </si>
  <si>
    <t>Other Costs</t>
  </si>
  <si>
    <t>Economic Analysis</t>
  </si>
  <si>
    <t>Cash Inflow (₹ 9.6 L/ ha)</t>
  </si>
  <si>
    <t>Capital Cost (-20%)</t>
  </si>
  <si>
    <t>Operating Cost (+20%)</t>
  </si>
  <si>
    <t>Cash Inflow (At $50000 per ton)</t>
  </si>
  <si>
    <t>Change in Total Cost (+10%)</t>
  </si>
  <si>
    <t>Change in international prices (-10%)</t>
  </si>
  <si>
    <t>Change in Op. cost (-0.1%)</t>
  </si>
  <si>
    <t>Overall change: Net flows</t>
  </si>
  <si>
    <t>Senstivity Analysis</t>
  </si>
  <si>
    <t>IRR is much higher (407%) in economic analysis</t>
  </si>
  <si>
    <t>This effectively means much gretaer value is expected to be created in the form of employment and opportunites</t>
  </si>
  <si>
    <t>Sensitiity analysis checks feasibility of project in case of fluctuations</t>
  </si>
  <si>
    <t>In this case we see change from 407% to 370%</t>
  </si>
  <si>
    <t>Factor 0.8 for capital cost</t>
  </si>
  <si>
    <t>Factor 1.2 for operating cost</t>
  </si>
  <si>
    <t>For cultivators, NPV is +ve, showing gain for them</t>
  </si>
  <si>
    <t>For feedmills NPV is negative, this can be because of high initial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</si>
</sst>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5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0" fillId="0" borderId="2" xfId="0" applyBorder="1"/>
    <xf numFmtId="0" fontId="3" fillId="0" borderId="6" xfId="0" applyFont="1" applyBorder="1" applyAlignment="1">
      <alignment horizontal="right" vertical="center" wrapText="1"/>
    </xf>
    <xf numFmtId="2" fontId="3" fillId="0" borderId="6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2" fontId="0" fillId="0" borderId="0" xfId="0" applyNumberFormat="1"/>
    <xf numFmtId="0" fontId="2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2" fontId="0" fillId="0" borderId="2" xfId="0" applyNumberFormat="1" applyBorder="1"/>
    <xf numFmtId="8" fontId="1" fillId="0" borderId="2" xfId="0" applyNumberFormat="1" applyFont="1" applyBorder="1"/>
    <xf numFmtId="1" fontId="0" fillId="0" borderId="0" xfId="0" applyNumberFormat="1"/>
    <xf numFmtId="9" fontId="0" fillId="0" borderId="2" xfId="0" applyNumberFormat="1" applyBorder="1"/>
    <xf numFmtId="9" fontId="0" fillId="0" borderId="0" xfId="0" applyNumberFormat="1"/>
    <xf numFmtId="9" fontId="0" fillId="0" borderId="2" xfId="0" applyNumberFormat="1" applyBorder="1" applyAlignment="1">
      <alignment horizontal="center"/>
    </xf>
    <xf numFmtId="10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5" xfId="0" applyNumberFormat="1" applyBorder="1"/>
    <xf numFmtId="0" fontId="1" fillId="0" borderId="0" xfId="0" applyFont="1" applyAlignment="1">
      <alignment horizontal="center"/>
    </xf>
    <xf numFmtId="165" fontId="1" fillId="0" borderId="2" xfId="0" applyNumberFormat="1" applyFont="1" applyBorder="1"/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 wrapText="1"/>
    </xf>
    <xf numFmtId="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2" xfId="0" applyFill="1" applyBorder="1"/>
    <xf numFmtId="2" fontId="0" fillId="0" borderId="2" xfId="0" applyNumberFormat="1" applyFill="1" applyBorder="1"/>
    <xf numFmtId="8" fontId="1" fillId="0" borderId="2" xfId="0" applyNumberFormat="1" applyFont="1" applyFill="1" applyBorder="1"/>
    <xf numFmtId="9" fontId="0" fillId="0" borderId="2" xfId="0" applyNumberFormat="1" applyFill="1" applyBorder="1"/>
    <xf numFmtId="0" fontId="1" fillId="0" borderId="0" xfId="0" applyFont="1" applyFill="1"/>
    <xf numFmtId="8" fontId="1" fillId="0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2" fontId="3" fillId="0" borderId="2" xfId="0" applyNumberFormat="1" applyFont="1" applyFill="1" applyBorder="1" applyAlignment="1">
      <alignment horizontal="right" vertical="center" wrapText="1"/>
    </xf>
    <xf numFmtId="9" fontId="0" fillId="0" borderId="2" xfId="0" applyNumberFormat="1" applyFill="1" applyBorder="1" applyAlignment="1">
      <alignment horizontal="center"/>
    </xf>
    <xf numFmtId="0" fontId="1" fillId="0" borderId="0" xfId="0" applyFont="1" applyFill="1" applyBorder="1"/>
    <xf numFmtId="8" fontId="1" fillId="0" borderId="0" xfId="0" applyNumberFormat="1" applyFont="1" applyFill="1" applyBorder="1"/>
    <xf numFmtId="9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0" fillId="2" borderId="0" xfId="0" applyFill="1"/>
    <xf numFmtId="8" fontId="1" fillId="3" borderId="0" xfId="0" applyNumberFormat="1" applyFont="1" applyFill="1" applyBorder="1"/>
    <xf numFmtId="0" fontId="1" fillId="4" borderId="0" xfId="0" applyFont="1" applyFill="1" applyBorder="1"/>
    <xf numFmtId="8" fontId="1" fillId="4" borderId="0" xfId="0" applyNumberFormat="1" applyFont="1" applyFill="1" applyBorder="1"/>
    <xf numFmtId="9" fontId="0" fillId="4" borderId="0" xfId="0" applyNumberFormat="1" applyFill="1" applyBorder="1"/>
    <xf numFmtId="8" fontId="1" fillId="4" borderId="2" xfId="0" applyNumberFormat="1" applyFont="1" applyFill="1" applyBorder="1"/>
    <xf numFmtId="9" fontId="0" fillId="3" borderId="0" xfId="0" applyNumberFormat="1" applyFill="1" applyBorder="1" applyAlignment="1">
      <alignment horizontal="center"/>
    </xf>
    <xf numFmtId="0" fontId="0" fillId="0" borderId="1" xfId="0" applyBorder="1" applyAlignment="1"/>
    <xf numFmtId="10" fontId="0" fillId="0" borderId="5" xfId="0" applyNumberFormat="1" applyFill="1" applyBorder="1"/>
    <xf numFmtId="0" fontId="0" fillId="2" borderId="1" xfId="0" applyFill="1" applyBorder="1" applyAlignment="1">
      <alignment horizontal="center"/>
    </xf>
    <xf numFmtId="0" fontId="1" fillId="0" borderId="3" xfId="0" applyFont="1" applyBorder="1"/>
    <xf numFmtId="165" fontId="0" fillId="0" borderId="2" xfId="0" applyNumberFormat="1" applyBorder="1"/>
    <xf numFmtId="8" fontId="4" fillId="5" borderId="2" xfId="0" applyNumberFormat="1" applyFont="1" applyFill="1" applyBorder="1"/>
    <xf numFmtId="9" fontId="0" fillId="5" borderId="2" xfId="0" applyNumberFormat="1" applyFill="1" applyBorder="1" applyAlignment="1">
      <alignment horizontal="center"/>
    </xf>
    <xf numFmtId="9" fontId="0" fillId="5" borderId="2" xfId="0" applyNumberFormat="1" applyFill="1" applyBorder="1"/>
    <xf numFmtId="9" fontId="0" fillId="5" borderId="8" xfId="0" applyNumberFormat="1" applyFill="1" applyBorder="1"/>
    <xf numFmtId="9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SHWARYA/Downloads/Brackish_financial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tchery"/>
      <sheetName val="Feed mills"/>
      <sheetName val="Pond"/>
      <sheetName val="Farmers"/>
      <sheetName val="Overall"/>
      <sheetName val="SCBA"/>
    </sheetNames>
    <sheetDataSet>
      <sheetData sheetId="0">
        <row r="5">
          <cell r="C5">
            <v>98.1</v>
          </cell>
          <cell r="D5">
            <v>0</v>
          </cell>
          <cell r="E5">
            <v>0</v>
          </cell>
          <cell r="F5">
            <v>0</v>
          </cell>
        </row>
        <row r="6">
          <cell r="C6">
            <v>288.5</v>
          </cell>
          <cell r="D6">
            <v>88.6</v>
          </cell>
          <cell r="E6">
            <v>0</v>
          </cell>
          <cell r="F6">
            <v>0</v>
          </cell>
        </row>
        <row r="7">
          <cell r="C7">
            <v>153.4</v>
          </cell>
          <cell r="D7">
            <v>27.3</v>
          </cell>
          <cell r="E7">
            <v>3</v>
          </cell>
          <cell r="F7">
            <v>87.1</v>
          </cell>
        </row>
        <row r="8">
          <cell r="C8">
            <v>190.2</v>
          </cell>
          <cell r="D8">
            <v>45</v>
          </cell>
          <cell r="E8">
            <v>7.5</v>
          </cell>
          <cell r="F8">
            <v>217.6</v>
          </cell>
        </row>
        <row r="9">
          <cell r="C9">
            <v>208.5</v>
          </cell>
          <cell r="D9">
            <v>65.7</v>
          </cell>
          <cell r="E9">
            <v>12</v>
          </cell>
          <cell r="F9">
            <v>348.2</v>
          </cell>
        </row>
        <row r="10">
          <cell r="C10">
            <v>92</v>
          </cell>
          <cell r="D10">
            <v>86.7</v>
          </cell>
          <cell r="E10">
            <v>16.5</v>
          </cell>
          <cell r="F10">
            <v>478.8</v>
          </cell>
        </row>
        <row r="11">
          <cell r="C11">
            <v>0</v>
          </cell>
          <cell r="D11">
            <v>101.2</v>
          </cell>
          <cell r="E11">
            <v>22.5</v>
          </cell>
          <cell r="F11">
            <v>652.9</v>
          </cell>
        </row>
        <row r="12">
          <cell r="C12">
            <v>168</v>
          </cell>
          <cell r="D12">
            <v>101.2</v>
          </cell>
          <cell r="E12">
            <v>22.5</v>
          </cell>
          <cell r="F12">
            <v>652.9</v>
          </cell>
        </row>
        <row r="13">
          <cell r="C13">
            <v>0</v>
          </cell>
          <cell r="D13">
            <v>101.2</v>
          </cell>
          <cell r="E13">
            <v>22.5</v>
          </cell>
          <cell r="F13">
            <v>652.9</v>
          </cell>
        </row>
        <row r="14">
          <cell r="C14">
            <v>0</v>
          </cell>
          <cell r="D14">
            <v>101.2</v>
          </cell>
          <cell r="E14">
            <v>22.5</v>
          </cell>
          <cell r="F14">
            <v>652.9</v>
          </cell>
        </row>
        <row r="15">
          <cell r="C15">
            <v>0</v>
          </cell>
          <cell r="D15">
            <v>101.2</v>
          </cell>
          <cell r="E15">
            <v>22.5</v>
          </cell>
          <cell r="F15">
            <v>652.9</v>
          </cell>
        </row>
        <row r="16">
          <cell r="C16">
            <v>0</v>
          </cell>
          <cell r="D16">
            <v>101.2</v>
          </cell>
          <cell r="E16">
            <v>22.5</v>
          </cell>
          <cell r="F16">
            <v>652.9</v>
          </cell>
        </row>
        <row r="17">
          <cell r="C17">
            <v>0</v>
          </cell>
          <cell r="D17">
            <v>101.2</v>
          </cell>
          <cell r="E17">
            <v>22.5</v>
          </cell>
          <cell r="F17">
            <v>652.9</v>
          </cell>
        </row>
        <row r="18">
          <cell r="C18">
            <v>0</v>
          </cell>
          <cell r="D18">
            <v>101.2</v>
          </cell>
          <cell r="E18">
            <v>22.5</v>
          </cell>
          <cell r="F18">
            <v>652.9</v>
          </cell>
        </row>
        <row r="19">
          <cell r="C19">
            <v>0</v>
          </cell>
          <cell r="D19">
            <v>101.2</v>
          </cell>
          <cell r="E19">
            <v>22.5</v>
          </cell>
          <cell r="F19">
            <v>652.9</v>
          </cell>
        </row>
        <row r="20">
          <cell r="C20">
            <v>106.3</v>
          </cell>
          <cell r="D20">
            <v>101.2</v>
          </cell>
          <cell r="E20">
            <v>22.5</v>
          </cell>
          <cell r="F20">
            <v>652.9</v>
          </cell>
        </row>
        <row r="21">
          <cell r="C21">
            <v>186.3</v>
          </cell>
          <cell r="D21">
            <v>101.2</v>
          </cell>
          <cell r="E21">
            <v>22.5</v>
          </cell>
          <cell r="F21">
            <v>652.9</v>
          </cell>
        </row>
        <row r="22">
          <cell r="C22">
            <v>168</v>
          </cell>
          <cell r="D22">
            <v>101.2</v>
          </cell>
          <cell r="E22">
            <v>22.5</v>
          </cell>
          <cell r="F22">
            <v>652.9</v>
          </cell>
        </row>
        <row r="23">
          <cell r="C23">
            <v>186.3</v>
          </cell>
          <cell r="D23">
            <v>101.2</v>
          </cell>
          <cell r="E23">
            <v>22.5</v>
          </cell>
          <cell r="F23">
            <v>652.9</v>
          </cell>
        </row>
        <row r="24">
          <cell r="C24">
            <v>0</v>
          </cell>
          <cell r="D24">
            <v>101.2</v>
          </cell>
          <cell r="E24">
            <v>22.5</v>
          </cell>
          <cell r="F24">
            <v>652.9</v>
          </cell>
        </row>
        <row r="25">
          <cell r="C25">
            <v>0</v>
          </cell>
          <cell r="D25">
            <v>101.2</v>
          </cell>
          <cell r="E25">
            <v>22.5</v>
          </cell>
          <cell r="F25">
            <v>853.9</v>
          </cell>
        </row>
        <row r="26">
          <cell r="C26">
            <v>0</v>
          </cell>
          <cell r="D26">
            <v>101.2</v>
          </cell>
          <cell r="E26">
            <v>22.5</v>
          </cell>
          <cell r="F26">
            <v>853.9</v>
          </cell>
        </row>
        <row r="27">
          <cell r="C27">
            <v>0</v>
          </cell>
          <cell r="D27">
            <v>101.2</v>
          </cell>
          <cell r="E27">
            <v>22.5</v>
          </cell>
          <cell r="F27">
            <v>853.9</v>
          </cell>
        </row>
        <row r="28">
          <cell r="C28">
            <v>0</v>
          </cell>
          <cell r="D28">
            <v>101.2</v>
          </cell>
          <cell r="E28">
            <v>22.5</v>
          </cell>
          <cell r="F28">
            <v>853.9</v>
          </cell>
        </row>
        <row r="29">
          <cell r="C29">
            <v>0</v>
          </cell>
          <cell r="D29">
            <v>101.2</v>
          </cell>
          <cell r="E29">
            <v>22.5</v>
          </cell>
          <cell r="F29">
            <v>853.9</v>
          </cell>
        </row>
        <row r="30">
          <cell r="C30">
            <v>0</v>
          </cell>
          <cell r="D30">
            <v>101.2</v>
          </cell>
          <cell r="E30">
            <v>22.5</v>
          </cell>
          <cell r="F30">
            <v>1054.9000000000001</v>
          </cell>
        </row>
      </sheetData>
      <sheetData sheetId="1">
        <row r="5">
          <cell r="C5">
            <v>226.32</v>
          </cell>
          <cell r="D5">
            <v>0</v>
          </cell>
          <cell r="E5">
            <v>0</v>
          </cell>
          <cell r="F5">
            <v>0</v>
          </cell>
        </row>
        <row r="6">
          <cell r="C6">
            <v>339.48</v>
          </cell>
          <cell r="D6">
            <v>10</v>
          </cell>
          <cell r="E6">
            <v>0</v>
          </cell>
          <cell r="F6">
            <v>0</v>
          </cell>
        </row>
        <row r="7">
          <cell r="C7">
            <v>0</v>
          </cell>
          <cell r="D7">
            <v>436.9</v>
          </cell>
          <cell r="E7">
            <v>7.5</v>
          </cell>
          <cell r="F7">
            <v>427.5</v>
          </cell>
        </row>
        <row r="8">
          <cell r="C8">
            <v>0</v>
          </cell>
          <cell r="D8">
            <v>1037.48</v>
          </cell>
          <cell r="E8">
            <v>18.75</v>
          </cell>
          <cell r="F8">
            <v>1068.7</v>
          </cell>
        </row>
        <row r="9">
          <cell r="C9">
            <v>0</v>
          </cell>
          <cell r="D9">
            <v>1625.26</v>
          </cell>
          <cell r="E9">
            <v>30</v>
          </cell>
          <cell r="F9">
            <v>1710</v>
          </cell>
        </row>
        <row r="10">
          <cell r="C10">
            <v>0</v>
          </cell>
          <cell r="D10">
            <v>2227.7600000000002</v>
          </cell>
          <cell r="E10">
            <v>41.25</v>
          </cell>
          <cell r="F10">
            <v>2351.25</v>
          </cell>
        </row>
        <row r="11">
          <cell r="C11">
            <v>0</v>
          </cell>
          <cell r="D11">
            <v>3257.35</v>
          </cell>
          <cell r="E11">
            <v>60.5625</v>
          </cell>
          <cell r="F11">
            <v>3452.06</v>
          </cell>
        </row>
        <row r="12">
          <cell r="C12">
            <v>0</v>
          </cell>
          <cell r="D12">
            <v>3257.35</v>
          </cell>
          <cell r="E12">
            <v>60.5625</v>
          </cell>
          <cell r="F12">
            <v>3452.06</v>
          </cell>
        </row>
        <row r="13">
          <cell r="C13">
            <v>0</v>
          </cell>
          <cell r="D13">
            <v>3257.35</v>
          </cell>
          <cell r="E13">
            <v>60.5625</v>
          </cell>
          <cell r="F13">
            <v>3452.06</v>
          </cell>
        </row>
        <row r="14">
          <cell r="C14">
            <v>0</v>
          </cell>
          <cell r="D14">
            <v>3257.35</v>
          </cell>
          <cell r="E14">
            <v>60.5625</v>
          </cell>
          <cell r="F14">
            <v>3452.06</v>
          </cell>
        </row>
        <row r="15">
          <cell r="C15">
            <v>0</v>
          </cell>
          <cell r="D15">
            <v>3257.35</v>
          </cell>
          <cell r="E15">
            <v>60.5625</v>
          </cell>
          <cell r="F15">
            <v>3452.06</v>
          </cell>
        </row>
        <row r="16">
          <cell r="C16">
            <v>0</v>
          </cell>
          <cell r="D16">
            <v>3257.35</v>
          </cell>
          <cell r="E16">
            <v>60.5625</v>
          </cell>
          <cell r="F16">
            <v>3452.06</v>
          </cell>
        </row>
        <row r="17">
          <cell r="C17">
            <v>0</v>
          </cell>
          <cell r="D17">
            <v>3257.35</v>
          </cell>
          <cell r="E17">
            <v>60.5625</v>
          </cell>
          <cell r="F17">
            <v>3452.06</v>
          </cell>
        </row>
        <row r="18">
          <cell r="C18">
            <v>0</v>
          </cell>
          <cell r="D18">
            <v>3257.35</v>
          </cell>
          <cell r="E18">
            <v>60.5625</v>
          </cell>
          <cell r="F18">
            <v>3452.06</v>
          </cell>
        </row>
        <row r="19">
          <cell r="C19">
            <v>0</v>
          </cell>
          <cell r="D19">
            <v>3257.35</v>
          </cell>
          <cell r="E19">
            <v>60.5625</v>
          </cell>
          <cell r="F19">
            <v>3452.06</v>
          </cell>
        </row>
        <row r="20">
          <cell r="C20">
            <v>0</v>
          </cell>
          <cell r="D20">
            <v>3257.35</v>
          </cell>
          <cell r="E20">
            <v>60.5625</v>
          </cell>
          <cell r="F20">
            <v>3452.06</v>
          </cell>
        </row>
        <row r="21">
          <cell r="C21">
            <v>0</v>
          </cell>
          <cell r="D21">
            <v>3257.35</v>
          </cell>
          <cell r="E21">
            <v>60.5625</v>
          </cell>
          <cell r="F21">
            <v>3452.06</v>
          </cell>
        </row>
        <row r="22">
          <cell r="C22">
            <v>369.7</v>
          </cell>
          <cell r="D22">
            <v>3257.35</v>
          </cell>
          <cell r="E22">
            <v>60.5625</v>
          </cell>
          <cell r="F22">
            <v>3452.06</v>
          </cell>
        </row>
        <row r="23">
          <cell r="C23">
            <v>0</v>
          </cell>
          <cell r="D23">
            <v>3257.35</v>
          </cell>
          <cell r="E23">
            <v>60.5625</v>
          </cell>
          <cell r="F23">
            <v>3452.06</v>
          </cell>
        </row>
        <row r="24">
          <cell r="C24">
            <v>0</v>
          </cell>
          <cell r="D24">
            <v>3257.35</v>
          </cell>
          <cell r="E24">
            <v>60.5625</v>
          </cell>
          <cell r="F24">
            <v>3452.06</v>
          </cell>
        </row>
        <row r="25">
          <cell r="C25">
            <v>0</v>
          </cell>
          <cell r="D25">
            <v>3257.35</v>
          </cell>
          <cell r="E25">
            <v>60.5625</v>
          </cell>
          <cell r="F25">
            <v>3452.06</v>
          </cell>
        </row>
        <row r="26">
          <cell r="C26">
            <v>0</v>
          </cell>
          <cell r="D26">
            <v>3257.35</v>
          </cell>
          <cell r="E26">
            <v>60.5625</v>
          </cell>
          <cell r="F26">
            <v>3452.06</v>
          </cell>
        </row>
        <row r="27">
          <cell r="C27">
            <v>0</v>
          </cell>
          <cell r="D27">
            <v>3257.35</v>
          </cell>
          <cell r="E27">
            <v>60.5625</v>
          </cell>
          <cell r="F27">
            <v>3452.06</v>
          </cell>
        </row>
        <row r="28">
          <cell r="C28">
            <v>0</v>
          </cell>
          <cell r="D28">
            <v>3257.35</v>
          </cell>
          <cell r="E28">
            <v>60.5625</v>
          </cell>
          <cell r="F28">
            <v>3452.06</v>
          </cell>
        </row>
        <row r="29">
          <cell r="C29">
            <v>0</v>
          </cell>
          <cell r="D29">
            <v>3257.35</v>
          </cell>
          <cell r="E29">
            <v>60.5625</v>
          </cell>
          <cell r="F29">
            <v>3452.06</v>
          </cell>
        </row>
        <row r="30">
          <cell r="C30">
            <v>0</v>
          </cell>
          <cell r="D30">
            <v>3257.35</v>
          </cell>
          <cell r="E30">
            <v>60.5625</v>
          </cell>
          <cell r="F30">
            <v>3452.06</v>
          </cell>
        </row>
        <row r="31">
          <cell r="C31">
            <v>0</v>
          </cell>
          <cell r="D31">
            <v>3257.35</v>
          </cell>
          <cell r="E31">
            <v>60.5625</v>
          </cell>
          <cell r="F31">
            <v>3686</v>
          </cell>
        </row>
      </sheetData>
      <sheetData sheetId="2">
        <row r="5">
          <cell r="C5">
            <v>353.6</v>
          </cell>
          <cell r="D5">
            <v>0</v>
          </cell>
          <cell r="E5">
            <v>17.5</v>
          </cell>
          <cell r="F5">
            <v>0</v>
          </cell>
          <cell r="G5">
            <v>0</v>
          </cell>
        </row>
        <row r="6">
          <cell r="C6">
            <v>1059.7</v>
          </cell>
          <cell r="D6">
            <v>29.5</v>
          </cell>
          <cell r="E6">
            <v>0</v>
          </cell>
          <cell r="F6">
            <v>18</v>
          </cell>
          <cell r="G6">
            <v>0</v>
          </cell>
        </row>
        <row r="7">
          <cell r="C7">
            <v>1322.2</v>
          </cell>
          <cell r="D7">
            <v>153.30000000000001</v>
          </cell>
          <cell r="E7">
            <v>0</v>
          </cell>
          <cell r="F7">
            <v>27</v>
          </cell>
          <cell r="G7">
            <v>220.5</v>
          </cell>
        </row>
        <row r="8">
          <cell r="C8">
            <v>1322.2</v>
          </cell>
          <cell r="D8">
            <v>314</v>
          </cell>
          <cell r="E8">
            <v>0</v>
          </cell>
          <cell r="F8">
            <v>27</v>
          </cell>
          <cell r="G8">
            <v>551.29999999999995</v>
          </cell>
        </row>
        <row r="9">
          <cell r="C9">
            <v>1533.2</v>
          </cell>
          <cell r="D9">
            <v>461.7</v>
          </cell>
          <cell r="E9">
            <v>0</v>
          </cell>
          <cell r="F9">
            <v>27</v>
          </cell>
          <cell r="G9">
            <v>882</v>
          </cell>
        </row>
        <row r="10">
          <cell r="C10">
            <v>1109.9000000000001</v>
          </cell>
          <cell r="D10">
            <v>616.79999999999995</v>
          </cell>
          <cell r="E10">
            <v>0</v>
          </cell>
          <cell r="F10">
            <v>36</v>
          </cell>
          <cell r="G10">
            <v>1212.8</v>
          </cell>
        </row>
        <row r="11">
          <cell r="C11">
            <v>0</v>
          </cell>
          <cell r="D11">
            <v>803.7</v>
          </cell>
          <cell r="E11">
            <v>0</v>
          </cell>
          <cell r="F11">
            <v>0</v>
          </cell>
          <cell r="G11">
            <v>1653.8</v>
          </cell>
        </row>
        <row r="12">
          <cell r="C12">
            <v>0</v>
          </cell>
          <cell r="D12">
            <v>767.7</v>
          </cell>
          <cell r="E12">
            <v>0</v>
          </cell>
          <cell r="F12">
            <v>0</v>
          </cell>
          <cell r="G12">
            <v>1653.8</v>
          </cell>
        </row>
        <row r="13">
          <cell r="C13">
            <v>0</v>
          </cell>
          <cell r="D13">
            <v>767.7</v>
          </cell>
          <cell r="E13">
            <v>0</v>
          </cell>
          <cell r="F13">
            <v>0</v>
          </cell>
          <cell r="G13">
            <v>1653.8</v>
          </cell>
        </row>
        <row r="14">
          <cell r="C14">
            <v>0</v>
          </cell>
          <cell r="D14">
            <v>767.7</v>
          </cell>
          <cell r="E14">
            <v>0</v>
          </cell>
          <cell r="F14">
            <v>0</v>
          </cell>
          <cell r="G14">
            <v>1653.8</v>
          </cell>
        </row>
        <row r="15">
          <cell r="C15">
            <v>0</v>
          </cell>
          <cell r="D15">
            <v>767.7</v>
          </cell>
          <cell r="E15">
            <v>0</v>
          </cell>
          <cell r="F15">
            <v>0</v>
          </cell>
          <cell r="G15">
            <v>1653.8</v>
          </cell>
        </row>
        <row r="16">
          <cell r="C16">
            <v>0</v>
          </cell>
          <cell r="D16">
            <v>767.7</v>
          </cell>
          <cell r="E16">
            <v>0</v>
          </cell>
          <cell r="F16">
            <v>0</v>
          </cell>
          <cell r="G16">
            <v>1653.8</v>
          </cell>
        </row>
        <row r="17">
          <cell r="C17">
            <v>0</v>
          </cell>
          <cell r="D17">
            <v>767.7</v>
          </cell>
          <cell r="E17">
            <v>0</v>
          </cell>
          <cell r="F17">
            <v>0</v>
          </cell>
          <cell r="G17">
            <v>1653.8</v>
          </cell>
        </row>
        <row r="18">
          <cell r="C18">
            <v>0</v>
          </cell>
          <cell r="D18">
            <v>767.7</v>
          </cell>
          <cell r="E18">
            <v>0</v>
          </cell>
          <cell r="F18">
            <v>0</v>
          </cell>
          <cell r="G18">
            <v>1653.8</v>
          </cell>
        </row>
        <row r="19">
          <cell r="C19">
            <v>0</v>
          </cell>
          <cell r="D19">
            <v>767.7</v>
          </cell>
          <cell r="E19">
            <v>0</v>
          </cell>
          <cell r="F19">
            <v>0</v>
          </cell>
          <cell r="G19">
            <v>1653.8</v>
          </cell>
        </row>
        <row r="20">
          <cell r="C20">
            <v>48.7</v>
          </cell>
          <cell r="D20">
            <v>767.7</v>
          </cell>
          <cell r="E20">
            <v>0</v>
          </cell>
          <cell r="F20">
            <v>0</v>
          </cell>
          <cell r="G20">
            <v>1653.8</v>
          </cell>
        </row>
        <row r="21">
          <cell r="C21">
            <v>73.099999999999994</v>
          </cell>
          <cell r="D21">
            <v>767.7</v>
          </cell>
          <cell r="E21">
            <v>0</v>
          </cell>
          <cell r="F21">
            <v>0</v>
          </cell>
          <cell r="G21">
            <v>1653.8</v>
          </cell>
        </row>
        <row r="22">
          <cell r="C22">
            <v>73.099999999999994</v>
          </cell>
          <cell r="D22">
            <v>767.7</v>
          </cell>
          <cell r="E22">
            <v>0</v>
          </cell>
          <cell r="F22">
            <v>0</v>
          </cell>
          <cell r="G22">
            <v>1653.8</v>
          </cell>
        </row>
        <row r="23">
          <cell r="C23">
            <v>73.099999999999994</v>
          </cell>
          <cell r="D23">
            <v>767.7</v>
          </cell>
          <cell r="E23">
            <v>0</v>
          </cell>
          <cell r="F23">
            <v>0</v>
          </cell>
          <cell r="G23">
            <v>1653.8</v>
          </cell>
        </row>
        <row r="24">
          <cell r="C24">
            <v>98.9</v>
          </cell>
          <cell r="D24">
            <v>767.7</v>
          </cell>
          <cell r="E24">
            <v>0</v>
          </cell>
          <cell r="F24">
            <v>0</v>
          </cell>
          <cell r="G24">
            <v>1653.8</v>
          </cell>
        </row>
        <row r="25">
          <cell r="C25">
            <v>0</v>
          </cell>
          <cell r="D25">
            <v>767.7</v>
          </cell>
          <cell r="E25">
            <v>0</v>
          </cell>
          <cell r="F25">
            <v>0</v>
          </cell>
          <cell r="G25">
            <v>1653.8</v>
          </cell>
        </row>
        <row r="26">
          <cell r="C26">
            <v>0</v>
          </cell>
          <cell r="D26">
            <v>767.7</v>
          </cell>
          <cell r="E26">
            <v>0</v>
          </cell>
          <cell r="F26">
            <v>0</v>
          </cell>
          <cell r="G26">
            <v>1653.8</v>
          </cell>
        </row>
        <row r="27">
          <cell r="C27">
            <v>0</v>
          </cell>
          <cell r="D27">
            <v>767.7</v>
          </cell>
          <cell r="E27">
            <v>0</v>
          </cell>
          <cell r="F27">
            <v>0</v>
          </cell>
          <cell r="G27">
            <v>1653.8</v>
          </cell>
        </row>
        <row r="28">
          <cell r="C28">
            <v>0</v>
          </cell>
          <cell r="D28">
            <v>767.7</v>
          </cell>
          <cell r="E28">
            <v>0</v>
          </cell>
          <cell r="F28">
            <v>0</v>
          </cell>
          <cell r="G28">
            <v>1653.8</v>
          </cell>
        </row>
        <row r="29">
          <cell r="C29">
            <v>0</v>
          </cell>
          <cell r="D29">
            <v>767.7</v>
          </cell>
          <cell r="E29">
            <v>0</v>
          </cell>
          <cell r="F29">
            <v>0</v>
          </cell>
          <cell r="G29">
            <v>1653.8</v>
          </cell>
        </row>
        <row r="30">
          <cell r="C30">
            <v>0</v>
          </cell>
          <cell r="D30">
            <v>767.7</v>
          </cell>
          <cell r="E30">
            <v>0</v>
          </cell>
          <cell r="F30">
            <v>0</v>
          </cell>
          <cell r="G30">
            <v>1653.8</v>
          </cell>
        </row>
        <row r="31">
          <cell r="C31">
            <v>0</v>
          </cell>
          <cell r="D31">
            <v>767.7</v>
          </cell>
          <cell r="E31">
            <v>0</v>
          </cell>
          <cell r="F31">
            <v>0</v>
          </cell>
          <cell r="G31">
            <v>2630.2</v>
          </cell>
        </row>
      </sheetData>
      <sheetData sheetId="3">
        <row r="5">
          <cell r="C5">
            <v>1112.067</v>
          </cell>
          <cell r="D5">
            <v>1920</v>
          </cell>
        </row>
        <row r="6">
          <cell r="C6">
            <v>2780.1675</v>
          </cell>
          <cell r="D6">
            <v>4800</v>
          </cell>
        </row>
        <row r="7">
          <cell r="C7">
            <v>4448.268</v>
          </cell>
          <cell r="D7">
            <v>7680</v>
          </cell>
        </row>
        <row r="8">
          <cell r="C8">
            <v>6116.3684999999996</v>
          </cell>
          <cell r="D8">
            <v>10560</v>
          </cell>
        </row>
        <row r="9">
          <cell r="C9">
            <v>8340.5025000000005</v>
          </cell>
          <cell r="D9">
            <v>14400</v>
          </cell>
        </row>
        <row r="10">
          <cell r="C10">
            <v>8340.5025000000005</v>
          </cell>
          <cell r="D10">
            <v>14400</v>
          </cell>
        </row>
        <row r="11">
          <cell r="C11">
            <v>8340.5025000000005</v>
          </cell>
          <cell r="D11">
            <v>14400</v>
          </cell>
        </row>
        <row r="12">
          <cell r="C12">
            <v>8340.5025000000005</v>
          </cell>
          <cell r="D12">
            <v>14400</v>
          </cell>
        </row>
        <row r="13">
          <cell r="C13">
            <v>8340.5025000000005</v>
          </cell>
          <cell r="D13">
            <v>14400</v>
          </cell>
        </row>
        <row r="14">
          <cell r="C14">
            <v>8340.5025000000005</v>
          </cell>
          <cell r="D14">
            <v>14400</v>
          </cell>
        </row>
        <row r="15">
          <cell r="C15">
            <v>8340.5025000000005</v>
          </cell>
          <cell r="D15">
            <v>14400</v>
          </cell>
        </row>
        <row r="16">
          <cell r="C16">
            <v>8340.5025000000005</v>
          </cell>
          <cell r="D16">
            <v>14400</v>
          </cell>
        </row>
        <row r="17">
          <cell r="C17">
            <v>8340.5025000000005</v>
          </cell>
          <cell r="D17">
            <v>14400</v>
          </cell>
        </row>
        <row r="18">
          <cell r="C18">
            <v>8340.5025000000005</v>
          </cell>
          <cell r="D18">
            <v>14400</v>
          </cell>
        </row>
        <row r="19">
          <cell r="C19">
            <v>8340.5025000000005</v>
          </cell>
          <cell r="D19">
            <v>14400</v>
          </cell>
        </row>
        <row r="20">
          <cell r="C20">
            <v>8340.5025000000005</v>
          </cell>
          <cell r="D20">
            <v>14400</v>
          </cell>
        </row>
        <row r="21">
          <cell r="C21">
            <v>8340.5025000000005</v>
          </cell>
          <cell r="D21">
            <v>14400</v>
          </cell>
        </row>
        <row r="22">
          <cell r="C22">
            <v>8340.5025000000005</v>
          </cell>
          <cell r="D22">
            <v>14400</v>
          </cell>
        </row>
        <row r="23">
          <cell r="C23">
            <v>8340.5025000000005</v>
          </cell>
          <cell r="D23">
            <v>14400</v>
          </cell>
        </row>
        <row r="24">
          <cell r="C24">
            <v>8340.5025000000005</v>
          </cell>
          <cell r="D24">
            <v>14400</v>
          </cell>
        </row>
        <row r="25">
          <cell r="C25">
            <v>8340.5025000000005</v>
          </cell>
          <cell r="D25">
            <v>14400</v>
          </cell>
        </row>
        <row r="26">
          <cell r="C26">
            <v>8340.5025000000005</v>
          </cell>
          <cell r="D26">
            <v>14400</v>
          </cell>
        </row>
        <row r="27">
          <cell r="C27">
            <v>8340.5025000000005</v>
          </cell>
          <cell r="D27">
            <v>14400</v>
          </cell>
        </row>
        <row r="28">
          <cell r="C28">
            <v>8340.5025000000005</v>
          </cell>
          <cell r="D28">
            <v>14400</v>
          </cell>
        </row>
        <row r="29">
          <cell r="C29">
            <v>8340.5025000000005</v>
          </cell>
          <cell r="D29">
            <v>14400</v>
          </cell>
        </row>
        <row r="30">
          <cell r="C30">
            <v>8340.5025000000005</v>
          </cell>
          <cell r="D30">
            <v>14400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7995-5765-4D4E-AB6B-F5614B6A981C}">
  <dimension ref="B2:Q32"/>
  <sheetViews>
    <sheetView topLeftCell="A15" workbookViewId="0">
      <selection activeCell="M31" sqref="M31"/>
    </sheetView>
  </sheetViews>
  <sheetFormatPr defaultRowHeight="15" x14ac:dyDescent="0.25"/>
  <cols>
    <col min="2" max="2" width="21.42578125" bestFit="1" customWidth="1"/>
    <col min="4" max="4" width="10.28515625" customWidth="1"/>
    <col min="5" max="5" width="13.28515625" customWidth="1"/>
    <col min="7" max="7" width="9.140625" style="30"/>
    <col min="12" max="12" width="9.140625" style="30"/>
    <col min="13" max="13" width="9.7109375" style="30" bestFit="1" customWidth="1"/>
    <col min="14" max="14" width="10.5703125" style="30" customWidth="1"/>
    <col min="15" max="15" width="9.7109375" style="30" bestFit="1" customWidth="1"/>
    <col min="16" max="16" width="7.85546875" style="30" bestFit="1" customWidth="1"/>
    <col min="17" max="17" width="9.7109375" bestFit="1" customWidth="1"/>
  </cols>
  <sheetData>
    <row r="2" spans="2:16" ht="15.75" thickBot="1" x14ac:dyDescent="0.3">
      <c r="C2" s="1" t="s">
        <v>0</v>
      </c>
      <c r="D2" s="1"/>
      <c r="E2" s="1"/>
      <c r="M2" s="34" t="s">
        <v>1</v>
      </c>
      <c r="N2" s="34"/>
    </row>
    <row r="3" spans="2:16" ht="75.75" thickBot="1" x14ac:dyDescent="0.3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1" t="s">
        <v>7</v>
      </c>
      <c r="L3" s="35" t="s">
        <v>8</v>
      </c>
      <c r="M3" s="36" t="s">
        <v>9</v>
      </c>
      <c r="N3" s="35" t="s">
        <v>10</v>
      </c>
      <c r="O3" s="36" t="s">
        <v>9</v>
      </c>
      <c r="P3" s="35" t="s">
        <v>11</v>
      </c>
    </row>
    <row r="4" spans="2:16" ht="15.75" thickBot="1" x14ac:dyDescent="0.3">
      <c r="B4" s="4" t="s">
        <v>12</v>
      </c>
      <c r="C4" s="5">
        <v>98.1</v>
      </c>
      <c r="D4" s="5">
        <v>0</v>
      </c>
      <c r="E4" s="6">
        <v>0</v>
      </c>
      <c r="F4" s="5">
        <v>0</v>
      </c>
      <c r="G4" s="32">
        <f>F4-D4-C4-E4</f>
        <v>-98.1</v>
      </c>
      <c r="L4" s="37">
        <f>1.1*C4</f>
        <v>107.91</v>
      </c>
      <c r="M4" s="37">
        <f>F4-E4-D4-L4</f>
        <v>-107.91</v>
      </c>
      <c r="N4" s="37">
        <f>1.1*D4</f>
        <v>0</v>
      </c>
      <c r="O4" s="37">
        <f>F4-E4-C4-N4</f>
        <v>-98.1</v>
      </c>
      <c r="P4" s="37">
        <f>F4-E4-N4-L4</f>
        <v>-107.91</v>
      </c>
    </row>
    <row r="5" spans="2:16" ht="15.75" thickBot="1" x14ac:dyDescent="0.3">
      <c r="B5" s="4" t="s">
        <v>13</v>
      </c>
      <c r="C5" s="5">
        <v>288.5</v>
      </c>
      <c r="D5" s="5">
        <v>88.6</v>
      </c>
      <c r="E5" s="6">
        <v>0</v>
      </c>
      <c r="F5" s="5">
        <v>0</v>
      </c>
      <c r="G5" s="32">
        <f>F5-D5-C5-E5</f>
        <v>-377.1</v>
      </c>
      <c r="L5" s="37">
        <f t="shared" ref="L5:L29" si="0">1.1*C5</f>
        <v>317.35000000000002</v>
      </c>
      <c r="M5" s="37">
        <f t="shared" ref="M5:M29" si="1">F5-E5-D5-L5</f>
        <v>-405.95000000000005</v>
      </c>
      <c r="N5" s="37">
        <f t="shared" ref="N5:N29" si="2">1.1*D5</f>
        <v>97.460000000000008</v>
      </c>
      <c r="O5" s="37">
        <f t="shared" ref="O5:O29" si="3">F5-E5-C5-N5</f>
        <v>-385.96000000000004</v>
      </c>
      <c r="P5" s="37">
        <f t="shared" ref="P5:P29" si="4">F5-E5-N5-L5</f>
        <v>-414.81000000000006</v>
      </c>
    </row>
    <row r="6" spans="2:16" ht="15.75" thickBot="1" x14ac:dyDescent="0.3">
      <c r="B6" s="4" t="s">
        <v>14</v>
      </c>
      <c r="C6" s="5">
        <v>153.4</v>
      </c>
      <c r="D6" s="5">
        <v>27.3</v>
      </c>
      <c r="E6" s="5">
        <f>30*1000*10/100000</f>
        <v>3</v>
      </c>
      <c r="F6" s="5">
        <v>87.1</v>
      </c>
      <c r="G6" s="32">
        <f t="shared" ref="G6:G29" si="5">F6-D6-C6-E6</f>
        <v>-96.600000000000009</v>
      </c>
      <c r="L6" s="37">
        <f t="shared" si="0"/>
        <v>168.74</v>
      </c>
      <c r="M6" s="37">
        <f t="shared" si="1"/>
        <v>-111.94000000000001</v>
      </c>
      <c r="N6" s="37">
        <f t="shared" si="2"/>
        <v>30.030000000000005</v>
      </c>
      <c r="O6" s="37">
        <f t="shared" si="3"/>
        <v>-99.330000000000013</v>
      </c>
      <c r="P6" s="37">
        <f t="shared" si="4"/>
        <v>-114.67000000000002</v>
      </c>
    </row>
    <row r="7" spans="2:16" ht="15.75" thickBot="1" x14ac:dyDescent="0.3">
      <c r="B7" s="4" t="s">
        <v>15</v>
      </c>
      <c r="C7" s="5">
        <v>190.2</v>
      </c>
      <c r="D7" s="5">
        <v>45</v>
      </c>
      <c r="E7" s="5">
        <f>75*1000*10/100000</f>
        <v>7.5</v>
      </c>
      <c r="F7" s="5">
        <v>217.6</v>
      </c>
      <c r="G7" s="32">
        <f t="shared" si="5"/>
        <v>-25.099999999999994</v>
      </c>
      <c r="L7" s="37">
        <f t="shared" si="0"/>
        <v>209.22</v>
      </c>
      <c r="M7" s="37">
        <f t="shared" si="1"/>
        <v>-44.120000000000005</v>
      </c>
      <c r="N7" s="37">
        <f t="shared" si="2"/>
        <v>49.500000000000007</v>
      </c>
      <c r="O7" s="37">
        <f t="shared" si="3"/>
        <v>-29.6</v>
      </c>
      <c r="P7" s="37">
        <f t="shared" si="4"/>
        <v>-48.620000000000005</v>
      </c>
    </row>
    <row r="8" spans="2:16" ht="15.75" thickBot="1" x14ac:dyDescent="0.3">
      <c r="B8" s="4" t="s">
        <v>16</v>
      </c>
      <c r="C8" s="5">
        <v>208.5</v>
      </c>
      <c r="D8" s="5">
        <v>65.7</v>
      </c>
      <c r="E8" s="5">
        <f>120*1000*10/100000</f>
        <v>12</v>
      </c>
      <c r="F8" s="5">
        <v>348.2</v>
      </c>
      <c r="G8" s="32">
        <f t="shared" si="5"/>
        <v>62</v>
      </c>
      <c r="L8" s="37">
        <f t="shared" si="0"/>
        <v>229.35000000000002</v>
      </c>
      <c r="M8" s="37">
        <f t="shared" si="1"/>
        <v>41.149999999999977</v>
      </c>
      <c r="N8" s="37">
        <f t="shared" si="2"/>
        <v>72.27000000000001</v>
      </c>
      <c r="O8" s="37">
        <f t="shared" si="3"/>
        <v>55.429999999999978</v>
      </c>
      <c r="P8" s="37">
        <f t="shared" si="4"/>
        <v>34.579999999999927</v>
      </c>
    </row>
    <row r="9" spans="2:16" ht="15.75" thickBot="1" x14ac:dyDescent="0.3">
      <c r="B9" s="4" t="s">
        <v>17</v>
      </c>
      <c r="C9" s="5">
        <v>92</v>
      </c>
      <c r="D9" s="5">
        <v>86.7</v>
      </c>
      <c r="E9" s="5">
        <f>165*1000*10/100000</f>
        <v>16.5</v>
      </c>
      <c r="F9" s="5">
        <v>478.8</v>
      </c>
      <c r="G9" s="32">
        <f t="shared" si="5"/>
        <v>283.60000000000002</v>
      </c>
      <c r="L9" s="37">
        <f t="shared" si="0"/>
        <v>101.2</v>
      </c>
      <c r="M9" s="38">
        <f t="shared" si="1"/>
        <v>274.40000000000003</v>
      </c>
      <c r="N9" s="37">
        <f t="shared" si="2"/>
        <v>95.37</v>
      </c>
      <c r="O9" s="37">
        <f t="shared" si="3"/>
        <v>274.93</v>
      </c>
      <c r="P9" s="37">
        <f t="shared" si="4"/>
        <v>265.73</v>
      </c>
    </row>
    <row r="10" spans="2:16" ht="15.75" thickBot="1" x14ac:dyDescent="0.3">
      <c r="B10" s="4" t="s">
        <v>18</v>
      </c>
      <c r="C10" s="5">
        <v>0</v>
      </c>
      <c r="D10" s="5">
        <v>101.2</v>
      </c>
      <c r="E10" s="5">
        <f>225*1000*10/100000</f>
        <v>22.5</v>
      </c>
      <c r="F10" s="5">
        <v>652.9</v>
      </c>
      <c r="G10" s="32">
        <f t="shared" si="5"/>
        <v>529.19999999999993</v>
      </c>
      <c r="L10" s="37">
        <f t="shared" si="0"/>
        <v>0</v>
      </c>
      <c r="M10" s="38">
        <f t="shared" si="1"/>
        <v>529.19999999999993</v>
      </c>
      <c r="N10" s="37">
        <f t="shared" si="2"/>
        <v>111.32000000000001</v>
      </c>
      <c r="O10" s="37">
        <f t="shared" si="3"/>
        <v>519.07999999999993</v>
      </c>
      <c r="P10" s="37">
        <f t="shared" si="4"/>
        <v>519.07999999999993</v>
      </c>
    </row>
    <row r="11" spans="2:16" ht="15.75" thickBot="1" x14ac:dyDescent="0.3">
      <c r="B11" s="4" t="s">
        <v>19</v>
      </c>
      <c r="C11" s="5">
        <v>168</v>
      </c>
      <c r="D11" s="5">
        <v>101.2</v>
      </c>
      <c r="E11" s="5">
        <f t="shared" ref="E11:E29" si="6">225*1000*10/100000</f>
        <v>22.5</v>
      </c>
      <c r="F11" s="5">
        <v>652.9</v>
      </c>
      <c r="G11" s="32">
        <f t="shared" si="5"/>
        <v>361.19999999999993</v>
      </c>
      <c r="L11" s="37">
        <f t="shared" si="0"/>
        <v>184.8</v>
      </c>
      <c r="M11" s="38">
        <f t="shared" si="1"/>
        <v>344.39999999999992</v>
      </c>
      <c r="N11" s="37">
        <f t="shared" si="2"/>
        <v>111.32000000000001</v>
      </c>
      <c r="O11" s="37">
        <f t="shared" si="3"/>
        <v>351.08</v>
      </c>
      <c r="P11" s="37">
        <f t="shared" si="4"/>
        <v>334.27999999999992</v>
      </c>
    </row>
    <row r="12" spans="2:16" ht="15.75" thickBot="1" x14ac:dyDescent="0.3">
      <c r="B12" s="4" t="s">
        <v>20</v>
      </c>
      <c r="C12" s="5">
        <v>0</v>
      </c>
      <c r="D12" s="5">
        <v>101.2</v>
      </c>
      <c r="E12" s="5">
        <f t="shared" si="6"/>
        <v>22.5</v>
      </c>
      <c r="F12" s="5">
        <v>652.9</v>
      </c>
      <c r="G12" s="32">
        <f t="shared" si="5"/>
        <v>529.19999999999993</v>
      </c>
      <c r="L12" s="37">
        <f t="shared" si="0"/>
        <v>0</v>
      </c>
      <c r="M12" s="38">
        <f t="shared" si="1"/>
        <v>529.19999999999993</v>
      </c>
      <c r="N12" s="37">
        <f t="shared" si="2"/>
        <v>111.32000000000001</v>
      </c>
      <c r="O12" s="37">
        <f t="shared" si="3"/>
        <v>519.07999999999993</v>
      </c>
      <c r="P12" s="37">
        <f t="shared" si="4"/>
        <v>519.07999999999993</v>
      </c>
    </row>
    <row r="13" spans="2:16" ht="15.75" thickBot="1" x14ac:dyDescent="0.3">
      <c r="B13" s="4" t="s">
        <v>21</v>
      </c>
      <c r="C13" s="5">
        <v>0</v>
      </c>
      <c r="D13" s="5">
        <v>101.2</v>
      </c>
      <c r="E13" s="5">
        <f t="shared" si="6"/>
        <v>22.5</v>
      </c>
      <c r="F13" s="5">
        <v>652.9</v>
      </c>
      <c r="G13" s="32">
        <f t="shared" si="5"/>
        <v>529.19999999999993</v>
      </c>
      <c r="L13" s="37">
        <f t="shared" si="0"/>
        <v>0</v>
      </c>
      <c r="M13" s="38">
        <f t="shared" si="1"/>
        <v>529.19999999999993</v>
      </c>
      <c r="N13" s="37">
        <f t="shared" si="2"/>
        <v>111.32000000000001</v>
      </c>
      <c r="O13" s="37">
        <f t="shared" si="3"/>
        <v>519.07999999999993</v>
      </c>
      <c r="P13" s="37">
        <f t="shared" si="4"/>
        <v>519.07999999999993</v>
      </c>
    </row>
    <row r="14" spans="2:16" ht="15.75" thickBot="1" x14ac:dyDescent="0.3">
      <c r="B14" s="4" t="s">
        <v>22</v>
      </c>
      <c r="C14" s="5">
        <v>0</v>
      </c>
      <c r="D14" s="5">
        <v>101.2</v>
      </c>
      <c r="E14" s="5">
        <f t="shared" si="6"/>
        <v>22.5</v>
      </c>
      <c r="F14" s="5">
        <v>652.9</v>
      </c>
      <c r="G14" s="32">
        <f t="shared" si="5"/>
        <v>529.19999999999993</v>
      </c>
      <c r="L14" s="37">
        <f t="shared" si="0"/>
        <v>0</v>
      </c>
      <c r="M14" s="38">
        <f t="shared" si="1"/>
        <v>529.19999999999993</v>
      </c>
      <c r="N14" s="37">
        <f t="shared" si="2"/>
        <v>111.32000000000001</v>
      </c>
      <c r="O14" s="37">
        <f t="shared" si="3"/>
        <v>519.07999999999993</v>
      </c>
      <c r="P14" s="37">
        <f t="shared" si="4"/>
        <v>519.07999999999993</v>
      </c>
    </row>
    <row r="15" spans="2:16" ht="15.75" thickBot="1" x14ac:dyDescent="0.3">
      <c r="B15" s="4" t="s">
        <v>23</v>
      </c>
      <c r="C15" s="5">
        <v>0</v>
      </c>
      <c r="D15" s="5">
        <v>101.2</v>
      </c>
      <c r="E15" s="5">
        <f t="shared" si="6"/>
        <v>22.5</v>
      </c>
      <c r="F15" s="5">
        <v>652.9</v>
      </c>
      <c r="G15" s="32">
        <f t="shared" si="5"/>
        <v>529.19999999999993</v>
      </c>
      <c r="L15" s="37">
        <f t="shared" si="0"/>
        <v>0</v>
      </c>
      <c r="M15" s="38">
        <f t="shared" si="1"/>
        <v>529.19999999999993</v>
      </c>
      <c r="N15" s="37">
        <f t="shared" si="2"/>
        <v>111.32000000000001</v>
      </c>
      <c r="O15" s="37">
        <f t="shared" si="3"/>
        <v>519.07999999999993</v>
      </c>
      <c r="P15" s="37">
        <f t="shared" si="4"/>
        <v>519.07999999999993</v>
      </c>
    </row>
    <row r="16" spans="2:16" ht="15.75" thickBot="1" x14ac:dyDescent="0.3">
      <c r="B16" s="4" t="s">
        <v>24</v>
      </c>
      <c r="C16" s="5">
        <v>0</v>
      </c>
      <c r="D16" s="5">
        <v>101.2</v>
      </c>
      <c r="E16" s="5">
        <f t="shared" si="6"/>
        <v>22.5</v>
      </c>
      <c r="F16" s="5">
        <v>652.9</v>
      </c>
      <c r="G16" s="32">
        <f t="shared" si="5"/>
        <v>529.19999999999993</v>
      </c>
      <c r="L16" s="37">
        <f t="shared" si="0"/>
        <v>0</v>
      </c>
      <c r="M16" s="38">
        <f t="shared" si="1"/>
        <v>529.19999999999993</v>
      </c>
      <c r="N16" s="37">
        <f t="shared" si="2"/>
        <v>111.32000000000001</v>
      </c>
      <c r="O16" s="37">
        <f t="shared" si="3"/>
        <v>519.07999999999993</v>
      </c>
      <c r="P16" s="37">
        <f t="shared" si="4"/>
        <v>519.07999999999993</v>
      </c>
    </row>
    <row r="17" spans="2:17" ht="15.75" thickBot="1" x14ac:dyDescent="0.3">
      <c r="B17" s="4" t="s">
        <v>25</v>
      </c>
      <c r="C17" s="5">
        <v>0</v>
      </c>
      <c r="D17" s="5">
        <v>101.2</v>
      </c>
      <c r="E17" s="5">
        <f t="shared" si="6"/>
        <v>22.5</v>
      </c>
      <c r="F17" s="5">
        <v>652.9</v>
      </c>
      <c r="G17" s="32">
        <f t="shared" si="5"/>
        <v>529.19999999999993</v>
      </c>
      <c r="L17" s="37">
        <f t="shared" si="0"/>
        <v>0</v>
      </c>
      <c r="M17" s="38">
        <f t="shared" si="1"/>
        <v>529.19999999999993</v>
      </c>
      <c r="N17" s="37">
        <f t="shared" si="2"/>
        <v>111.32000000000001</v>
      </c>
      <c r="O17" s="37">
        <f t="shared" si="3"/>
        <v>519.07999999999993</v>
      </c>
      <c r="P17" s="37">
        <f t="shared" si="4"/>
        <v>519.07999999999993</v>
      </c>
    </row>
    <row r="18" spans="2:17" ht="15.75" thickBot="1" x14ac:dyDescent="0.3">
      <c r="B18" s="4" t="s">
        <v>26</v>
      </c>
      <c r="C18" s="5">
        <v>0</v>
      </c>
      <c r="D18" s="5">
        <v>101.2</v>
      </c>
      <c r="E18" s="5">
        <f t="shared" si="6"/>
        <v>22.5</v>
      </c>
      <c r="F18" s="5">
        <v>652.9</v>
      </c>
      <c r="G18" s="32">
        <f t="shared" si="5"/>
        <v>529.19999999999993</v>
      </c>
      <c r="L18" s="37">
        <f t="shared" si="0"/>
        <v>0</v>
      </c>
      <c r="M18" s="38">
        <f t="shared" si="1"/>
        <v>529.19999999999993</v>
      </c>
      <c r="N18" s="37">
        <f t="shared" si="2"/>
        <v>111.32000000000001</v>
      </c>
      <c r="O18" s="37">
        <f t="shared" si="3"/>
        <v>519.07999999999993</v>
      </c>
      <c r="P18" s="37">
        <f t="shared" si="4"/>
        <v>519.07999999999993</v>
      </c>
    </row>
    <row r="19" spans="2:17" thickBot="1" x14ac:dyDescent="0.3">
      <c r="B19" s="4" t="s">
        <v>27</v>
      </c>
      <c r="C19" s="5">
        <v>106.3</v>
      </c>
      <c r="D19" s="5">
        <v>101.2</v>
      </c>
      <c r="E19" s="5">
        <f t="shared" si="6"/>
        <v>22.5</v>
      </c>
      <c r="F19" s="5">
        <v>652.9</v>
      </c>
      <c r="G19" s="32">
        <f t="shared" si="5"/>
        <v>422.89999999999992</v>
      </c>
      <c r="L19" s="37">
        <f t="shared" si="0"/>
        <v>116.93</v>
      </c>
      <c r="M19" s="38">
        <f t="shared" si="1"/>
        <v>412.26999999999992</v>
      </c>
      <c r="N19" s="37">
        <f t="shared" si="2"/>
        <v>111.32000000000001</v>
      </c>
      <c r="O19" s="37">
        <f t="shared" si="3"/>
        <v>412.78000000000003</v>
      </c>
      <c r="P19" s="37">
        <f t="shared" si="4"/>
        <v>402.14999999999992</v>
      </c>
    </row>
    <row r="20" spans="2:17" ht="15.75" thickBot="1" x14ac:dyDescent="0.3">
      <c r="B20" s="4" t="s">
        <v>28</v>
      </c>
      <c r="C20" s="5">
        <v>186.3</v>
      </c>
      <c r="D20" s="5">
        <v>101.2</v>
      </c>
      <c r="E20" s="5">
        <f t="shared" si="6"/>
        <v>22.5</v>
      </c>
      <c r="F20" s="5">
        <v>652.9</v>
      </c>
      <c r="G20" s="32">
        <f t="shared" si="5"/>
        <v>342.89999999999992</v>
      </c>
      <c r="L20" s="37">
        <f t="shared" si="0"/>
        <v>204.93000000000004</v>
      </c>
      <c r="M20" s="38">
        <f t="shared" si="1"/>
        <v>324.26999999999987</v>
      </c>
      <c r="N20" s="37">
        <f t="shared" si="2"/>
        <v>111.32000000000001</v>
      </c>
      <c r="O20" s="37">
        <f t="shared" si="3"/>
        <v>332.78</v>
      </c>
      <c r="P20" s="37">
        <f t="shared" si="4"/>
        <v>314.14999999999986</v>
      </c>
    </row>
    <row r="21" spans="2:17" ht="15.75" thickBot="1" x14ac:dyDescent="0.3">
      <c r="B21" s="4" t="s">
        <v>29</v>
      </c>
      <c r="C21" s="5">
        <v>168</v>
      </c>
      <c r="D21" s="5">
        <v>101.2</v>
      </c>
      <c r="E21" s="5">
        <f t="shared" si="6"/>
        <v>22.5</v>
      </c>
      <c r="F21" s="5">
        <v>652.9</v>
      </c>
      <c r="G21" s="32">
        <f t="shared" si="5"/>
        <v>361.19999999999993</v>
      </c>
      <c r="L21" s="37">
        <f t="shared" si="0"/>
        <v>184.8</v>
      </c>
      <c r="M21" s="38">
        <f t="shared" si="1"/>
        <v>344.39999999999992</v>
      </c>
      <c r="N21" s="37">
        <f t="shared" si="2"/>
        <v>111.32000000000001</v>
      </c>
      <c r="O21" s="37">
        <f t="shared" si="3"/>
        <v>351.08</v>
      </c>
      <c r="P21" s="37">
        <f t="shared" si="4"/>
        <v>334.27999999999992</v>
      </c>
    </row>
    <row r="22" spans="2:17" ht="15.75" thickBot="1" x14ac:dyDescent="0.3">
      <c r="B22" s="4" t="s">
        <v>30</v>
      </c>
      <c r="C22" s="5">
        <v>186.3</v>
      </c>
      <c r="D22" s="5">
        <v>101.2</v>
      </c>
      <c r="E22" s="5">
        <f t="shared" si="6"/>
        <v>22.5</v>
      </c>
      <c r="F22" s="5">
        <v>652.9</v>
      </c>
      <c r="G22" s="32">
        <f t="shared" si="5"/>
        <v>342.89999999999992</v>
      </c>
      <c r="L22" s="37">
        <f t="shared" si="0"/>
        <v>204.93000000000004</v>
      </c>
      <c r="M22" s="38">
        <f t="shared" si="1"/>
        <v>324.26999999999987</v>
      </c>
      <c r="N22" s="37">
        <f t="shared" si="2"/>
        <v>111.32000000000001</v>
      </c>
      <c r="O22" s="37">
        <f t="shared" si="3"/>
        <v>332.78</v>
      </c>
      <c r="P22" s="37">
        <f t="shared" si="4"/>
        <v>314.14999999999986</v>
      </c>
    </row>
    <row r="23" spans="2:17" ht="15.75" thickBot="1" x14ac:dyDescent="0.3">
      <c r="B23" s="4" t="s">
        <v>31</v>
      </c>
      <c r="C23" s="5">
        <v>0</v>
      </c>
      <c r="D23" s="5">
        <v>101.2</v>
      </c>
      <c r="E23" s="5">
        <f t="shared" si="6"/>
        <v>22.5</v>
      </c>
      <c r="F23" s="5">
        <v>652.9</v>
      </c>
      <c r="G23" s="32">
        <f t="shared" si="5"/>
        <v>529.19999999999993</v>
      </c>
      <c r="L23" s="37">
        <f t="shared" si="0"/>
        <v>0</v>
      </c>
      <c r="M23" s="38">
        <f t="shared" si="1"/>
        <v>529.19999999999993</v>
      </c>
      <c r="N23" s="37">
        <f t="shared" si="2"/>
        <v>111.32000000000001</v>
      </c>
      <c r="O23" s="37">
        <f t="shared" si="3"/>
        <v>519.07999999999993</v>
      </c>
      <c r="P23" s="37">
        <f t="shared" si="4"/>
        <v>519.07999999999993</v>
      </c>
    </row>
    <row r="24" spans="2:17" ht="15.75" thickBot="1" x14ac:dyDescent="0.3">
      <c r="B24" s="4" t="s">
        <v>32</v>
      </c>
      <c r="C24" s="5">
        <v>0</v>
      </c>
      <c r="D24" s="5">
        <v>101.2</v>
      </c>
      <c r="E24" s="5">
        <f t="shared" si="6"/>
        <v>22.5</v>
      </c>
      <c r="F24" s="5">
        <v>853.9</v>
      </c>
      <c r="G24" s="32">
        <f t="shared" si="5"/>
        <v>730.19999999999993</v>
      </c>
      <c r="L24" s="37">
        <f t="shared" si="0"/>
        <v>0</v>
      </c>
      <c r="M24" s="38">
        <f t="shared" si="1"/>
        <v>730.19999999999993</v>
      </c>
      <c r="N24" s="37">
        <f t="shared" si="2"/>
        <v>111.32000000000001</v>
      </c>
      <c r="O24" s="37">
        <f t="shared" si="3"/>
        <v>720.07999999999993</v>
      </c>
      <c r="P24" s="37">
        <f t="shared" si="4"/>
        <v>720.07999999999993</v>
      </c>
    </row>
    <row r="25" spans="2:17" ht="15.75" thickBot="1" x14ac:dyDescent="0.3">
      <c r="B25" s="4" t="s">
        <v>33</v>
      </c>
      <c r="C25" s="5">
        <v>0</v>
      </c>
      <c r="D25" s="5">
        <v>101.2</v>
      </c>
      <c r="E25" s="5">
        <f t="shared" si="6"/>
        <v>22.5</v>
      </c>
      <c r="F25" s="5">
        <v>853.9</v>
      </c>
      <c r="G25" s="32">
        <f t="shared" si="5"/>
        <v>730.19999999999993</v>
      </c>
      <c r="L25" s="37">
        <f t="shared" si="0"/>
        <v>0</v>
      </c>
      <c r="M25" s="38">
        <f t="shared" si="1"/>
        <v>730.19999999999993</v>
      </c>
      <c r="N25" s="37">
        <f t="shared" si="2"/>
        <v>111.32000000000001</v>
      </c>
      <c r="O25" s="37">
        <f t="shared" si="3"/>
        <v>720.07999999999993</v>
      </c>
      <c r="P25" s="37">
        <f t="shared" si="4"/>
        <v>720.07999999999993</v>
      </c>
    </row>
    <row r="26" spans="2:17" ht="15.75" thickBot="1" x14ac:dyDescent="0.3">
      <c r="B26" s="4" t="s">
        <v>34</v>
      </c>
      <c r="C26" s="5">
        <v>0</v>
      </c>
      <c r="D26" s="5">
        <v>101.2</v>
      </c>
      <c r="E26" s="5">
        <f t="shared" si="6"/>
        <v>22.5</v>
      </c>
      <c r="F26" s="5">
        <v>853.9</v>
      </c>
      <c r="G26" s="32">
        <f t="shared" si="5"/>
        <v>730.19999999999993</v>
      </c>
      <c r="L26" s="37">
        <f t="shared" si="0"/>
        <v>0</v>
      </c>
      <c r="M26" s="38">
        <f t="shared" si="1"/>
        <v>730.19999999999993</v>
      </c>
      <c r="N26" s="37">
        <f t="shared" si="2"/>
        <v>111.32000000000001</v>
      </c>
      <c r="O26" s="37">
        <f t="shared" si="3"/>
        <v>720.07999999999993</v>
      </c>
      <c r="P26" s="37">
        <f t="shared" si="4"/>
        <v>720.07999999999993</v>
      </c>
    </row>
    <row r="27" spans="2:17" ht="15.75" thickBot="1" x14ac:dyDescent="0.3">
      <c r="B27" s="4" t="s">
        <v>35</v>
      </c>
      <c r="C27" s="5">
        <v>0</v>
      </c>
      <c r="D27" s="5">
        <v>101.2</v>
      </c>
      <c r="E27" s="5">
        <f t="shared" si="6"/>
        <v>22.5</v>
      </c>
      <c r="F27" s="5">
        <v>853.9</v>
      </c>
      <c r="G27" s="32">
        <f t="shared" si="5"/>
        <v>730.19999999999993</v>
      </c>
      <c r="L27" s="37">
        <f t="shared" si="0"/>
        <v>0</v>
      </c>
      <c r="M27" s="38">
        <f t="shared" si="1"/>
        <v>730.19999999999993</v>
      </c>
      <c r="N27" s="37">
        <f t="shared" si="2"/>
        <v>111.32000000000001</v>
      </c>
      <c r="O27" s="37">
        <f t="shared" si="3"/>
        <v>720.07999999999993</v>
      </c>
      <c r="P27" s="37">
        <f t="shared" si="4"/>
        <v>720.07999999999993</v>
      </c>
    </row>
    <row r="28" spans="2:17" ht="15.75" thickBot="1" x14ac:dyDescent="0.3">
      <c r="B28" s="4" t="s">
        <v>40</v>
      </c>
      <c r="C28" s="5">
        <v>0</v>
      </c>
      <c r="D28" s="5">
        <v>101.2</v>
      </c>
      <c r="E28" s="5">
        <f t="shared" si="6"/>
        <v>22.5</v>
      </c>
      <c r="F28" s="5">
        <v>853.9</v>
      </c>
      <c r="G28" s="32">
        <f t="shared" si="5"/>
        <v>730.19999999999993</v>
      </c>
      <c r="L28" s="37">
        <f t="shared" si="0"/>
        <v>0</v>
      </c>
      <c r="M28" s="38">
        <f t="shared" si="1"/>
        <v>730.19999999999993</v>
      </c>
      <c r="N28" s="37">
        <f t="shared" si="2"/>
        <v>111.32000000000001</v>
      </c>
      <c r="O28" s="37">
        <f t="shared" si="3"/>
        <v>720.07999999999993</v>
      </c>
      <c r="P28" s="37">
        <f t="shared" si="4"/>
        <v>720.07999999999993</v>
      </c>
    </row>
    <row r="29" spans="2:17" ht="15.75" customHeight="1" thickBot="1" x14ac:dyDescent="0.3">
      <c r="B29" s="4" t="s">
        <v>36</v>
      </c>
      <c r="C29" s="5">
        <v>0</v>
      </c>
      <c r="D29" s="5">
        <v>101.2</v>
      </c>
      <c r="E29" s="5">
        <f t="shared" si="6"/>
        <v>22.5</v>
      </c>
      <c r="F29" s="5">
        <f>853.9+201</f>
        <v>1054.9000000000001</v>
      </c>
      <c r="G29" s="32">
        <f t="shared" si="5"/>
        <v>931.2</v>
      </c>
      <c r="L29" s="37">
        <f t="shared" si="0"/>
        <v>0</v>
      </c>
      <c r="M29" s="38">
        <f t="shared" si="1"/>
        <v>931.2</v>
      </c>
      <c r="N29" s="37">
        <f t="shared" si="2"/>
        <v>111.32000000000001</v>
      </c>
      <c r="O29" s="37">
        <f t="shared" si="3"/>
        <v>921.08</v>
      </c>
      <c r="P29" s="37">
        <f t="shared" si="4"/>
        <v>921.08</v>
      </c>
    </row>
    <row r="30" spans="2:17" ht="15.75" thickBot="1" x14ac:dyDescent="0.3">
      <c r="B30" s="43" t="s">
        <v>39</v>
      </c>
      <c r="C30" s="44"/>
      <c r="D30" s="45">
        <f>(0.67*12)+(0.33*18)</f>
        <v>13.98</v>
      </c>
    </row>
    <row r="31" spans="2:17" x14ac:dyDescent="0.25">
      <c r="B31" s="30"/>
      <c r="C31" s="41" t="s">
        <v>37</v>
      </c>
      <c r="D31" s="42">
        <f>NPV(D30/100,G5:G29)+G4</f>
        <v>1419.7362973745724</v>
      </c>
      <c r="F31" s="41" t="s">
        <v>38</v>
      </c>
      <c r="G31" s="33">
        <f>IRR(G4:G29)</f>
        <v>0.32951777442826558</v>
      </c>
      <c r="L31" s="48" t="s">
        <v>37</v>
      </c>
      <c r="M31" s="49">
        <f>NPV(D30/100,M5:M29)+M4</f>
        <v>1328.7315143716955</v>
      </c>
      <c r="N31" s="48" t="s">
        <v>37</v>
      </c>
      <c r="O31" s="49">
        <f>NPV(D30/100,O5:O29)+O4</f>
        <v>1363.5410534443836</v>
      </c>
      <c r="P31" s="48" t="s">
        <v>37</v>
      </c>
      <c r="Q31" s="49">
        <f>NPV(D30/100,P5:P29)+P4</f>
        <v>1272.5362704415063</v>
      </c>
    </row>
    <row r="32" spans="2:17" x14ac:dyDescent="0.25">
      <c r="L32" s="48" t="s">
        <v>38</v>
      </c>
      <c r="M32" s="50">
        <f>IRR(M4:M29)</f>
        <v>0.30653627895584612</v>
      </c>
      <c r="N32" s="48" t="s">
        <v>38</v>
      </c>
      <c r="O32" s="50">
        <f>IRR(O4:O29)</f>
        <v>0.32071500198055092</v>
      </c>
      <c r="P32" s="48" t="s">
        <v>38</v>
      </c>
      <c r="Q32" s="50">
        <f>IRR(P4:P29)</f>
        <v>0.29847492185976843</v>
      </c>
    </row>
  </sheetData>
  <mergeCells count="3">
    <mergeCell ref="C2:E2"/>
    <mergeCell ref="M2:N2"/>
    <mergeCell ref="B30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6"/>
  <sheetViews>
    <sheetView topLeftCell="A19" workbookViewId="0">
      <selection activeCell="K33" sqref="K33"/>
    </sheetView>
  </sheetViews>
  <sheetFormatPr defaultRowHeight="15" x14ac:dyDescent="0.25"/>
  <cols>
    <col min="4" max="4" width="10.7109375" customWidth="1"/>
    <col min="5" max="5" width="12.85546875" customWidth="1"/>
    <col min="7" max="7" width="11.42578125" customWidth="1"/>
    <col min="13" max="13" width="10.28515625" customWidth="1"/>
    <col min="14" max="14" width="11.28515625" customWidth="1"/>
    <col min="15" max="15" width="12.42578125" customWidth="1"/>
    <col min="17" max="18" width="11.42578125" customWidth="1"/>
    <col min="19" max="19" width="11" customWidth="1"/>
    <col min="20" max="20" width="10.7109375" bestFit="1" customWidth="1"/>
  </cols>
  <sheetData>
    <row r="2" spans="2:19" ht="15.75" thickBot="1" x14ac:dyDescent="0.3">
      <c r="C2" s="1" t="s">
        <v>0</v>
      </c>
      <c r="D2" s="1"/>
      <c r="E2" s="1"/>
      <c r="M2" s="2" t="s">
        <v>1</v>
      </c>
      <c r="N2" s="2"/>
    </row>
    <row r="3" spans="2:19" ht="75" customHeight="1" thickBot="1" x14ac:dyDescent="0.3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1" t="s">
        <v>7</v>
      </c>
      <c r="H3" s="30"/>
      <c r="I3" s="30"/>
      <c r="J3" s="30"/>
      <c r="K3" s="30"/>
      <c r="L3" s="35" t="s">
        <v>8</v>
      </c>
      <c r="M3" s="36" t="s">
        <v>9</v>
      </c>
      <c r="N3" s="35" t="s">
        <v>10</v>
      </c>
      <c r="O3" s="36" t="s">
        <v>9</v>
      </c>
      <c r="P3" s="35" t="s">
        <v>56</v>
      </c>
      <c r="Q3" s="30"/>
      <c r="R3" s="30"/>
      <c r="S3" s="35" t="s">
        <v>55</v>
      </c>
    </row>
    <row r="4" spans="2:19" ht="15.75" thickBot="1" x14ac:dyDescent="0.3">
      <c r="B4" s="4" t="s">
        <v>12</v>
      </c>
      <c r="C4" s="7">
        <v>226.32</v>
      </c>
      <c r="D4" s="7">
        <v>0</v>
      </c>
      <c r="E4" s="8">
        <v>0</v>
      </c>
      <c r="F4" s="9">
        <v>0</v>
      </c>
      <c r="G4" s="46">
        <f>F4-D4-C4-E4</f>
        <v>-226.32</v>
      </c>
      <c r="H4" s="30"/>
      <c r="I4" s="30"/>
      <c r="J4" s="30"/>
      <c r="K4" s="30"/>
      <c r="L4" s="37">
        <f>1.1*C4</f>
        <v>248.95200000000003</v>
      </c>
      <c r="M4" s="38">
        <f>F4-E4-D4-L4</f>
        <v>-248.95200000000003</v>
      </c>
      <c r="N4" s="37">
        <f>D4*1.1</f>
        <v>0</v>
      </c>
      <c r="O4" s="37">
        <f>F4-E4-C4-N4</f>
        <v>-226.32</v>
      </c>
      <c r="P4" s="38">
        <f>F4-E4-N4-L4</f>
        <v>-248.95200000000003</v>
      </c>
      <c r="Q4" s="30"/>
      <c r="R4" s="30"/>
      <c r="S4" s="37">
        <f>D4*0.999</f>
        <v>0</v>
      </c>
    </row>
    <row r="5" spans="2:19" ht="15.75" thickBot="1" x14ac:dyDescent="0.3">
      <c r="B5" s="4" t="s">
        <v>13</v>
      </c>
      <c r="C5" s="7">
        <v>339.48</v>
      </c>
      <c r="D5" s="7">
        <v>10</v>
      </c>
      <c r="E5" s="8">
        <v>0</v>
      </c>
      <c r="F5" s="9">
        <v>0</v>
      </c>
      <c r="G5" s="46">
        <f>F5-D5-C5-E5</f>
        <v>-349.48</v>
      </c>
      <c r="H5" s="30"/>
      <c r="I5" s="30"/>
      <c r="J5" s="30"/>
      <c r="K5" s="30"/>
      <c r="L5" s="37">
        <f t="shared" ref="L5:L30" si="0">1.1*C5</f>
        <v>373.42800000000005</v>
      </c>
      <c r="M5" s="37">
        <f t="shared" ref="M5:M30" si="1">F5-E5-D5-L5</f>
        <v>-383.42800000000005</v>
      </c>
      <c r="N5" s="37">
        <f t="shared" ref="N5:N30" si="2">D5*1.1</f>
        <v>11</v>
      </c>
      <c r="O5" s="37">
        <f t="shared" ref="O5:O30" si="3">F5-E5-C5-N5</f>
        <v>-350.48</v>
      </c>
      <c r="P5" s="38">
        <f t="shared" ref="P5:P30" si="4">F5-E5-N5-L5</f>
        <v>-384.42800000000005</v>
      </c>
      <c r="Q5" s="30"/>
      <c r="R5" s="30"/>
      <c r="S5" s="37">
        <f t="shared" ref="S5:S30" si="5">D5*0.999</f>
        <v>9.99</v>
      </c>
    </row>
    <row r="6" spans="2:19" ht="15.75" thickBot="1" x14ac:dyDescent="0.3">
      <c r="B6" s="4" t="s">
        <v>14</v>
      </c>
      <c r="C6" s="7">
        <v>0</v>
      </c>
      <c r="D6" s="7">
        <v>436.9</v>
      </c>
      <c r="E6" s="8">
        <f>1500*500/100000</f>
        <v>7.5</v>
      </c>
      <c r="F6" s="7">
        <v>427.5</v>
      </c>
      <c r="G6" s="46">
        <f t="shared" ref="G6:G30" si="6">F6-D6-C6-E6</f>
        <v>-16.899999999999977</v>
      </c>
      <c r="H6" s="30"/>
      <c r="I6" s="30"/>
      <c r="J6" s="30"/>
      <c r="K6" s="30"/>
      <c r="L6" s="37">
        <f t="shared" si="0"/>
        <v>0</v>
      </c>
      <c r="M6" s="37">
        <f t="shared" si="1"/>
        <v>-16.899999999999977</v>
      </c>
      <c r="N6" s="37">
        <f t="shared" si="2"/>
        <v>480.59000000000003</v>
      </c>
      <c r="O6" s="37">
        <f t="shared" si="3"/>
        <v>-60.590000000000032</v>
      </c>
      <c r="P6" s="37">
        <f t="shared" si="4"/>
        <v>-60.590000000000032</v>
      </c>
      <c r="Q6" s="30"/>
      <c r="R6" s="30"/>
      <c r="S6" s="38">
        <f t="shared" si="5"/>
        <v>436.4631</v>
      </c>
    </row>
    <row r="7" spans="2:19" ht="15.75" thickBot="1" x14ac:dyDescent="0.3">
      <c r="B7" s="4" t="s">
        <v>15</v>
      </c>
      <c r="C7" s="7">
        <v>0</v>
      </c>
      <c r="D7" s="7">
        <v>1037.48</v>
      </c>
      <c r="E7" s="8">
        <f>3750*500/100000</f>
        <v>18.75</v>
      </c>
      <c r="F7" s="7">
        <v>1068.7</v>
      </c>
      <c r="G7" s="46">
        <f t="shared" si="6"/>
        <v>12.470000000000027</v>
      </c>
      <c r="H7" s="30"/>
      <c r="I7" s="30"/>
      <c r="J7" s="30"/>
      <c r="K7" s="30"/>
      <c r="L7" s="37">
        <f t="shared" si="0"/>
        <v>0</v>
      </c>
      <c r="M7" s="37">
        <f t="shared" si="1"/>
        <v>12.470000000000027</v>
      </c>
      <c r="N7" s="38">
        <f t="shared" si="2"/>
        <v>1141.2280000000001</v>
      </c>
      <c r="O7" s="38">
        <f t="shared" si="3"/>
        <v>-91.27800000000002</v>
      </c>
      <c r="P7" s="38">
        <f t="shared" si="4"/>
        <v>-91.27800000000002</v>
      </c>
      <c r="Q7" s="30"/>
      <c r="R7" s="30"/>
      <c r="S7" s="38">
        <f t="shared" si="5"/>
        <v>1036.4425200000001</v>
      </c>
    </row>
    <row r="8" spans="2:19" ht="15.75" thickBot="1" x14ac:dyDescent="0.3">
      <c r="B8" s="4" t="s">
        <v>16</v>
      </c>
      <c r="C8" s="7">
        <v>0</v>
      </c>
      <c r="D8" s="7">
        <v>1625.26</v>
      </c>
      <c r="E8" s="8">
        <f>6000*500/100000</f>
        <v>30</v>
      </c>
      <c r="F8" s="7">
        <v>1710</v>
      </c>
      <c r="G8" s="46">
        <f t="shared" si="6"/>
        <v>54.740000000000009</v>
      </c>
      <c r="H8" s="30"/>
      <c r="I8" s="30"/>
      <c r="J8" s="30"/>
      <c r="K8" s="30"/>
      <c r="L8" s="37">
        <f t="shared" si="0"/>
        <v>0</v>
      </c>
      <c r="M8" s="37">
        <f t="shared" si="1"/>
        <v>54.740000000000009</v>
      </c>
      <c r="N8" s="38">
        <f t="shared" si="2"/>
        <v>1787.7860000000001</v>
      </c>
      <c r="O8" s="38">
        <f t="shared" si="3"/>
        <v>-107.78600000000006</v>
      </c>
      <c r="P8" s="38">
        <f t="shared" si="4"/>
        <v>-107.78600000000006</v>
      </c>
      <c r="Q8" s="30"/>
      <c r="R8" s="30"/>
      <c r="S8" s="38">
        <f t="shared" si="5"/>
        <v>1623.63474</v>
      </c>
    </row>
    <row r="9" spans="2:19" ht="15.75" thickBot="1" x14ac:dyDescent="0.3">
      <c r="B9" s="4" t="s">
        <v>17</v>
      </c>
      <c r="C9" s="7">
        <v>0</v>
      </c>
      <c r="D9" s="7">
        <v>2227.7600000000002</v>
      </c>
      <c r="E9" s="8">
        <f>8250*500/100000</f>
        <v>41.25</v>
      </c>
      <c r="F9" s="7">
        <v>2351.25</v>
      </c>
      <c r="G9" s="46">
        <f t="shared" si="6"/>
        <v>82.239999999999782</v>
      </c>
      <c r="H9" s="30"/>
      <c r="I9" s="30"/>
      <c r="J9" s="30"/>
      <c r="K9" s="30"/>
      <c r="L9" s="37">
        <f t="shared" si="0"/>
        <v>0</v>
      </c>
      <c r="M9" s="37">
        <f t="shared" si="1"/>
        <v>82.239999999999782</v>
      </c>
      <c r="N9" s="38">
        <f t="shared" si="2"/>
        <v>2450.5360000000005</v>
      </c>
      <c r="O9" s="38">
        <f t="shared" si="3"/>
        <v>-140.53600000000051</v>
      </c>
      <c r="P9" s="38">
        <f t="shared" si="4"/>
        <v>-140.53600000000051</v>
      </c>
      <c r="Q9" s="30"/>
      <c r="R9" s="30"/>
      <c r="S9" s="38">
        <f t="shared" si="5"/>
        <v>2225.53224</v>
      </c>
    </row>
    <row r="10" spans="2:19" ht="15.75" thickBot="1" x14ac:dyDescent="0.3">
      <c r="B10" s="4" t="s">
        <v>18</v>
      </c>
      <c r="C10" s="5">
        <v>0</v>
      </c>
      <c r="D10" s="7">
        <v>3257.35</v>
      </c>
      <c r="E10" s="8">
        <f>12112.5*500/100000</f>
        <v>60.5625</v>
      </c>
      <c r="F10" s="7">
        <v>3452.06</v>
      </c>
      <c r="G10" s="46">
        <f t="shared" si="6"/>
        <v>134.14750000000004</v>
      </c>
      <c r="H10" s="30"/>
      <c r="I10" s="30"/>
      <c r="J10" s="30"/>
      <c r="K10" s="30"/>
      <c r="L10" s="37">
        <f t="shared" si="0"/>
        <v>0</v>
      </c>
      <c r="M10" s="38">
        <f t="shared" si="1"/>
        <v>134.14750000000004</v>
      </c>
      <c r="N10" s="38">
        <f t="shared" si="2"/>
        <v>3583.085</v>
      </c>
      <c r="O10" s="38">
        <f t="shared" si="3"/>
        <v>-191.58750000000009</v>
      </c>
      <c r="P10" s="38">
        <f t="shared" si="4"/>
        <v>-191.58750000000009</v>
      </c>
      <c r="Q10" s="30"/>
      <c r="R10" s="30"/>
      <c r="S10" s="38">
        <f t="shared" si="5"/>
        <v>3254.09265</v>
      </c>
    </row>
    <row r="11" spans="2:19" ht="15.75" thickBot="1" x14ac:dyDescent="0.3">
      <c r="B11" s="4" t="s">
        <v>19</v>
      </c>
      <c r="C11" s="5">
        <v>0</v>
      </c>
      <c r="D11" s="7">
        <v>3257.35</v>
      </c>
      <c r="E11" s="8">
        <f t="shared" ref="E11:E30" si="7">12112.5*500/100000</f>
        <v>60.5625</v>
      </c>
      <c r="F11" s="7">
        <v>3452.06</v>
      </c>
      <c r="G11" s="46">
        <f>F11-D11-C11-E11</f>
        <v>134.14750000000004</v>
      </c>
      <c r="H11" s="30"/>
      <c r="I11" s="30"/>
      <c r="J11" s="30"/>
      <c r="K11" s="30"/>
      <c r="L11" s="37">
        <f t="shared" si="0"/>
        <v>0</v>
      </c>
      <c r="M11" s="38">
        <f t="shared" si="1"/>
        <v>134.14750000000004</v>
      </c>
      <c r="N11" s="38">
        <f t="shared" si="2"/>
        <v>3583.085</v>
      </c>
      <c r="O11" s="38">
        <f t="shared" si="3"/>
        <v>-191.58750000000009</v>
      </c>
      <c r="P11" s="38">
        <f t="shared" si="4"/>
        <v>-191.58750000000009</v>
      </c>
      <c r="Q11" s="30"/>
      <c r="R11" s="30"/>
      <c r="S11" s="38">
        <f t="shared" si="5"/>
        <v>3254.09265</v>
      </c>
    </row>
    <row r="12" spans="2:19" ht="15.75" thickBot="1" x14ac:dyDescent="0.3">
      <c r="B12" s="4" t="s">
        <v>20</v>
      </c>
      <c r="C12" s="5">
        <v>0</v>
      </c>
      <c r="D12" s="7">
        <v>3257.35</v>
      </c>
      <c r="E12" s="8">
        <f t="shared" si="7"/>
        <v>60.5625</v>
      </c>
      <c r="F12" s="7">
        <v>3452.06</v>
      </c>
      <c r="G12" s="46">
        <f t="shared" si="6"/>
        <v>134.14750000000004</v>
      </c>
      <c r="H12" s="30"/>
      <c r="I12" s="30"/>
      <c r="J12" s="30"/>
      <c r="K12" s="30"/>
      <c r="L12" s="37">
        <f t="shared" si="0"/>
        <v>0</v>
      </c>
      <c r="M12" s="38">
        <f t="shared" si="1"/>
        <v>134.14750000000004</v>
      </c>
      <c r="N12" s="38">
        <f t="shared" si="2"/>
        <v>3583.085</v>
      </c>
      <c r="O12" s="38">
        <f t="shared" si="3"/>
        <v>-191.58750000000009</v>
      </c>
      <c r="P12" s="38">
        <f t="shared" si="4"/>
        <v>-191.58750000000009</v>
      </c>
      <c r="Q12" s="30"/>
      <c r="R12" s="30"/>
      <c r="S12" s="38">
        <f t="shared" si="5"/>
        <v>3254.09265</v>
      </c>
    </row>
    <row r="13" spans="2:19" ht="15.75" thickBot="1" x14ac:dyDescent="0.3">
      <c r="B13" s="4" t="s">
        <v>21</v>
      </c>
      <c r="C13" s="5">
        <v>0</v>
      </c>
      <c r="D13" s="7">
        <v>3257.35</v>
      </c>
      <c r="E13" s="8">
        <f t="shared" si="7"/>
        <v>60.5625</v>
      </c>
      <c r="F13" s="7">
        <v>3452.06</v>
      </c>
      <c r="G13" s="46">
        <f t="shared" si="6"/>
        <v>134.14750000000004</v>
      </c>
      <c r="H13" s="30"/>
      <c r="I13" s="30"/>
      <c r="J13" s="30"/>
      <c r="K13" s="30"/>
      <c r="L13" s="37">
        <f t="shared" si="0"/>
        <v>0</v>
      </c>
      <c r="M13" s="38">
        <f t="shared" si="1"/>
        <v>134.14750000000004</v>
      </c>
      <c r="N13" s="38">
        <f t="shared" si="2"/>
        <v>3583.085</v>
      </c>
      <c r="O13" s="38">
        <f t="shared" si="3"/>
        <v>-191.58750000000009</v>
      </c>
      <c r="P13" s="38">
        <f t="shared" si="4"/>
        <v>-191.58750000000009</v>
      </c>
      <c r="Q13" s="30"/>
      <c r="R13" s="30"/>
      <c r="S13" s="38">
        <f t="shared" si="5"/>
        <v>3254.09265</v>
      </c>
    </row>
    <row r="14" spans="2:19" ht="15.75" thickBot="1" x14ac:dyDescent="0.3">
      <c r="B14" s="4" t="s">
        <v>22</v>
      </c>
      <c r="C14" s="5">
        <v>0</v>
      </c>
      <c r="D14" s="7">
        <v>3257.35</v>
      </c>
      <c r="E14" s="8">
        <f t="shared" si="7"/>
        <v>60.5625</v>
      </c>
      <c r="F14" s="7">
        <v>3452.06</v>
      </c>
      <c r="G14" s="46">
        <f t="shared" si="6"/>
        <v>134.14750000000004</v>
      </c>
      <c r="H14" s="30"/>
      <c r="I14" s="30"/>
      <c r="J14" s="30"/>
      <c r="K14" s="30"/>
      <c r="L14" s="37">
        <f t="shared" si="0"/>
        <v>0</v>
      </c>
      <c r="M14" s="38">
        <f t="shared" si="1"/>
        <v>134.14750000000004</v>
      </c>
      <c r="N14" s="38">
        <f t="shared" si="2"/>
        <v>3583.085</v>
      </c>
      <c r="O14" s="38">
        <f t="shared" si="3"/>
        <v>-191.58750000000009</v>
      </c>
      <c r="P14" s="38">
        <f t="shared" si="4"/>
        <v>-191.58750000000009</v>
      </c>
      <c r="Q14" s="30"/>
      <c r="R14" s="30"/>
      <c r="S14" s="38">
        <f t="shared" si="5"/>
        <v>3254.09265</v>
      </c>
    </row>
    <row r="15" spans="2:19" ht="15.75" thickBot="1" x14ac:dyDescent="0.3">
      <c r="B15" s="4" t="s">
        <v>23</v>
      </c>
      <c r="C15" s="5">
        <v>0</v>
      </c>
      <c r="D15" s="7">
        <v>3257.35</v>
      </c>
      <c r="E15" s="8">
        <f t="shared" si="7"/>
        <v>60.5625</v>
      </c>
      <c r="F15" s="7">
        <v>3452.06</v>
      </c>
      <c r="G15" s="46">
        <f t="shared" si="6"/>
        <v>134.14750000000004</v>
      </c>
      <c r="H15" s="30"/>
      <c r="I15" s="30"/>
      <c r="J15" s="30"/>
      <c r="K15" s="30"/>
      <c r="L15" s="37">
        <f t="shared" si="0"/>
        <v>0</v>
      </c>
      <c r="M15" s="38">
        <f t="shared" si="1"/>
        <v>134.14750000000004</v>
      </c>
      <c r="N15" s="38">
        <f t="shared" si="2"/>
        <v>3583.085</v>
      </c>
      <c r="O15" s="38">
        <f t="shared" si="3"/>
        <v>-191.58750000000009</v>
      </c>
      <c r="P15" s="38">
        <f t="shared" si="4"/>
        <v>-191.58750000000009</v>
      </c>
      <c r="Q15" s="30"/>
      <c r="R15" s="30"/>
      <c r="S15" s="38">
        <f t="shared" si="5"/>
        <v>3254.09265</v>
      </c>
    </row>
    <row r="16" spans="2:19" ht="15.75" thickBot="1" x14ac:dyDescent="0.3">
      <c r="B16" s="4" t="s">
        <v>24</v>
      </c>
      <c r="C16" s="5">
        <v>0</v>
      </c>
      <c r="D16" s="7">
        <v>3257.35</v>
      </c>
      <c r="E16" s="8">
        <f t="shared" si="7"/>
        <v>60.5625</v>
      </c>
      <c r="F16" s="7">
        <v>3452.06</v>
      </c>
      <c r="G16" s="46">
        <f t="shared" si="6"/>
        <v>134.14750000000004</v>
      </c>
      <c r="H16" s="30"/>
      <c r="I16" s="30"/>
      <c r="J16" s="30"/>
      <c r="K16" s="30"/>
      <c r="L16" s="37">
        <f t="shared" si="0"/>
        <v>0</v>
      </c>
      <c r="M16" s="38">
        <f t="shared" si="1"/>
        <v>134.14750000000004</v>
      </c>
      <c r="N16" s="38">
        <f t="shared" si="2"/>
        <v>3583.085</v>
      </c>
      <c r="O16" s="38">
        <f t="shared" si="3"/>
        <v>-191.58750000000009</v>
      </c>
      <c r="P16" s="38">
        <f t="shared" si="4"/>
        <v>-191.58750000000009</v>
      </c>
      <c r="Q16" s="30"/>
      <c r="R16" s="30"/>
      <c r="S16" s="38">
        <f t="shared" si="5"/>
        <v>3254.09265</v>
      </c>
    </row>
    <row r="17" spans="2:19" ht="15.75" thickBot="1" x14ac:dyDescent="0.3">
      <c r="B17" s="4" t="s">
        <v>25</v>
      </c>
      <c r="C17" s="5">
        <v>0</v>
      </c>
      <c r="D17" s="7">
        <v>3257.35</v>
      </c>
      <c r="E17" s="8">
        <f t="shared" si="7"/>
        <v>60.5625</v>
      </c>
      <c r="F17" s="7">
        <v>3452.06</v>
      </c>
      <c r="G17" s="46">
        <f t="shared" si="6"/>
        <v>134.14750000000004</v>
      </c>
      <c r="H17" s="30"/>
      <c r="I17" s="30"/>
      <c r="J17" s="30"/>
      <c r="K17" s="30"/>
      <c r="L17" s="37">
        <f t="shared" si="0"/>
        <v>0</v>
      </c>
      <c r="M17" s="38">
        <f t="shared" si="1"/>
        <v>134.14750000000004</v>
      </c>
      <c r="N17" s="38">
        <f t="shared" si="2"/>
        <v>3583.085</v>
      </c>
      <c r="O17" s="38">
        <f t="shared" si="3"/>
        <v>-191.58750000000009</v>
      </c>
      <c r="P17" s="38">
        <f t="shared" si="4"/>
        <v>-191.58750000000009</v>
      </c>
      <c r="Q17" s="30"/>
      <c r="R17" s="30"/>
      <c r="S17" s="38">
        <f t="shared" si="5"/>
        <v>3254.09265</v>
      </c>
    </row>
    <row r="18" spans="2:19" ht="15.75" thickBot="1" x14ac:dyDescent="0.3">
      <c r="B18" s="4" t="s">
        <v>26</v>
      </c>
      <c r="C18" s="5">
        <v>0</v>
      </c>
      <c r="D18" s="7">
        <v>3257.35</v>
      </c>
      <c r="E18" s="8">
        <f t="shared" si="7"/>
        <v>60.5625</v>
      </c>
      <c r="F18" s="7">
        <v>3452.06</v>
      </c>
      <c r="G18" s="46">
        <f t="shared" si="6"/>
        <v>134.14750000000004</v>
      </c>
      <c r="H18" s="30"/>
      <c r="I18" s="30"/>
      <c r="J18" s="30"/>
      <c r="K18" s="30"/>
      <c r="L18" s="37">
        <f t="shared" si="0"/>
        <v>0</v>
      </c>
      <c r="M18" s="38">
        <f t="shared" si="1"/>
        <v>134.14750000000004</v>
      </c>
      <c r="N18" s="38">
        <f t="shared" si="2"/>
        <v>3583.085</v>
      </c>
      <c r="O18" s="38">
        <f t="shared" si="3"/>
        <v>-191.58750000000009</v>
      </c>
      <c r="P18" s="38">
        <f t="shared" si="4"/>
        <v>-191.58750000000009</v>
      </c>
      <c r="Q18" s="30"/>
      <c r="R18" s="30"/>
      <c r="S18" s="38">
        <f t="shared" si="5"/>
        <v>3254.09265</v>
      </c>
    </row>
    <row r="19" spans="2:19" ht="15.75" thickBot="1" x14ac:dyDescent="0.3">
      <c r="B19" s="4" t="s">
        <v>27</v>
      </c>
      <c r="C19" s="5">
        <v>0</v>
      </c>
      <c r="D19" s="7">
        <v>3257.35</v>
      </c>
      <c r="E19" s="8">
        <f t="shared" si="7"/>
        <v>60.5625</v>
      </c>
      <c r="F19" s="7">
        <v>3452.06</v>
      </c>
      <c r="G19" s="46">
        <f t="shared" si="6"/>
        <v>134.14750000000004</v>
      </c>
      <c r="H19" s="30"/>
      <c r="I19" s="30"/>
      <c r="J19" s="30"/>
      <c r="K19" s="30"/>
      <c r="L19" s="37">
        <f t="shared" si="0"/>
        <v>0</v>
      </c>
      <c r="M19" s="38">
        <f t="shared" si="1"/>
        <v>134.14750000000004</v>
      </c>
      <c r="N19" s="38">
        <f t="shared" si="2"/>
        <v>3583.085</v>
      </c>
      <c r="O19" s="38">
        <f t="shared" si="3"/>
        <v>-191.58750000000009</v>
      </c>
      <c r="P19" s="38">
        <f t="shared" si="4"/>
        <v>-191.58750000000009</v>
      </c>
      <c r="Q19" s="30"/>
      <c r="R19" s="30"/>
      <c r="S19" s="38">
        <f t="shared" si="5"/>
        <v>3254.09265</v>
      </c>
    </row>
    <row r="20" spans="2:19" ht="15.75" thickBot="1" x14ac:dyDescent="0.3">
      <c r="B20" s="4" t="s">
        <v>28</v>
      </c>
      <c r="C20" s="5">
        <v>0</v>
      </c>
      <c r="D20" s="7">
        <v>3257.35</v>
      </c>
      <c r="E20" s="8">
        <f t="shared" si="7"/>
        <v>60.5625</v>
      </c>
      <c r="F20" s="7">
        <v>3452.06</v>
      </c>
      <c r="G20" s="46">
        <f t="shared" si="6"/>
        <v>134.14750000000004</v>
      </c>
      <c r="H20" s="30"/>
      <c r="I20" s="30"/>
      <c r="J20" s="30"/>
      <c r="K20" s="30"/>
      <c r="L20" s="37">
        <f t="shared" si="0"/>
        <v>0</v>
      </c>
      <c r="M20" s="38">
        <f t="shared" si="1"/>
        <v>134.14750000000004</v>
      </c>
      <c r="N20" s="38">
        <f t="shared" si="2"/>
        <v>3583.085</v>
      </c>
      <c r="O20" s="38">
        <f t="shared" si="3"/>
        <v>-191.58750000000009</v>
      </c>
      <c r="P20" s="38">
        <f t="shared" si="4"/>
        <v>-191.58750000000009</v>
      </c>
      <c r="Q20" s="30"/>
      <c r="R20" s="30"/>
      <c r="S20" s="38">
        <f t="shared" si="5"/>
        <v>3254.09265</v>
      </c>
    </row>
    <row r="21" spans="2:19" ht="15.75" thickBot="1" x14ac:dyDescent="0.3">
      <c r="B21" s="4" t="s">
        <v>29</v>
      </c>
      <c r="C21" s="7">
        <v>369.7</v>
      </c>
      <c r="D21" s="7">
        <v>3257.35</v>
      </c>
      <c r="E21" s="8">
        <f t="shared" si="7"/>
        <v>60.5625</v>
      </c>
      <c r="F21" s="7">
        <v>3452.06</v>
      </c>
      <c r="G21" s="46">
        <f t="shared" si="6"/>
        <v>-235.55249999999995</v>
      </c>
      <c r="H21" s="30"/>
      <c r="I21" s="30"/>
      <c r="J21" s="30"/>
      <c r="K21" s="30"/>
      <c r="L21" s="37">
        <f t="shared" si="0"/>
        <v>406.67</v>
      </c>
      <c r="M21" s="38">
        <f t="shared" si="1"/>
        <v>-272.52249999999998</v>
      </c>
      <c r="N21" s="38">
        <f t="shared" si="2"/>
        <v>3583.085</v>
      </c>
      <c r="O21" s="38">
        <f t="shared" si="3"/>
        <v>-561.28749999999991</v>
      </c>
      <c r="P21" s="38">
        <f t="shared" si="4"/>
        <v>-598.25750000000016</v>
      </c>
      <c r="Q21" s="30"/>
      <c r="R21" s="30"/>
      <c r="S21" s="38">
        <f t="shared" si="5"/>
        <v>3254.09265</v>
      </c>
    </row>
    <row r="22" spans="2:19" ht="15.75" thickBot="1" x14ac:dyDescent="0.3">
      <c r="B22" s="4" t="s">
        <v>30</v>
      </c>
      <c r="C22" s="5">
        <v>0</v>
      </c>
      <c r="D22" s="7">
        <v>3257.35</v>
      </c>
      <c r="E22" s="8">
        <f t="shared" si="7"/>
        <v>60.5625</v>
      </c>
      <c r="F22" s="7">
        <v>3452.06</v>
      </c>
      <c r="G22" s="46">
        <f t="shared" si="6"/>
        <v>134.14750000000004</v>
      </c>
      <c r="H22" s="30"/>
      <c r="I22" s="30"/>
      <c r="J22" s="30"/>
      <c r="K22" s="30"/>
      <c r="L22" s="37">
        <f t="shared" si="0"/>
        <v>0</v>
      </c>
      <c r="M22" s="38">
        <f t="shared" si="1"/>
        <v>134.14750000000004</v>
      </c>
      <c r="N22" s="38">
        <f t="shared" si="2"/>
        <v>3583.085</v>
      </c>
      <c r="O22" s="38">
        <f t="shared" si="3"/>
        <v>-191.58750000000009</v>
      </c>
      <c r="P22" s="38">
        <f t="shared" si="4"/>
        <v>-191.58750000000009</v>
      </c>
      <c r="Q22" s="30"/>
      <c r="R22" s="30"/>
      <c r="S22" s="38">
        <f t="shared" si="5"/>
        <v>3254.09265</v>
      </c>
    </row>
    <row r="23" spans="2:19" ht="15.75" thickBot="1" x14ac:dyDescent="0.3">
      <c r="B23" s="4" t="s">
        <v>31</v>
      </c>
      <c r="C23" s="5">
        <v>0</v>
      </c>
      <c r="D23" s="7">
        <v>3257.35</v>
      </c>
      <c r="E23" s="8">
        <f t="shared" si="7"/>
        <v>60.5625</v>
      </c>
      <c r="F23" s="7">
        <v>3452.06</v>
      </c>
      <c r="G23" s="46">
        <f t="shared" si="6"/>
        <v>134.14750000000004</v>
      </c>
      <c r="H23" s="30"/>
      <c r="I23" s="30"/>
      <c r="J23" s="30"/>
      <c r="K23" s="30"/>
      <c r="L23" s="37">
        <f t="shared" si="0"/>
        <v>0</v>
      </c>
      <c r="M23" s="38">
        <f t="shared" si="1"/>
        <v>134.14750000000004</v>
      </c>
      <c r="N23" s="38">
        <f t="shared" si="2"/>
        <v>3583.085</v>
      </c>
      <c r="O23" s="38">
        <f t="shared" si="3"/>
        <v>-191.58750000000009</v>
      </c>
      <c r="P23" s="38">
        <f t="shared" si="4"/>
        <v>-191.58750000000009</v>
      </c>
      <c r="Q23" s="30"/>
      <c r="R23" s="30"/>
      <c r="S23" s="38">
        <f t="shared" si="5"/>
        <v>3254.09265</v>
      </c>
    </row>
    <row r="24" spans="2:19" ht="15.75" thickBot="1" x14ac:dyDescent="0.3">
      <c r="B24" s="4" t="s">
        <v>32</v>
      </c>
      <c r="C24" s="5">
        <v>0</v>
      </c>
      <c r="D24" s="7">
        <v>3257.35</v>
      </c>
      <c r="E24" s="8">
        <f t="shared" si="7"/>
        <v>60.5625</v>
      </c>
      <c r="F24" s="7">
        <v>3452.06</v>
      </c>
      <c r="G24" s="46">
        <f t="shared" si="6"/>
        <v>134.14750000000004</v>
      </c>
      <c r="H24" s="30"/>
      <c r="I24" s="30"/>
      <c r="J24" s="30"/>
      <c r="K24" s="30"/>
      <c r="L24" s="37">
        <f t="shared" si="0"/>
        <v>0</v>
      </c>
      <c r="M24" s="38">
        <f t="shared" si="1"/>
        <v>134.14750000000004</v>
      </c>
      <c r="N24" s="38">
        <f t="shared" si="2"/>
        <v>3583.085</v>
      </c>
      <c r="O24" s="38">
        <f t="shared" si="3"/>
        <v>-191.58750000000009</v>
      </c>
      <c r="P24" s="38">
        <f t="shared" si="4"/>
        <v>-191.58750000000009</v>
      </c>
      <c r="Q24" s="30"/>
      <c r="R24" s="30"/>
      <c r="S24" s="38">
        <f t="shared" si="5"/>
        <v>3254.09265</v>
      </c>
    </row>
    <row r="25" spans="2:19" ht="15.75" thickBot="1" x14ac:dyDescent="0.3">
      <c r="B25" s="4" t="s">
        <v>33</v>
      </c>
      <c r="C25" s="5">
        <v>0</v>
      </c>
      <c r="D25" s="7">
        <v>3257.35</v>
      </c>
      <c r="E25" s="8">
        <f t="shared" si="7"/>
        <v>60.5625</v>
      </c>
      <c r="F25" s="7">
        <v>3452.06</v>
      </c>
      <c r="G25" s="46">
        <f t="shared" si="6"/>
        <v>134.14750000000004</v>
      </c>
      <c r="H25" s="30"/>
      <c r="I25" s="30"/>
      <c r="J25" s="30"/>
      <c r="K25" s="30"/>
      <c r="L25" s="37">
        <f t="shared" si="0"/>
        <v>0</v>
      </c>
      <c r="M25" s="38">
        <f t="shared" si="1"/>
        <v>134.14750000000004</v>
      </c>
      <c r="N25" s="38">
        <f t="shared" si="2"/>
        <v>3583.085</v>
      </c>
      <c r="O25" s="38">
        <f t="shared" si="3"/>
        <v>-191.58750000000009</v>
      </c>
      <c r="P25" s="38">
        <f t="shared" si="4"/>
        <v>-191.58750000000009</v>
      </c>
      <c r="Q25" s="30"/>
      <c r="R25" s="30"/>
      <c r="S25" s="38">
        <f t="shared" si="5"/>
        <v>3254.09265</v>
      </c>
    </row>
    <row r="26" spans="2:19" ht="15.75" thickBot="1" x14ac:dyDescent="0.3">
      <c r="B26" s="4" t="s">
        <v>34</v>
      </c>
      <c r="C26" s="5">
        <v>0</v>
      </c>
      <c r="D26" s="7">
        <v>3257.35</v>
      </c>
      <c r="E26" s="8">
        <f t="shared" si="7"/>
        <v>60.5625</v>
      </c>
      <c r="F26" s="7">
        <v>3452.06</v>
      </c>
      <c r="G26" s="46">
        <f t="shared" si="6"/>
        <v>134.14750000000004</v>
      </c>
      <c r="H26" s="30"/>
      <c r="I26" s="30"/>
      <c r="J26" s="30"/>
      <c r="K26" s="30"/>
      <c r="L26" s="37">
        <f t="shared" si="0"/>
        <v>0</v>
      </c>
      <c r="M26" s="38">
        <f t="shared" si="1"/>
        <v>134.14750000000004</v>
      </c>
      <c r="N26" s="38">
        <f t="shared" si="2"/>
        <v>3583.085</v>
      </c>
      <c r="O26" s="38">
        <f t="shared" si="3"/>
        <v>-191.58750000000009</v>
      </c>
      <c r="P26" s="38">
        <f t="shared" si="4"/>
        <v>-191.58750000000009</v>
      </c>
      <c r="Q26" s="30"/>
      <c r="R26" s="30"/>
      <c r="S26" s="38">
        <f t="shared" si="5"/>
        <v>3254.09265</v>
      </c>
    </row>
    <row r="27" spans="2:19" ht="15.75" thickBot="1" x14ac:dyDescent="0.3">
      <c r="B27" s="4" t="s">
        <v>35</v>
      </c>
      <c r="C27" s="5">
        <v>0</v>
      </c>
      <c r="D27" s="7">
        <v>3257.35</v>
      </c>
      <c r="E27" s="8">
        <f t="shared" si="7"/>
        <v>60.5625</v>
      </c>
      <c r="F27" s="7">
        <v>3452.06</v>
      </c>
      <c r="G27" s="46">
        <f t="shared" si="6"/>
        <v>134.14750000000004</v>
      </c>
      <c r="H27" s="30"/>
      <c r="I27" s="30"/>
      <c r="J27" s="30"/>
      <c r="K27" s="30"/>
      <c r="L27" s="37">
        <f t="shared" si="0"/>
        <v>0</v>
      </c>
      <c r="M27" s="38">
        <f t="shared" si="1"/>
        <v>134.14750000000004</v>
      </c>
      <c r="N27" s="38">
        <f t="shared" si="2"/>
        <v>3583.085</v>
      </c>
      <c r="O27" s="38">
        <f t="shared" si="3"/>
        <v>-191.58750000000009</v>
      </c>
      <c r="P27" s="38">
        <f t="shared" si="4"/>
        <v>-191.58750000000009</v>
      </c>
      <c r="Q27" s="30"/>
      <c r="R27" s="30"/>
      <c r="S27" s="38">
        <f t="shared" si="5"/>
        <v>3254.09265</v>
      </c>
    </row>
    <row r="28" spans="2:19" ht="15.75" thickBot="1" x14ac:dyDescent="0.3">
      <c r="B28" s="4" t="s">
        <v>40</v>
      </c>
      <c r="C28" s="5">
        <v>0</v>
      </c>
      <c r="D28" s="7">
        <v>3257.35</v>
      </c>
      <c r="E28" s="8">
        <f t="shared" si="7"/>
        <v>60.5625</v>
      </c>
      <c r="F28" s="7">
        <v>3452.06</v>
      </c>
      <c r="G28" s="46">
        <f t="shared" si="6"/>
        <v>134.14750000000004</v>
      </c>
      <c r="H28" s="30"/>
      <c r="I28" s="30"/>
      <c r="J28" s="30"/>
      <c r="K28" s="30"/>
      <c r="L28" s="37">
        <f t="shared" si="0"/>
        <v>0</v>
      </c>
      <c r="M28" s="38">
        <f t="shared" si="1"/>
        <v>134.14750000000004</v>
      </c>
      <c r="N28" s="38">
        <f t="shared" si="2"/>
        <v>3583.085</v>
      </c>
      <c r="O28" s="38">
        <f t="shared" si="3"/>
        <v>-191.58750000000009</v>
      </c>
      <c r="P28" s="38">
        <f t="shared" si="4"/>
        <v>-191.58750000000009</v>
      </c>
      <c r="Q28" s="30"/>
      <c r="R28" s="30"/>
      <c r="S28" s="38">
        <f t="shared" si="5"/>
        <v>3254.09265</v>
      </c>
    </row>
    <row r="29" spans="2:19" ht="15.75" thickBot="1" x14ac:dyDescent="0.3">
      <c r="B29" s="4" t="s">
        <v>41</v>
      </c>
      <c r="C29" s="5">
        <v>0</v>
      </c>
      <c r="D29" s="7">
        <v>3257.35</v>
      </c>
      <c r="E29" s="8">
        <f t="shared" si="7"/>
        <v>60.5625</v>
      </c>
      <c r="F29" s="7">
        <v>3452.06</v>
      </c>
      <c r="G29" s="46">
        <f t="shared" si="6"/>
        <v>134.14750000000004</v>
      </c>
      <c r="H29" s="30"/>
      <c r="I29" s="30"/>
      <c r="J29" s="30"/>
      <c r="K29" s="30"/>
      <c r="L29" s="37">
        <f t="shared" si="0"/>
        <v>0</v>
      </c>
      <c r="M29" s="38">
        <f t="shared" si="1"/>
        <v>134.14750000000004</v>
      </c>
      <c r="N29" s="38">
        <f t="shared" si="2"/>
        <v>3583.085</v>
      </c>
      <c r="O29" s="38">
        <f t="shared" si="3"/>
        <v>-191.58750000000009</v>
      </c>
      <c r="P29" s="38">
        <f t="shared" si="4"/>
        <v>-191.58750000000009</v>
      </c>
      <c r="Q29" s="30"/>
      <c r="R29" s="30"/>
      <c r="S29" s="38">
        <f t="shared" si="5"/>
        <v>3254.09265</v>
      </c>
    </row>
    <row r="30" spans="2:19" ht="30.75" thickBot="1" x14ac:dyDescent="0.3">
      <c r="B30" s="4" t="s">
        <v>42</v>
      </c>
      <c r="C30" s="5">
        <v>0</v>
      </c>
      <c r="D30" s="10">
        <v>3257.35</v>
      </c>
      <c r="E30" s="11">
        <f t="shared" si="7"/>
        <v>60.5625</v>
      </c>
      <c r="F30" s="10">
        <v>3686</v>
      </c>
      <c r="G30" s="46">
        <f t="shared" si="6"/>
        <v>368.08750000000009</v>
      </c>
      <c r="H30" s="30"/>
      <c r="I30" s="30"/>
      <c r="J30" s="30"/>
      <c r="K30" s="30"/>
      <c r="L30" s="37">
        <f t="shared" si="0"/>
        <v>0</v>
      </c>
      <c r="M30" s="38">
        <f t="shared" si="1"/>
        <v>368.08750000000009</v>
      </c>
      <c r="N30" s="38">
        <f t="shared" si="2"/>
        <v>3583.085</v>
      </c>
      <c r="O30" s="38">
        <f t="shared" si="3"/>
        <v>42.352499999999964</v>
      </c>
      <c r="P30" s="38">
        <f t="shared" si="4"/>
        <v>42.352499999999964</v>
      </c>
      <c r="Q30" s="30"/>
      <c r="R30" s="30"/>
      <c r="S30" s="38">
        <f t="shared" si="5"/>
        <v>3254.09265</v>
      </c>
    </row>
    <row r="31" spans="2:19" ht="15.75" thickBot="1" x14ac:dyDescent="0.3">
      <c r="B31" s="43" t="s">
        <v>39</v>
      </c>
      <c r="C31" s="44"/>
      <c r="D31" s="45">
        <f>(0.67*12)+(0.33*18)</f>
        <v>13.98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2:19" x14ac:dyDescent="0.25">
      <c r="B32" s="30"/>
      <c r="C32" s="30"/>
      <c r="D32" s="30"/>
      <c r="E32" s="30"/>
      <c r="F32" s="48" t="s">
        <v>37</v>
      </c>
      <c r="G32" s="49">
        <f>NPV(D31/100,G5:G30)+G4</f>
        <v>-27.668872539496164</v>
      </c>
      <c r="H32" s="30"/>
      <c r="I32" s="30"/>
      <c r="J32" s="30"/>
      <c r="K32" s="30"/>
      <c r="L32" s="48" t="s">
        <v>37</v>
      </c>
      <c r="M32" s="49">
        <f>NPV(D31/100,M5:M30)+M4</f>
        <v>-84.082304815348863</v>
      </c>
      <c r="N32" s="48" t="s">
        <v>37</v>
      </c>
      <c r="O32" s="49">
        <f>NPV(D31/100,O5:O30)+O4</f>
        <v>-1477.943901580333</v>
      </c>
      <c r="P32" s="48" t="s">
        <v>37</v>
      </c>
      <c r="Q32" s="49">
        <f>NPV(D31/100,P5:P30)+P4</f>
        <v>-1534.3573338561857</v>
      </c>
      <c r="R32" s="49"/>
      <c r="S32" s="51" t="s">
        <v>37</v>
      </c>
    </row>
    <row r="33" spans="2:19" x14ac:dyDescent="0.25">
      <c r="B33" s="30"/>
      <c r="C33" s="30"/>
      <c r="D33" s="30"/>
      <c r="E33" s="30"/>
      <c r="F33" s="48" t="s">
        <v>38</v>
      </c>
      <c r="G33" s="52" t="s">
        <v>43</v>
      </c>
      <c r="H33" s="30"/>
      <c r="I33" s="30"/>
      <c r="J33" s="30"/>
      <c r="K33" s="30"/>
      <c r="L33" s="48" t="s">
        <v>38</v>
      </c>
      <c r="M33" s="52" t="s">
        <v>43</v>
      </c>
      <c r="N33" s="48" t="s">
        <v>38</v>
      </c>
      <c r="O33" s="52" t="s">
        <v>43</v>
      </c>
      <c r="P33" s="48" t="s">
        <v>38</v>
      </c>
      <c r="Q33" s="52" t="s">
        <v>43</v>
      </c>
      <c r="R33" s="52"/>
      <c r="S33" s="49">
        <f>NPV(D31/100,S4:S30)</f>
        <v>12711.219108719029</v>
      </c>
    </row>
    <row r="34" spans="2:19" x14ac:dyDescent="0.25">
      <c r="B34" s="30"/>
      <c r="C34" s="30"/>
      <c r="D34" s="30"/>
      <c r="E34" s="30"/>
      <c r="F34" s="30"/>
    </row>
    <row r="35" spans="2:19" x14ac:dyDescent="0.25">
      <c r="B35" s="30"/>
      <c r="C35" s="30"/>
      <c r="D35" s="30"/>
      <c r="E35" s="30" t="s">
        <v>65</v>
      </c>
      <c r="F35" s="30"/>
      <c r="G35" s="30"/>
    </row>
    <row r="36" spans="2:19" x14ac:dyDescent="0.25">
      <c r="E36" s="30"/>
      <c r="F36" s="30"/>
    </row>
  </sheetData>
  <mergeCells count="3">
    <mergeCell ref="C2:E2"/>
    <mergeCell ref="M2:N2"/>
    <mergeCell ref="B31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AD3F-970E-4EDF-96D7-96A7FF81E05F}">
  <dimension ref="B1:R32"/>
  <sheetViews>
    <sheetView topLeftCell="A16" workbookViewId="0">
      <selection activeCell="I35" sqref="I35"/>
    </sheetView>
  </sheetViews>
  <sheetFormatPr defaultRowHeight="15" x14ac:dyDescent="0.25"/>
  <cols>
    <col min="4" max="4" width="10.5703125" customWidth="1"/>
    <col min="5" max="6" width="14.28515625" customWidth="1"/>
    <col min="8" max="8" width="9.7109375" style="30" bestFit="1" customWidth="1"/>
    <col min="11" max="11" width="16.42578125" style="30" bestFit="1" customWidth="1"/>
    <col min="12" max="12" width="8.85546875" style="30" bestFit="1" customWidth="1"/>
    <col min="13" max="13" width="19" style="30" bestFit="1" customWidth="1"/>
    <col min="14" max="14" width="8.85546875" style="30" bestFit="1" customWidth="1"/>
    <col min="15" max="15" width="14.85546875" style="30" bestFit="1" customWidth="1"/>
    <col min="17" max="17" width="6.7109375" customWidth="1"/>
    <col min="18" max="18" width="19" style="30" bestFit="1" customWidth="1"/>
  </cols>
  <sheetData>
    <row r="1" spans="2:18" ht="15.75" thickBot="1" x14ac:dyDescent="0.3">
      <c r="M1" s="53" t="s">
        <v>57</v>
      </c>
    </row>
    <row r="2" spans="2:18" ht="30.75" customHeight="1" thickBot="1" x14ac:dyDescent="0.3">
      <c r="B2" s="3" t="s">
        <v>2</v>
      </c>
      <c r="C2" s="3" t="s">
        <v>3</v>
      </c>
      <c r="D2" s="3" t="s">
        <v>4</v>
      </c>
      <c r="E2" s="3" t="s">
        <v>44</v>
      </c>
      <c r="F2" s="3" t="s">
        <v>45</v>
      </c>
      <c r="G2" s="3" t="s">
        <v>6</v>
      </c>
      <c r="H2" s="31" t="s">
        <v>7</v>
      </c>
      <c r="K2" s="35" t="s">
        <v>8</v>
      </c>
      <c r="L2" s="36" t="s">
        <v>9</v>
      </c>
      <c r="M2" s="35" t="s">
        <v>10</v>
      </c>
      <c r="N2" s="36" t="s">
        <v>9</v>
      </c>
      <c r="O2" s="35" t="s">
        <v>56</v>
      </c>
      <c r="R2" s="35" t="s">
        <v>55</v>
      </c>
    </row>
    <row r="3" spans="2:18" ht="15.75" thickBot="1" x14ac:dyDescent="0.3">
      <c r="B3" s="4" t="s">
        <v>12</v>
      </c>
      <c r="C3" s="7">
        <v>353.6</v>
      </c>
      <c r="D3" s="7">
        <v>0</v>
      </c>
      <c r="E3" s="7">
        <v>17.5</v>
      </c>
      <c r="F3" s="7">
        <v>0</v>
      </c>
      <c r="G3" s="7">
        <v>0</v>
      </c>
      <c r="H3" s="46">
        <f t="shared" ref="H3:H29" si="0">G3-D3-C3-E3-F3</f>
        <v>-371.1</v>
      </c>
      <c r="K3" s="37">
        <f>1.1*C3</f>
        <v>388.96000000000004</v>
      </c>
      <c r="L3" s="38">
        <f>G3-E3-D3-K3-F3</f>
        <v>-406.46000000000004</v>
      </c>
      <c r="M3" s="37">
        <f>D3*1.1</f>
        <v>0</v>
      </c>
      <c r="N3" s="37">
        <f>G3-E3-C3-M3-F3</f>
        <v>-371.1</v>
      </c>
      <c r="O3" s="37">
        <f>G3-E3-M3-K3-F3</f>
        <v>-406.46000000000004</v>
      </c>
      <c r="R3" s="37">
        <f>0.999*D3</f>
        <v>0</v>
      </c>
    </row>
    <row r="4" spans="2:18" ht="15.75" thickBot="1" x14ac:dyDescent="0.3">
      <c r="B4" s="4" t="s">
        <v>13</v>
      </c>
      <c r="C4" s="7">
        <v>1059.7</v>
      </c>
      <c r="D4" s="7">
        <v>29.5</v>
      </c>
      <c r="E4" s="7">
        <v>0</v>
      </c>
      <c r="F4" s="7">
        <f>200*3*3000/100000</f>
        <v>18</v>
      </c>
      <c r="G4" s="7">
        <v>0</v>
      </c>
      <c r="H4" s="46">
        <f t="shared" si="0"/>
        <v>-1107.2</v>
      </c>
      <c r="K4" s="37">
        <f>1.1*C4</f>
        <v>1165.67</v>
      </c>
      <c r="L4" s="38">
        <f>G4-E4-D4-K4-F4</f>
        <v>-1213.17</v>
      </c>
      <c r="M4" s="37">
        <f>D4*1.1</f>
        <v>32.450000000000003</v>
      </c>
      <c r="N4" s="37">
        <f>G4-E4-C4-M4-F4</f>
        <v>-1110.1500000000001</v>
      </c>
      <c r="O4" s="37">
        <f>G4-E4-M4-K4-F4</f>
        <v>-1216.1200000000001</v>
      </c>
      <c r="R4" s="37">
        <f>0.999*D4</f>
        <v>29.470500000000001</v>
      </c>
    </row>
    <row r="5" spans="2:18" ht="15.75" thickBot="1" x14ac:dyDescent="0.3">
      <c r="B5" s="4" t="s">
        <v>14</v>
      </c>
      <c r="C5" s="7">
        <v>1322.2</v>
      </c>
      <c r="D5" s="7">
        <v>153.30000000000001</v>
      </c>
      <c r="E5" s="7">
        <v>0</v>
      </c>
      <c r="F5" s="7">
        <f>300*3*3000/100000</f>
        <v>27</v>
      </c>
      <c r="G5" s="7">
        <v>220.5</v>
      </c>
      <c r="H5" s="46">
        <f t="shared" si="0"/>
        <v>-1282</v>
      </c>
      <c r="K5" s="37">
        <f>1.1*C5</f>
        <v>1454.42</v>
      </c>
      <c r="L5" s="38">
        <f>G5-E5-D5-K5-F5</f>
        <v>-1414.22</v>
      </c>
      <c r="M5" s="37">
        <f>D5*1.1</f>
        <v>168.63000000000002</v>
      </c>
      <c r="N5" s="37">
        <f>G5-E5-C5-M5-F5</f>
        <v>-1297.3300000000002</v>
      </c>
      <c r="O5" s="37">
        <f>G5-E5-M5-K5-F5</f>
        <v>-1429.5500000000002</v>
      </c>
      <c r="R5" s="37">
        <f>0.999*D5</f>
        <v>153.14670000000001</v>
      </c>
    </row>
    <row r="6" spans="2:18" ht="15.75" thickBot="1" x14ac:dyDescent="0.3">
      <c r="B6" s="4" t="s">
        <v>15</v>
      </c>
      <c r="C6" s="7">
        <v>1322.2</v>
      </c>
      <c r="D6" s="7">
        <v>314</v>
      </c>
      <c r="E6" s="7">
        <v>0</v>
      </c>
      <c r="F6" s="7">
        <f t="shared" ref="F6:F7" si="1">300*3*3000/100000</f>
        <v>27</v>
      </c>
      <c r="G6" s="7">
        <v>551.29999999999995</v>
      </c>
      <c r="H6" s="46">
        <f t="shared" si="0"/>
        <v>-1111.9000000000001</v>
      </c>
      <c r="K6" s="37">
        <f>1.1*C6</f>
        <v>1454.42</v>
      </c>
      <c r="L6" s="38">
        <f>G6-E6-D6-K6-F6</f>
        <v>-1244.1200000000001</v>
      </c>
      <c r="M6" s="37">
        <f>D6*1.1</f>
        <v>345.40000000000003</v>
      </c>
      <c r="N6" s="37">
        <f>G6-E6-C6-M6-F6</f>
        <v>-1143.3000000000002</v>
      </c>
      <c r="O6" s="37">
        <f>G6-E6-M6-K6-F6</f>
        <v>-1275.5200000000002</v>
      </c>
      <c r="R6" s="37">
        <f>0.999*D6</f>
        <v>313.68599999999998</v>
      </c>
    </row>
    <row r="7" spans="2:18" ht="15.75" thickBot="1" x14ac:dyDescent="0.3">
      <c r="B7" s="4" t="s">
        <v>16</v>
      </c>
      <c r="C7" s="7">
        <v>1533.2</v>
      </c>
      <c r="D7" s="7">
        <v>461.7</v>
      </c>
      <c r="E7" s="7">
        <v>0</v>
      </c>
      <c r="F7" s="7">
        <f t="shared" si="1"/>
        <v>27</v>
      </c>
      <c r="G7" s="7">
        <v>882</v>
      </c>
      <c r="H7" s="46">
        <f t="shared" si="0"/>
        <v>-1139.9000000000001</v>
      </c>
      <c r="K7" s="37">
        <f>1.1*C7</f>
        <v>1686.5200000000002</v>
      </c>
      <c r="L7" s="38">
        <f>G7-E7-D7-K7-F7</f>
        <v>-1293.2200000000003</v>
      </c>
      <c r="M7" s="37">
        <f>D7*1.1</f>
        <v>507.87</v>
      </c>
      <c r="N7" s="37">
        <f>G7-E7-C7-M7-F7</f>
        <v>-1186.0700000000002</v>
      </c>
      <c r="O7" s="37">
        <f>G7-E7-M7-K7-F7</f>
        <v>-1339.3900000000003</v>
      </c>
      <c r="R7" s="37">
        <f>0.999*D7</f>
        <v>461.23829999999998</v>
      </c>
    </row>
    <row r="8" spans="2:18" ht="15.75" thickBot="1" x14ac:dyDescent="0.3">
      <c r="B8" s="4" t="s">
        <v>17</v>
      </c>
      <c r="C8" s="7">
        <v>1109.9000000000001</v>
      </c>
      <c r="D8" s="7">
        <v>616.79999999999995</v>
      </c>
      <c r="E8" s="7">
        <v>0</v>
      </c>
      <c r="F8" s="7">
        <f>400*3*3000/100000</f>
        <v>36</v>
      </c>
      <c r="G8" s="7">
        <v>1212.8</v>
      </c>
      <c r="H8" s="46">
        <f t="shared" si="0"/>
        <v>-549.90000000000009</v>
      </c>
      <c r="K8" s="37">
        <f>1.1*C8</f>
        <v>1220.8900000000001</v>
      </c>
      <c r="L8" s="38">
        <f>G8-E8-D8-K8-F8</f>
        <v>-660.8900000000001</v>
      </c>
      <c r="M8" s="37">
        <f>D8*1.1</f>
        <v>678.48</v>
      </c>
      <c r="N8" s="37">
        <f>G8-E8-C8-M8-F8</f>
        <v>-611.58000000000015</v>
      </c>
      <c r="O8" s="37">
        <f>G8-E8-M8-K8-F8</f>
        <v>-722.57000000000016</v>
      </c>
      <c r="R8" s="37">
        <f>0.999*D8</f>
        <v>616.18319999999994</v>
      </c>
    </row>
    <row r="9" spans="2:18" ht="15.75" thickBot="1" x14ac:dyDescent="0.3">
      <c r="B9" s="4" t="s">
        <v>18</v>
      </c>
      <c r="C9" s="7">
        <v>0</v>
      </c>
      <c r="D9" s="7">
        <v>803.7</v>
      </c>
      <c r="E9" s="7">
        <v>0</v>
      </c>
      <c r="F9" s="7">
        <v>0</v>
      </c>
      <c r="G9" s="7">
        <v>1653.8</v>
      </c>
      <c r="H9" s="46">
        <f t="shared" si="0"/>
        <v>850.09999999999991</v>
      </c>
      <c r="K9" s="37">
        <f>1.1*C9</f>
        <v>0</v>
      </c>
      <c r="L9" s="38">
        <f>G9-E9-D9-K9-F9</f>
        <v>850.09999999999991</v>
      </c>
      <c r="M9" s="37">
        <f>D9*1.1</f>
        <v>884.07000000000016</v>
      </c>
      <c r="N9" s="37">
        <f>G9-E9-C9-M9-F9</f>
        <v>769.72999999999979</v>
      </c>
      <c r="O9" s="37">
        <f>G9-E9-M9-K9-F9</f>
        <v>769.72999999999979</v>
      </c>
      <c r="R9" s="37">
        <f>0.999*D9</f>
        <v>802.8963</v>
      </c>
    </row>
    <row r="10" spans="2:18" ht="15.75" thickBot="1" x14ac:dyDescent="0.3">
      <c r="B10" s="4" t="s">
        <v>19</v>
      </c>
      <c r="C10" s="5">
        <v>0</v>
      </c>
      <c r="D10" s="7">
        <v>767.7</v>
      </c>
      <c r="E10" s="7">
        <v>0</v>
      </c>
      <c r="F10" s="7">
        <v>0</v>
      </c>
      <c r="G10" s="7">
        <v>1653.8</v>
      </c>
      <c r="H10" s="46">
        <f t="shared" si="0"/>
        <v>886.09999999999991</v>
      </c>
      <c r="K10" s="37">
        <f>1.1*C10</f>
        <v>0</v>
      </c>
      <c r="L10" s="38">
        <f>G10-E10-D10-K10-F10</f>
        <v>886.09999999999991</v>
      </c>
      <c r="M10" s="37">
        <f>D10*1.1</f>
        <v>844.47000000000014</v>
      </c>
      <c r="N10" s="37">
        <f>G10-E10-C10-M10-F10</f>
        <v>809.32999999999981</v>
      </c>
      <c r="O10" s="37">
        <f>G10-E10-M10-K10-F10</f>
        <v>809.32999999999981</v>
      </c>
      <c r="R10" s="37">
        <f>0.999*D10</f>
        <v>766.93230000000005</v>
      </c>
    </row>
    <row r="11" spans="2:18" ht="15.75" thickBot="1" x14ac:dyDescent="0.3">
      <c r="B11" s="4" t="s">
        <v>20</v>
      </c>
      <c r="C11" s="5">
        <v>0</v>
      </c>
      <c r="D11" s="7">
        <v>767.7</v>
      </c>
      <c r="E11" s="7">
        <v>0</v>
      </c>
      <c r="F11" s="7">
        <v>0</v>
      </c>
      <c r="G11" s="7">
        <v>1653.8</v>
      </c>
      <c r="H11" s="46">
        <f t="shared" si="0"/>
        <v>886.09999999999991</v>
      </c>
      <c r="K11" s="37">
        <f>1.1*C11</f>
        <v>0</v>
      </c>
      <c r="L11" s="38">
        <f>G11-E11-D11-K11-F11</f>
        <v>886.09999999999991</v>
      </c>
      <c r="M11" s="37">
        <f>D11*1.1</f>
        <v>844.47000000000014</v>
      </c>
      <c r="N11" s="37">
        <f>G11-E11-C11-M11-F11</f>
        <v>809.32999999999981</v>
      </c>
      <c r="O11" s="37">
        <f>G11-E11-M11-K11-F11</f>
        <v>809.32999999999981</v>
      </c>
      <c r="R11" s="37">
        <f>0.999*D11</f>
        <v>766.93230000000005</v>
      </c>
    </row>
    <row r="12" spans="2:18" ht="15.75" thickBot="1" x14ac:dyDescent="0.3">
      <c r="B12" s="4" t="s">
        <v>21</v>
      </c>
      <c r="C12" s="5">
        <v>0</v>
      </c>
      <c r="D12" s="7">
        <v>767.7</v>
      </c>
      <c r="E12" s="7">
        <v>0</v>
      </c>
      <c r="F12" s="7">
        <v>0</v>
      </c>
      <c r="G12" s="7">
        <v>1653.8</v>
      </c>
      <c r="H12" s="46">
        <f t="shared" si="0"/>
        <v>886.09999999999991</v>
      </c>
      <c r="K12" s="37">
        <f>1.1*C12</f>
        <v>0</v>
      </c>
      <c r="L12" s="38">
        <f>G12-E12-D12-K12-F12</f>
        <v>886.09999999999991</v>
      </c>
      <c r="M12" s="37">
        <f>D12*1.1</f>
        <v>844.47000000000014</v>
      </c>
      <c r="N12" s="37">
        <f>G12-E12-C12-M12-F12</f>
        <v>809.32999999999981</v>
      </c>
      <c r="O12" s="37">
        <f>G12-E12-M12-K12-F12</f>
        <v>809.32999999999981</v>
      </c>
      <c r="R12" s="37">
        <f>0.999*D12</f>
        <v>766.93230000000005</v>
      </c>
    </row>
    <row r="13" spans="2:18" ht="15.75" thickBot="1" x14ac:dyDescent="0.3">
      <c r="B13" s="4" t="s">
        <v>22</v>
      </c>
      <c r="C13" s="5">
        <v>0</v>
      </c>
      <c r="D13" s="7">
        <v>767.7</v>
      </c>
      <c r="E13" s="7">
        <v>0</v>
      </c>
      <c r="F13" s="7">
        <v>0</v>
      </c>
      <c r="G13" s="7">
        <v>1653.8</v>
      </c>
      <c r="H13" s="46">
        <f t="shared" si="0"/>
        <v>886.09999999999991</v>
      </c>
      <c r="K13" s="37">
        <f>1.1*C13</f>
        <v>0</v>
      </c>
      <c r="L13" s="38">
        <f>G13-E13-D13-K13-F13</f>
        <v>886.09999999999991</v>
      </c>
      <c r="M13" s="37">
        <f>D13*1.1</f>
        <v>844.47000000000014</v>
      </c>
      <c r="N13" s="37">
        <f>G13-E13-C13-M13-F13</f>
        <v>809.32999999999981</v>
      </c>
      <c r="O13" s="37">
        <f>G13-E13-M13-K13-F13</f>
        <v>809.32999999999981</v>
      </c>
      <c r="R13" s="37">
        <f>0.999*D13</f>
        <v>766.93230000000005</v>
      </c>
    </row>
    <row r="14" spans="2:18" ht="15.75" thickBot="1" x14ac:dyDescent="0.3">
      <c r="B14" s="4" t="s">
        <v>23</v>
      </c>
      <c r="C14" s="5">
        <v>0</v>
      </c>
      <c r="D14" s="7">
        <v>767.7</v>
      </c>
      <c r="E14" s="7">
        <v>0</v>
      </c>
      <c r="F14" s="7">
        <v>0</v>
      </c>
      <c r="G14" s="7">
        <v>1653.8</v>
      </c>
      <c r="H14" s="46">
        <f t="shared" si="0"/>
        <v>886.09999999999991</v>
      </c>
      <c r="K14" s="37">
        <f>1.1*C14</f>
        <v>0</v>
      </c>
      <c r="L14" s="38">
        <f>G14-E14-D14-K14-F14</f>
        <v>886.09999999999991</v>
      </c>
      <c r="M14" s="37">
        <f>D14*1.1</f>
        <v>844.47000000000014</v>
      </c>
      <c r="N14" s="37">
        <f>G14-E14-C14-M14-F14</f>
        <v>809.32999999999981</v>
      </c>
      <c r="O14" s="37">
        <f>G14-E14-M14-K14-F14</f>
        <v>809.32999999999981</v>
      </c>
      <c r="R14" s="37">
        <f>0.999*D14</f>
        <v>766.93230000000005</v>
      </c>
    </row>
    <row r="15" spans="2:18" ht="15.75" thickBot="1" x14ac:dyDescent="0.3">
      <c r="B15" s="4" t="s">
        <v>24</v>
      </c>
      <c r="C15" s="5">
        <v>0</v>
      </c>
      <c r="D15" s="7">
        <v>767.7</v>
      </c>
      <c r="E15" s="7">
        <v>0</v>
      </c>
      <c r="F15" s="7">
        <v>0</v>
      </c>
      <c r="G15" s="7">
        <v>1653.8</v>
      </c>
      <c r="H15" s="46">
        <f t="shared" si="0"/>
        <v>886.09999999999991</v>
      </c>
      <c r="K15" s="37">
        <f>1.1*C15</f>
        <v>0</v>
      </c>
      <c r="L15" s="38">
        <f>G15-E15-D15-K15-F15</f>
        <v>886.09999999999991</v>
      </c>
      <c r="M15" s="37">
        <f>D15*1.1</f>
        <v>844.47000000000014</v>
      </c>
      <c r="N15" s="37">
        <f>G15-E15-C15-M15-F15</f>
        <v>809.32999999999981</v>
      </c>
      <c r="O15" s="37">
        <f>G15-E15-M15-K15-F15</f>
        <v>809.32999999999981</v>
      </c>
      <c r="R15" s="37">
        <f>0.999*D15</f>
        <v>766.93230000000005</v>
      </c>
    </row>
    <row r="16" spans="2:18" ht="15.75" thickBot="1" x14ac:dyDescent="0.3">
      <c r="B16" s="4" t="s">
        <v>25</v>
      </c>
      <c r="C16" s="5">
        <v>0</v>
      </c>
      <c r="D16" s="7">
        <v>767.7</v>
      </c>
      <c r="E16" s="7">
        <v>0</v>
      </c>
      <c r="F16" s="7">
        <v>0</v>
      </c>
      <c r="G16" s="7">
        <v>1653.8</v>
      </c>
      <c r="H16" s="46">
        <f t="shared" si="0"/>
        <v>886.09999999999991</v>
      </c>
      <c r="K16" s="37">
        <f>1.1*C16</f>
        <v>0</v>
      </c>
      <c r="L16" s="38">
        <f>G16-E16-D16-K16-F16</f>
        <v>886.09999999999991</v>
      </c>
      <c r="M16" s="37">
        <f>D16*1.1</f>
        <v>844.47000000000014</v>
      </c>
      <c r="N16" s="37">
        <f>G16-E16-C16-M16-F16</f>
        <v>809.32999999999981</v>
      </c>
      <c r="O16" s="37">
        <f>G16-E16-M16-K16-F16</f>
        <v>809.32999999999981</v>
      </c>
      <c r="R16" s="37">
        <f>0.999*D16</f>
        <v>766.93230000000005</v>
      </c>
    </row>
    <row r="17" spans="2:18" ht="15.75" thickBot="1" x14ac:dyDescent="0.3">
      <c r="B17" s="4" t="s">
        <v>26</v>
      </c>
      <c r="C17" s="5">
        <v>0</v>
      </c>
      <c r="D17" s="7">
        <v>767.7</v>
      </c>
      <c r="E17" s="7">
        <v>0</v>
      </c>
      <c r="F17" s="7">
        <v>0</v>
      </c>
      <c r="G17" s="7">
        <v>1653.8</v>
      </c>
      <c r="H17" s="46">
        <f t="shared" si="0"/>
        <v>886.09999999999991</v>
      </c>
      <c r="K17" s="37">
        <f>1.1*C17</f>
        <v>0</v>
      </c>
      <c r="L17" s="38">
        <f>G17-E17-D17-K17-F17</f>
        <v>886.09999999999991</v>
      </c>
      <c r="M17" s="37">
        <f>D17*1.1</f>
        <v>844.47000000000014</v>
      </c>
      <c r="N17" s="37">
        <f>G17-E17-C17-M17-F17</f>
        <v>809.32999999999981</v>
      </c>
      <c r="O17" s="37">
        <f>G17-E17-M17-K17-F17</f>
        <v>809.32999999999981</v>
      </c>
      <c r="R17" s="37">
        <f>0.999*D17</f>
        <v>766.93230000000005</v>
      </c>
    </row>
    <row r="18" spans="2:18" ht="15.75" thickBot="1" x14ac:dyDescent="0.3">
      <c r="B18" s="4" t="s">
        <v>27</v>
      </c>
      <c r="C18" s="7">
        <v>48.7</v>
      </c>
      <c r="D18" s="7">
        <v>767.7</v>
      </c>
      <c r="E18" s="7">
        <v>0</v>
      </c>
      <c r="F18" s="7">
        <v>0</v>
      </c>
      <c r="G18" s="7">
        <v>1653.8</v>
      </c>
      <c r="H18" s="46">
        <f t="shared" si="0"/>
        <v>837.39999999999986</v>
      </c>
      <c r="K18" s="37">
        <f>1.1*C18</f>
        <v>53.570000000000007</v>
      </c>
      <c r="L18" s="38">
        <f>G18-E18-D18-K18-F18</f>
        <v>832.52999999999986</v>
      </c>
      <c r="M18" s="37">
        <f>D18*1.1</f>
        <v>844.47000000000014</v>
      </c>
      <c r="N18" s="37">
        <f>G18-E18-C18-M18-F18</f>
        <v>760.62999999999977</v>
      </c>
      <c r="O18" s="37">
        <f>G18-E18-M18-K18-F18</f>
        <v>755.75999999999976</v>
      </c>
      <c r="R18" s="37">
        <f>0.999*D18</f>
        <v>766.93230000000005</v>
      </c>
    </row>
    <row r="19" spans="2:18" ht="15.75" thickBot="1" x14ac:dyDescent="0.3">
      <c r="B19" s="4" t="s">
        <v>28</v>
      </c>
      <c r="C19" s="7">
        <v>73.099999999999994</v>
      </c>
      <c r="D19" s="7">
        <v>767.7</v>
      </c>
      <c r="E19" s="7">
        <v>0</v>
      </c>
      <c r="F19" s="7">
        <v>0</v>
      </c>
      <c r="G19" s="7">
        <v>1653.8</v>
      </c>
      <c r="H19" s="46">
        <f t="shared" si="0"/>
        <v>812.99999999999989</v>
      </c>
      <c r="K19" s="37">
        <f>1.1*C19</f>
        <v>80.41</v>
      </c>
      <c r="L19" s="38">
        <f>G19-E19-D19-K19-F19</f>
        <v>805.68999999999994</v>
      </c>
      <c r="M19" s="37">
        <f>D19*1.1</f>
        <v>844.47000000000014</v>
      </c>
      <c r="N19" s="37">
        <f>G19-E19-C19-M19-F19</f>
        <v>736.2299999999999</v>
      </c>
      <c r="O19" s="37">
        <f>G19-E19-M19-K19-F19</f>
        <v>728.91999999999985</v>
      </c>
      <c r="R19" s="37">
        <f>0.999*D19</f>
        <v>766.93230000000005</v>
      </c>
    </row>
    <row r="20" spans="2:18" ht="15.75" thickBot="1" x14ac:dyDescent="0.3">
      <c r="B20" s="4" t="s">
        <v>29</v>
      </c>
      <c r="C20" s="7">
        <v>73.099999999999994</v>
      </c>
      <c r="D20" s="7">
        <v>767.7</v>
      </c>
      <c r="E20" s="7">
        <v>0</v>
      </c>
      <c r="F20" s="7">
        <v>0</v>
      </c>
      <c r="G20" s="7">
        <v>1653.8</v>
      </c>
      <c r="H20" s="46">
        <f t="shared" si="0"/>
        <v>812.99999999999989</v>
      </c>
      <c r="K20" s="37">
        <f>1.1*C20</f>
        <v>80.41</v>
      </c>
      <c r="L20" s="38">
        <f>G20-E20-D20-K20-F20</f>
        <v>805.68999999999994</v>
      </c>
      <c r="M20" s="37">
        <f>D20*1.1</f>
        <v>844.47000000000014</v>
      </c>
      <c r="N20" s="37">
        <f>G20-E20-C20-M20-F20</f>
        <v>736.2299999999999</v>
      </c>
      <c r="O20" s="37">
        <f>G20-E20-M20-K20-F20</f>
        <v>728.91999999999985</v>
      </c>
      <c r="R20" s="37">
        <f>0.999*D20</f>
        <v>766.93230000000005</v>
      </c>
    </row>
    <row r="21" spans="2:18" ht="15.75" thickBot="1" x14ac:dyDescent="0.3">
      <c r="B21" s="4" t="s">
        <v>30</v>
      </c>
      <c r="C21" s="7">
        <v>73.099999999999994</v>
      </c>
      <c r="D21" s="7">
        <v>767.7</v>
      </c>
      <c r="E21" s="7">
        <v>0</v>
      </c>
      <c r="F21" s="7">
        <v>0</v>
      </c>
      <c r="G21" s="7">
        <v>1653.8</v>
      </c>
      <c r="H21" s="46">
        <f t="shared" si="0"/>
        <v>812.99999999999989</v>
      </c>
      <c r="K21" s="37">
        <f>1.1*C21</f>
        <v>80.41</v>
      </c>
      <c r="L21" s="38">
        <f>G21-E21-D21-K21-F21</f>
        <v>805.68999999999994</v>
      </c>
      <c r="M21" s="37">
        <f>D21*1.1</f>
        <v>844.47000000000014</v>
      </c>
      <c r="N21" s="37">
        <f>G21-E21-C21-M21-F21</f>
        <v>736.2299999999999</v>
      </c>
      <c r="O21" s="37">
        <f>G21-E21-M21-K21-F21</f>
        <v>728.91999999999985</v>
      </c>
      <c r="R21" s="37">
        <f>0.999*D21</f>
        <v>766.93230000000005</v>
      </c>
    </row>
    <row r="22" spans="2:18" ht="15.75" thickBot="1" x14ac:dyDescent="0.3">
      <c r="B22" s="4" t="s">
        <v>31</v>
      </c>
      <c r="C22" s="7">
        <v>98.9</v>
      </c>
      <c r="D22" s="7">
        <v>767.7</v>
      </c>
      <c r="E22" s="7">
        <v>0</v>
      </c>
      <c r="F22" s="7">
        <v>0</v>
      </c>
      <c r="G22" s="7">
        <v>1653.8</v>
      </c>
      <c r="H22" s="46">
        <f t="shared" si="0"/>
        <v>787.19999999999993</v>
      </c>
      <c r="K22" s="37">
        <f>1.1*C22</f>
        <v>108.79000000000002</v>
      </c>
      <c r="L22" s="38">
        <f>G22-E22-D22-K22-F22</f>
        <v>777.31</v>
      </c>
      <c r="M22" s="37">
        <f>D22*1.1</f>
        <v>844.47000000000014</v>
      </c>
      <c r="N22" s="37">
        <f>G22-E22-C22-M22-F22</f>
        <v>710.42999999999972</v>
      </c>
      <c r="O22" s="37">
        <f>G22-E22-M22-K22-F22</f>
        <v>700.53999999999974</v>
      </c>
      <c r="R22" s="37">
        <f>0.999*D22</f>
        <v>766.93230000000005</v>
      </c>
    </row>
    <row r="23" spans="2:18" ht="15.75" thickBot="1" x14ac:dyDescent="0.3">
      <c r="B23" s="4" t="s">
        <v>32</v>
      </c>
      <c r="C23" s="5">
        <v>0</v>
      </c>
      <c r="D23" s="7">
        <v>767.7</v>
      </c>
      <c r="E23" s="7">
        <v>0</v>
      </c>
      <c r="F23" s="7">
        <v>0</v>
      </c>
      <c r="G23" s="7">
        <v>1653.8</v>
      </c>
      <c r="H23" s="46">
        <f t="shared" si="0"/>
        <v>886.09999999999991</v>
      </c>
      <c r="K23" s="37">
        <f>1.1*C23</f>
        <v>0</v>
      </c>
      <c r="L23" s="38">
        <f>G23-E23-D23-K23-F23</f>
        <v>886.09999999999991</v>
      </c>
      <c r="M23" s="37">
        <f>D23*1.1</f>
        <v>844.47000000000014</v>
      </c>
      <c r="N23" s="37">
        <f>G23-E23-C23-M23-F23</f>
        <v>809.32999999999981</v>
      </c>
      <c r="O23" s="37">
        <f>G23-E23-M23-K23-F23</f>
        <v>809.32999999999981</v>
      </c>
      <c r="R23" s="37">
        <f>0.999*D23</f>
        <v>766.93230000000005</v>
      </c>
    </row>
    <row r="24" spans="2:18" ht="15.75" thickBot="1" x14ac:dyDescent="0.3">
      <c r="B24" s="4" t="s">
        <v>33</v>
      </c>
      <c r="C24" s="5">
        <v>0</v>
      </c>
      <c r="D24" s="7">
        <v>767.7</v>
      </c>
      <c r="E24" s="7">
        <v>0</v>
      </c>
      <c r="F24" s="7">
        <v>0</v>
      </c>
      <c r="G24" s="7">
        <v>1653.8</v>
      </c>
      <c r="H24" s="46">
        <f t="shared" si="0"/>
        <v>886.09999999999991</v>
      </c>
      <c r="K24" s="37">
        <f>1.1*C24</f>
        <v>0</v>
      </c>
      <c r="L24" s="38">
        <f>G24-E24-D24-K24-F24</f>
        <v>886.09999999999991</v>
      </c>
      <c r="M24" s="37">
        <f>D24*1.1</f>
        <v>844.47000000000014</v>
      </c>
      <c r="N24" s="37">
        <f>G24-E24-C24-M24-F24</f>
        <v>809.32999999999981</v>
      </c>
      <c r="O24" s="37">
        <f>G24-E24-M24-K24-F24</f>
        <v>809.32999999999981</v>
      </c>
      <c r="R24" s="37">
        <f>0.999*D24</f>
        <v>766.93230000000005</v>
      </c>
    </row>
    <row r="25" spans="2:18" ht="15.75" thickBot="1" x14ac:dyDescent="0.3">
      <c r="B25" s="4" t="s">
        <v>34</v>
      </c>
      <c r="C25" s="5">
        <v>0</v>
      </c>
      <c r="D25" s="7">
        <v>767.7</v>
      </c>
      <c r="E25" s="7">
        <v>0</v>
      </c>
      <c r="F25" s="7">
        <v>0</v>
      </c>
      <c r="G25" s="7">
        <v>1653.8</v>
      </c>
      <c r="H25" s="46">
        <f t="shared" si="0"/>
        <v>886.09999999999991</v>
      </c>
      <c r="K25" s="37">
        <f>1.1*C25</f>
        <v>0</v>
      </c>
      <c r="L25" s="38">
        <f>G25-E25-D25-K25-F25</f>
        <v>886.09999999999991</v>
      </c>
      <c r="M25" s="37">
        <f>D25*1.1</f>
        <v>844.47000000000014</v>
      </c>
      <c r="N25" s="37">
        <f>G25-E25-C25-M25-F25</f>
        <v>809.32999999999981</v>
      </c>
      <c r="O25" s="37">
        <f>G25-E25-M25-K25-F25</f>
        <v>809.32999999999981</v>
      </c>
      <c r="R25" s="37">
        <f>0.999*D25</f>
        <v>766.93230000000005</v>
      </c>
    </row>
    <row r="26" spans="2:18" ht="15.75" thickBot="1" x14ac:dyDescent="0.3">
      <c r="B26" s="4" t="s">
        <v>35</v>
      </c>
      <c r="C26" s="5">
        <v>0</v>
      </c>
      <c r="D26" s="7">
        <v>767.7</v>
      </c>
      <c r="E26" s="7">
        <v>0</v>
      </c>
      <c r="F26" s="7">
        <v>0</v>
      </c>
      <c r="G26" s="7">
        <v>1653.8</v>
      </c>
      <c r="H26" s="46">
        <f t="shared" si="0"/>
        <v>886.09999999999991</v>
      </c>
      <c r="K26" s="37">
        <f>1.1*C26</f>
        <v>0</v>
      </c>
      <c r="L26" s="38">
        <f>G26-E26-D26-K26-F26</f>
        <v>886.09999999999991</v>
      </c>
      <c r="M26" s="37">
        <f>D26*1.1</f>
        <v>844.47000000000014</v>
      </c>
      <c r="N26" s="37">
        <f>G26-E26-C26-M26-F26</f>
        <v>809.32999999999981</v>
      </c>
      <c r="O26" s="37">
        <f>G26-E26-M26-K26-F26</f>
        <v>809.32999999999981</v>
      </c>
      <c r="R26" s="37">
        <f>0.999*D26</f>
        <v>766.93230000000005</v>
      </c>
    </row>
    <row r="27" spans="2:18" ht="15.75" thickBot="1" x14ac:dyDescent="0.3">
      <c r="B27" s="4" t="s">
        <v>40</v>
      </c>
      <c r="C27" s="5">
        <v>0</v>
      </c>
      <c r="D27" s="7">
        <v>767.7</v>
      </c>
      <c r="E27" s="7">
        <v>0</v>
      </c>
      <c r="F27" s="7">
        <v>0</v>
      </c>
      <c r="G27" s="7">
        <v>1653.8</v>
      </c>
      <c r="H27" s="46">
        <f t="shared" si="0"/>
        <v>886.09999999999991</v>
      </c>
      <c r="K27" s="37">
        <f>1.1*C27</f>
        <v>0</v>
      </c>
      <c r="L27" s="38">
        <f>G27-E27-D27-K27-F27</f>
        <v>886.09999999999991</v>
      </c>
      <c r="M27" s="37">
        <f>D27*1.1</f>
        <v>844.47000000000014</v>
      </c>
      <c r="N27" s="37">
        <f>G27-E27-C27-M27-F27</f>
        <v>809.32999999999981</v>
      </c>
      <c r="O27" s="37">
        <f>G27-E27-M27-K27-F27</f>
        <v>809.32999999999981</v>
      </c>
      <c r="R27" s="37">
        <f>0.999*D27</f>
        <v>766.93230000000005</v>
      </c>
    </row>
    <row r="28" spans="2:18" ht="15.75" thickBot="1" x14ac:dyDescent="0.3">
      <c r="B28" s="4" t="s">
        <v>41</v>
      </c>
      <c r="C28" s="5">
        <v>0</v>
      </c>
      <c r="D28" s="7">
        <v>767.7</v>
      </c>
      <c r="E28" s="7">
        <v>0</v>
      </c>
      <c r="F28" s="7">
        <v>0</v>
      </c>
      <c r="G28" s="7">
        <v>1653.8</v>
      </c>
      <c r="H28" s="46">
        <f t="shared" si="0"/>
        <v>886.09999999999991</v>
      </c>
      <c r="K28" s="37">
        <f>1.1*C28</f>
        <v>0</v>
      </c>
      <c r="L28" s="38">
        <f>G28-E28-D28-K28-F28</f>
        <v>886.09999999999991</v>
      </c>
      <c r="M28" s="37">
        <f>D28*1.1</f>
        <v>844.47000000000014</v>
      </c>
      <c r="N28" s="37">
        <f>G28-E28-C28-M28-F28</f>
        <v>809.32999999999981</v>
      </c>
      <c r="O28" s="37">
        <f>G28-E28-M28-K28-F28</f>
        <v>809.32999999999981</v>
      </c>
      <c r="R28" s="37">
        <f>0.999*D28</f>
        <v>766.93230000000005</v>
      </c>
    </row>
    <row r="29" spans="2:18" ht="30.75" thickBot="1" x14ac:dyDescent="0.3">
      <c r="B29" s="4" t="s">
        <v>42</v>
      </c>
      <c r="C29" s="5">
        <v>0</v>
      </c>
      <c r="D29" s="10">
        <v>767.7</v>
      </c>
      <c r="E29" s="10">
        <v>0</v>
      </c>
      <c r="F29" s="5">
        <v>0</v>
      </c>
      <c r="G29" s="10">
        <v>2630.2</v>
      </c>
      <c r="H29" s="46">
        <f t="shared" si="0"/>
        <v>1862.4999999999998</v>
      </c>
      <c r="K29" s="37">
        <f>1.1*C29</f>
        <v>0</v>
      </c>
      <c r="L29" s="38">
        <f>G29-E29-D29-K29-F29</f>
        <v>1862.4999999999998</v>
      </c>
      <c r="M29" s="37">
        <f>D29*1.1</f>
        <v>844.47000000000014</v>
      </c>
      <c r="N29" s="37">
        <f>G29-E29-C29-M29-F29</f>
        <v>1785.7299999999996</v>
      </c>
      <c r="O29" s="37">
        <f>G29-E29-M29-K29-F29</f>
        <v>1785.7299999999996</v>
      </c>
      <c r="R29" s="37">
        <f>0.999*D29</f>
        <v>766.93230000000005</v>
      </c>
    </row>
    <row r="30" spans="2:18" ht="15.75" thickBot="1" x14ac:dyDescent="0.3">
      <c r="B30" s="43" t="s">
        <v>39</v>
      </c>
      <c r="C30" s="44"/>
      <c r="D30" s="45">
        <f>(0.75*10)+(0.25*12)</f>
        <v>10.5</v>
      </c>
    </row>
    <row r="31" spans="2:18" x14ac:dyDescent="0.25">
      <c r="G31" s="55" t="s">
        <v>37</v>
      </c>
      <c r="H31" s="56">
        <f>NPV(D30/100,H4:H29)+H3</f>
        <v>134.6988428658874</v>
      </c>
      <c r="K31" s="48" t="s">
        <v>37</v>
      </c>
      <c r="L31" s="49">
        <f>NPV(D30/100,L4:L29)+L3</f>
        <v>-379.65502458383082</v>
      </c>
      <c r="M31" s="48" t="s">
        <v>37</v>
      </c>
      <c r="N31" s="49">
        <f>NPV(D30/100,N4:N29)+N3</f>
        <v>-363.46371308807471</v>
      </c>
      <c r="O31" s="48" t="s">
        <v>37</v>
      </c>
      <c r="P31" s="54">
        <f>NPV(D30/100,O4:O29)+O3</f>
        <v>-877.81758053779458</v>
      </c>
      <c r="R31" s="55" t="s">
        <v>37</v>
      </c>
    </row>
    <row r="32" spans="2:18" x14ac:dyDescent="0.25">
      <c r="G32" s="55" t="s">
        <v>38</v>
      </c>
      <c r="H32" s="57">
        <f>IRR(H3:H29)</f>
        <v>0.10826446468662931</v>
      </c>
      <c r="K32" s="48" t="s">
        <v>38</v>
      </c>
      <c r="L32" s="50" t="s">
        <v>43</v>
      </c>
      <c r="M32" s="48" t="s">
        <v>38</v>
      </c>
      <c r="N32" s="52" t="s">
        <v>43</v>
      </c>
      <c r="O32" s="48" t="s">
        <v>38</v>
      </c>
      <c r="P32" s="59" t="s">
        <v>43</v>
      </c>
      <c r="R32" s="56">
        <f>NPV(D30/100,R3:R29)</f>
        <v>4503.7501664978126</v>
      </c>
    </row>
  </sheetData>
  <mergeCells count="1">
    <mergeCell ref="B30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0901-0F2D-4FAE-A5E0-AC8F485A4B1E}">
  <dimension ref="B2:K35"/>
  <sheetViews>
    <sheetView topLeftCell="A17" workbookViewId="0">
      <selection activeCell="D35" sqref="D35"/>
    </sheetView>
  </sheetViews>
  <sheetFormatPr defaultRowHeight="15" x14ac:dyDescent="0.25"/>
  <cols>
    <col min="3" max="3" width="11.7109375" customWidth="1"/>
    <col min="4" max="4" width="10" bestFit="1" customWidth="1"/>
    <col min="5" max="5" width="12.28515625" style="30" bestFit="1" customWidth="1"/>
    <col min="10" max="10" width="13.7109375" style="30" customWidth="1"/>
    <col min="11" max="11" width="10.7109375" style="30" bestFit="1" customWidth="1"/>
  </cols>
  <sheetData>
    <row r="2" spans="2:11" ht="15.75" thickBot="1" x14ac:dyDescent="0.3">
      <c r="C2" s="1"/>
      <c r="D2" s="1"/>
      <c r="J2" s="62" t="s">
        <v>1</v>
      </c>
      <c r="K2" s="62"/>
    </row>
    <row r="3" spans="2:11" ht="45.75" thickBot="1" x14ac:dyDescent="0.3">
      <c r="B3" s="3" t="s">
        <v>2</v>
      </c>
      <c r="C3" s="3" t="s">
        <v>4</v>
      </c>
      <c r="D3" s="3" t="s">
        <v>6</v>
      </c>
      <c r="E3" s="31" t="s">
        <v>7</v>
      </c>
      <c r="J3" s="35" t="s">
        <v>10</v>
      </c>
      <c r="K3" s="36" t="s">
        <v>9</v>
      </c>
    </row>
    <row r="4" spans="2:11" ht="15.75" thickBot="1" x14ac:dyDescent="0.3">
      <c r="B4" s="4" t="s">
        <v>13</v>
      </c>
      <c r="C4" s="7">
        <f>556033.5*200/100000</f>
        <v>1112.067</v>
      </c>
      <c r="D4" s="7">
        <f>960000*200/100000</f>
        <v>1920</v>
      </c>
      <c r="E4" s="46">
        <f>D4-C4</f>
        <v>807.93299999999999</v>
      </c>
      <c r="J4" s="37">
        <f t="shared" ref="J4:J29" si="0">C4*1.1</f>
        <v>1223.2737000000002</v>
      </c>
      <c r="K4" s="37">
        <f>D4-J4</f>
        <v>696.72629999999981</v>
      </c>
    </row>
    <row r="5" spans="2:11" ht="15.75" thickBot="1" x14ac:dyDescent="0.3">
      <c r="B5" s="4" t="s">
        <v>14</v>
      </c>
      <c r="C5" s="7">
        <f>556033.5*500/100000</f>
        <v>2780.1675</v>
      </c>
      <c r="D5" s="7">
        <f>960000*500/100000</f>
        <v>4800</v>
      </c>
      <c r="E5" s="46">
        <f t="shared" ref="E5:E29" si="1">D5-C5</f>
        <v>2019.8325</v>
      </c>
      <c r="J5" s="37">
        <f t="shared" si="0"/>
        <v>3058.1842500000002</v>
      </c>
      <c r="K5" s="37">
        <f t="shared" ref="K5:K29" si="2">D5-J5</f>
        <v>1741.8157499999998</v>
      </c>
    </row>
    <row r="6" spans="2:11" ht="15.75" thickBot="1" x14ac:dyDescent="0.3">
      <c r="B6" s="4" t="s">
        <v>15</v>
      </c>
      <c r="C6" s="7">
        <f>556033.5*800/100000</f>
        <v>4448.268</v>
      </c>
      <c r="D6" s="7">
        <f>960000*800/100000</f>
        <v>7680</v>
      </c>
      <c r="E6" s="46">
        <f t="shared" si="1"/>
        <v>3231.732</v>
      </c>
      <c r="J6" s="37">
        <f t="shared" si="0"/>
        <v>4893.0948000000008</v>
      </c>
      <c r="K6" s="37">
        <f t="shared" si="2"/>
        <v>2786.9051999999992</v>
      </c>
    </row>
    <row r="7" spans="2:11" ht="15.75" thickBot="1" x14ac:dyDescent="0.3">
      <c r="B7" s="4" t="s">
        <v>16</v>
      </c>
      <c r="C7" s="7">
        <f>556033.5*1100/100000</f>
        <v>6116.3684999999996</v>
      </c>
      <c r="D7" s="7">
        <f>960000*1100/100000</f>
        <v>10560</v>
      </c>
      <c r="E7" s="46">
        <f t="shared" si="1"/>
        <v>4443.6315000000004</v>
      </c>
      <c r="J7" s="37">
        <f t="shared" si="0"/>
        <v>6728.0053500000004</v>
      </c>
      <c r="K7" s="37">
        <f t="shared" si="2"/>
        <v>3831.9946499999996</v>
      </c>
    </row>
    <row r="8" spans="2:11" ht="15.75" thickBot="1" x14ac:dyDescent="0.3">
      <c r="B8" s="4" t="s">
        <v>17</v>
      </c>
      <c r="C8" s="7">
        <f>556033.5*1500/100000</f>
        <v>8340.5025000000005</v>
      </c>
      <c r="D8" s="7">
        <f>960000*1500/100000</f>
        <v>14400</v>
      </c>
      <c r="E8" s="46">
        <f t="shared" si="1"/>
        <v>6059.4974999999995</v>
      </c>
      <c r="J8" s="37">
        <f t="shared" si="0"/>
        <v>9174.5527500000007</v>
      </c>
      <c r="K8" s="37">
        <f t="shared" si="2"/>
        <v>5225.4472499999993</v>
      </c>
    </row>
    <row r="9" spans="2:11" ht="15.75" thickBot="1" x14ac:dyDescent="0.3">
      <c r="B9" s="4" t="s">
        <v>18</v>
      </c>
      <c r="C9" s="7">
        <f t="shared" ref="C9:C29" si="3">556033.5*1500/100000</f>
        <v>8340.5025000000005</v>
      </c>
      <c r="D9" s="7">
        <f t="shared" ref="D9:D29" si="4">960000*1500/100000</f>
        <v>14400</v>
      </c>
      <c r="E9" s="46">
        <f t="shared" si="1"/>
        <v>6059.4974999999995</v>
      </c>
      <c r="J9" s="37">
        <f t="shared" si="0"/>
        <v>9174.5527500000007</v>
      </c>
      <c r="K9" s="37">
        <f t="shared" si="2"/>
        <v>5225.4472499999993</v>
      </c>
    </row>
    <row r="10" spans="2:11" ht="15.75" thickBot="1" x14ac:dyDescent="0.3">
      <c r="B10" s="4" t="s">
        <v>19</v>
      </c>
      <c r="C10" s="7">
        <f t="shared" si="3"/>
        <v>8340.5025000000005</v>
      </c>
      <c r="D10" s="7">
        <f t="shared" si="4"/>
        <v>14400</v>
      </c>
      <c r="E10" s="46">
        <f t="shared" si="1"/>
        <v>6059.4974999999995</v>
      </c>
      <c r="J10" s="37">
        <f t="shared" si="0"/>
        <v>9174.5527500000007</v>
      </c>
      <c r="K10" s="37">
        <f t="shared" si="2"/>
        <v>5225.4472499999993</v>
      </c>
    </row>
    <row r="11" spans="2:11" ht="15.75" thickBot="1" x14ac:dyDescent="0.3">
      <c r="B11" s="4" t="s">
        <v>20</v>
      </c>
      <c r="C11" s="7">
        <f t="shared" si="3"/>
        <v>8340.5025000000005</v>
      </c>
      <c r="D11" s="7">
        <f t="shared" si="4"/>
        <v>14400</v>
      </c>
      <c r="E11" s="46">
        <f t="shared" si="1"/>
        <v>6059.4974999999995</v>
      </c>
      <c r="J11" s="37">
        <f t="shared" si="0"/>
        <v>9174.5527500000007</v>
      </c>
      <c r="K11" s="37">
        <f t="shared" si="2"/>
        <v>5225.4472499999993</v>
      </c>
    </row>
    <row r="12" spans="2:11" ht="15.75" thickBot="1" x14ac:dyDescent="0.3">
      <c r="B12" s="4" t="s">
        <v>21</v>
      </c>
      <c r="C12" s="7">
        <f t="shared" si="3"/>
        <v>8340.5025000000005</v>
      </c>
      <c r="D12" s="7">
        <f t="shared" si="4"/>
        <v>14400</v>
      </c>
      <c r="E12" s="46">
        <f t="shared" si="1"/>
        <v>6059.4974999999995</v>
      </c>
      <c r="J12" s="37">
        <f t="shared" si="0"/>
        <v>9174.5527500000007</v>
      </c>
      <c r="K12" s="37">
        <f t="shared" si="2"/>
        <v>5225.4472499999993</v>
      </c>
    </row>
    <row r="13" spans="2:11" ht="15.75" thickBot="1" x14ac:dyDescent="0.3">
      <c r="B13" s="4" t="s">
        <v>22</v>
      </c>
      <c r="C13" s="7">
        <f t="shared" si="3"/>
        <v>8340.5025000000005</v>
      </c>
      <c r="D13" s="7">
        <f t="shared" si="4"/>
        <v>14400</v>
      </c>
      <c r="E13" s="46">
        <f t="shared" si="1"/>
        <v>6059.4974999999995</v>
      </c>
      <c r="J13" s="37">
        <f t="shared" si="0"/>
        <v>9174.5527500000007</v>
      </c>
      <c r="K13" s="37">
        <f t="shared" si="2"/>
        <v>5225.4472499999993</v>
      </c>
    </row>
    <row r="14" spans="2:11" ht="15.75" thickBot="1" x14ac:dyDescent="0.3">
      <c r="B14" s="4" t="s">
        <v>23</v>
      </c>
      <c r="C14" s="7">
        <f t="shared" si="3"/>
        <v>8340.5025000000005</v>
      </c>
      <c r="D14" s="7">
        <f t="shared" si="4"/>
        <v>14400</v>
      </c>
      <c r="E14" s="46">
        <f t="shared" si="1"/>
        <v>6059.4974999999995</v>
      </c>
      <c r="J14" s="37">
        <f t="shared" si="0"/>
        <v>9174.5527500000007</v>
      </c>
      <c r="K14" s="37">
        <f t="shared" si="2"/>
        <v>5225.4472499999993</v>
      </c>
    </row>
    <row r="15" spans="2:11" ht="15.75" thickBot="1" x14ac:dyDescent="0.3">
      <c r="B15" s="4" t="s">
        <v>24</v>
      </c>
      <c r="C15" s="7">
        <f t="shared" si="3"/>
        <v>8340.5025000000005</v>
      </c>
      <c r="D15" s="7">
        <f t="shared" si="4"/>
        <v>14400</v>
      </c>
      <c r="E15" s="46">
        <f t="shared" si="1"/>
        <v>6059.4974999999995</v>
      </c>
      <c r="J15" s="37">
        <f t="shared" si="0"/>
        <v>9174.5527500000007</v>
      </c>
      <c r="K15" s="37">
        <f t="shared" si="2"/>
        <v>5225.4472499999993</v>
      </c>
    </row>
    <row r="16" spans="2:11" ht="15.75" thickBot="1" x14ac:dyDescent="0.3">
      <c r="B16" s="4" t="s">
        <v>25</v>
      </c>
      <c r="C16" s="7">
        <f t="shared" si="3"/>
        <v>8340.5025000000005</v>
      </c>
      <c r="D16" s="7">
        <f t="shared" si="4"/>
        <v>14400</v>
      </c>
      <c r="E16" s="46">
        <f t="shared" si="1"/>
        <v>6059.4974999999995</v>
      </c>
      <c r="J16" s="37">
        <f t="shared" si="0"/>
        <v>9174.5527500000007</v>
      </c>
      <c r="K16" s="37">
        <f t="shared" si="2"/>
        <v>5225.4472499999993</v>
      </c>
    </row>
    <row r="17" spans="2:11" ht="15.75" thickBot="1" x14ac:dyDescent="0.3">
      <c r="B17" s="4" t="s">
        <v>26</v>
      </c>
      <c r="C17" s="7">
        <f t="shared" si="3"/>
        <v>8340.5025000000005</v>
      </c>
      <c r="D17" s="7">
        <f t="shared" si="4"/>
        <v>14400</v>
      </c>
      <c r="E17" s="46">
        <f t="shared" si="1"/>
        <v>6059.4974999999995</v>
      </c>
      <c r="J17" s="37">
        <f t="shared" si="0"/>
        <v>9174.5527500000007</v>
      </c>
      <c r="K17" s="37">
        <f t="shared" si="2"/>
        <v>5225.4472499999993</v>
      </c>
    </row>
    <row r="18" spans="2:11" ht="15.75" thickBot="1" x14ac:dyDescent="0.3">
      <c r="B18" s="4" t="s">
        <v>27</v>
      </c>
      <c r="C18" s="7">
        <f t="shared" si="3"/>
        <v>8340.5025000000005</v>
      </c>
      <c r="D18" s="7">
        <f t="shared" si="4"/>
        <v>14400</v>
      </c>
      <c r="E18" s="46">
        <f t="shared" si="1"/>
        <v>6059.4974999999995</v>
      </c>
      <c r="J18" s="37">
        <f t="shared" si="0"/>
        <v>9174.5527500000007</v>
      </c>
      <c r="K18" s="37">
        <f t="shared" si="2"/>
        <v>5225.4472499999993</v>
      </c>
    </row>
    <row r="19" spans="2:11" ht="15.75" thickBot="1" x14ac:dyDescent="0.3">
      <c r="B19" s="4" t="s">
        <v>28</v>
      </c>
      <c r="C19" s="7">
        <f t="shared" si="3"/>
        <v>8340.5025000000005</v>
      </c>
      <c r="D19" s="7">
        <f t="shared" si="4"/>
        <v>14400</v>
      </c>
      <c r="E19" s="46">
        <f t="shared" si="1"/>
        <v>6059.4974999999995</v>
      </c>
      <c r="J19" s="37">
        <f t="shared" si="0"/>
        <v>9174.5527500000007</v>
      </c>
      <c r="K19" s="37">
        <f t="shared" si="2"/>
        <v>5225.4472499999993</v>
      </c>
    </row>
    <row r="20" spans="2:11" ht="15.75" thickBot="1" x14ac:dyDescent="0.3">
      <c r="B20" s="4" t="s">
        <v>29</v>
      </c>
      <c r="C20" s="7">
        <f t="shared" si="3"/>
        <v>8340.5025000000005</v>
      </c>
      <c r="D20" s="7">
        <f t="shared" si="4"/>
        <v>14400</v>
      </c>
      <c r="E20" s="46">
        <f t="shared" si="1"/>
        <v>6059.4974999999995</v>
      </c>
      <c r="J20" s="37">
        <f t="shared" si="0"/>
        <v>9174.5527500000007</v>
      </c>
      <c r="K20" s="37">
        <f t="shared" si="2"/>
        <v>5225.4472499999993</v>
      </c>
    </row>
    <row r="21" spans="2:11" ht="15.75" thickBot="1" x14ac:dyDescent="0.3">
      <c r="B21" s="4" t="s">
        <v>30</v>
      </c>
      <c r="C21" s="7">
        <f t="shared" si="3"/>
        <v>8340.5025000000005</v>
      </c>
      <c r="D21" s="7">
        <f t="shared" si="4"/>
        <v>14400</v>
      </c>
      <c r="E21" s="46">
        <f t="shared" si="1"/>
        <v>6059.4974999999995</v>
      </c>
      <c r="J21" s="37">
        <f t="shared" si="0"/>
        <v>9174.5527500000007</v>
      </c>
      <c r="K21" s="37">
        <f t="shared" si="2"/>
        <v>5225.4472499999993</v>
      </c>
    </row>
    <row r="22" spans="2:11" ht="15.75" thickBot="1" x14ac:dyDescent="0.3">
      <c r="B22" s="4" t="s">
        <v>31</v>
      </c>
      <c r="C22" s="7">
        <f t="shared" si="3"/>
        <v>8340.5025000000005</v>
      </c>
      <c r="D22" s="7">
        <f t="shared" si="4"/>
        <v>14400</v>
      </c>
      <c r="E22" s="46">
        <f t="shared" si="1"/>
        <v>6059.4974999999995</v>
      </c>
      <c r="J22" s="37">
        <f t="shared" si="0"/>
        <v>9174.5527500000007</v>
      </c>
      <c r="K22" s="37">
        <f t="shared" si="2"/>
        <v>5225.4472499999993</v>
      </c>
    </row>
    <row r="23" spans="2:11" ht="15.75" thickBot="1" x14ac:dyDescent="0.3">
      <c r="B23" s="4" t="s">
        <v>32</v>
      </c>
      <c r="C23" s="7">
        <f t="shared" si="3"/>
        <v>8340.5025000000005</v>
      </c>
      <c r="D23" s="7">
        <f t="shared" si="4"/>
        <v>14400</v>
      </c>
      <c r="E23" s="46">
        <f t="shared" si="1"/>
        <v>6059.4974999999995</v>
      </c>
      <c r="J23" s="37">
        <f t="shared" si="0"/>
        <v>9174.5527500000007</v>
      </c>
      <c r="K23" s="37">
        <f t="shared" si="2"/>
        <v>5225.4472499999993</v>
      </c>
    </row>
    <row r="24" spans="2:11" ht="15.75" thickBot="1" x14ac:dyDescent="0.3">
      <c r="B24" s="4" t="s">
        <v>33</v>
      </c>
      <c r="C24" s="7">
        <f t="shared" si="3"/>
        <v>8340.5025000000005</v>
      </c>
      <c r="D24" s="7">
        <f t="shared" si="4"/>
        <v>14400</v>
      </c>
      <c r="E24" s="46">
        <f t="shared" si="1"/>
        <v>6059.4974999999995</v>
      </c>
      <c r="J24" s="37">
        <f t="shared" si="0"/>
        <v>9174.5527500000007</v>
      </c>
      <c r="K24" s="37">
        <f t="shared" si="2"/>
        <v>5225.4472499999993</v>
      </c>
    </row>
    <row r="25" spans="2:11" ht="15.75" thickBot="1" x14ac:dyDescent="0.3">
      <c r="B25" s="4" t="s">
        <v>34</v>
      </c>
      <c r="C25" s="7">
        <f t="shared" si="3"/>
        <v>8340.5025000000005</v>
      </c>
      <c r="D25" s="7">
        <f t="shared" si="4"/>
        <v>14400</v>
      </c>
      <c r="E25" s="46">
        <f t="shared" si="1"/>
        <v>6059.4974999999995</v>
      </c>
      <c r="J25" s="37">
        <f t="shared" si="0"/>
        <v>9174.5527500000007</v>
      </c>
      <c r="K25" s="37">
        <f t="shared" si="2"/>
        <v>5225.4472499999993</v>
      </c>
    </row>
    <row r="26" spans="2:11" ht="15.75" thickBot="1" x14ac:dyDescent="0.3">
      <c r="B26" s="4" t="s">
        <v>35</v>
      </c>
      <c r="C26" s="7">
        <f t="shared" si="3"/>
        <v>8340.5025000000005</v>
      </c>
      <c r="D26" s="7">
        <f t="shared" si="4"/>
        <v>14400</v>
      </c>
      <c r="E26" s="46">
        <f t="shared" si="1"/>
        <v>6059.4974999999995</v>
      </c>
      <c r="J26" s="37">
        <f t="shared" si="0"/>
        <v>9174.5527500000007</v>
      </c>
      <c r="K26" s="37">
        <f t="shared" si="2"/>
        <v>5225.4472499999993</v>
      </c>
    </row>
    <row r="27" spans="2:11" ht="15.75" thickBot="1" x14ac:dyDescent="0.3">
      <c r="B27" s="4" t="s">
        <v>40</v>
      </c>
      <c r="C27" s="7">
        <f t="shared" si="3"/>
        <v>8340.5025000000005</v>
      </c>
      <c r="D27" s="7">
        <f t="shared" si="4"/>
        <v>14400</v>
      </c>
      <c r="E27" s="46">
        <f t="shared" si="1"/>
        <v>6059.4974999999995</v>
      </c>
      <c r="J27" s="37">
        <f t="shared" si="0"/>
        <v>9174.5527500000007</v>
      </c>
      <c r="K27" s="37">
        <f t="shared" si="2"/>
        <v>5225.4472499999993</v>
      </c>
    </row>
    <row r="28" spans="2:11" ht="15.75" thickBot="1" x14ac:dyDescent="0.3">
      <c r="B28" s="4" t="s">
        <v>41</v>
      </c>
      <c r="C28" s="7">
        <f t="shared" si="3"/>
        <v>8340.5025000000005</v>
      </c>
      <c r="D28" s="7">
        <f t="shared" si="4"/>
        <v>14400</v>
      </c>
      <c r="E28" s="46">
        <f t="shared" si="1"/>
        <v>6059.4974999999995</v>
      </c>
      <c r="J28" s="37">
        <f t="shared" si="0"/>
        <v>9174.5527500000007</v>
      </c>
      <c r="K28" s="37">
        <f t="shared" si="2"/>
        <v>5225.4472499999993</v>
      </c>
    </row>
    <row r="29" spans="2:11" ht="15.75" thickBot="1" x14ac:dyDescent="0.3">
      <c r="B29" s="4" t="s">
        <v>46</v>
      </c>
      <c r="C29" s="10">
        <f t="shared" si="3"/>
        <v>8340.5025000000005</v>
      </c>
      <c r="D29" s="5">
        <f t="shared" si="4"/>
        <v>14400</v>
      </c>
      <c r="E29" s="46">
        <f t="shared" si="1"/>
        <v>6059.4974999999995</v>
      </c>
      <c r="J29" s="37">
        <f t="shared" si="0"/>
        <v>9174.5527500000007</v>
      </c>
      <c r="K29" s="37">
        <f t="shared" si="2"/>
        <v>5225.4472499999993</v>
      </c>
    </row>
    <row r="30" spans="2:11" ht="15.75" thickBot="1" x14ac:dyDescent="0.3">
      <c r="B30" s="43" t="s">
        <v>39</v>
      </c>
      <c r="C30" s="44"/>
      <c r="D30" s="61">
        <v>0.12</v>
      </c>
    </row>
    <row r="31" spans="2:11" ht="15.75" thickBot="1" x14ac:dyDescent="0.3">
      <c r="D31" s="36" t="s">
        <v>37</v>
      </c>
      <c r="E31" s="39">
        <f>NPV(D30,E4:E29)</f>
        <v>36894.778791110773</v>
      </c>
      <c r="J31" s="36" t="s">
        <v>37</v>
      </c>
      <c r="K31" s="39">
        <f>NPV(D30,K4:K29)</f>
        <v>31816.453488654486</v>
      </c>
    </row>
    <row r="32" spans="2:11" ht="15.75" thickBot="1" x14ac:dyDescent="0.3">
      <c r="D32" s="36" t="s">
        <v>38</v>
      </c>
      <c r="E32" s="40"/>
      <c r="J32" s="36" t="s">
        <v>38</v>
      </c>
      <c r="K32" s="47"/>
    </row>
    <row r="35" spans="4:4" x14ac:dyDescent="0.25">
      <c r="D35" t="s">
        <v>64</v>
      </c>
    </row>
  </sheetData>
  <mergeCells count="3">
    <mergeCell ref="C2:D2"/>
    <mergeCell ref="J2:K2"/>
    <mergeCell ref="B30:C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2F68-0906-41D6-9437-490C5AB0E1B4}">
  <dimension ref="B2:O36"/>
  <sheetViews>
    <sheetView topLeftCell="A16" workbookViewId="0">
      <selection activeCell="P29" sqref="P29"/>
    </sheetView>
  </sheetViews>
  <sheetFormatPr defaultRowHeight="15" x14ac:dyDescent="0.25"/>
  <cols>
    <col min="2" max="2" width="13.5703125" bestFit="1" customWidth="1"/>
    <col min="4" max="4" width="11.28515625" customWidth="1"/>
    <col min="5" max="5" width="13.7109375" customWidth="1"/>
    <col min="6" max="6" width="14.7109375" bestFit="1" customWidth="1"/>
    <col min="7" max="7" width="12.28515625" bestFit="1" customWidth="1"/>
    <col min="11" max="11" width="9.7109375" bestFit="1" customWidth="1"/>
    <col min="12" max="12" width="11.5703125" customWidth="1"/>
    <col min="13" max="13" width="10.7109375" bestFit="1" customWidth="1"/>
    <col min="15" max="15" width="12" customWidth="1"/>
  </cols>
  <sheetData>
    <row r="2" spans="2:14" x14ac:dyDescent="0.25">
      <c r="H2" s="28"/>
    </row>
    <row r="3" spans="2:14" ht="15.75" thickBot="1" x14ac:dyDescent="0.3">
      <c r="C3" s="1" t="s">
        <v>0</v>
      </c>
      <c r="D3" s="1"/>
      <c r="E3" s="1"/>
      <c r="K3" s="2" t="s">
        <v>1</v>
      </c>
      <c r="L3" s="2"/>
    </row>
    <row r="4" spans="2:14" ht="75.75" thickBot="1" x14ac:dyDescent="0.3">
      <c r="B4" s="3" t="s">
        <v>2</v>
      </c>
      <c r="C4" s="3" t="s">
        <v>3</v>
      </c>
      <c r="D4" s="3" t="s">
        <v>4</v>
      </c>
      <c r="E4" s="3" t="s">
        <v>47</v>
      </c>
      <c r="F4" s="3" t="s">
        <v>6</v>
      </c>
      <c r="G4" s="3" t="s">
        <v>7</v>
      </c>
      <c r="J4" s="16" t="s">
        <v>8</v>
      </c>
      <c r="K4" s="17" t="s">
        <v>9</v>
      </c>
      <c r="L4" s="16" t="s">
        <v>10</v>
      </c>
      <c r="M4" s="17" t="s">
        <v>9</v>
      </c>
      <c r="N4" s="16" t="s">
        <v>11</v>
      </c>
    </row>
    <row r="5" spans="2:14" ht="15.75" thickBot="1" x14ac:dyDescent="0.3">
      <c r="B5" s="4" t="s">
        <v>12</v>
      </c>
      <c r="C5" s="7">
        <f>[1]Hatchery!C5+'[1]Feed mills'!C5+[1]Pond!C5</f>
        <v>678.02</v>
      </c>
      <c r="D5" s="7">
        <f>[1]Hatchery!D5+'[1]Feed mills'!D5+[1]Pond!D5</f>
        <v>0</v>
      </c>
      <c r="E5" s="8">
        <f>[1]Hatchery!E5+'[1]Feed mills'!E5+[1]Pond!E5+[1]Pond!F5</f>
        <v>17.5</v>
      </c>
      <c r="F5" s="9">
        <f>[1]Hatchery!F5+'[1]Feed mills'!F5+[1]Pond!G5</f>
        <v>0</v>
      </c>
      <c r="G5" s="11">
        <f>F5-D5-C5-E5</f>
        <v>-695.52</v>
      </c>
      <c r="J5" s="6">
        <f>1.1*C5</f>
        <v>745.822</v>
      </c>
      <c r="K5" s="18">
        <f>F5-E5-D5-J5</f>
        <v>-763.322</v>
      </c>
      <c r="L5" s="6">
        <f>D5*1.1</f>
        <v>0</v>
      </c>
      <c r="M5" s="6">
        <f>F5-E5-C5-L5</f>
        <v>-695.52</v>
      </c>
      <c r="N5" s="6">
        <f>F5-E5-L5-J5</f>
        <v>-763.322</v>
      </c>
    </row>
    <row r="6" spans="2:14" ht="15.75" thickBot="1" x14ac:dyDescent="0.3">
      <c r="B6" s="4" t="s">
        <v>13</v>
      </c>
      <c r="C6" s="7">
        <f>[1]Hatchery!C6+'[1]Feed mills'!C6+[1]Pond!C6</f>
        <v>1687.68</v>
      </c>
      <c r="D6" s="7">
        <f>[1]Hatchery!D6+'[1]Feed mills'!D6+[1]Pond!D6+[1]Farmers!C5</f>
        <v>1240.1669999999999</v>
      </c>
      <c r="E6" s="8">
        <f>[1]Hatchery!E6+'[1]Feed mills'!E6+[1]Pond!E6+[1]Pond!F6</f>
        <v>18</v>
      </c>
      <c r="F6" s="9">
        <f>[1]Hatchery!F6+'[1]Feed mills'!F6+[1]Pond!G6+[1]Farmers!D5</f>
        <v>1920</v>
      </c>
      <c r="G6" s="11">
        <f>F6-D6-C6-E6</f>
        <v>-1025.847</v>
      </c>
      <c r="J6" s="6">
        <f>1.1*C6</f>
        <v>1856.4480000000003</v>
      </c>
      <c r="K6" s="6">
        <f>F6-E6-D6-J6</f>
        <v>-1194.6150000000002</v>
      </c>
      <c r="L6" s="6">
        <f>D6*1.1</f>
        <v>1364.1837</v>
      </c>
      <c r="M6" s="6">
        <f>F6-E6-C6-L6</f>
        <v>-1149.8637000000001</v>
      </c>
      <c r="N6" s="6">
        <f>F6-E6-L6-J6</f>
        <v>-1318.6317000000004</v>
      </c>
    </row>
    <row r="7" spans="2:14" ht="15.75" thickBot="1" x14ac:dyDescent="0.3">
      <c r="B7" s="4" t="s">
        <v>14</v>
      </c>
      <c r="C7" s="7">
        <f>[1]Hatchery!C7+'[1]Feed mills'!C7+[1]Pond!C7</f>
        <v>1475.6000000000001</v>
      </c>
      <c r="D7" s="7">
        <f>[1]Hatchery!D7+'[1]Feed mills'!D7+[1]Pond!D7+[1]Farmers!C6</f>
        <v>3397.6675</v>
      </c>
      <c r="E7" s="8">
        <f>[1]Hatchery!E7+'[1]Feed mills'!E7+[1]Pond!E7+[1]Pond!F7</f>
        <v>37.5</v>
      </c>
      <c r="F7" s="9">
        <f>[1]Hatchery!F7+'[1]Feed mills'!F7+[1]Pond!G7+[1]Farmers!D6</f>
        <v>5535.1</v>
      </c>
      <c r="G7" s="11">
        <f t="shared" ref="G7:G31" si="0">F7-D7-C7-E7</f>
        <v>624.33250000000021</v>
      </c>
      <c r="J7" s="6">
        <f>1.1*C7</f>
        <v>1623.1600000000003</v>
      </c>
      <c r="K7" s="6">
        <f>F7-E7-D7-J7</f>
        <v>476.77250000000004</v>
      </c>
      <c r="L7" s="6">
        <f>D7*1.1</f>
        <v>3737.4342500000002</v>
      </c>
      <c r="M7" s="6">
        <f>F7-E7-C7-L7</f>
        <v>284.56574999999975</v>
      </c>
      <c r="N7" s="6">
        <f>F7-E7-L7-J7</f>
        <v>137.00574999999981</v>
      </c>
    </row>
    <row r="8" spans="2:14" ht="15.75" thickBot="1" x14ac:dyDescent="0.3">
      <c r="B8" s="4" t="s">
        <v>15</v>
      </c>
      <c r="C8" s="7">
        <f>[1]Hatchery!C8+'[1]Feed mills'!C8+[1]Pond!C8</f>
        <v>1512.4</v>
      </c>
      <c r="D8" s="7">
        <f>[1]Hatchery!D8+'[1]Feed mills'!D8+[1]Pond!D8+[1]Farmers!C7</f>
        <v>5844.7479999999996</v>
      </c>
      <c r="E8" s="8">
        <f>[1]Hatchery!E8+'[1]Feed mills'!E8+[1]Pond!E8+[1]Pond!F8</f>
        <v>53.25</v>
      </c>
      <c r="F8" s="9">
        <f>[1]Hatchery!F8+'[1]Feed mills'!F8+[1]Pond!G8+[1]Farmers!D7</f>
        <v>9517.6</v>
      </c>
      <c r="G8" s="11">
        <f t="shared" si="0"/>
        <v>2107.2020000000007</v>
      </c>
      <c r="J8" s="6">
        <f>1.1*C8</f>
        <v>1663.6400000000003</v>
      </c>
      <c r="K8" s="6">
        <f>F8-E8-D8-J8</f>
        <v>1955.9620000000004</v>
      </c>
      <c r="L8" s="6">
        <f>D8*1.1</f>
        <v>6429.2228000000005</v>
      </c>
      <c r="M8" s="6">
        <f>F8-E8-C8-L8</f>
        <v>1522.7272000000003</v>
      </c>
      <c r="N8" s="6">
        <f>F8-E8-L8-J8</f>
        <v>1371.4871999999996</v>
      </c>
    </row>
    <row r="9" spans="2:14" ht="15.75" thickBot="1" x14ac:dyDescent="0.3">
      <c r="B9" s="4" t="s">
        <v>16</v>
      </c>
      <c r="C9" s="7">
        <f>[1]Hatchery!C9+'[1]Feed mills'!C9+[1]Pond!C9</f>
        <v>1741.7</v>
      </c>
      <c r="D9" s="7">
        <f>[1]Hatchery!D9+'[1]Feed mills'!D9+[1]Pond!D9+[1]Farmers!C8</f>
        <v>8269.0285000000003</v>
      </c>
      <c r="E9" s="8">
        <f>[1]Hatchery!E9+'[1]Feed mills'!E9+[1]Pond!E9+[1]Pond!F9</f>
        <v>69</v>
      </c>
      <c r="F9" s="9">
        <f>[1]Hatchery!F9+'[1]Feed mills'!F9+[1]Pond!G9+[1]Farmers!D8</f>
        <v>13500.2</v>
      </c>
      <c r="G9" s="11">
        <f t="shared" si="0"/>
        <v>3420.4715000000006</v>
      </c>
      <c r="J9" s="6">
        <f>1.1*C9</f>
        <v>1915.8700000000001</v>
      </c>
      <c r="K9" s="6">
        <f>F9-E9-D9-J9</f>
        <v>3246.3015000000005</v>
      </c>
      <c r="L9" s="6">
        <f>D9*1.1</f>
        <v>9095.9313500000007</v>
      </c>
      <c r="M9" s="6">
        <f>F9-E9-C9-L9</f>
        <v>2593.5686499999993</v>
      </c>
      <c r="N9" s="6">
        <f>F9-E9-L9-J9</f>
        <v>2419.3986500000001</v>
      </c>
    </row>
    <row r="10" spans="2:14" ht="15.75" thickBot="1" x14ac:dyDescent="0.3">
      <c r="B10" s="4" t="s">
        <v>17</v>
      </c>
      <c r="C10" s="7">
        <f>[1]Hatchery!C10+'[1]Feed mills'!C10+[1]Pond!C10</f>
        <v>1201.9000000000001</v>
      </c>
      <c r="D10" s="7">
        <f>[1]Hatchery!D10+'[1]Feed mills'!D10+[1]Pond!D10+[1]Farmers!C9</f>
        <v>11271.762500000001</v>
      </c>
      <c r="E10" s="8">
        <f>[1]Hatchery!E10+'[1]Feed mills'!E10+[1]Pond!E10+[1]Pond!F10</f>
        <v>93.75</v>
      </c>
      <c r="F10" s="9">
        <f>[1]Hatchery!F10+'[1]Feed mills'!F10+[1]Pond!G10+[1]Farmers!D9</f>
        <v>18442.849999999999</v>
      </c>
      <c r="G10" s="11">
        <f t="shared" si="0"/>
        <v>5875.4374999999982</v>
      </c>
      <c r="J10" s="6">
        <f>1.1*C10</f>
        <v>1322.0900000000001</v>
      </c>
      <c r="K10" s="6">
        <f>F10-E10-D10-J10</f>
        <v>5755.2474999999977</v>
      </c>
      <c r="L10" s="6">
        <f>D10*1.1</f>
        <v>12398.938750000001</v>
      </c>
      <c r="M10" s="6">
        <f>F10-E10-C10-L10</f>
        <v>4748.2612499999959</v>
      </c>
      <c r="N10" s="6">
        <f>F10-E10-L10-J10</f>
        <v>4628.0712499999972</v>
      </c>
    </row>
    <row r="11" spans="2:14" ht="15.75" thickBot="1" x14ac:dyDescent="0.3">
      <c r="B11" s="4" t="s">
        <v>18</v>
      </c>
      <c r="C11" s="7">
        <f>[1]Hatchery!C11+'[1]Feed mills'!C11+[1]Pond!C11</f>
        <v>0</v>
      </c>
      <c r="D11" s="7">
        <f>[1]Hatchery!D11+'[1]Feed mills'!D11+[1]Pond!D11+[1]Farmers!C10</f>
        <v>12502.752500000001</v>
      </c>
      <c r="E11" s="8">
        <f>[1]Hatchery!E11+'[1]Feed mills'!E11+[1]Pond!E11+[1]Pond!F11</f>
        <v>83.0625</v>
      </c>
      <c r="F11" s="9">
        <f>[1]Hatchery!F11+'[1]Feed mills'!F11+[1]Pond!G11+[1]Farmers!D10</f>
        <v>20158.760000000002</v>
      </c>
      <c r="G11" s="11">
        <f t="shared" si="0"/>
        <v>7572.9450000000015</v>
      </c>
      <c r="J11" s="6">
        <f>1.1*C11</f>
        <v>0</v>
      </c>
      <c r="K11" s="6">
        <f>F11-E11-D11-J11</f>
        <v>7572.9450000000015</v>
      </c>
      <c r="L11" s="6">
        <f>D11*1.1</f>
        <v>13753.027750000001</v>
      </c>
      <c r="M11" s="6">
        <f>F11-E11-C11-L11</f>
        <v>6322.6697500000009</v>
      </c>
      <c r="N11" s="6">
        <f>F11-E11-L11-J11</f>
        <v>6322.6697500000009</v>
      </c>
    </row>
    <row r="12" spans="2:14" ht="15.75" thickBot="1" x14ac:dyDescent="0.3">
      <c r="B12" s="4" t="s">
        <v>19</v>
      </c>
      <c r="C12" s="7">
        <f>[1]Hatchery!C12+'[1]Feed mills'!C12+[1]Pond!C12</f>
        <v>168</v>
      </c>
      <c r="D12" s="7">
        <f>[1]Hatchery!D12+'[1]Feed mills'!D12+[1]Pond!D12+[1]Farmers!C11</f>
        <v>12466.752500000001</v>
      </c>
      <c r="E12" s="8">
        <f>[1]Hatchery!E12+'[1]Feed mills'!E12+[1]Pond!E12+[1]Pond!F12</f>
        <v>83.0625</v>
      </c>
      <c r="F12" s="9">
        <f>[1]Hatchery!F12+'[1]Feed mills'!F12+[1]Pond!G12+[1]Farmers!D11</f>
        <v>20158.760000000002</v>
      </c>
      <c r="G12" s="11">
        <f>F12-D12-C12-E12</f>
        <v>7440.9450000000015</v>
      </c>
      <c r="J12" s="6">
        <f>1.1*C12</f>
        <v>184.8</v>
      </c>
      <c r="K12" s="6">
        <f>F12-E12-D12-J12</f>
        <v>7424.1450000000013</v>
      </c>
      <c r="L12" s="6">
        <f>D12*1.1</f>
        <v>13713.427750000003</v>
      </c>
      <c r="M12" s="6">
        <f>F12-E12-C12-L12</f>
        <v>6194.2697499999995</v>
      </c>
      <c r="N12" s="6">
        <f>F12-E12-L12-J12</f>
        <v>6177.4697499999993</v>
      </c>
    </row>
    <row r="13" spans="2:14" ht="15.75" thickBot="1" x14ac:dyDescent="0.3">
      <c r="B13" s="4" t="s">
        <v>20</v>
      </c>
      <c r="C13" s="7">
        <f>[1]Hatchery!C13+'[1]Feed mills'!C13+[1]Pond!C13</f>
        <v>0</v>
      </c>
      <c r="D13" s="7">
        <f>[1]Hatchery!D13+'[1]Feed mills'!D13+[1]Pond!D13+[1]Farmers!C12</f>
        <v>12466.752500000001</v>
      </c>
      <c r="E13" s="8">
        <f>[1]Hatchery!E13+'[1]Feed mills'!E13+[1]Pond!E13+[1]Pond!F13</f>
        <v>83.0625</v>
      </c>
      <c r="F13" s="9">
        <f>[1]Hatchery!F13+'[1]Feed mills'!F13+[1]Pond!G13+[1]Farmers!D12</f>
        <v>20158.760000000002</v>
      </c>
      <c r="G13" s="11">
        <f t="shared" si="0"/>
        <v>7608.9450000000015</v>
      </c>
      <c r="J13" s="6">
        <f>1.1*C13</f>
        <v>0</v>
      </c>
      <c r="K13" s="6">
        <f>F13-E13-D13-J13</f>
        <v>7608.9450000000015</v>
      </c>
      <c r="L13" s="6">
        <f>D13*1.1</f>
        <v>13713.427750000003</v>
      </c>
      <c r="M13" s="6">
        <f>F13-E13-C13-L13</f>
        <v>6362.2697499999995</v>
      </c>
      <c r="N13" s="6">
        <f>F13-E13-L13-J13</f>
        <v>6362.2697499999995</v>
      </c>
    </row>
    <row r="14" spans="2:14" ht="15.75" thickBot="1" x14ac:dyDescent="0.3">
      <c r="B14" s="4" t="s">
        <v>21</v>
      </c>
      <c r="C14" s="7">
        <f>[1]Hatchery!C14+'[1]Feed mills'!C14+[1]Pond!C14</f>
        <v>0</v>
      </c>
      <c r="D14" s="7">
        <f>[1]Hatchery!D14+'[1]Feed mills'!D14+[1]Pond!D14+[1]Farmers!C13</f>
        <v>12466.752500000001</v>
      </c>
      <c r="E14" s="8">
        <f>[1]Hatchery!E14+'[1]Feed mills'!E14+[1]Pond!E14+[1]Pond!F14</f>
        <v>83.0625</v>
      </c>
      <c r="F14" s="9">
        <f>[1]Hatchery!F14+'[1]Feed mills'!F14+[1]Pond!G14+[1]Farmers!D13</f>
        <v>20158.760000000002</v>
      </c>
      <c r="G14" s="11">
        <f t="shared" si="0"/>
        <v>7608.9450000000015</v>
      </c>
      <c r="J14" s="6">
        <f>1.1*C14</f>
        <v>0</v>
      </c>
      <c r="K14" s="6">
        <f>F14-E14-D14-J14</f>
        <v>7608.9450000000015</v>
      </c>
      <c r="L14" s="6">
        <f>D14*1.1</f>
        <v>13713.427750000003</v>
      </c>
      <c r="M14" s="6">
        <f>F14-E14-C14-L14</f>
        <v>6362.2697499999995</v>
      </c>
      <c r="N14" s="6">
        <f>F14-E14-L14-J14</f>
        <v>6362.2697499999995</v>
      </c>
    </row>
    <row r="15" spans="2:14" ht="15.75" thickBot="1" x14ac:dyDescent="0.3">
      <c r="B15" s="4" t="s">
        <v>22</v>
      </c>
      <c r="C15" s="7">
        <f>[1]Hatchery!C15+'[1]Feed mills'!C15+[1]Pond!C15</f>
        <v>0</v>
      </c>
      <c r="D15" s="7">
        <f>[1]Hatchery!D15+'[1]Feed mills'!D15+[1]Pond!D15+[1]Farmers!C14</f>
        <v>12466.752500000001</v>
      </c>
      <c r="E15" s="8">
        <f>[1]Hatchery!E15+'[1]Feed mills'!E15+[1]Pond!E15+[1]Pond!F15</f>
        <v>83.0625</v>
      </c>
      <c r="F15" s="9">
        <f>[1]Hatchery!F15+'[1]Feed mills'!F15+[1]Pond!G15+[1]Farmers!D14</f>
        <v>20158.760000000002</v>
      </c>
      <c r="G15" s="11">
        <f t="shared" si="0"/>
        <v>7608.9450000000015</v>
      </c>
      <c r="J15" s="6">
        <f>1.1*C15</f>
        <v>0</v>
      </c>
      <c r="K15" s="6">
        <f>F15-E15-D15-J15</f>
        <v>7608.9450000000015</v>
      </c>
      <c r="L15" s="6">
        <f>D15*1.1</f>
        <v>13713.427750000003</v>
      </c>
      <c r="M15" s="6">
        <f>F15-E15-C15-L15</f>
        <v>6362.2697499999995</v>
      </c>
      <c r="N15" s="6">
        <f>F15-E15-L15-J15</f>
        <v>6362.2697499999995</v>
      </c>
    </row>
    <row r="16" spans="2:14" ht="15.75" thickBot="1" x14ac:dyDescent="0.3">
      <c r="B16" s="4" t="s">
        <v>23</v>
      </c>
      <c r="C16" s="7">
        <f>[1]Hatchery!C16+'[1]Feed mills'!C16+[1]Pond!C16</f>
        <v>0</v>
      </c>
      <c r="D16" s="7">
        <f>[1]Hatchery!D16+'[1]Feed mills'!D16+[1]Pond!D16+[1]Farmers!C15</f>
        <v>12466.752500000001</v>
      </c>
      <c r="E16" s="8">
        <f>[1]Hatchery!E16+'[1]Feed mills'!E16+[1]Pond!E16+[1]Pond!F16</f>
        <v>83.0625</v>
      </c>
      <c r="F16" s="9">
        <f>[1]Hatchery!F16+'[1]Feed mills'!F16+[1]Pond!G16+[1]Farmers!D15</f>
        <v>20158.760000000002</v>
      </c>
      <c r="G16" s="11">
        <f t="shared" si="0"/>
        <v>7608.9450000000015</v>
      </c>
      <c r="J16" s="6">
        <f>1.1*C16</f>
        <v>0</v>
      </c>
      <c r="K16" s="6">
        <f>F16-E16-D16-J16</f>
        <v>7608.9450000000015</v>
      </c>
      <c r="L16" s="6">
        <f>D16*1.1</f>
        <v>13713.427750000003</v>
      </c>
      <c r="M16" s="6">
        <f>F16-E16-C16-L16</f>
        <v>6362.2697499999995</v>
      </c>
      <c r="N16" s="6">
        <f>F16-E16-L16-J16</f>
        <v>6362.2697499999995</v>
      </c>
    </row>
    <row r="17" spans="2:14" ht="15.75" thickBot="1" x14ac:dyDescent="0.3">
      <c r="B17" s="4" t="s">
        <v>24</v>
      </c>
      <c r="C17" s="7">
        <f>[1]Hatchery!C17+'[1]Feed mills'!C17+[1]Pond!C17</f>
        <v>0</v>
      </c>
      <c r="D17" s="7">
        <f>[1]Hatchery!D17+'[1]Feed mills'!D17+[1]Pond!D17+[1]Farmers!C16</f>
        <v>12466.752500000001</v>
      </c>
      <c r="E17" s="8">
        <f>[1]Hatchery!E17+'[1]Feed mills'!E17+[1]Pond!E17+[1]Pond!F17</f>
        <v>83.0625</v>
      </c>
      <c r="F17" s="9">
        <f>[1]Hatchery!F17+'[1]Feed mills'!F17+[1]Pond!G17+[1]Farmers!D16</f>
        <v>20158.760000000002</v>
      </c>
      <c r="G17" s="11">
        <f t="shared" si="0"/>
        <v>7608.9450000000015</v>
      </c>
      <c r="J17" s="6">
        <f>1.1*C17</f>
        <v>0</v>
      </c>
      <c r="K17" s="6">
        <f>F17-E17-D17-J17</f>
        <v>7608.9450000000015</v>
      </c>
      <c r="L17" s="6">
        <f>D17*1.1</f>
        <v>13713.427750000003</v>
      </c>
      <c r="M17" s="6">
        <f>F17-E17-C17-L17</f>
        <v>6362.2697499999995</v>
      </c>
      <c r="N17" s="6">
        <f>F17-E17-L17-J17</f>
        <v>6362.2697499999995</v>
      </c>
    </row>
    <row r="18" spans="2:14" ht="15.75" thickBot="1" x14ac:dyDescent="0.3">
      <c r="B18" s="4" t="s">
        <v>25</v>
      </c>
      <c r="C18" s="7">
        <f>[1]Hatchery!C18+'[1]Feed mills'!C18+[1]Pond!C18</f>
        <v>0</v>
      </c>
      <c r="D18" s="7">
        <f>[1]Hatchery!D18+'[1]Feed mills'!D18+[1]Pond!D18+[1]Farmers!C17</f>
        <v>12466.752500000001</v>
      </c>
      <c r="E18" s="8">
        <f>[1]Hatchery!E18+'[1]Feed mills'!E18+[1]Pond!E18+[1]Pond!F18</f>
        <v>83.0625</v>
      </c>
      <c r="F18" s="9">
        <f>[1]Hatchery!F18+'[1]Feed mills'!F18+[1]Pond!G18+[1]Farmers!D17</f>
        <v>20158.760000000002</v>
      </c>
      <c r="G18" s="11">
        <f t="shared" si="0"/>
        <v>7608.9450000000015</v>
      </c>
      <c r="J18" s="6">
        <f>1.1*C18</f>
        <v>0</v>
      </c>
      <c r="K18" s="6">
        <f>F18-E18-D18-J18</f>
        <v>7608.9450000000015</v>
      </c>
      <c r="L18" s="6">
        <f>D18*1.1</f>
        <v>13713.427750000003</v>
      </c>
      <c r="M18" s="6">
        <f>F18-E18-C18-L18</f>
        <v>6362.2697499999995</v>
      </c>
      <c r="N18" s="6">
        <f>F18-E18-L18-J18</f>
        <v>6362.2697499999995</v>
      </c>
    </row>
    <row r="19" spans="2:14" ht="15.75" thickBot="1" x14ac:dyDescent="0.3">
      <c r="B19" s="4" t="s">
        <v>26</v>
      </c>
      <c r="C19" s="7">
        <f>[1]Hatchery!C19+'[1]Feed mills'!C19+[1]Pond!C19</f>
        <v>0</v>
      </c>
      <c r="D19" s="7">
        <f>[1]Hatchery!D19+'[1]Feed mills'!D19+[1]Pond!D19+[1]Farmers!C18</f>
        <v>12466.752500000001</v>
      </c>
      <c r="E19" s="8">
        <f>[1]Hatchery!E19+'[1]Feed mills'!E19+[1]Pond!E19+[1]Pond!F19</f>
        <v>83.0625</v>
      </c>
      <c r="F19" s="9">
        <f>[1]Hatchery!F19+'[1]Feed mills'!F19+[1]Pond!G19+[1]Farmers!D18</f>
        <v>20158.760000000002</v>
      </c>
      <c r="G19" s="11">
        <f t="shared" si="0"/>
        <v>7608.9450000000015</v>
      </c>
      <c r="J19" s="6">
        <f>1.1*C19</f>
        <v>0</v>
      </c>
      <c r="K19" s="6">
        <f>F19-E19-D19-J19</f>
        <v>7608.9450000000015</v>
      </c>
      <c r="L19" s="6">
        <f>D19*1.1</f>
        <v>13713.427750000003</v>
      </c>
      <c r="M19" s="6">
        <f>F19-E19-C19-L19</f>
        <v>6362.2697499999995</v>
      </c>
      <c r="N19" s="6">
        <f>F19-E19-L19-J19</f>
        <v>6362.2697499999995</v>
      </c>
    </row>
    <row r="20" spans="2:14" ht="15.75" thickBot="1" x14ac:dyDescent="0.3">
      <c r="B20" s="4" t="s">
        <v>27</v>
      </c>
      <c r="C20" s="7">
        <f>[1]Hatchery!C20+'[1]Feed mills'!C20+[1]Pond!C20</f>
        <v>155</v>
      </c>
      <c r="D20" s="7">
        <f>[1]Hatchery!D20+'[1]Feed mills'!D20+[1]Pond!D20+[1]Farmers!C19</f>
        <v>12466.752500000001</v>
      </c>
      <c r="E20" s="8">
        <f>[1]Hatchery!E20+'[1]Feed mills'!E20+[1]Pond!E20+[1]Pond!F20</f>
        <v>83.0625</v>
      </c>
      <c r="F20" s="9">
        <f>[1]Hatchery!F20+'[1]Feed mills'!F20+[1]Pond!G20+[1]Farmers!D19</f>
        <v>20158.760000000002</v>
      </c>
      <c r="G20" s="11">
        <f t="shared" si="0"/>
        <v>7453.9450000000015</v>
      </c>
      <c r="J20" s="6">
        <f>1.1*C20</f>
        <v>170.5</v>
      </c>
      <c r="K20" s="6">
        <f>F20-E20-D20-J20</f>
        <v>7438.4450000000015</v>
      </c>
      <c r="L20" s="6">
        <f>D20*1.1</f>
        <v>13713.427750000003</v>
      </c>
      <c r="M20" s="6">
        <f>F20-E20-C20-L20</f>
        <v>6207.2697499999995</v>
      </c>
      <c r="N20" s="6">
        <f>F20-E20-L20-J20</f>
        <v>6191.7697499999995</v>
      </c>
    </row>
    <row r="21" spans="2:14" ht="15.75" thickBot="1" x14ac:dyDescent="0.3">
      <c r="B21" s="4" t="s">
        <v>28</v>
      </c>
      <c r="C21" s="7">
        <f>[1]Hatchery!C21+'[1]Feed mills'!C21+[1]Pond!C21</f>
        <v>259.39999999999998</v>
      </c>
      <c r="D21" s="7">
        <f>[1]Hatchery!D21+'[1]Feed mills'!D21+[1]Pond!D21+[1]Farmers!C20</f>
        <v>12466.752500000001</v>
      </c>
      <c r="E21" s="8">
        <f>[1]Hatchery!E21+'[1]Feed mills'!E21+[1]Pond!E21+[1]Pond!F21</f>
        <v>83.0625</v>
      </c>
      <c r="F21" s="9">
        <f>[1]Hatchery!F21+'[1]Feed mills'!F21+[1]Pond!G21+[1]Farmers!D20</f>
        <v>20158.760000000002</v>
      </c>
      <c r="G21" s="11">
        <f t="shared" si="0"/>
        <v>7349.5450000000019</v>
      </c>
      <c r="J21" s="6">
        <f>1.1*C21</f>
        <v>285.33999999999997</v>
      </c>
      <c r="K21" s="6">
        <f>F21-E21-D21-J21</f>
        <v>7323.6050000000014</v>
      </c>
      <c r="L21" s="6">
        <f>D21*1.1</f>
        <v>13713.427750000003</v>
      </c>
      <c r="M21" s="6">
        <f>F21-E21-C21-L21</f>
        <v>6102.869749999998</v>
      </c>
      <c r="N21" s="6">
        <f>F21-E21-L21-J21</f>
        <v>6076.9297499999993</v>
      </c>
    </row>
    <row r="22" spans="2:14" ht="15.75" thickBot="1" x14ac:dyDescent="0.3">
      <c r="B22" s="4" t="s">
        <v>29</v>
      </c>
      <c r="C22" s="7">
        <f>[1]Hatchery!C22+'[1]Feed mills'!C22+[1]Pond!C22</f>
        <v>610.80000000000007</v>
      </c>
      <c r="D22" s="7">
        <f>[1]Hatchery!D22+'[1]Feed mills'!D22+[1]Pond!D22+[1]Farmers!C21</f>
        <v>12466.752500000001</v>
      </c>
      <c r="E22" s="8">
        <f>[1]Hatchery!E22+'[1]Feed mills'!E22+[1]Pond!E22+[1]Pond!F22</f>
        <v>83.0625</v>
      </c>
      <c r="F22" s="9">
        <f>[1]Hatchery!F22+'[1]Feed mills'!F22+[1]Pond!G22+[1]Farmers!D21</f>
        <v>20158.760000000002</v>
      </c>
      <c r="G22" s="11">
        <f t="shared" si="0"/>
        <v>6998.1450000000013</v>
      </c>
      <c r="J22" s="6">
        <f>1.1*C22</f>
        <v>671.88000000000011</v>
      </c>
      <c r="K22" s="6">
        <f>F22-E22-D22-J22</f>
        <v>6937.0650000000014</v>
      </c>
      <c r="L22" s="6">
        <f>D22*1.1</f>
        <v>13713.427750000003</v>
      </c>
      <c r="M22" s="6">
        <f>F22-E22-C22-L22</f>
        <v>5751.4697500000002</v>
      </c>
      <c r="N22" s="6">
        <f>F22-E22-L22-J22</f>
        <v>5690.3897499999994</v>
      </c>
    </row>
    <row r="23" spans="2:14" ht="15.75" thickBot="1" x14ac:dyDescent="0.3">
      <c r="B23" s="4" t="s">
        <v>30</v>
      </c>
      <c r="C23" s="7">
        <f>[1]Hatchery!C23+'[1]Feed mills'!C23+[1]Pond!C23</f>
        <v>259.39999999999998</v>
      </c>
      <c r="D23" s="7">
        <f>[1]Hatchery!D23+'[1]Feed mills'!D23+[1]Pond!D23+[1]Farmers!C22</f>
        <v>12466.752500000001</v>
      </c>
      <c r="E23" s="8">
        <f>[1]Hatchery!E23+'[1]Feed mills'!E23+[1]Pond!E23+[1]Pond!F23</f>
        <v>83.0625</v>
      </c>
      <c r="F23" s="9">
        <f>[1]Hatchery!F23+'[1]Feed mills'!F23+[1]Pond!G23+[1]Farmers!D22</f>
        <v>20158.760000000002</v>
      </c>
      <c r="G23" s="11">
        <f t="shared" si="0"/>
        <v>7349.5450000000019</v>
      </c>
      <c r="J23" s="6">
        <f>1.1*C23</f>
        <v>285.33999999999997</v>
      </c>
      <c r="K23" s="6">
        <f>F23-E23-D23-J23</f>
        <v>7323.6050000000014</v>
      </c>
      <c r="L23" s="6">
        <f>D23*1.1</f>
        <v>13713.427750000003</v>
      </c>
      <c r="M23" s="6">
        <f>F23-E23-C23-L23</f>
        <v>6102.869749999998</v>
      </c>
      <c r="N23" s="6">
        <f>F23-E23-L23-J23</f>
        <v>6076.9297499999993</v>
      </c>
    </row>
    <row r="24" spans="2:14" ht="15.75" thickBot="1" x14ac:dyDescent="0.3">
      <c r="B24" s="4" t="s">
        <v>31</v>
      </c>
      <c r="C24" s="7">
        <f>[1]Hatchery!C24+'[1]Feed mills'!C24+[1]Pond!C24</f>
        <v>98.9</v>
      </c>
      <c r="D24" s="7">
        <f>[1]Hatchery!D24+'[1]Feed mills'!D24+[1]Pond!D24+[1]Farmers!C23</f>
        <v>12466.752500000001</v>
      </c>
      <c r="E24" s="8">
        <f>[1]Hatchery!E24+'[1]Feed mills'!E24+[1]Pond!E24+[1]Pond!F24</f>
        <v>83.0625</v>
      </c>
      <c r="F24" s="9">
        <f>[1]Hatchery!F24+'[1]Feed mills'!F24+[1]Pond!G24+[1]Farmers!D23</f>
        <v>20158.760000000002</v>
      </c>
      <c r="G24" s="11">
        <f t="shared" si="0"/>
        <v>7510.0450000000019</v>
      </c>
      <c r="J24" s="6">
        <f>1.1*C24</f>
        <v>108.79000000000002</v>
      </c>
      <c r="K24" s="6">
        <f>F24-E24-D24-J24</f>
        <v>7500.1550000000016</v>
      </c>
      <c r="L24" s="6">
        <f>D24*1.1</f>
        <v>13713.427750000003</v>
      </c>
      <c r="M24" s="6">
        <f>F24-E24-C24-L24</f>
        <v>6263.369749999998</v>
      </c>
      <c r="N24" s="6">
        <f>F24-E24-L24-J24</f>
        <v>6253.4797499999995</v>
      </c>
    </row>
    <row r="25" spans="2:14" ht="15.75" thickBot="1" x14ac:dyDescent="0.3">
      <c r="B25" s="4" t="s">
        <v>32</v>
      </c>
      <c r="C25" s="7">
        <f>[1]Hatchery!C25+'[1]Feed mills'!C25+[1]Pond!C25</f>
        <v>0</v>
      </c>
      <c r="D25" s="7">
        <f>[1]Hatchery!D25+'[1]Feed mills'!D25+[1]Pond!D25+[1]Farmers!C24</f>
        <v>12466.752500000001</v>
      </c>
      <c r="E25" s="8">
        <f>[1]Hatchery!E25+'[1]Feed mills'!E25+[1]Pond!E25+[1]Pond!F25</f>
        <v>83.0625</v>
      </c>
      <c r="F25" s="9">
        <f>[1]Hatchery!F25+'[1]Feed mills'!F25+[1]Pond!G25+[1]Farmers!D24</f>
        <v>20359.760000000002</v>
      </c>
      <c r="G25" s="11">
        <f t="shared" si="0"/>
        <v>7809.9450000000015</v>
      </c>
      <c r="J25" s="6">
        <f>1.1*C25</f>
        <v>0</v>
      </c>
      <c r="K25" s="6">
        <f>F25-E25-D25-J25</f>
        <v>7809.9450000000015</v>
      </c>
      <c r="L25" s="6">
        <f>D25*1.1</f>
        <v>13713.427750000003</v>
      </c>
      <c r="M25" s="6">
        <f>F25-E25-C25-L25</f>
        <v>6563.2697499999995</v>
      </c>
      <c r="N25" s="6">
        <f>F25-E25-L25-J25</f>
        <v>6563.2697499999995</v>
      </c>
    </row>
    <row r="26" spans="2:14" ht="15.75" thickBot="1" x14ac:dyDescent="0.3">
      <c r="B26" s="4" t="s">
        <v>33</v>
      </c>
      <c r="C26" s="7">
        <f>[1]Hatchery!C26+'[1]Feed mills'!C26+[1]Pond!C26</f>
        <v>0</v>
      </c>
      <c r="D26" s="7">
        <f>[1]Hatchery!D26+'[1]Feed mills'!D26+[1]Pond!D26+[1]Farmers!C25</f>
        <v>12466.752500000001</v>
      </c>
      <c r="E26" s="8">
        <f>[1]Hatchery!E26+'[1]Feed mills'!E26+[1]Pond!E26+[1]Pond!F26</f>
        <v>83.0625</v>
      </c>
      <c r="F26" s="9">
        <f>[1]Hatchery!F26+'[1]Feed mills'!F26+[1]Pond!G26+[1]Farmers!D25</f>
        <v>20359.760000000002</v>
      </c>
      <c r="G26" s="11">
        <f t="shared" si="0"/>
        <v>7809.9450000000015</v>
      </c>
      <c r="J26" s="6">
        <f>1.1*C26</f>
        <v>0</v>
      </c>
      <c r="K26" s="6">
        <f>F26-E26-D26-J26</f>
        <v>7809.9450000000015</v>
      </c>
      <c r="L26" s="6">
        <f>D26*1.1</f>
        <v>13713.427750000003</v>
      </c>
      <c r="M26" s="6">
        <f>F26-E26-C26-L26</f>
        <v>6563.2697499999995</v>
      </c>
      <c r="N26" s="6">
        <f>F26-E26-L26-J26</f>
        <v>6563.2697499999995</v>
      </c>
    </row>
    <row r="27" spans="2:14" ht="15.75" thickBot="1" x14ac:dyDescent="0.3">
      <c r="B27" s="4" t="s">
        <v>34</v>
      </c>
      <c r="C27" s="7">
        <f>[1]Hatchery!C27+'[1]Feed mills'!C27+[1]Pond!C27</f>
        <v>0</v>
      </c>
      <c r="D27" s="7">
        <f>[1]Hatchery!D27+'[1]Feed mills'!D27+[1]Pond!D27+[1]Farmers!C26</f>
        <v>12466.752500000001</v>
      </c>
      <c r="E27" s="8">
        <f>[1]Hatchery!E27+'[1]Feed mills'!E27+[1]Pond!E27+[1]Pond!F27</f>
        <v>83.0625</v>
      </c>
      <c r="F27" s="9">
        <f>[1]Hatchery!F27+'[1]Feed mills'!F27+[1]Pond!G27+[1]Farmers!D26</f>
        <v>20359.760000000002</v>
      </c>
      <c r="G27" s="11">
        <f t="shared" si="0"/>
        <v>7809.9450000000015</v>
      </c>
      <c r="J27" s="6">
        <f>1.1*C27</f>
        <v>0</v>
      </c>
      <c r="K27" s="6">
        <f>F27-E27-D27-J27</f>
        <v>7809.9450000000015</v>
      </c>
      <c r="L27" s="6">
        <f>D27*1.1</f>
        <v>13713.427750000003</v>
      </c>
      <c r="M27" s="6">
        <f>F27-E27-C27-L27</f>
        <v>6563.2697499999995</v>
      </c>
      <c r="N27" s="6">
        <f>F27-E27-L27-J27</f>
        <v>6563.2697499999995</v>
      </c>
    </row>
    <row r="28" spans="2:14" ht="15.75" thickBot="1" x14ac:dyDescent="0.3">
      <c r="B28" s="4" t="s">
        <v>35</v>
      </c>
      <c r="C28" s="7">
        <f>[1]Hatchery!C28+'[1]Feed mills'!C28+[1]Pond!C28</f>
        <v>0</v>
      </c>
      <c r="D28" s="7">
        <f>[1]Hatchery!D28+'[1]Feed mills'!D28+[1]Pond!D28+[1]Farmers!C27</f>
        <v>12466.752500000001</v>
      </c>
      <c r="E28" s="8">
        <f>[1]Hatchery!E28+'[1]Feed mills'!E28+[1]Pond!E28+[1]Pond!F28</f>
        <v>83.0625</v>
      </c>
      <c r="F28" s="9">
        <f>[1]Hatchery!F28+'[1]Feed mills'!F28+[1]Pond!G28+[1]Farmers!D27</f>
        <v>20359.760000000002</v>
      </c>
      <c r="G28" s="11">
        <f t="shared" si="0"/>
        <v>7809.9450000000015</v>
      </c>
      <c r="J28" s="6">
        <f>1.1*C28</f>
        <v>0</v>
      </c>
      <c r="K28" s="6">
        <f>F28-E28-D28-J28</f>
        <v>7809.9450000000015</v>
      </c>
      <c r="L28" s="6">
        <f>D28*1.1</f>
        <v>13713.427750000003</v>
      </c>
      <c r="M28" s="6">
        <f>F28-E28-C28-L28</f>
        <v>6563.2697499999995</v>
      </c>
      <c r="N28" s="6">
        <f>F28-E28-L28-J28</f>
        <v>6563.2697499999995</v>
      </c>
    </row>
    <row r="29" spans="2:14" ht="15.75" thickBot="1" x14ac:dyDescent="0.3">
      <c r="B29" s="4" t="s">
        <v>40</v>
      </c>
      <c r="C29" s="7">
        <f>[1]Hatchery!C29+'[1]Feed mills'!C29+[1]Pond!C29</f>
        <v>0</v>
      </c>
      <c r="D29" s="7">
        <f>[1]Hatchery!D29+'[1]Feed mills'!D29+[1]Pond!D29+[1]Farmers!C28</f>
        <v>12466.752500000001</v>
      </c>
      <c r="E29" s="8">
        <f>[1]Hatchery!E29+'[1]Feed mills'!E29+[1]Pond!E29+[1]Pond!F29</f>
        <v>83.0625</v>
      </c>
      <c r="F29" s="9">
        <f>[1]Hatchery!F29+'[1]Feed mills'!F29+[1]Pond!G29+[1]Farmers!D28</f>
        <v>20359.760000000002</v>
      </c>
      <c r="G29" s="11">
        <f t="shared" si="0"/>
        <v>7809.9450000000015</v>
      </c>
      <c r="J29" s="6">
        <f>1.1*C29</f>
        <v>0</v>
      </c>
      <c r="K29" s="6">
        <f>F29-E29-D29-J29</f>
        <v>7809.9450000000015</v>
      </c>
      <c r="L29" s="6">
        <f>D29*1.1</f>
        <v>13713.427750000003</v>
      </c>
      <c r="M29" s="6">
        <f>F29-E29-C29-L29</f>
        <v>6563.2697499999995</v>
      </c>
      <c r="N29" s="6">
        <f>F29-E29-L29-J29</f>
        <v>6563.2697499999995</v>
      </c>
    </row>
    <row r="30" spans="2:14" ht="15.75" thickBot="1" x14ac:dyDescent="0.3">
      <c r="B30" s="4" t="s">
        <v>41</v>
      </c>
      <c r="C30" s="7">
        <f>[1]Hatchery!C30+'[1]Feed mills'!C30+[1]Pond!C30</f>
        <v>0</v>
      </c>
      <c r="D30" s="7">
        <f>[1]Hatchery!D30+'[1]Feed mills'!D30+[1]Pond!D30+[1]Farmers!C29</f>
        <v>12466.752500000001</v>
      </c>
      <c r="E30" s="8">
        <f>[1]Hatchery!E30+'[1]Feed mills'!E30+[1]Pond!E30+[1]Pond!F30</f>
        <v>83.0625</v>
      </c>
      <c r="F30" s="9">
        <f>[1]Hatchery!F30+'[1]Feed mills'!F30+[1]Pond!G30+[1]Farmers!D29</f>
        <v>20560.760000000002</v>
      </c>
      <c r="G30" s="11">
        <f t="shared" si="0"/>
        <v>8010.9450000000015</v>
      </c>
      <c r="J30" s="6">
        <f>1.1*C30</f>
        <v>0</v>
      </c>
      <c r="K30" s="6">
        <f>F30-E30-D30-J30</f>
        <v>8010.9450000000015</v>
      </c>
      <c r="L30" s="6">
        <f>D30*1.1</f>
        <v>13713.427750000003</v>
      </c>
      <c r="M30" s="6">
        <f>F30-E30-C30-L30</f>
        <v>6764.2697499999995</v>
      </c>
      <c r="N30" s="6">
        <f>F30-E30-L30-J30</f>
        <v>6764.2697499999995</v>
      </c>
    </row>
    <row r="31" spans="2:14" ht="15.75" thickBot="1" x14ac:dyDescent="0.3">
      <c r="B31" s="4" t="s">
        <v>46</v>
      </c>
      <c r="C31" s="10">
        <f>[1]Hatchery!C31+'[1]Feed mills'!C31+[1]Pond!C31</f>
        <v>0</v>
      </c>
      <c r="D31" s="10">
        <f>[1]Hatchery!D31+'[1]Feed mills'!D31+[1]Pond!D31+[1]Farmers!C30</f>
        <v>12365.552500000002</v>
      </c>
      <c r="E31" s="12">
        <f>[1]Hatchery!E31+'[1]Feed mills'!E31+[1]Pond!E31+[1]Pond!F31</f>
        <v>60.5625</v>
      </c>
      <c r="F31" s="13">
        <f>[1]Hatchery!F31+'[1]Feed mills'!F31+[1]Pond!G31+[1]Farmers!D30</f>
        <v>20716.2</v>
      </c>
      <c r="G31" s="11">
        <f t="shared" si="0"/>
        <v>8290.0849999999991</v>
      </c>
      <c r="J31" s="6">
        <f>1.1*C31</f>
        <v>0</v>
      </c>
      <c r="K31" s="6">
        <f>F31-E31-D31-J31</f>
        <v>8290.0849999999991</v>
      </c>
      <c r="L31" s="6">
        <f>D31*1.1</f>
        <v>13602.107750000003</v>
      </c>
      <c r="M31" s="6">
        <f>F31-E31-C31-L31</f>
        <v>7053.5297499999979</v>
      </c>
      <c r="N31" s="6">
        <f>F31-E31-L31-J31</f>
        <v>7053.5297499999979</v>
      </c>
    </row>
    <row r="32" spans="2:14" ht="15.75" thickBot="1" x14ac:dyDescent="0.3"/>
    <row r="33" spans="2:15" ht="15.75" thickBot="1" x14ac:dyDescent="0.3">
      <c r="B33" s="6" t="s">
        <v>39</v>
      </c>
      <c r="C33" s="21">
        <v>0.12</v>
      </c>
      <c r="F33" s="17" t="s">
        <v>37</v>
      </c>
      <c r="G33" s="58">
        <f>CULTIVATORS!E31+'BFDA PONDS'!H31+FEEDMILLS!G32+HATCHERIES!D31</f>
        <v>38421.545058811731</v>
      </c>
      <c r="J33" s="17" t="s">
        <v>37</v>
      </c>
      <c r="K33" s="19">
        <f>FEEDMILLS!M32+'BFDA PONDS'!L31+HATCHERIES!M31</f>
        <v>864.99418497251588</v>
      </c>
      <c r="L33" s="17" t="s">
        <v>37</v>
      </c>
      <c r="M33" s="19">
        <f>HATCHERIES!O31+FEEDMILLS!O32+'BFDA PONDS'!N31+CULTIVATORS!K31</f>
        <v>31338.58692743046</v>
      </c>
      <c r="N33" s="17" t="s">
        <v>37</v>
      </c>
      <c r="O33" s="65">
        <f>HATCHERIES!Q31+FEEDMILLS!Q32+'BFDA PONDS'!P31</f>
        <v>-1139.638643952474</v>
      </c>
    </row>
    <row r="34" spans="2:15" ht="15.75" thickBot="1" x14ac:dyDescent="0.3">
      <c r="F34" s="17" t="s">
        <v>38</v>
      </c>
      <c r="G34" s="69">
        <f>IRR(G5:G31)</f>
        <v>0.93107550864493116</v>
      </c>
      <c r="J34" s="17" t="s">
        <v>38</v>
      </c>
      <c r="K34" s="21">
        <f>IRR(K5:K31)</f>
        <v>0.84737685037663146</v>
      </c>
      <c r="L34" s="17" t="s">
        <v>38</v>
      </c>
      <c r="M34" s="23">
        <f>IRR(M5:M31)</f>
        <v>0.77838934590543341</v>
      </c>
      <c r="N34" s="17" t="s">
        <v>38</v>
      </c>
      <c r="O34" s="66">
        <f>IRR(N5:N31)</f>
        <v>0.70836753252116536</v>
      </c>
    </row>
    <row r="35" spans="2:15" ht="15.75" thickBot="1" x14ac:dyDescent="0.3"/>
    <row r="36" spans="2:15" ht="15.75" thickBot="1" x14ac:dyDescent="0.3">
      <c r="E36" s="17" t="s">
        <v>37</v>
      </c>
      <c r="F36" s="29">
        <f>NPV(C33,G6:G31)+G5</f>
        <v>38387.382168830038</v>
      </c>
    </row>
  </sheetData>
  <mergeCells count="2">
    <mergeCell ref="C3:E3"/>
    <mergeCell ref="K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A709-04B0-4C7B-B853-B5B99EBC4449}">
  <dimension ref="B3:Y37"/>
  <sheetViews>
    <sheetView tabSelected="1" topLeftCell="A17" workbookViewId="0">
      <selection activeCell="K31" sqref="K31"/>
    </sheetView>
  </sheetViews>
  <sheetFormatPr defaultRowHeight="15" x14ac:dyDescent="0.25"/>
  <cols>
    <col min="4" max="4" width="11.7109375" customWidth="1"/>
    <col min="6" max="6" width="13.7109375" customWidth="1"/>
    <col min="7" max="7" width="14.7109375" bestFit="1" customWidth="1"/>
    <col min="10" max="10" width="26" bestFit="1" customWidth="1"/>
    <col min="13" max="13" width="13" customWidth="1"/>
    <col min="14" max="14" width="14" customWidth="1"/>
    <col min="16" max="16" width="16.7109375" bestFit="1" customWidth="1"/>
    <col min="17" max="17" width="11.28515625" customWidth="1"/>
    <col min="21" max="21" width="13.7109375" customWidth="1"/>
    <col min="22" max="22" width="13.28515625" customWidth="1"/>
    <col min="23" max="23" width="13.140625" customWidth="1"/>
    <col min="24" max="24" width="14.28515625" customWidth="1"/>
  </cols>
  <sheetData>
    <row r="3" spans="2:25" ht="15.75" thickBot="1" x14ac:dyDescent="0.3">
      <c r="C3" s="60"/>
      <c r="D3" s="60"/>
      <c r="E3" s="60"/>
      <c r="N3" s="62" t="s">
        <v>48</v>
      </c>
      <c r="O3" s="62"/>
      <c r="V3" s="1" t="s">
        <v>1</v>
      </c>
      <c r="W3" s="1"/>
    </row>
    <row r="4" spans="2:25" ht="45.75" thickBot="1" x14ac:dyDescent="0.3">
      <c r="B4" s="3" t="s">
        <v>2</v>
      </c>
      <c r="C4" s="3" t="s">
        <v>3</v>
      </c>
      <c r="D4" s="3" t="s">
        <v>4</v>
      </c>
      <c r="E4" s="3" t="s">
        <v>47</v>
      </c>
      <c r="F4" s="3" t="s">
        <v>49</v>
      </c>
      <c r="G4" s="3" t="s">
        <v>7</v>
      </c>
      <c r="L4" s="3" t="s">
        <v>2</v>
      </c>
      <c r="M4" s="3" t="s">
        <v>50</v>
      </c>
      <c r="N4" s="3" t="s">
        <v>51</v>
      </c>
      <c r="O4" s="3" t="s">
        <v>47</v>
      </c>
      <c r="P4" s="3" t="s">
        <v>52</v>
      </c>
      <c r="Q4" s="3" t="s">
        <v>7</v>
      </c>
      <c r="R4" s="15"/>
      <c r="U4" s="16" t="s">
        <v>53</v>
      </c>
      <c r="V4" s="17" t="s">
        <v>9</v>
      </c>
      <c r="W4" s="16" t="s">
        <v>54</v>
      </c>
      <c r="X4" s="17" t="s">
        <v>9</v>
      </c>
    </row>
    <row r="5" spans="2:25" ht="15.75" thickBot="1" x14ac:dyDescent="0.3">
      <c r="B5" s="4" t="s">
        <v>12</v>
      </c>
      <c r="C5" s="7">
        <f>[1]Hatchery!C5+'[1]Feed mills'!C5+[1]Pond!C5</f>
        <v>678.02</v>
      </c>
      <c r="D5" s="7">
        <f>[1]Hatchery!D5+'[1]Feed mills'!D5+[1]Pond!D5</f>
        <v>0</v>
      </c>
      <c r="E5" s="8">
        <f>[1]Hatchery!E5+'[1]Feed mills'!E5+[1]Pond!E5+[1]Pond!F5</f>
        <v>17.5</v>
      </c>
      <c r="F5" s="9">
        <f>[1]Hatchery!F5+'[1]Feed mills'!F5+[1]Pond!G5</f>
        <v>0</v>
      </c>
      <c r="G5" s="11">
        <f>F5-D5-C5-E5</f>
        <v>-695.52</v>
      </c>
      <c r="J5" t="s">
        <v>62</v>
      </c>
      <c r="L5" s="4" t="s">
        <v>12</v>
      </c>
      <c r="M5" s="7">
        <f>C5*0.8</f>
        <v>542.41600000000005</v>
      </c>
      <c r="N5" s="7">
        <f>D5*1.2</f>
        <v>0</v>
      </c>
      <c r="O5" s="8">
        <v>17.5</v>
      </c>
      <c r="P5" s="9">
        <v>0</v>
      </c>
      <c r="Q5" s="11">
        <f>P5-O5-N5-M5</f>
        <v>-559.91600000000005</v>
      </c>
      <c r="U5" s="6">
        <f>(M5+N5+O5)*1.1</f>
        <v>615.90760000000012</v>
      </c>
      <c r="V5" s="18">
        <f>P5-U5</f>
        <v>-615.90760000000012</v>
      </c>
      <c r="W5" s="9">
        <v>0</v>
      </c>
      <c r="X5" s="18">
        <f>W5-O5-N5-M5</f>
        <v>-559.91600000000005</v>
      </c>
    </row>
    <row r="6" spans="2:25" ht="15.75" thickBot="1" x14ac:dyDescent="0.3">
      <c r="B6" s="4" t="s">
        <v>13</v>
      </c>
      <c r="C6" s="7">
        <f>[1]Hatchery!C6+'[1]Feed mills'!C6+[1]Pond!C6</f>
        <v>1687.68</v>
      </c>
      <c r="D6" s="7">
        <f>[1]Hatchery!D6+'[1]Feed mills'!D6+[1]Pond!D6+[1]Farmers!C5</f>
        <v>1240.1669999999999</v>
      </c>
      <c r="E6" s="8">
        <f>[1]Hatchery!E6+'[1]Feed mills'!E6+[1]Pond!E6+[1]Pond!F6</f>
        <v>18</v>
      </c>
      <c r="F6" s="9">
        <f>[1]Hatchery!F6+'[1]Feed mills'!F6+[1]Pond!G6+[1]Farmers!D5</f>
        <v>1920</v>
      </c>
      <c r="G6" s="11">
        <f>F6-D6-C6-E6</f>
        <v>-1025.847</v>
      </c>
      <c r="J6" t="s">
        <v>63</v>
      </c>
      <c r="L6" s="4" t="s">
        <v>13</v>
      </c>
      <c r="M6" s="7">
        <f t="shared" ref="M6:M31" si="0">C6*0.8</f>
        <v>1350.1440000000002</v>
      </c>
      <c r="N6" s="7">
        <f t="shared" ref="N6:N31" si="1">D6*1.2</f>
        <v>1488.2003999999999</v>
      </c>
      <c r="O6" s="8">
        <v>18</v>
      </c>
      <c r="P6" s="9">
        <v>1920</v>
      </c>
      <c r="Q6" s="11">
        <f t="shared" ref="Q6:Q31" si="2">P6-O6-N6-M6</f>
        <v>-936.34440000000018</v>
      </c>
      <c r="R6" s="14"/>
      <c r="U6" s="6">
        <f t="shared" ref="U6:U31" si="3">(M6+N6+O6)*1.1</f>
        <v>3141.9788400000002</v>
      </c>
      <c r="V6" s="18">
        <f t="shared" ref="V6:V31" si="4">P6-U6</f>
        <v>-1221.9788400000002</v>
      </c>
      <c r="W6" s="9">
        <v>1920</v>
      </c>
      <c r="X6" s="18">
        <f t="shared" ref="X6:X31" si="5">W6-O6-N6-M6</f>
        <v>-936.34440000000018</v>
      </c>
      <c r="Y6" s="14"/>
    </row>
    <row r="7" spans="2:25" ht="15.75" thickBot="1" x14ac:dyDescent="0.3">
      <c r="B7" s="4" t="s">
        <v>14</v>
      </c>
      <c r="C7" s="7">
        <f>[1]Hatchery!C7+'[1]Feed mills'!C7+[1]Pond!C7</f>
        <v>1475.6000000000001</v>
      </c>
      <c r="D7" s="7">
        <f>[1]Hatchery!D7+'[1]Feed mills'!D7+[1]Pond!D7+[1]Farmers!C6</f>
        <v>3397.6675</v>
      </c>
      <c r="E7" s="8">
        <f>[1]Hatchery!E7+'[1]Feed mills'!E7+[1]Pond!E7+[1]Pond!F7</f>
        <v>37.5</v>
      </c>
      <c r="F7" s="9">
        <f>[1]Hatchery!F7+'[1]Feed mills'!F7+[1]Pond!G7+[1]Farmers!D6</f>
        <v>5535.1</v>
      </c>
      <c r="G7" s="11">
        <f t="shared" ref="G7:G31" si="6">F7-D7-C7-E7</f>
        <v>624.33250000000021</v>
      </c>
      <c r="L7" s="4" t="s">
        <v>14</v>
      </c>
      <c r="M7" s="7">
        <f t="shared" si="0"/>
        <v>1180.4800000000002</v>
      </c>
      <c r="N7" s="7">
        <f t="shared" si="1"/>
        <v>4077.201</v>
      </c>
      <c r="O7" s="8">
        <v>37.5</v>
      </c>
      <c r="P7" s="9">
        <f>[1]Hatchery!F7+'[1]Feed mills'!F7+[1]Pond!G7+(35.486*420)</f>
        <v>15639.22</v>
      </c>
      <c r="Q7" s="11">
        <f t="shared" si="2"/>
        <v>10344.039000000001</v>
      </c>
      <c r="R7" s="14"/>
      <c r="U7" s="6">
        <f t="shared" si="3"/>
        <v>5824.6991000000007</v>
      </c>
      <c r="V7" s="18">
        <f t="shared" si="4"/>
        <v>9814.5208999999995</v>
      </c>
      <c r="W7" s="6">
        <f>[1]Hatchery!F7+'[1]Feed mills'!F7+[1]Pond!G7+(35.486*420*0.9)</f>
        <v>14148.807999999999</v>
      </c>
      <c r="X7" s="18">
        <f t="shared" si="5"/>
        <v>8853.6270000000004</v>
      </c>
      <c r="Y7" s="14"/>
    </row>
    <row r="8" spans="2:25" ht="15.75" thickBot="1" x14ac:dyDescent="0.3">
      <c r="B8" s="4" t="s">
        <v>15</v>
      </c>
      <c r="C8" s="7">
        <f>[1]Hatchery!C8+'[1]Feed mills'!C8+[1]Pond!C8</f>
        <v>1512.4</v>
      </c>
      <c r="D8" s="7">
        <f>[1]Hatchery!D8+'[1]Feed mills'!D8+[1]Pond!D8+[1]Farmers!C7</f>
        <v>5844.7479999999996</v>
      </c>
      <c r="E8" s="8">
        <f>[1]Hatchery!E8+'[1]Feed mills'!E8+[1]Pond!E8+[1]Pond!F8</f>
        <v>53.25</v>
      </c>
      <c r="F8" s="9">
        <f>[1]Hatchery!F8+'[1]Feed mills'!F8+[1]Pond!G8+[1]Farmers!D7</f>
        <v>9517.6</v>
      </c>
      <c r="G8" s="11">
        <f t="shared" si="6"/>
        <v>2107.2020000000007</v>
      </c>
      <c r="L8" s="4" t="s">
        <v>15</v>
      </c>
      <c r="M8" s="7">
        <f t="shared" si="0"/>
        <v>1209.92</v>
      </c>
      <c r="N8" s="7">
        <f t="shared" si="1"/>
        <v>7013.6975999999995</v>
      </c>
      <c r="O8" s="8">
        <v>53.25</v>
      </c>
      <c r="P8" s="9">
        <f>[1]Hatchery!F8+'[1]Feed mills'!F8+[1]Pond!G8+(35.486*1050)</f>
        <v>39097.899999999994</v>
      </c>
      <c r="Q8" s="11">
        <f t="shared" si="2"/>
        <v>30821.032399999996</v>
      </c>
      <c r="R8" s="14"/>
      <c r="U8" s="6">
        <f t="shared" si="3"/>
        <v>9104.5543600000001</v>
      </c>
      <c r="V8" s="18">
        <f t="shared" si="4"/>
        <v>29993.345639999992</v>
      </c>
      <c r="W8" s="6">
        <f>[1]Hatchery!F8+'[1]Feed mills'!F8+[1]Pond!G8+(35.486*1050*0.9)</f>
        <v>35371.869999999995</v>
      </c>
      <c r="X8" s="18">
        <f t="shared" si="5"/>
        <v>27095.002399999998</v>
      </c>
      <c r="Y8" s="14"/>
    </row>
    <row r="9" spans="2:25" ht="15.75" thickBot="1" x14ac:dyDescent="0.3">
      <c r="B9" s="4" t="s">
        <v>16</v>
      </c>
      <c r="C9" s="7">
        <f>[1]Hatchery!C9+'[1]Feed mills'!C9+[1]Pond!C9</f>
        <v>1741.7</v>
      </c>
      <c r="D9" s="7">
        <f>[1]Hatchery!D9+'[1]Feed mills'!D9+[1]Pond!D9+[1]Farmers!C8</f>
        <v>8269.0285000000003</v>
      </c>
      <c r="E9" s="8">
        <f>[1]Hatchery!E9+'[1]Feed mills'!E9+[1]Pond!E9+[1]Pond!F9</f>
        <v>69</v>
      </c>
      <c r="F9" s="9">
        <f>[1]Hatchery!F9+'[1]Feed mills'!F9+[1]Pond!G9+[1]Farmers!D8</f>
        <v>13500.2</v>
      </c>
      <c r="G9" s="11">
        <f t="shared" si="6"/>
        <v>3420.4715000000006</v>
      </c>
      <c r="L9" s="4" t="s">
        <v>16</v>
      </c>
      <c r="M9" s="7">
        <f t="shared" si="0"/>
        <v>1393.3600000000001</v>
      </c>
      <c r="N9" s="7">
        <f t="shared" si="1"/>
        <v>9922.8341999999993</v>
      </c>
      <c r="O9" s="8">
        <v>69</v>
      </c>
      <c r="P9" s="9">
        <f>[1]Hatchery!F9+'[1]Feed mills'!F9+[1]Pond!G9+(35.486*1680)</f>
        <v>62556.679999999993</v>
      </c>
      <c r="Q9" s="11">
        <f t="shared" si="2"/>
        <v>51171.485799999995</v>
      </c>
      <c r="R9" s="14"/>
      <c r="U9" s="6">
        <f t="shared" si="3"/>
        <v>12523.71362</v>
      </c>
      <c r="V9" s="18">
        <f t="shared" si="4"/>
        <v>50032.966379999991</v>
      </c>
      <c r="W9" s="6">
        <f>[1]Hatchery!F9+'[1]Feed mills'!F9+[1]Pond!G9+(35.486*1680*0.9)</f>
        <v>56595.031999999992</v>
      </c>
      <c r="X9" s="18">
        <f t="shared" si="5"/>
        <v>45209.837799999994</v>
      </c>
      <c r="Y9" s="14"/>
    </row>
    <row r="10" spans="2:25" ht="15.75" thickBot="1" x14ac:dyDescent="0.3">
      <c r="B10" s="4" t="s">
        <v>17</v>
      </c>
      <c r="C10" s="7">
        <f>[1]Hatchery!C10+'[1]Feed mills'!C10+[1]Pond!C10</f>
        <v>1201.9000000000001</v>
      </c>
      <c r="D10" s="7">
        <f>[1]Hatchery!D10+'[1]Feed mills'!D10+[1]Pond!D10+[1]Farmers!C9</f>
        <v>11271.762500000001</v>
      </c>
      <c r="E10" s="8">
        <f>[1]Hatchery!E10+'[1]Feed mills'!E10+[1]Pond!E10+[1]Pond!F10</f>
        <v>93.75</v>
      </c>
      <c r="F10" s="9">
        <f>[1]Hatchery!F10+'[1]Feed mills'!F10+[1]Pond!G10+[1]Farmers!D9</f>
        <v>18442.849999999999</v>
      </c>
      <c r="G10" s="11">
        <f t="shared" si="6"/>
        <v>5875.4374999999982</v>
      </c>
      <c r="L10" s="4" t="s">
        <v>17</v>
      </c>
      <c r="M10" s="7">
        <f t="shared" si="0"/>
        <v>961.5200000000001</v>
      </c>
      <c r="N10" s="7">
        <f t="shared" si="1"/>
        <v>13526.115</v>
      </c>
      <c r="O10" s="8">
        <v>93.75</v>
      </c>
      <c r="P10" s="9">
        <f>[1]Hatchery!F10+'[1]Feed mills'!F10+[1]Pond!G10+(35.486*2310)</f>
        <v>86015.51</v>
      </c>
      <c r="Q10" s="11">
        <f t="shared" si="2"/>
        <v>71434.124999999985</v>
      </c>
      <c r="R10" s="14"/>
      <c r="U10" s="6">
        <f t="shared" si="3"/>
        <v>16039.523500000001</v>
      </c>
      <c r="V10" s="18">
        <f t="shared" si="4"/>
        <v>69975.986499999999</v>
      </c>
      <c r="W10" s="6">
        <f>[1]Hatchery!F10+'[1]Feed mills'!F10+[1]Pond!G10+(35.486*2310*0.9)</f>
        <v>77818.243999999992</v>
      </c>
      <c r="X10" s="18">
        <f t="shared" si="5"/>
        <v>63236.858999999997</v>
      </c>
      <c r="Y10" s="14"/>
    </row>
    <row r="11" spans="2:25" ht="15.75" thickBot="1" x14ac:dyDescent="0.3">
      <c r="B11" s="4" t="s">
        <v>18</v>
      </c>
      <c r="C11" s="7">
        <f>[1]Hatchery!C11+'[1]Feed mills'!C11+[1]Pond!C11</f>
        <v>0</v>
      </c>
      <c r="D11" s="7">
        <f>[1]Hatchery!D11+'[1]Feed mills'!D11+[1]Pond!D11+[1]Farmers!C10</f>
        <v>12502.752500000001</v>
      </c>
      <c r="E11" s="8">
        <f>[1]Hatchery!E11+'[1]Feed mills'!E11+[1]Pond!E11+[1]Pond!F11</f>
        <v>83.0625</v>
      </c>
      <c r="F11" s="9">
        <f>[1]Hatchery!F11+'[1]Feed mills'!F11+[1]Pond!G11+[1]Farmers!D10</f>
        <v>20158.760000000002</v>
      </c>
      <c r="G11" s="11">
        <f t="shared" si="6"/>
        <v>7572.9450000000015</v>
      </c>
      <c r="L11" s="4" t="s">
        <v>18</v>
      </c>
      <c r="M11" s="7">
        <f t="shared" si="0"/>
        <v>0</v>
      </c>
      <c r="N11" s="7">
        <f t="shared" si="1"/>
        <v>15003.303</v>
      </c>
      <c r="O11" s="8">
        <v>83.0625</v>
      </c>
      <c r="P11" s="9">
        <f>[1]Hatchery!F11+'[1]Feed mills'!F11+[1]Pond!G11+(35.486*3150)</f>
        <v>117539.65999999999</v>
      </c>
      <c r="Q11" s="11">
        <f t="shared" si="2"/>
        <v>102453.29449999999</v>
      </c>
      <c r="R11" s="14"/>
      <c r="U11" s="6">
        <f t="shared" si="3"/>
        <v>16595.002050000003</v>
      </c>
      <c r="V11" s="18">
        <f t="shared" si="4"/>
        <v>100944.65794999999</v>
      </c>
      <c r="W11" s="6">
        <f>[1]Hatchery!F11+'[1]Feed mills'!F11+[1]Pond!G11+(35.486*3150*0.9)</f>
        <v>106361.56999999999</v>
      </c>
      <c r="X11" s="18">
        <f t="shared" si="5"/>
        <v>91275.204499999993</v>
      </c>
      <c r="Y11" s="14"/>
    </row>
    <row r="12" spans="2:25" ht="15.75" thickBot="1" x14ac:dyDescent="0.3">
      <c r="B12" s="4" t="s">
        <v>19</v>
      </c>
      <c r="C12" s="7">
        <f>[1]Hatchery!C12+'[1]Feed mills'!C12+[1]Pond!C12</f>
        <v>168</v>
      </c>
      <c r="D12" s="7">
        <f>[1]Hatchery!D12+'[1]Feed mills'!D12+[1]Pond!D12+[1]Farmers!C11</f>
        <v>12466.752500000001</v>
      </c>
      <c r="E12" s="8">
        <f>[1]Hatchery!E12+'[1]Feed mills'!E12+[1]Pond!E12+[1]Pond!F12</f>
        <v>83.0625</v>
      </c>
      <c r="F12" s="9">
        <f>[1]Hatchery!F12+'[1]Feed mills'!F12+[1]Pond!G12+[1]Farmers!D11</f>
        <v>20158.760000000002</v>
      </c>
      <c r="G12" s="11">
        <f>F12-D12-C12-E12</f>
        <v>7440.9450000000015</v>
      </c>
      <c r="L12" s="4" t="s">
        <v>19</v>
      </c>
      <c r="M12" s="7">
        <f t="shared" si="0"/>
        <v>134.4</v>
      </c>
      <c r="N12" s="7">
        <f t="shared" si="1"/>
        <v>14960.102999999999</v>
      </c>
      <c r="O12" s="8">
        <v>83.0625</v>
      </c>
      <c r="P12" s="9">
        <f>[1]Hatchery!F12+'[1]Feed mills'!F12+[1]Pond!G12+(35.486*3150)</f>
        <v>117539.65999999999</v>
      </c>
      <c r="Q12" s="11">
        <f t="shared" si="2"/>
        <v>102362.09449999999</v>
      </c>
      <c r="R12" s="14"/>
      <c r="U12" s="6">
        <f t="shared" si="3"/>
        <v>16695.322049999999</v>
      </c>
      <c r="V12" s="18">
        <f t="shared" si="4"/>
        <v>100844.33794999999</v>
      </c>
      <c r="W12" s="6">
        <f>[1]Hatchery!F12+'[1]Feed mills'!F12+[1]Pond!G12+(35.486*3150*0.9)</f>
        <v>106361.56999999999</v>
      </c>
      <c r="X12" s="18">
        <f t="shared" si="5"/>
        <v>91184.004499999995</v>
      </c>
      <c r="Y12" s="14"/>
    </row>
    <row r="13" spans="2:25" ht="15.75" thickBot="1" x14ac:dyDescent="0.3">
      <c r="B13" s="4" t="s">
        <v>20</v>
      </c>
      <c r="C13" s="7">
        <f>[1]Hatchery!C13+'[1]Feed mills'!C13+[1]Pond!C13</f>
        <v>0</v>
      </c>
      <c r="D13" s="7">
        <f>[1]Hatchery!D13+'[1]Feed mills'!D13+[1]Pond!D13+[1]Farmers!C12</f>
        <v>12466.752500000001</v>
      </c>
      <c r="E13" s="8">
        <f>[1]Hatchery!E13+'[1]Feed mills'!E13+[1]Pond!E13+[1]Pond!F13</f>
        <v>83.0625</v>
      </c>
      <c r="F13" s="9">
        <f>[1]Hatchery!F13+'[1]Feed mills'!F13+[1]Pond!G13+[1]Farmers!D12</f>
        <v>20158.760000000002</v>
      </c>
      <c r="G13" s="11">
        <f t="shared" si="6"/>
        <v>7608.9450000000015</v>
      </c>
      <c r="L13" s="4" t="s">
        <v>20</v>
      </c>
      <c r="M13" s="7">
        <f t="shared" si="0"/>
        <v>0</v>
      </c>
      <c r="N13" s="7">
        <f t="shared" si="1"/>
        <v>14960.102999999999</v>
      </c>
      <c r="O13" s="8">
        <v>83.0625</v>
      </c>
      <c r="P13" s="9">
        <f>[1]Hatchery!F13+'[1]Feed mills'!F13+[1]Pond!G13+(35.486*3150)</f>
        <v>117539.65999999999</v>
      </c>
      <c r="Q13" s="11">
        <f t="shared" si="2"/>
        <v>102496.49449999999</v>
      </c>
      <c r="R13" s="14"/>
      <c r="U13" s="6">
        <f t="shared" si="3"/>
        <v>16547.482049999999</v>
      </c>
      <c r="V13" s="18">
        <f t="shared" si="4"/>
        <v>100992.17794999998</v>
      </c>
      <c r="W13" s="6">
        <f>[1]Hatchery!F13+'[1]Feed mills'!F13+[1]Pond!G13+(35.486*3150*0.9)</f>
        <v>106361.56999999999</v>
      </c>
      <c r="X13" s="18">
        <f t="shared" si="5"/>
        <v>91318.40449999999</v>
      </c>
      <c r="Y13" s="14"/>
    </row>
    <row r="14" spans="2:25" ht="15.75" thickBot="1" x14ac:dyDescent="0.3">
      <c r="B14" s="4" t="s">
        <v>21</v>
      </c>
      <c r="C14" s="7">
        <f>[1]Hatchery!C14+'[1]Feed mills'!C14+[1]Pond!C14</f>
        <v>0</v>
      </c>
      <c r="D14" s="7">
        <f>[1]Hatchery!D14+'[1]Feed mills'!D14+[1]Pond!D14+[1]Farmers!C13</f>
        <v>12466.752500000001</v>
      </c>
      <c r="E14" s="8">
        <f>[1]Hatchery!E14+'[1]Feed mills'!E14+[1]Pond!E14+[1]Pond!F14</f>
        <v>83.0625</v>
      </c>
      <c r="F14" s="9">
        <f>[1]Hatchery!F14+'[1]Feed mills'!F14+[1]Pond!G14+[1]Farmers!D13</f>
        <v>20158.760000000002</v>
      </c>
      <c r="G14" s="11">
        <f t="shared" si="6"/>
        <v>7608.9450000000015</v>
      </c>
      <c r="L14" s="4" t="s">
        <v>21</v>
      </c>
      <c r="M14" s="7">
        <f t="shared" si="0"/>
        <v>0</v>
      </c>
      <c r="N14" s="7">
        <f t="shared" si="1"/>
        <v>14960.102999999999</v>
      </c>
      <c r="O14" s="8">
        <v>83.0625</v>
      </c>
      <c r="P14" s="9">
        <f>[1]Hatchery!F14+'[1]Feed mills'!F14+[1]Pond!G14+(35.486*3150)</f>
        <v>117539.65999999999</v>
      </c>
      <c r="Q14" s="11">
        <f t="shared" si="2"/>
        <v>102496.49449999999</v>
      </c>
      <c r="R14" s="14"/>
      <c r="U14" s="6">
        <f t="shared" si="3"/>
        <v>16547.482049999999</v>
      </c>
      <c r="V14" s="18">
        <f t="shared" si="4"/>
        <v>100992.17794999998</v>
      </c>
      <c r="W14" s="6">
        <f>[1]Hatchery!F14+'[1]Feed mills'!F14+[1]Pond!G14+(35.486*3150*0.9)</f>
        <v>106361.56999999999</v>
      </c>
      <c r="X14" s="18">
        <f t="shared" si="5"/>
        <v>91318.40449999999</v>
      </c>
      <c r="Y14" s="14"/>
    </row>
    <row r="15" spans="2:25" ht="15.75" thickBot="1" x14ac:dyDescent="0.3">
      <c r="B15" s="4" t="s">
        <v>22</v>
      </c>
      <c r="C15" s="7">
        <f>[1]Hatchery!C15+'[1]Feed mills'!C15+[1]Pond!C15</f>
        <v>0</v>
      </c>
      <c r="D15" s="7">
        <f>[1]Hatchery!D15+'[1]Feed mills'!D15+[1]Pond!D15+[1]Farmers!C14</f>
        <v>12466.752500000001</v>
      </c>
      <c r="E15" s="8">
        <f>[1]Hatchery!E15+'[1]Feed mills'!E15+[1]Pond!E15+[1]Pond!F15</f>
        <v>83.0625</v>
      </c>
      <c r="F15" s="9">
        <f>[1]Hatchery!F15+'[1]Feed mills'!F15+[1]Pond!G15+[1]Farmers!D14</f>
        <v>20158.760000000002</v>
      </c>
      <c r="G15" s="11">
        <f t="shared" si="6"/>
        <v>7608.9450000000015</v>
      </c>
      <c r="L15" s="4" t="s">
        <v>22</v>
      </c>
      <c r="M15" s="7">
        <f t="shared" si="0"/>
        <v>0</v>
      </c>
      <c r="N15" s="7">
        <f t="shared" si="1"/>
        <v>14960.102999999999</v>
      </c>
      <c r="O15" s="8">
        <v>83.0625</v>
      </c>
      <c r="P15" s="9">
        <f>[1]Hatchery!F15+'[1]Feed mills'!F15+[1]Pond!G15+(35.486*3150)</f>
        <v>117539.65999999999</v>
      </c>
      <c r="Q15" s="11">
        <f t="shared" si="2"/>
        <v>102496.49449999999</v>
      </c>
      <c r="R15" s="14"/>
      <c r="U15" s="6">
        <f t="shared" si="3"/>
        <v>16547.482049999999</v>
      </c>
      <c r="V15" s="18">
        <f t="shared" si="4"/>
        <v>100992.17794999998</v>
      </c>
      <c r="W15" s="6">
        <f>[1]Hatchery!F15+'[1]Feed mills'!F15+[1]Pond!G15+(35.486*3150*0.9)</f>
        <v>106361.56999999999</v>
      </c>
      <c r="X15" s="18">
        <f t="shared" si="5"/>
        <v>91318.40449999999</v>
      </c>
      <c r="Y15" s="14"/>
    </row>
    <row r="16" spans="2:25" ht="15.75" thickBot="1" x14ac:dyDescent="0.3">
      <c r="B16" s="4" t="s">
        <v>23</v>
      </c>
      <c r="C16" s="7">
        <f>[1]Hatchery!C16+'[1]Feed mills'!C16+[1]Pond!C16</f>
        <v>0</v>
      </c>
      <c r="D16" s="7">
        <f>[1]Hatchery!D16+'[1]Feed mills'!D16+[1]Pond!D16+[1]Farmers!C15</f>
        <v>12466.752500000001</v>
      </c>
      <c r="E16" s="8">
        <f>[1]Hatchery!E16+'[1]Feed mills'!E16+[1]Pond!E16+[1]Pond!F16</f>
        <v>83.0625</v>
      </c>
      <c r="F16" s="9">
        <f>[1]Hatchery!F16+'[1]Feed mills'!F16+[1]Pond!G16+[1]Farmers!D15</f>
        <v>20158.760000000002</v>
      </c>
      <c r="G16" s="11">
        <f t="shared" si="6"/>
        <v>7608.9450000000015</v>
      </c>
      <c r="L16" s="4" t="s">
        <v>23</v>
      </c>
      <c r="M16" s="7">
        <f t="shared" si="0"/>
        <v>0</v>
      </c>
      <c r="N16" s="7">
        <f t="shared" si="1"/>
        <v>14960.102999999999</v>
      </c>
      <c r="O16" s="8">
        <v>83.0625</v>
      </c>
      <c r="P16" s="9">
        <f>[1]Hatchery!F16+'[1]Feed mills'!F16+[1]Pond!G16+(35.486*3150)</f>
        <v>117539.65999999999</v>
      </c>
      <c r="Q16" s="11">
        <f t="shared" si="2"/>
        <v>102496.49449999999</v>
      </c>
      <c r="R16" s="14"/>
      <c r="U16" s="6">
        <f>(M16+N16+O16)*1.1</f>
        <v>16547.482049999999</v>
      </c>
      <c r="V16" s="18">
        <f>P16-U16</f>
        <v>100992.17794999998</v>
      </c>
      <c r="W16" s="6">
        <f>[1]Hatchery!F16+'[1]Feed mills'!F16+[1]Pond!G16+(35.486*3150*0.9)</f>
        <v>106361.56999999999</v>
      </c>
      <c r="X16" s="18">
        <f>W16-O16-N16-M16</f>
        <v>91318.40449999999</v>
      </c>
      <c r="Y16" s="14"/>
    </row>
    <row r="17" spans="2:25" ht="15.75" thickBot="1" x14ac:dyDescent="0.3">
      <c r="B17" s="4" t="s">
        <v>24</v>
      </c>
      <c r="C17" s="7">
        <f>[1]Hatchery!C17+'[1]Feed mills'!C17+[1]Pond!C17</f>
        <v>0</v>
      </c>
      <c r="D17" s="7">
        <f>[1]Hatchery!D17+'[1]Feed mills'!D17+[1]Pond!D17+[1]Farmers!C16</f>
        <v>12466.752500000001</v>
      </c>
      <c r="E17" s="8">
        <f>[1]Hatchery!E17+'[1]Feed mills'!E17+[1]Pond!E17+[1]Pond!F17</f>
        <v>83.0625</v>
      </c>
      <c r="F17" s="9">
        <f>[1]Hatchery!F17+'[1]Feed mills'!F17+[1]Pond!G17+[1]Farmers!D16</f>
        <v>20158.760000000002</v>
      </c>
      <c r="G17" s="11">
        <f t="shared" si="6"/>
        <v>7608.9450000000015</v>
      </c>
      <c r="L17" s="4" t="s">
        <v>24</v>
      </c>
      <c r="M17" s="7">
        <f t="shared" si="0"/>
        <v>0</v>
      </c>
      <c r="N17" s="7">
        <f t="shared" si="1"/>
        <v>14960.102999999999</v>
      </c>
      <c r="O17" s="8">
        <v>83.0625</v>
      </c>
      <c r="P17" s="9">
        <f>[1]Hatchery!F17+'[1]Feed mills'!F17+[1]Pond!G17+(35.486*3150)</f>
        <v>117539.65999999999</v>
      </c>
      <c r="Q17" s="11">
        <f t="shared" si="2"/>
        <v>102496.49449999999</v>
      </c>
      <c r="R17" s="14"/>
      <c r="U17" s="6">
        <f t="shared" si="3"/>
        <v>16547.482049999999</v>
      </c>
      <c r="V17" s="18">
        <f t="shared" si="4"/>
        <v>100992.17794999998</v>
      </c>
      <c r="W17" s="6">
        <f>[1]Hatchery!F17+'[1]Feed mills'!F17+[1]Pond!G17+(35.486*3150*0.9)</f>
        <v>106361.56999999999</v>
      </c>
      <c r="X17" s="18">
        <f t="shared" si="5"/>
        <v>91318.40449999999</v>
      </c>
      <c r="Y17" s="14"/>
    </row>
    <row r="18" spans="2:25" ht="15.75" thickBot="1" x14ac:dyDescent="0.3">
      <c r="B18" s="4" t="s">
        <v>25</v>
      </c>
      <c r="C18" s="7">
        <f>[1]Hatchery!C18+'[1]Feed mills'!C18+[1]Pond!C18</f>
        <v>0</v>
      </c>
      <c r="D18" s="7">
        <f>[1]Hatchery!D18+'[1]Feed mills'!D18+[1]Pond!D18+[1]Farmers!C17</f>
        <v>12466.752500000001</v>
      </c>
      <c r="E18" s="8">
        <f>[1]Hatchery!E18+'[1]Feed mills'!E18+[1]Pond!E18+[1]Pond!F18</f>
        <v>83.0625</v>
      </c>
      <c r="F18" s="9">
        <f>[1]Hatchery!F18+'[1]Feed mills'!F18+[1]Pond!G18+[1]Farmers!D17</f>
        <v>20158.760000000002</v>
      </c>
      <c r="G18" s="11">
        <f t="shared" si="6"/>
        <v>7608.9450000000015</v>
      </c>
      <c r="L18" s="4" t="s">
        <v>25</v>
      </c>
      <c r="M18" s="7">
        <f t="shared" si="0"/>
        <v>0</v>
      </c>
      <c r="N18" s="7">
        <f t="shared" si="1"/>
        <v>14960.102999999999</v>
      </c>
      <c r="O18" s="8">
        <v>83.0625</v>
      </c>
      <c r="P18" s="9">
        <f>[1]Hatchery!F18+'[1]Feed mills'!F18+[1]Pond!G18+(35.486*3150)</f>
        <v>117539.65999999999</v>
      </c>
      <c r="Q18" s="11">
        <f t="shared" si="2"/>
        <v>102496.49449999999</v>
      </c>
      <c r="R18" s="14"/>
      <c r="U18" s="6">
        <f t="shared" si="3"/>
        <v>16547.482049999999</v>
      </c>
      <c r="V18" s="18">
        <f t="shared" si="4"/>
        <v>100992.17794999998</v>
      </c>
      <c r="W18" s="6">
        <f>[1]Hatchery!F18+'[1]Feed mills'!F18+[1]Pond!G18+(35.486*3150*0.9)</f>
        <v>106361.56999999999</v>
      </c>
      <c r="X18" s="18">
        <f t="shared" si="5"/>
        <v>91318.40449999999</v>
      </c>
      <c r="Y18" s="14"/>
    </row>
    <row r="19" spans="2:25" ht="15.75" thickBot="1" x14ac:dyDescent="0.3">
      <c r="B19" s="4" t="s">
        <v>26</v>
      </c>
      <c r="C19" s="7">
        <f>[1]Hatchery!C19+'[1]Feed mills'!C19+[1]Pond!C19</f>
        <v>0</v>
      </c>
      <c r="D19" s="7">
        <f>[1]Hatchery!D19+'[1]Feed mills'!D19+[1]Pond!D19+[1]Farmers!C18</f>
        <v>12466.752500000001</v>
      </c>
      <c r="E19" s="8">
        <f>[1]Hatchery!E19+'[1]Feed mills'!E19+[1]Pond!E19+[1]Pond!F19</f>
        <v>83.0625</v>
      </c>
      <c r="F19" s="9">
        <f>[1]Hatchery!F19+'[1]Feed mills'!F19+[1]Pond!G19+[1]Farmers!D18</f>
        <v>20158.760000000002</v>
      </c>
      <c r="G19" s="11">
        <f t="shared" si="6"/>
        <v>7608.9450000000015</v>
      </c>
      <c r="L19" s="4" t="s">
        <v>26</v>
      </c>
      <c r="M19" s="7">
        <f t="shared" si="0"/>
        <v>0</v>
      </c>
      <c r="N19" s="7">
        <f t="shared" si="1"/>
        <v>14960.102999999999</v>
      </c>
      <c r="O19" s="8">
        <v>83.0625</v>
      </c>
      <c r="P19" s="9">
        <f>[1]Hatchery!F19+'[1]Feed mills'!F19+[1]Pond!G19+(35.486*3150)</f>
        <v>117539.65999999999</v>
      </c>
      <c r="Q19" s="11">
        <f t="shared" si="2"/>
        <v>102496.49449999999</v>
      </c>
      <c r="R19" s="14"/>
      <c r="U19" s="6">
        <f t="shared" si="3"/>
        <v>16547.482049999999</v>
      </c>
      <c r="V19" s="18">
        <f t="shared" si="4"/>
        <v>100992.17794999998</v>
      </c>
      <c r="W19" s="6">
        <f>[1]Hatchery!F19+'[1]Feed mills'!F19+[1]Pond!G19+(35.486*3150*0.9)</f>
        <v>106361.56999999999</v>
      </c>
      <c r="X19" s="18">
        <f t="shared" si="5"/>
        <v>91318.40449999999</v>
      </c>
      <c r="Y19" s="14"/>
    </row>
    <row r="20" spans="2:25" ht="15.75" thickBot="1" x14ac:dyDescent="0.3">
      <c r="B20" s="4" t="s">
        <v>27</v>
      </c>
      <c r="C20" s="7">
        <f>[1]Hatchery!C20+'[1]Feed mills'!C20+[1]Pond!C20</f>
        <v>155</v>
      </c>
      <c r="D20" s="7">
        <f>[1]Hatchery!D20+'[1]Feed mills'!D20+[1]Pond!D20+[1]Farmers!C19</f>
        <v>12466.752500000001</v>
      </c>
      <c r="E20" s="8">
        <f>[1]Hatchery!E20+'[1]Feed mills'!E20+[1]Pond!E20+[1]Pond!F20</f>
        <v>83.0625</v>
      </c>
      <c r="F20" s="9">
        <f>[1]Hatchery!F20+'[1]Feed mills'!F20+[1]Pond!G20+[1]Farmers!D19</f>
        <v>20158.760000000002</v>
      </c>
      <c r="G20" s="11">
        <f t="shared" si="6"/>
        <v>7453.9450000000015</v>
      </c>
      <c r="L20" s="4" t="s">
        <v>27</v>
      </c>
      <c r="M20" s="7">
        <f t="shared" si="0"/>
        <v>124</v>
      </c>
      <c r="N20" s="7">
        <f t="shared" si="1"/>
        <v>14960.102999999999</v>
      </c>
      <c r="O20" s="8">
        <v>83.0625</v>
      </c>
      <c r="P20" s="9">
        <f>[1]Hatchery!F20+'[1]Feed mills'!F20+[1]Pond!G20+(35.486*3150)</f>
        <v>117539.65999999999</v>
      </c>
      <c r="Q20" s="11">
        <f t="shared" si="2"/>
        <v>102372.49449999999</v>
      </c>
      <c r="R20" s="14"/>
      <c r="U20" s="6">
        <f t="shared" si="3"/>
        <v>16683.88205</v>
      </c>
      <c r="V20" s="18">
        <f t="shared" si="4"/>
        <v>100855.77794999999</v>
      </c>
      <c r="W20" s="6">
        <f>[1]Hatchery!F20+'[1]Feed mills'!F20+[1]Pond!G20+(35.486*3150*0.9)</f>
        <v>106361.56999999999</v>
      </c>
      <c r="X20" s="18">
        <f t="shared" si="5"/>
        <v>91194.40449999999</v>
      </c>
      <c r="Y20" s="14"/>
    </row>
    <row r="21" spans="2:25" ht="15.75" thickBot="1" x14ac:dyDescent="0.3">
      <c r="B21" s="4" t="s">
        <v>28</v>
      </c>
      <c r="C21" s="7">
        <f>[1]Hatchery!C21+'[1]Feed mills'!C21+[1]Pond!C21</f>
        <v>259.39999999999998</v>
      </c>
      <c r="D21" s="7">
        <f>[1]Hatchery!D21+'[1]Feed mills'!D21+[1]Pond!D21+[1]Farmers!C20</f>
        <v>12466.752500000001</v>
      </c>
      <c r="E21" s="8">
        <f>[1]Hatchery!E21+'[1]Feed mills'!E21+[1]Pond!E21+[1]Pond!F21</f>
        <v>83.0625</v>
      </c>
      <c r="F21" s="9">
        <f>[1]Hatchery!F21+'[1]Feed mills'!F21+[1]Pond!G21+[1]Farmers!D20</f>
        <v>20158.760000000002</v>
      </c>
      <c r="G21" s="11">
        <f t="shared" si="6"/>
        <v>7349.5450000000019</v>
      </c>
      <c r="L21" s="4" t="s">
        <v>28</v>
      </c>
      <c r="M21" s="7">
        <f t="shared" si="0"/>
        <v>207.51999999999998</v>
      </c>
      <c r="N21" s="7">
        <f t="shared" si="1"/>
        <v>14960.102999999999</v>
      </c>
      <c r="O21" s="8">
        <v>83.0625</v>
      </c>
      <c r="P21" s="9">
        <f>[1]Hatchery!F21+'[1]Feed mills'!F21+[1]Pond!G21+(35.486*3150)</f>
        <v>117539.65999999999</v>
      </c>
      <c r="Q21" s="11">
        <f t="shared" si="2"/>
        <v>102288.97449999998</v>
      </c>
      <c r="R21" s="14"/>
      <c r="U21" s="6">
        <f t="shared" si="3"/>
        <v>16775.75405</v>
      </c>
      <c r="V21" s="18">
        <f t="shared" si="4"/>
        <v>100763.90594999999</v>
      </c>
      <c r="W21" s="6">
        <f>[1]Hatchery!F21+'[1]Feed mills'!F21+[1]Pond!G21+(35.486*3150*0.9)</f>
        <v>106361.56999999999</v>
      </c>
      <c r="X21" s="18">
        <f t="shared" si="5"/>
        <v>91110.884499999986</v>
      </c>
      <c r="Y21" s="14"/>
    </row>
    <row r="22" spans="2:25" ht="15.75" thickBot="1" x14ac:dyDescent="0.3">
      <c r="B22" s="4" t="s">
        <v>29</v>
      </c>
      <c r="C22" s="7">
        <f>[1]Hatchery!C22+'[1]Feed mills'!C22+[1]Pond!C22</f>
        <v>610.80000000000007</v>
      </c>
      <c r="D22" s="7">
        <f>[1]Hatchery!D22+'[1]Feed mills'!D22+[1]Pond!D22+[1]Farmers!C21</f>
        <v>12466.752500000001</v>
      </c>
      <c r="E22" s="8">
        <f>[1]Hatchery!E22+'[1]Feed mills'!E22+[1]Pond!E22+[1]Pond!F22</f>
        <v>83.0625</v>
      </c>
      <c r="F22" s="9">
        <f>[1]Hatchery!F22+'[1]Feed mills'!F22+[1]Pond!G22+[1]Farmers!D21</f>
        <v>20158.760000000002</v>
      </c>
      <c r="G22" s="11">
        <f t="shared" si="6"/>
        <v>6998.1450000000013</v>
      </c>
      <c r="L22" s="4" t="s">
        <v>29</v>
      </c>
      <c r="M22" s="7">
        <f t="shared" si="0"/>
        <v>488.6400000000001</v>
      </c>
      <c r="N22" s="7">
        <f t="shared" si="1"/>
        <v>14960.102999999999</v>
      </c>
      <c r="O22" s="8">
        <v>83.0625</v>
      </c>
      <c r="P22" s="9">
        <f>[1]Hatchery!F22+'[1]Feed mills'!F22+[1]Pond!G22+(35.486*3150)</f>
        <v>117539.65999999999</v>
      </c>
      <c r="Q22" s="11">
        <f t="shared" si="2"/>
        <v>102007.85449999999</v>
      </c>
      <c r="R22" s="14"/>
      <c r="U22" s="6">
        <f t="shared" si="3"/>
        <v>17084.98605</v>
      </c>
      <c r="V22" s="18">
        <f t="shared" si="4"/>
        <v>100454.67395</v>
      </c>
      <c r="W22" s="6">
        <f>[1]Hatchery!F22+'[1]Feed mills'!F22+[1]Pond!G22+(35.486*3150*0.9)</f>
        <v>106361.56999999999</v>
      </c>
      <c r="X22" s="18">
        <f t="shared" si="5"/>
        <v>90829.76449999999</v>
      </c>
      <c r="Y22" s="14"/>
    </row>
    <row r="23" spans="2:25" ht="15.75" thickBot="1" x14ac:dyDescent="0.3">
      <c r="B23" s="4" t="s">
        <v>30</v>
      </c>
      <c r="C23" s="7">
        <f>[1]Hatchery!C23+'[1]Feed mills'!C23+[1]Pond!C23</f>
        <v>259.39999999999998</v>
      </c>
      <c r="D23" s="7">
        <f>[1]Hatchery!D23+'[1]Feed mills'!D23+[1]Pond!D23+[1]Farmers!C22</f>
        <v>12466.752500000001</v>
      </c>
      <c r="E23" s="8">
        <f>[1]Hatchery!E23+'[1]Feed mills'!E23+[1]Pond!E23+[1]Pond!F23</f>
        <v>83.0625</v>
      </c>
      <c r="F23" s="9">
        <f>[1]Hatchery!F23+'[1]Feed mills'!F23+[1]Pond!G23+[1]Farmers!D22</f>
        <v>20158.760000000002</v>
      </c>
      <c r="G23" s="11">
        <f t="shared" si="6"/>
        <v>7349.5450000000019</v>
      </c>
      <c r="L23" s="4" t="s">
        <v>30</v>
      </c>
      <c r="M23" s="7">
        <f t="shared" si="0"/>
        <v>207.51999999999998</v>
      </c>
      <c r="N23" s="7">
        <f t="shared" si="1"/>
        <v>14960.102999999999</v>
      </c>
      <c r="O23" s="8">
        <v>83.0625</v>
      </c>
      <c r="P23" s="9">
        <f>[1]Hatchery!F23+'[1]Feed mills'!F23+[1]Pond!G23+(35.486*3150)</f>
        <v>117539.65999999999</v>
      </c>
      <c r="Q23" s="11">
        <f t="shared" si="2"/>
        <v>102288.97449999998</v>
      </c>
      <c r="R23" s="14"/>
      <c r="U23" s="6">
        <f t="shared" si="3"/>
        <v>16775.75405</v>
      </c>
      <c r="V23" s="18">
        <f t="shared" si="4"/>
        <v>100763.90594999999</v>
      </c>
      <c r="W23" s="6">
        <f>[1]Hatchery!F23+'[1]Feed mills'!F23+[1]Pond!G23+(35.486*3150*0.9)</f>
        <v>106361.56999999999</v>
      </c>
      <c r="X23" s="18">
        <f t="shared" si="5"/>
        <v>91110.884499999986</v>
      </c>
      <c r="Y23" s="14"/>
    </row>
    <row r="24" spans="2:25" ht="15.75" thickBot="1" x14ac:dyDescent="0.3">
      <c r="B24" s="4" t="s">
        <v>31</v>
      </c>
      <c r="C24" s="7">
        <f>[1]Hatchery!C24+'[1]Feed mills'!C24+[1]Pond!C24</f>
        <v>98.9</v>
      </c>
      <c r="D24" s="7">
        <f>[1]Hatchery!D24+'[1]Feed mills'!D24+[1]Pond!D24+[1]Farmers!C23</f>
        <v>12466.752500000001</v>
      </c>
      <c r="E24" s="8">
        <f>[1]Hatchery!E24+'[1]Feed mills'!E24+[1]Pond!E24+[1]Pond!F24</f>
        <v>83.0625</v>
      </c>
      <c r="F24" s="9">
        <f>[1]Hatchery!F24+'[1]Feed mills'!F24+[1]Pond!G24+[1]Farmers!D23</f>
        <v>20158.760000000002</v>
      </c>
      <c r="G24" s="11">
        <f t="shared" si="6"/>
        <v>7510.0450000000019</v>
      </c>
      <c r="L24" s="4" t="s">
        <v>31</v>
      </c>
      <c r="M24" s="7">
        <f t="shared" si="0"/>
        <v>79.12</v>
      </c>
      <c r="N24" s="7">
        <f t="shared" si="1"/>
        <v>14960.102999999999</v>
      </c>
      <c r="O24" s="8">
        <v>83.0625</v>
      </c>
      <c r="P24" s="9">
        <f>[1]Hatchery!F24+'[1]Feed mills'!F24+[1]Pond!G24+(35.486*3150)</f>
        <v>117539.65999999999</v>
      </c>
      <c r="Q24" s="11">
        <f t="shared" si="2"/>
        <v>102417.37449999999</v>
      </c>
      <c r="R24" s="14"/>
      <c r="U24" s="6">
        <f t="shared" si="3"/>
        <v>16634.514050000002</v>
      </c>
      <c r="V24" s="18">
        <f t="shared" si="4"/>
        <v>100905.14594999999</v>
      </c>
      <c r="W24" s="6">
        <f>[1]Hatchery!F24+'[1]Feed mills'!F24+[1]Pond!G24+(35.486*3150*0.9)</f>
        <v>106361.56999999999</v>
      </c>
      <c r="X24" s="18">
        <f t="shared" si="5"/>
        <v>91239.284499999994</v>
      </c>
      <c r="Y24" s="14"/>
    </row>
    <row r="25" spans="2:25" ht="15.75" thickBot="1" x14ac:dyDescent="0.3">
      <c r="B25" s="4" t="s">
        <v>32</v>
      </c>
      <c r="C25" s="7">
        <f>[1]Hatchery!C25+'[1]Feed mills'!C25+[1]Pond!C25</f>
        <v>0</v>
      </c>
      <c r="D25" s="7">
        <f>[1]Hatchery!D25+'[1]Feed mills'!D25+[1]Pond!D25+[1]Farmers!C24</f>
        <v>12466.752500000001</v>
      </c>
      <c r="E25" s="8">
        <f>[1]Hatchery!E25+'[1]Feed mills'!E25+[1]Pond!E25+[1]Pond!F25</f>
        <v>83.0625</v>
      </c>
      <c r="F25" s="9">
        <f>[1]Hatchery!F25+'[1]Feed mills'!F25+[1]Pond!G25+[1]Farmers!D24</f>
        <v>20359.760000000002</v>
      </c>
      <c r="G25" s="11">
        <f t="shared" si="6"/>
        <v>7809.9450000000015</v>
      </c>
      <c r="L25" s="4" t="s">
        <v>32</v>
      </c>
      <c r="M25" s="7">
        <f t="shared" si="0"/>
        <v>0</v>
      </c>
      <c r="N25" s="7">
        <f t="shared" si="1"/>
        <v>14960.102999999999</v>
      </c>
      <c r="O25" s="8">
        <v>83.0625</v>
      </c>
      <c r="P25" s="9">
        <f>[1]Hatchery!F25+'[1]Feed mills'!F25+[1]Pond!G25+(35.486*3150)</f>
        <v>117740.65999999999</v>
      </c>
      <c r="Q25" s="11">
        <f t="shared" si="2"/>
        <v>102697.49449999999</v>
      </c>
      <c r="R25" s="14"/>
      <c r="U25" s="6">
        <f t="shared" si="3"/>
        <v>16547.482049999999</v>
      </c>
      <c r="V25" s="18">
        <f t="shared" si="4"/>
        <v>101193.17794999998</v>
      </c>
      <c r="W25" s="6">
        <f>[1]Hatchery!F25+'[1]Feed mills'!F25+[1]Pond!G25+(35.486*3150*0.9)</f>
        <v>106562.56999999999</v>
      </c>
      <c r="X25" s="18">
        <f t="shared" si="5"/>
        <v>91519.40449999999</v>
      </c>
      <c r="Y25" s="14"/>
    </row>
    <row r="26" spans="2:25" ht="15.75" thickBot="1" x14ac:dyDescent="0.3">
      <c r="B26" s="4" t="s">
        <v>33</v>
      </c>
      <c r="C26" s="7">
        <f>[1]Hatchery!C26+'[1]Feed mills'!C26+[1]Pond!C26</f>
        <v>0</v>
      </c>
      <c r="D26" s="7">
        <f>[1]Hatchery!D26+'[1]Feed mills'!D26+[1]Pond!D26+[1]Farmers!C25</f>
        <v>12466.752500000001</v>
      </c>
      <c r="E26" s="8">
        <f>[1]Hatchery!E26+'[1]Feed mills'!E26+[1]Pond!E26+[1]Pond!F26</f>
        <v>83.0625</v>
      </c>
      <c r="F26" s="9">
        <f>[1]Hatchery!F26+'[1]Feed mills'!F26+[1]Pond!G26+[1]Farmers!D25</f>
        <v>20359.760000000002</v>
      </c>
      <c r="G26" s="11">
        <f t="shared" si="6"/>
        <v>7809.9450000000015</v>
      </c>
      <c r="L26" s="4" t="s">
        <v>33</v>
      </c>
      <c r="M26" s="7">
        <f t="shared" si="0"/>
        <v>0</v>
      </c>
      <c r="N26" s="7">
        <f t="shared" si="1"/>
        <v>14960.102999999999</v>
      </c>
      <c r="O26" s="8">
        <v>83.0625</v>
      </c>
      <c r="P26" s="9">
        <f>[1]Hatchery!F26+'[1]Feed mills'!F26+[1]Pond!G26+(35.486*3150)</f>
        <v>117740.65999999999</v>
      </c>
      <c r="Q26" s="11">
        <f t="shared" si="2"/>
        <v>102697.49449999999</v>
      </c>
      <c r="R26" s="14"/>
      <c r="U26" s="6">
        <f t="shared" si="3"/>
        <v>16547.482049999999</v>
      </c>
      <c r="V26" s="18">
        <f t="shared" si="4"/>
        <v>101193.17794999998</v>
      </c>
      <c r="W26" s="6">
        <f>[1]Hatchery!F26+'[1]Feed mills'!F26+[1]Pond!G26+(35.486*3150*0.9)</f>
        <v>106562.56999999999</v>
      </c>
      <c r="X26" s="18">
        <f t="shared" si="5"/>
        <v>91519.40449999999</v>
      </c>
      <c r="Y26" s="14"/>
    </row>
    <row r="27" spans="2:25" ht="15.75" thickBot="1" x14ac:dyDescent="0.3">
      <c r="B27" s="4" t="s">
        <v>34</v>
      </c>
      <c r="C27" s="7">
        <f>[1]Hatchery!C27+'[1]Feed mills'!C27+[1]Pond!C27</f>
        <v>0</v>
      </c>
      <c r="D27" s="7">
        <f>[1]Hatchery!D27+'[1]Feed mills'!D27+[1]Pond!D27+[1]Farmers!C26</f>
        <v>12466.752500000001</v>
      </c>
      <c r="E27" s="8">
        <f>[1]Hatchery!E27+'[1]Feed mills'!E27+[1]Pond!E27+[1]Pond!F27</f>
        <v>83.0625</v>
      </c>
      <c r="F27" s="9">
        <f>[1]Hatchery!F27+'[1]Feed mills'!F27+[1]Pond!G27+[1]Farmers!D26</f>
        <v>20359.760000000002</v>
      </c>
      <c r="G27" s="11">
        <f t="shared" si="6"/>
        <v>7809.9450000000015</v>
      </c>
      <c r="L27" s="4" t="s">
        <v>34</v>
      </c>
      <c r="M27" s="7">
        <f t="shared" si="0"/>
        <v>0</v>
      </c>
      <c r="N27" s="7">
        <f t="shared" si="1"/>
        <v>14960.102999999999</v>
      </c>
      <c r="O27" s="8">
        <v>83.0625</v>
      </c>
      <c r="P27" s="9">
        <f>[1]Hatchery!F27+'[1]Feed mills'!F27+[1]Pond!G27+(35.486*3150)</f>
        <v>117740.65999999999</v>
      </c>
      <c r="Q27" s="11">
        <f t="shared" si="2"/>
        <v>102697.49449999999</v>
      </c>
      <c r="R27" s="14"/>
      <c r="U27" s="6">
        <f t="shared" si="3"/>
        <v>16547.482049999999</v>
      </c>
      <c r="V27" s="18">
        <f t="shared" si="4"/>
        <v>101193.17794999998</v>
      </c>
      <c r="W27" s="6">
        <f>[1]Hatchery!F27+'[1]Feed mills'!F27+[1]Pond!G27+(35.486*3150*0.9)</f>
        <v>106562.56999999999</v>
      </c>
      <c r="X27" s="18">
        <f t="shared" si="5"/>
        <v>91519.40449999999</v>
      </c>
      <c r="Y27" s="14"/>
    </row>
    <row r="28" spans="2:25" ht="15.75" thickBot="1" x14ac:dyDescent="0.3">
      <c r="B28" s="4" t="s">
        <v>35</v>
      </c>
      <c r="C28" s="7">
        <f>[1]Hatchery!C28+'[1]Feed mills'!C28+[1]Pond!C28</f>
        <v>0</v>
      </c>
      <c r="D28" s="7">
        <f>[1]Hatchery!D28+'[1]Feed mills'!D28+[1]Pond!D28+[1]Farmers!C27</f>
        <v>12466.752500000001</v>
      </c>
      <c r="E28" s="8">
        <f>[1]Hatchery!E28+'[1]Feed mills'!E28+[1]Pond!E28+[1]Pond!F28</f>
        <v>83.0625</v>
      </c>
      <c r="F28" s="9">
        <f>[1]Hatchery!F28+'[1]Feed mills'!F28+[1]Pond!G28+[1]Farmers!D27</f>
        <v>20359.760000000002</v>
      </c>
      <c r="G28" s="11">
        <f t="shared" si="6"/>
        <v>7809.9450000000015</v>
      </c>
      <c r="L28" s="4" t="s">
        <v>35</v>
      </c>
      <c r="M28" s="7">
        <f t="shared" si="0"/>
        <v>0</v>
      </c>
      <c r="N28" s="7">
        <f t="shared" si="1"/>
        <v>14960.102999999999</v>
      </c>
      <c r="O28" s="8">
        <v>83.0625</v>
      </c>
      <c r="P28" s="9">
        <f>[1]Hatchery!F28+'[1]Feed mills'!F28+[1]Pond!G28+(35.486*3150)</f>
        <v>117740.65999999999</v>
      </c>
      <c r="Q28" s="11">
        <f t="shared" si="2"/>
        <v>102697.49449999999</v>
      </c>
      <c r="R28" s="14"/>
      <c r="U28" s="6">
        <f t="shared" si="3"/>
        <v>16547.482049999999</v>
      </c>
      <c r="V28" s="18">
        <f t="shared" si="4"/>
        <v>101193.17794999998</v>
      </c>
      <c r="W28" s="6">
        <f>[1]Hatchery!F28+'[1]Feed mills'!F28+[1]Pond!G28+(35.486*3150*0.9)</f>
        <v>106562.56999999999</v>
      </c>
      <c r="X28" s="18">
        <f t="shared" si="5"/>
        <v>91519.40449999999</v>
      </c>
      <c r="Y28" s="14"/>
    </row>
    <row r="29" spans="2:25" ht="15.75" thickBot="1" x14ac:dyDescent="0.3">
      <c r="B29" s="4" t="s">
        <v>40</v>
      </c>
      <c r="C29" s="7">
        <f>[1]Hatchery!C29+'[1]Feed mills'!C29+[1]Pond!C29</f>
        <v>0</v>
      </c>
      <c r="D29" s="7">
        <f>[1]Hatchery!D29+'[1]Feed mills'!D29+[1]Pond!D29+[1]Farmers!C28</f>
        <v>12466.752500000001</v>
      </c>
      <c r="E29" s="8">
        <f>[1]Hatchery!E29+'[1]Feed mills'!E29+[1]Pond!E29+[1]Pond!F29</f>
        <v>83.0625</v>
      </c>
      <c r="F29" s="9">
        <f>[1]Hatchery!F29+'[1]Feed mills'!F29+[1]Pond!G29+[1]Farmers!D28</f>
        <v>20359.760000000002</v>
      </c>
      <c r="G29" s="11">
        <f t="shared" si="6"/>
        <v>7809.9450000000015</v>
      </c>
      <c r="L29" s="4" t="s">
        <v>40</v>
      </c>
      <c r="M29" s="7">
        <f t="shared" si="0"/>
        <v>0</v>
      </c>
      <c r="N29" s="7">
        <f t="shared" si="1"/>
        <v>14960.102999999999</v>
      </c>
      <c r="O29" s="8">
        <v>83.0625</v>
      </c>
      <c r="P29" s="9">
        <f>[1]Hatchery!F29+'[1]Feed mills'!F29+[1]Pond!G29+(35.486*3150)</f>
        <v>117740.65999999999</v>
      </c>
      <c r="Q29" s="11">
        <f t="shared" si="2"/>
        <v>102697.49449999999</v>
      </c>
      <c r="R29" s="14"/>
      <c r="U29" s="6">
        <f t="shared" si="3"/>
        <v>16547.482049999999</v>
      </c>
      <c r="V29" s="18">
        <f t="shared" si="4"/>
        <v>101193.17794999998</v>
      </c>
      <c r="W29" s="6">
        <f>[1]Hatchery!F29+'[1]Feed mills'!F29+[1]Pond!G29+(35.486*3150*0.9)</f>
        <v>106562.56999999999</v>
      </c>
      <c r="X29" s="18">
        <f t="shared" si="5"/>
        <v>91519.40449999999</v>
      </c>
      <c r="Y29" s="14"/>
    </row>
    <row r="30" spans="2:25" ht="15.75" thickBot="1" x14ac:dyDescent="0.3">
      <c r="B30" s="4" t="s">
        <v>41</v>
      </c>
      <c r="C30" s="7">
        <f>[1]Hatchery!C30+'[1]Feed mills'!C30+[1]Pond!C30</f>
        <v>0</v>
      </c>
      <c r="D30" s="7">
        <f>[1]Hatchery!D30+'[1]Feed mills'!D30+[1]Pond!D30+[1]Farmers!C29</f>
        <v>12466.752500000001</v>
      </c>
      <c r="E30" s="8">
        <f>[1]Hatchery!E30+'[1]Feed mills'!E30+[1]Pond!E30+[1]Pond!F30</f>
        <v>83.0625</v>
      </c>
      <c r="F30" s="9">
        <f>[1]Hatchery!F30+'[1]Feed mills'!F30+[1]Pond!G30+[1]Farmers!D29</f>
        <v>20560.760000000002</v>
      </c>
      <c r="G30" s="11">
        <f t="shared" si="6"/>
        <v>8010.9450000000015</v>
      </c>
      <c r="L30" s="4" t="s">
        <v>41</v>
      </c>
      <c r="M30" s="7">
        <f t="shared" si="0"/>
        <v>0</v>
      </c>
      <c r="N30" s="7">
        <f t="shared" si="1"/>
        <v>14960.102999999999</v>
      </c>
      <c r="O30" s="8">
        <v>83.0625</v>
      </c>
      <c r="P30" s="9">
        <f>[1]Hatchery!F30+'[1]Feed mills'!F30+[1]Pond!G30+(35.486*3150)</f>
        <v>117941.65999999999</v>
      </c>
      <c r="Q30" s="11">
        <f t="shared" si="2"/>
        <v>102898.49449999999</v>
      </c>
      <c r="R30" s="14"/>
      <c r="U30" s="6">
        <f t="shared" si="3"/>
        <v>16547.482049999999</v>
      </c>
      <c r="V30" s="18">
        <f t="shared" si="4"/>
        <v>101394.17794999998</v>
      </c>
      <c r="W30" s="6">
        <f>[1]Hatchery!F30+'[1]Feed mills'!F30+[1]Pond!G30+(35.486*3150*0.9)</f>
        <v>106763.56999999999</v>
      </c>
      <c r="X30" s="18">
        <f t="shared" si="5"/>
        <v>91720.40449999999</v>
      </c>
      <c r="Y30" s="14"/>
    </row>
    <row r="31" spans="2:25" ht="15.75" thickBot="1" x14ac:dyDescent="0.3">
      <c r="B31" s="4" t="s">
        <v>46</v>
      </c>
      <c r="C31" s="10">
        <f>[1]Hatchery!C31+'[1]Feed mills'!C31+[1]Pond!C31</f>
        <v>0</v>
      </c>
      <c r="D31" s="10">
        <f>[1]Hatchery!D31+'[1]Feed mills'!D31+[1]Pond!D31+[1]Farmers!C30</f>
        <v>12365.552500000002</v>
      </c>
      <c r="E31" s="12">
        <f>[1]Hatchery!E31+'[1]Feed mills'!E31+[1]Pond!E31+[1]Pond!F31</f>
        <v>60.5625</v>
      </c>
      <c r="F31" s="13">
        <f>[1]Hatchery!F31+'[1]Feed mills'!F31+[1]Pond!G31+[1]Farmers!D30</f>
        <v>20716.2</v>
      </c>
      <c r="G31" s="11">
        <f t="shared" si="6"/>
        <v>8290.0849999999991</v>
      </c>
      <c r="L31" s="4" t="s">
        <v>46</v>
      </c>
      <c r="M31" s="10">
        <f t="shared" si="0"/>
        <v>0</v>
      </c>
      <c r="N31" s="5">
        <f t="shared" si="1"/>
        <v>14838.663</v>
      </c>
      <c r="O31" s="12">
        <v>60.5625</v>
      </c>
      <c r="P31" s="13">
        <f>[1]Hatchery!F31+'[1]Feed mills'!F31+[1]Pond!G31+(35.486*3150)</f>
        <v>118097.09999999999</v>
      </c>
      <c r="Q31" s="11">
        <f t="shared" si="2"/>
        <v>103197.87449999999</v>
      </c>
      <c r="R31" s="14"/>
      <c r="U31" s="6">
        <f t="shared" si="3"/>
        <v>16389.148050000003</v>
      </c>
      <c r="V31" s="18">
        <f t="shared" si="4"/>
        <v>101707.95194999999</v>
      </c>
      <c r="W31" s="6">
        <f>[1]Hatchery!F31+'[1]Feed mills'!F31+[1]Pond!G31+(35.486*3150*0.9)</f>
        <v>106919.01</v>
      </c>
      <c r="X31" s="18">
        <f t="shared" si="5"/>
        <v>92019.784499999994</v>
      </c>
      <c r="Y31" s="14"/>
    </row>
    <row r="32" spans="2:25" ht="15.75" thickBot="1" x14ac:dyDescent="0.3">
      <c r="L32" s="25" t="s">
        <v>39</v>
      </c>
      <c r="M32" s="26"/>
      <c r="N32" s="27">
        <v>0.12</v>
      </c>
    </row>
    <row r="33" spans="6:25" ht="15.75" thickBot="1" x14ac:dyDescent="0.3">
      <c r="F33" s="63" t="s">
        <v>37</v>
      </c>
      <c r="G33" s="64">
        <f>CULTIVATORS!E31+'BFDA PONDS'!H31+FEEDMILLS!G32+HATCHERIES!D31</f>
        <v>38421.545058811731</v>
      </c>
      <c r="M33" s="17" t="s">
        <v>37</v>
      </c>
      <c r="N33" s="19">
        <f>NPV(N32,Q6:Q31)+Q5</f>
        <v>541540.73660278798</v>
      </c>
      <c r="P33" s="20"/>
      <c r="U33" s="17" t="s">
        <v>37</v>
      </c>
      <c r="V33" s="19">
        <f>NPV(N32,V6:V31)+V5</f>
        <v>532188.77381395781</v>
      </c>
      <c r="W33" s="17" t="s">
        <v>37</v>
      </c>
      <c r="X33" s="19">
        <f>NPV(N32,X6:X31)+X5</f>
        <v>481296.50637954933</v>
      </c>
    </row>
    <row r="34" spans="6:25" ht="15.75" thickBot="1" x14ac:dyDescent="0.3">
      <c r="F34" s="17" t="s">
        <v>38</v>
      </c>
      <c r="G34" s="68">
        <f>IRR(G5:G31)</f>
        <v>0.93107550864493116</v>
      </c>
      <c r="M34" s="17" t="s">
        <v>38</v>
      </c>
      <c r="N34" s="67">
        <f>IRR(Q5:Q31)</f>
        <v>4.0716815740402383</v>
      </c>
      <c r="R34" s="22"/>
      <c r="U34" s="17" t="s">
        <v>38</v>
      </c>
      <c r="V34" s="21">
        <f>IRR(V5:V31)</f>
        <v>3.7049074006423943</v>
      </c>
      <c r="W34" s="17" t="s">
        <v>38</v>
      </c>
      <c r="X34" s="23">
        <f>IRR(X5:X31)</f>
        <v>3.7835978337871614</v>
      </c>
      <c r="Y34" s="24"/>
    </row>
    <row r="36" spans="6:25" x14ac:dyDescent="0.25">
      <c r="G36" t="s">
        <v>58</v>
      </c>
      <c r="U36" t="s">
        <v>60</v>
      </c>
      <c r="V36" s="22"/>
    </row>
    <row r="37" spans="6:25" x14ac:dyDescent="0.25">
      <c r="G37" t="s">
        <v>59</v>
      </c>
      <c r="U37" t="s">
        <v>61</v>
      </c>
    </row>
  </sheetData>
  <mergeCells count="3">
    <mergeCell ref="N3:O3"/>
    <mergeCell ref="V3:W3"/>
    <mergeCell ref="L32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HATCHERIES</vt:lpstr>
      <vt:lpstr>FEEDMILLS</vt:lpstr>
      <vt:lpstr>BFDA PONDS</vt:lpstr>
      <vt:lpstr>CULTIVATORS</vt:lpstr>
      <vt:lpstr>CASE</vt:lpstr>
      <vt:lpstr>SCBA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2015-06-05T18:17:20Z</dcterms:created>
  <dcterms:modified xsi:type="dcterms:W3CDTF">2020-08-27T09:22:37Z</dcterms:modified>
</cp:coreProperties>
</file>