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.DESKTOP-K591OU3\Desktop\jrp\week1\"/>
    </mc:Choice>
  </mc:AlternateContent>
  <xr:revisionPtr revIDLastSave="0" documentId="13_ncr:1_{795767CA-9E78-4082-8DFF-FA4F84E7BFAC}" xr6:coauthVersionLast="47" xr6:coauthVersionMax="47" xr10:uidLastSave="{00000000-0000-0000-0000-000000000000}"/>
  <bookViews>
    <workbookView xWindow="-108" yWindow="-108" windowWidth="23256" windowHeight="12456" activeTab="2" xr2:uid="{D4D68308-9443-478A-A1A8-AFEDF7641D08}"/>
  </bookViews>
  <sheets>
    <sheet name="Concept" sheetId="1" r:id="rId1"/>
    <sheet name="Data" sheetId="2" r:id="rId2"/>
    <sheet name="14 &amp; 15" sheetId="11" r:id="rId3"/>
    <sheet name="13" sheetId="13" r:id="rId4"/>
    <sheet name="12" sheetId="10" r:id="rId5"/>
    <sheet name="11" sheetId="9" r:id="rId6"/>
    <sheet name="10" sheetId="8" r:id="rId7"/>
    <sheet name="9" sheetId="7" r:id="rId8"/>
    <sheet name="8&amp;9" sheetId="6" r:id="rId9"/>
    <sheet name="6&amp;7" sheetId="5" r:id="rId10"/>
    <sheet name="5" sheetId="12" r:id="rId11"/>
    <sheet name="3 &amp; 4" sheetId="4" r:id="rId12"/>
    <sheet name="1 &amp; 2" sheetId="3" r:id="rId13"/>
  </sheets>
  <definedNames>
    <definedName name="_xlnm._FilterDatabase" localSheetId="12" hidden="1">'1 &amp; 2'!$A$3:$F$3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1" l="1"/>
  <c r="A5" i="11" a="1"/>
  <c r="A5" i="11" s="1"/>
  <c r="H5" i="11" s="1"/>
  <c r="B4" i="13" a="1"/>
  <c r="B4" i="13" s="1"/>
  <c r="B4" i="10" a="1"/>
  <c r="B4" i="10" s="1"/>
  <c r="A6" i="12" a="1"/>
  <c r="A6" i="12" s="1"/>
  <c r="C6" i="9" a="1"/>
  <c r="C6" i="9" s="1"/>
  <c r="C3" i="9"/>
  <c r="C5" i="9" s="1" a="1"/>
  <c r="C5" i="9" s="1"/>
  <c r="C16" i="8"/>
  <c r="C15" i="8"/>
  <c r="C14" i="8"/>
  <c r="C8" i="8"/>
  <c r="C7" i="8"/>
  <c r="C6" i="8"/>
  <c r="C5" i="8"/>
  <c r="B18" i="7" a="1"/>
  <c r="B18" i="7" s="1"/>
  <c r="B17" i="7" a="1"/>
  <c r="B17" i="7" s="1"/>
  <c r="B16" i="7" a="1"/>
  <c r="B16" i="7" s="1"/>
  <c r="B15" i="7"/>
  <c r="B8" i="7"/>
  <c r="B7" i="7"/>
  <c r="B6" i="7"/>
  <c r="B5" i="7"/>
  <c r="M19" i="6" a="1"/>
  <c r="M19" i="6" s="1"/>
  <c r="A4" i="6" a="1"/>
  <c r="A4" i="6" s="1"/>
  <c r="F4" i="6" s="1"/>
  <c r="D6" i="5" a="1"/>
  <c r="D6" i="5" s="1"/>
  <c r="C6" i="5" a="1"/>
  <c r="C6" i="5" s="1"/>
  <c r="D4" i="5"/>
  <c r="C4" i="5"/>
  <c r="D5" i="5"/>
  <c r="C5" i="5"/>
  <c r="B15" i="5" a="1"/>
  <c r="B15" i="5" s="1"/>
  <c r="B7" i="5"/>
  <c r="B8" i="5"/>
  <c r="B9" i="5"/>
  <c r="B10" i="5"/>
  <c r="B6" i="5"/>
  <c r="B5" i="5"/>
  <c r="B4" i="5"/>
  <c r="A5" i="12" a="1"/>
  <c r="A5" i="12" s="1"/>
  <c r="P3" i="4" a="1"/>
  <c r="P3" i="4" s="1"/>
  <c r="B4" i="4" a="1"/>
  <c r="B4" i="4" s="1"/>
  <c r="P2" i="4" a="1"/>
  <c r="P2" i="4" s="1"/>
  <c r="B3" i="4" a="1"/>
  <c r="B3" i="4" s="1"/>
  <c r="F6" i="3"/>
  <c r="F5" i="3"/>
  <c r="F15" i="3"/>
  <c r="F11" i="3"/>
  <c r="F8" i="3"/>
  <c r="F9" i="3"/>
  <c r="F13" i="3"/>
  <c r="F10" i="3"/>
  <c r="F4" i="3"/>
  <c r="F14" i="3"/>
  <c r="F12" i="3"/>
  <c r="F7" i="3"/>
  <c r="E6" i="3"/>
  <c r="E5" i="3"/>
  <c r="E15" i="3"/>
  <c r="E11" i="3"/>
  <c r="E8" i="3"/>
  <c r="E9" i="3"/>
  <c r="E13" i="3"/>
  <c r="E10" i="3"/>
  <c r="E4" i="3"/>
  <c r="E14" i="3"/>
  <c r="E12" i="3"/>
  <c r="E7" i="3"/>
  <c r="D6" i="3"/>
  <c r="D5" i="3"/>
  <c r="D15" i="3"/>
  <c r="D11" i="3"/>
  <c r="D8" i="3"/>
  <c r="D9" i="3"/>
  <c r="D13" i="3"/>
  <c r="D10" i="3"/>
  <c r="D4" i="3"/>
  <c r="D14" i="3"/>
  <c r="D12" i="3"/>
  <c r="D7" i="3"/>
  <c r="C6" i="3"/>
  <c r="C5" i="3"/>
  <c r="C15" i="3"/>
  <c r="C11" i="3"/>
  <c r="C8" i="3"/>
  <c r="C9" i="3"/>
  <c r="C13" i="3"/>
  <c r="C10" i="3"/>
  <c r="C4" i="3"/>
  <c r="C14" i="3"/>
  <c r="C12" i="3"/>
  <c r="C7" i="3"/>
  <c r="B6" i="3"/>
  <c r="B5" i="3"/>
  <c r="B15" i="3"/>
  <c r="B11" i="3"/>
  <c r="B8" i="3"/>
  <c r="B9" i="3"/>
  <c r="B13" i="3"/>
  <c r="B10" i="3"/>
  <c r="B4" i="3"/>
  <c r="B14" i="3"/>
  <c r="B12" i="3"/>
  <c r="B7" i="3"/>
  <c r="C3" i="11"/>
  <c r="C25" i="11"/>
  <c r="C58" i="4"/>
  <c r="J9" i="5"/>
  <c r="B26" i="3"/>
  <c r="J8" i="5"/>
  <c r="L7" i="5"/>
  <c r="I7" i="6"/>
  <c r="C24" i="11"/>
  <c r="H8" i="7"/>
  <c r="C23" i="11"/>
  <c r="C22" i="11"/>
  <c r="I8" i="6"/>
  <c r="B22" i="3"/>
  <c r="J7" i="5"/>
  <c r="C21" i="11"/>
  <c r="K5" i="13"/>
  <c r="J7" i="10"/>
  <c r="B24" i="3"/>
  <c r="B25" i="3"/>
  <c r="C61" i="4"/>
  <c r="H6" i="9"/>
  <c r="B23" i="3"/>
  <c r="I5" i="8"/>
  <c r="I6" i="6"/>
  <c r="H10" i="7"/>
  <c r="C29" i="11"/>
  <c r="H5" i="9"/>
  <c r="C28" i="11"/>
  <c r="I4" i="8"/>
  <c r="J10" i="5"/>
  <c r="C27" i="11"/>
  <c r="C26" i="11"/>
  <c r="H9" i="7"/>
  <c r="C59" i="4"/>
  <c r="I9" i="6"/>
  <c r="K7" i="5"/>
  <c r="J5" i="11" l="1"/>
  <c r="J15" i="11"/>
  <c r="J14" i="11"/>
  <c r="J13" i="11"/>
  <c r="J12" i="11"/>
  <c r="J11" i="11"/>
  <c r="J10" i="11"/>
  <c r="J9" i="11"/>
  <c r="J8" i="11"/>
  <c r="J7" i="11"/>
  <c r="J6" i="11"/>
  <c r="C8" i="6"/>
  <c r="D7" i="6"/>
  <c r="E6" i="6"/>
  <c r="B5" i="6"/>
  <c r="C6" i="6"/>
  <c r="D5" i="6"/>
  <c r="B15" i="6"/>
  <c r="C5" i="6"/>
  <c r="E15" i="6"/>
  <c r="B14" i="6"/>
  <c r="C7" i="6"/>
  <c r="D6" i="6"/>
  <c r="E5" i="6"/>
  <c r="D15" i="6"/>
  <c r="E14" i="6"/>
  <c r="B13" i="6"/>
  <c r="C15" i="6"/>
  <c r="D14" i="6"/>
  <c r="E13" i="6"/>
  <c r="B12" i="6"/>
  <c r="C14" i="6"/>
  <c r="D13" i="6"/>
  <c r="E12" i="6"/>
  <c r="B11" i="6"/>
  <c r="C13" i="6"/>
  <c r="D12" i="6"/>
  <c r="E11" i="6"/>
  <c r="B10" i="6"/>
  <c r="C12" i="6"/>
  <c r="D11" i="6"/>
  <c r="E10" i="6"/>
  <c r="B9" i="6"/>
  <c r="C11" i="6"/>
  <c r="D10" i="6"/>
  <c r="E9" i="6"/>
  <c r="B8" i="6"/>
  <c r="C10" i="6"/>
  <c r="D9" i="6"/>
  <c r="E8" i="6"/>
  <c r="B7" i="6"/>
  <c r="C9" i="6"/>
  <c r="D8" i="6"/>
  <c r="E7" i="6"/>
  <c r="B6" i="6"/>
  <c r="B5" i="11"/>
  <c r="C5" i="11"/>
  <c r="D5" i="11" s="1"/>
  <c r="F5" i="11"/>
  <c r="G5" i="11" a="1"/>
  <c r="G5" i="11" s="1"/>
  <c r="H16" i="11"/>
  <c r="I5" i="11"/>
  <c r="B16" i="11"/>
  <c r="C16" i="11"/>
  <c r="D16" i="11" s="1"/>
  <c r="F16" i="11"/>
  <c r="G16" i="11" a="1"/>
  <c r="G16" i="11" s="1"/>
  <c r="H15" i="11"/>
  <c r="I16" i="11"/>
  <c r="B15" i="11"/>
  <c r="C15" i="11"/>
  <c r="D15" i="11" s="1"/>
  <c r="F15" i="11"/>
  <c r="G15" i="11" a="1"/>
  <c r="G15" i="11" s="1"/>
  <c r="H14" i="11"/>
  <c r="I15" i="11"/>
  <c r="B14" i="11"/>
  <c r="C14" i="11"/>
  <c r="D14" i="11" s="1"/>
  <c r="F14" i="11"/>
  <c r="G14" i="11" a="1"/>
  <c r="G14" i="11" s="1"/>
  <c r="H13" i="11"/>
  <c r="I14" i="11"/>
  <c r="B13" i="11"/>
  <c r="C13" i="11"/>
  <c r="D13" i="11" s="1"/>
  <c r="F13" i="11"/>
  <c r="G13" i="11" a="1"/>
  <c r="G13" i="11" s="1"/>
  <c r="H12" i="11"/>
  <c r="I13" i="11"/>
  <c r="B12" i="11"/>
  <c r="C12" i="11"/>
  <c r="D12" i="11" s="1"/>
  <c r="F12" i="11"/>
  <c r="G12" i="11" a="1"/>
  <c r="G12" i="11" s="1"/>
  <c r="H11" i="11"/>
  <c r="I12" i="11"/>
  <c r="B11" i="11"/>
  <c r="C11" i="11"/>
  <c r="D11" i="11" s="1"/>
  <c r="F11" i="11"/>
  <c r="G11" i="11" a="1"/>
  <c r="G11" i="11" s="1"/>
  <c r="H10" i="11"/>
  <c r="I11" i="11"/>
  <c r="B10" i="11"/>
  <c r="C10" i="11"/>
  <c r="D10" i="11" s="1"/>
  <c r="F10" i="11"/>
  <c r="G10" i="11" a="1"/>
  <c r="G10" i="11" s="1"/>
  <c r="H9" i="11"/>
  <c r="I10" i="11"/>
  <c r="B9" i="11"/>
  <c r="C9" i="11"/>
  <c r="D9" i="11" s="1"/>
  <c r="F9" i="11"/>
  <c r="G9" i="11" a="1"/>
  <c r="G9" i="11" s="1"/>
  <c r="H8" i="11"/>
  <c r="I9" i="11"/>
  <c r="B8" i="11"/>
  <c r="C8" i="11"/>
  <c r="D8" i="11" s="1"/>
  <c r="F8" i="11"/>
  <c r="G8" i="11" a="1"/>
  <c r="G8" i="11" s="1"/>
  <c r="H7" i="11"/>
  <c r="I8" i="11"/>
  <c r="B7" i="11"/>
  <c r="C7" i="11"/>
  <c r="D7" i="11" s="1"/>
  <c r="F7" i="11"/>
  <c r="G7" i="11" a="1"/>
  <c r="G7" i="11" s="1"/>
  <c r="H6" i="11"/>
  <c r="I7" i="11"/>
  <c r="B6" i="11"/>
  <c r="C6" i="11"/>
  <c r="D6" i="11" s="1"/>
  <c r="F6" i="11"/>
  <c r="G6" i="11" a="1"/>
  <c r="G6" i="11" s="1"/>
  <c r="I6" i="11"/>
  <c r="B4" i="6"/>
  <c r="E4" i="6"/>
  <c r="D4" i="6"/>
  <c r="C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<sst xmlns="http://schemas.openxmlformats.org/spreadsheetml/2006/main" count="2549" uniqueCount="848">
  <si>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</si>
  <si>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</si>
  <si>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</si>
  <si>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</si>
  <si>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</si>
  <si>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</si>
  <si>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</si>
  <si>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</si>
  <si>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</si>
  <si>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</si>
  <si>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</si>
  <si>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</si>
  <si>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</si>
  <si>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</si>
  <si>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</si>
  <si>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</si>
  <si>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</si>
  <si>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</si>
  <si>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</si>
  <si>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</si>
  <si>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</si>
  <si>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</si>
  <si>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</si>
  <si>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</si>
  <si>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</si>
  <si>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</si>
  <si>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</si>
  <si>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</si>
  <si>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</si>
  <si>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</si>
  <si>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</si>
  <si>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</si>
  <si>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</si>
  <si>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</si>
  <si>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</si>
  <si>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</si>
  <si>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</si>
  <si>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</si>
  <si>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</si>
  <si>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</si>
  <si>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</si>
  <si>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</si>
  <si>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</si>
  <si>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</si>
  <si>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</si>
  <si>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</si>
  <si>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</si>
  <si>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</si>
  <si>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</si>
  <si>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</si>
  <si>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</si>
  <si>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</si>
  <si>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</si>
  <si>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</si>
  <si>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</si>
  <si>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</si>
  <si>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</si>
  <si>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</si>
  <si>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</si>
  <si>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</si>
  <si>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</si>
  <si>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</si>
  <si>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</si>
  <si>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</si>
  <si>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</si>
  <si>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</si>
  <si>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</si>
  <si>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</si>
  <si>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</si>
  <si>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</si>
  <si>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</si>
  <si>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</si>
  <si>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</si>
  <si>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</si>
  <si>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</si>
  <si>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</si>
  <si>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</si>
  <si>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</si>
  <si>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</si>
  <si>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</si>
  <si>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</si>
  <si>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</si>
  <si>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</si>
  <si>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</si>
  <si>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</si>
  <si>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</si>
  <si>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</si>
  <si>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</si>
  <si>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</si>
  <si>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</si>
  <si>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</si>
  <si>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</si>
  <si>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</si>
  <si>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</si>
  <si>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</si>
  <si>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</si>
  <si>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</si>
  <si>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</si>
  <si>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</si>
  <si>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</si>
  <si>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</si>
  <si>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</si>
  <si>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</si>
  <si>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</si>
  <si>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</si>
  <si>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</si>
  <si>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</si>
  <si>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</si>
  <si>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</si>
  <si>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</si>
  <si>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</si>
  <si>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</si>
  <si>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</si>
  <si>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</si>
  <si>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</si>
  <si>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</si>
  <si>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</si>
  <si>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</si>
  <si>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</si>
  <si>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</si>
  <si>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</si>
  <si>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</si>
  <si>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</si>
  <si>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</si>
  <si>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</si>
  <si>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</si>
  <si>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</si>
  <si>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</si>
  <si>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</si>
  <si>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</si>
  <si>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</si>
  <si>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</si>
  <si>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</si>
  <si>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</si>
  <si>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</si>
  <si>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</si>
  <si>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</si>
  <si>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</si>
  <si>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</si>
  <si>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</si>
  <si>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</si>
  <si>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</si>
  <si>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</si>
  <si>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</si>
  <si>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</si>
  <si>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</si>
  <si>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</si>
  <si>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</si>
  <si>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</si>
  <si>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</si>
  <si>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</si>
  <si>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</si>
  <si>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</si>
  <si>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</si>
  <si>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</si>
  <si>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</si>
  <si>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</si>
  <si>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</si>
  <si>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</si>
  <si>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</si>
  <si>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</si>
  <si>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</si>
  <si>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</si>
  <si>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</si>
  <si>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</si>
  <si>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</si>
  <si>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</si>
  <si>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</si>
  <si>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</si>
  <si>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</si>
  <si>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</si>
  <si>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</si>
  <si>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</si>
  <si>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</si>
  <si>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</si>
  <si>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</si>
  <si>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</si>
  <si>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</si>
  <si>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</si>
  <si>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</si>
  <si>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</si>
  <si>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</si>
  <si>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</si>
  <si>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</si>
  <si>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</si>
  <si>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</si>
  <si>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</si>
  <si>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</si>
  <si>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</si>
  <si>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</si>
  <si>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</si>
  <si>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</si>
  <si>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</si>
  <si>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</si>
  <si>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</si>
  <si>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</si>
  <si>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</si>
  <si>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</si>
  <si>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</si>
  <si>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</si>
  <si>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</si>
  <si>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</si>
  <si>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</si>
  <si>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</si>
  <si>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</si>
  <si>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</si>
  <si>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</si>
  <si>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</si>
  <si>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</si>
  <si>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</si>
  <si>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</si>
  <si>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</si>
  <si>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</si>
  <si>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</si>
  <si>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</si>
  <si>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</si>
  <si>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</si>
  <si>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</si>
  <si>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</si>
  <si>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</si>
  <si>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</si>
  <si>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</si>
  <si>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</si>
  <si>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</si>
  <si>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</si>
  <si>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</si>
  <si>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</si>
  <si>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</si>
  <si>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</si>
  <si>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</si>
  <si>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</si>
  <si>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</si>
  <si>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</si>
  <si>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</si>
  <si>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</si>
  <si>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</si>
  <si>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</si>
  <si>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</si>
  <si>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</si>
  <si>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</si>
  <si>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</si>
  <si>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</si>
  <si>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</si>
  <si>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</si>
  <si>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</si>
  <si>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</si>
  <si>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</si>
  <si>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</si>
  <si>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</si>
  <si>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</si>
  <si>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</si>
  <si>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</si>
  <si>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</si>
  <si>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</si>
  <si>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</si>
  <si>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</si>
  <si>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</si>
  <si>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</si>
  <si>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</si>
  <si>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</si>
  <si>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</si>
  <si>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</si>
  <si>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</si>
  <si>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</si>
  <si>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</si>
  <si>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</si>
  <si>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</si>
  <si>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</si>
  <si>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</si>
  <si>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</si>
  <si>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</si>
  <si>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</si>
  <si>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</si>
  <si>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</si>
  <si>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</si>
  <si>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</si>
  <si>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</si>
  <si>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</si>
  <si>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</si>
  <si>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</si>
  <si>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</si>
  <si>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</si>
  <si>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</si>
  <si>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</si>
  <si>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</si>
  <si>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</si>
  <si>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</si>
  <si>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</si>
  <si>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</si>
  <si>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</si>
  <si>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</si>
  <si>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</si>
  <si>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</si>
  <si>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</si>
  <si>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</si>
  <si>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</si>
  <si>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</si>
  <si>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</si>
  <si>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</si>
  <si>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</si>
  <si>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</si>
  <si>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</si>
  <si>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</si>
  <si>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</si>
  <si>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</si>
  <si>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</si>
  <si>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</si>
  <si>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</si>
  <si>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</si>
  <si>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</si>
  <si>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</si>
  <si>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</si>
  <si>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</si>
  <si>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</si>
  <si>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</si>
  <si>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</si>
  <si>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</si>
  <si>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</si>
  <si>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</si>
  <si>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</si>
  <si>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</si>
  <si>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</si>
  <si>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</si>
  <si>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</si>
  <si>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</si>
  <si>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</si>
  <si>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</si>
  <si>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</si>
  <si>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</si>
  <si>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</si>
  <si>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</si>
  <si>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</si>
  <si>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</si>
  <si>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</si>
  <si>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</si>
  <si>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</si>
  <si>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</si>
  <si>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</si>
  <si>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</si>
  <si>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</si>
  <si>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</si>
  <si>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</si>
  <si>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</si>
  <si>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</si>
  <si>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</si>
  <si>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</si>
  <si>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</si>
  <si>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</si>
  <si>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</si>
  <si>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</si>
  <si>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</si>
  <si>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</si>
  <si>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</si>
  <si>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</si>
  <si>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</si>
  <si>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</si>
  <si>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</si>
  <si>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</si>
  <si>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</si>
  <si>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</si>
  <si>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</si>
  <si>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</si>
  <si>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</si>
  <si>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</si>
  <si>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</si>
  <si>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</si>
  <si>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</si>
  <si>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</si>
  <si>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</si>
  <si>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</si>
  <si>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</si>
  <si>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</si>
  <si>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</si>
  <si>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</si>
  <si>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</si>
  <si>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</si>
  <si>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</si>
  <si>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</si>
  <si>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</si>
  <si>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</si>
  <si>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</si>
  <si>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</si>
  <si>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</si>
  <si>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</si>
  <si>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</si>
  <si>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</si>
  <si>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</si>
  <si>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</si>
  <si>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</si>
  <si>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</si>
  <si>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</si>
  <si>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</si>
  <si>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</si>
  <si>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</si>
  <si>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</si>
  <si>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</si>
  <si>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</si>
  <si>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</si>
  <si>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</si>
  <si>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</si>
  <si>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</si>
  <si>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</si>
  <si>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</si>
  <si>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</si>
  <si>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</si>
  <si>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</si>
  <si>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</si>
  <si>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</si>
  <si>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</si>
  <si>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</si>
  <si>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</si>
  <si>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</si>
  <si>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</si>
  <si>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</si>
  <si>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</si>
  <si>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</si>
  <si>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</si>
  <si>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</si>
  <si>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</si>
  <si>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</si>
  <si>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</si>
  <si>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</si>
  <si>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</si>
  <si>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</si>
  <si>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</si>
  <si>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</si>
  <si>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</si>
  <si>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</si>
  <si>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</si>
  <si>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</si>
  <si>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</si>
  <si>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</si>
  <si>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</si>
  <si>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</si>
  <si>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</si>
  <si>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</si>
  <si>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</si>
  <si>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</si>
  <si>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</si>
  <si>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</si>
  <si>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</si>
  <si>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</si>
  <si>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</si>
  <si>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</si>
  <si>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</si>
  <si>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</si>
  <si>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</si>
  <si>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</si>
  <si>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</si>
  <si>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</si>
  <si>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</si>
  <si>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</si>
  <si>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</si>
  <si>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</si>
  <si>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</si>
  <si>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</si>
  <si>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</si>
  <si>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</si>
  <si>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</si>
  <si>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</si>
  <si>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</si>
  <si>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</si>
  <si>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</si>
  <si>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</si>
  <si>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</si>
  <si>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</si>
  <si>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</si>
  <si>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</si>
  <si>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</si>
  <si>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</si>
  <si>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</si>
  <si>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</si>
  <si>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</si>
  <si>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</si>
  <si>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</si>
  <si>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</si>
  <si>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</si>
  <si>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</si>
  <si>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</si>
  <si>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</si>
  <si>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</si>
  <si>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</si>
  <si>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</si>
  <si>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</si>
  <si>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</si>
  <si>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</si>
  <si>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</si>
  <si>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</si>
  <si>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</si>
  <si>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</si>
  <si>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</si>
  <si>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</si>
  <si>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</si>
  <si>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</si>
  <si>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</si>
  <si>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</si>
  <si>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</si>
  <si>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</si>
  <si>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</si>
  <si>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</si>
  <si>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</si>
  <si>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</si>
  <si>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</si>
  <si>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</si>
  <si>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</si>
  <si>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</si>
  <si>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</si>
  <si>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</si>
  <si>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</si>
  <si>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</si>
  <si>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</si>
  <si>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</si>
  <si>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</si>
  <si>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</si>
  <si>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</si>
  <si>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</si>
  <si>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</si>
  <si>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</si>
  <si>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</si>
  <si>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</si>
  <si>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</si>
  <si>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</si>
  <si>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</si>
  <si>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</si>
  <si>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</si>
  <si>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</si>
  <si>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</si>
  <si>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</si>
  <si>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</si>
  <si>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</si>
  <si>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</si>
  <si>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</si>
  <si>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</si>
  <si>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</si>
  <si>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</si>
  <si>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</si>
  <si>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</si>
  <si>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</si>
  <si>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</si>
  <si>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</si>
  <si>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</si>
  <si>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</si>
  <si>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</si>
  <si>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</si>
  <si>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</si>
  <si>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</si>
  <si>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</si>
  <si>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</si>
  <si>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</si>
  <si>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</si>
  <si>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</si>
  <si>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</si>
  <si>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</si>
  <si>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</si>
  <si>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</si>
  <si>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</si>
  <si>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</si>
  <si>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</si>
  <si>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</si>
  <si>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</si>
  <si>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</si>
  <si>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</si>
  <si>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</si>
  <si>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</si>
  <si>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</si>
  <si>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</si>
  <si>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</si>
  <si>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</si>
  <si>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</si>
  <si>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</si>
  <si>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</si>
  <si>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</si>
  <si>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</si>
  <si>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</si>
  <si>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</si>
  <si>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</si>
  <si>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</si>
  <si>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</si>
  <si>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</si>
  <si>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</si>
  <si>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</si>
  <si>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</si>
  <si>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</si>
  <si>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</si>
  <si>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</si>
  <si>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</si>
  <si>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</si>
  <si>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</si>
  <si>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</si>
  <si>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</si>
  <si>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</si>
  <si>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</si>
  <si>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</si>
  <si>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</si>
  <si>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</si>
  <si>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</si>
  <si>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</si>
  <si>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</si>
  <si>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</si>
  <si>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</si>
  <si>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</si>
  <si>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</si>
  <si>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</si>
  <si>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</si>
  <si>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</si>
  <si>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</si>
  <si>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</si>
  <si>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</si>
  <si>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</si>
  <si>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</si>
  <si>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</si>
  <si>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</si>
  <si>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</si>
  <si>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</si>
  <si>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</si>
  <si>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</si>
  <si>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</si>
  <si>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</si>
  <si>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</si>
  <si>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</si>
  <si>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</si>
  <si>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</si>
  <si>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</si>
  <si>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</si>
  <si>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</si>
  <si>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</si>
  <si>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</si>
  <si>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</si>
  <si>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</si>
  <si>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</si>
  <si>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</si>
  <si>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</si>
  <si>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</si>
  <si>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</si>
  <si>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</si>
  <si>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</si>
  <si>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</si>
  <si>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</si>
  <si>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</si>
  <si>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</si>
  <si>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</si>
  <si>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</si>
  <si>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</si>
  <si>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</si>
  <si>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</si>
  <si>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</si>
  <si>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</si>
  <si>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</si>
  <si>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</si>
  <si>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</si>
  <si>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</si>
  <si>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</si>
  <si>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</si>
  <si>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</si>
  <si>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</si>
  <si>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</si>
  <si>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</si>
  <si>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</si>
  <si>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</si>
  <si>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</si>
  <si>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</si>
  <si>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</si>
  <si>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</si>
  <si>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</si>
  <si>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</si>
  <si>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</si>
  <si>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</si>
  <si>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</si>
  <si>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</si>
  <si>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</si>
  <si>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</si>
  <si>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</si>
  <si>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</si>
  <si>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</si>
  <si>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</si>
  <si>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</si>
  <si>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</si>
  <si>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</si>
  <si>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</si>
  <si>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</si>
  <si>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</si>
  <si>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</si>
  <si>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</si>
  <si>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</si>
  <si>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</si>
  <si>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</si>
  <si>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</si>
  <si>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</si>
  <si>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</si>
  <si>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</si>
  <si>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</si>
  <si>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</si>
  <si>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</si>
  <si>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</si>
  <si>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</si>
  <si>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</si>
  <si>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</si>
  <si>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</si>
  <si>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</si>
  <si>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</si>
  <si>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</si>
  <si>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</si>
  <si>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</si>
  <si>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</si>
  <si>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</si>
  <si>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</si>
  <si>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</si>
  <si>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</si>
  <si>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</si>
  <si>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</si>
  <si>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</si>
  <si>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</si>
  <si>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</si>
  <si>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</si>
  <si>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</si>
  <si>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</si>
  <si>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</si>
  <si>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</si>
  <si>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</si>
  <si>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</si>
  <si>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</si>
  <si>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</si>
  <si>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</si>
  <si>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</si>
  <si>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</si>
  <si>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</si>
  <si>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</si>
  <si>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</si>
  <si>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</si>
  <si>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</si>
  <si>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</si>
  <si>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</si>
  <si>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</si>
  <si>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</si>
  <si>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</si>
  <si>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</si>
  <si>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</si>
  <si>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</si>
  <si>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</si>
  <si>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</si>
  <si>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</si>
  <si>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</si>
  <si>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</si>
  <si>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</si>
  <si>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</si>
  <si>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</si>
  <si>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</si>
  <si>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</si>
  <si>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</si>
  <si>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</si>
  <si>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</si>
  <si>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</si>
  <si>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</si>
  <si>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</si>
  <si>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</si>
  <si>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</si>
  <si>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</si>
  <si>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</si>
  <si>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</si>
  <si>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</si>
  <si>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</si>
  <si>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</si>
  <si>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</si>
  <si>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</si>
  <si>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</si>
  <si>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</si>
  <si>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</si>
  <si>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</si>
  <si>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</si>
  <si>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</si>
  <si>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</si>
  <si>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</si>
  <si>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</si>
  <si>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</si>
  <si>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</si>
  <si>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</si>
  <si>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</si>
  <si>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</si>
  <si>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</si>
  <si>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</si>
  <si>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</si>
  <si>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</si>
  <si>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</si>
  <si>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</si>
  <si>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</si>
  <si>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</si>
  <si>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</si>
  <si>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</si>
  <si>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</si>
  <si>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</si>
  <si>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</si>
  <si>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</si>
  <si>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</si>
  <si>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</si>
  <si>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</si>
  <si>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</si>
  <si>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</si>
  <si>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</si>
  <si>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</si>
  <si>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</si>
  <si>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</si>
  <si>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</si>
  <si>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</si>
  <si>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</si>
  <si>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</si>
  <si>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</si>
  <si>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</si>
  <si>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</si>
  <si>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</si>
  <si>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</si>
  <si>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</si>
  <si>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Duplicate are removed</t>
  </si>
  <si>
    <t>counta- count all rows that are non empty</t>
  </si>
  <si>
    <t>count- count all the rows</t>
  </si>
  <si>
    <t>Formula</t>
  </si>
  <si>
    <t>Permanent Headcount</t>
  </si>
  <si>
    <t>Permanent total salary</t>
  </si>
  <si>
    <t>Average salary</t>
  </si>
  <si>
    <t>Names</t>
  </si>
  <si>
    <t>countifs - for multiple crieteria range</t>
  </si>
  <si>
    <t>countif - count acording to single range</t>
  </si>
  <si>
    <t>Permanent Total Salary</t>
  </si>
  <si>
    <t>Name</t>
  </si>
  <si>
    <t>To get header</t>
  </si>
  <si>
    <t>filter formula with emp salary &gt;10000</t>
  </si>
  <si>
    <t>filter with female employee</t>
  </si>
  <si>
    <t>choosing the column</t>
  </si>
  <si>
    <t>FILTER(staff,staff[Gender]="Female")</t>
  </si>
  <si>
    <t>All Female Employees with more than 100k salary, who joined in 2020 or after</t>
  </si>
  <si>
    <t>lowest salary</t>
  </si>
  <si>
    <t xml:space="preserve">highest salary </t>
  </si>
  <si>
    <t>top 5 salary</t>
  </si>
  <si>
    <t>for male</t>
  </si>
  <si>
    <t>for female</t>
  </si>
  <si>
    <t>Counif</t>
  </si>
  <si>
    <t>Countifs</t>
  </si>
  <si>
    <t>Count</t>
  </si>
  <si>
    <t xml:space="preserve">Name </t>
  </si>
  <si>
    <t>vlookup</t>
  </si>
  <si>
    <t>match</t>
  </si>
  <si>
    <t>index</t>
  </si>
  <si>
    <t>Xlookup from emp id</t>
  </si>
  <si>
    <t>Xlookup from last name</t>
  </si>
  <si>
    <t>highest salary person</t>
  </si>
  <si>
    <t>All employess joined in march</t>
  </si>
  <si>
    <t>Complex formula: All Female employees joined in Monday</t>
  </si>
  <si>
    <t>Male Ratio</t>
  </si>
  <si>
    <t>Gender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</si>
</sst>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7" borderId="7" xfId="0" applyFont="1" applyFill="1" applyBorder="1"/>
    <xf numFmtId="0" fontId="0" fillId="6" borderId="7" xfId="0" applyFill="1" applyBorder="1"/>
    <xf numFmtId="0" fontId="0" fillId="0" borderId="7" xfId="0" applyBorder="1"/>
    <xf numFmtId="0" fontId="3" fillId="0" borderId="0" xfId="0" applyFont="1" applyAlignment="1">
      <alignment horizontal="center"/>
    </xf>
    <xf numFmtId="14" fontId="0" fillId="0" borderId="0" xfId="0" applyNumberFormat="1"/>
    <xf numFmtId="44" fontId="0" fillId="0" borderId="0" xfId="1" applyFont="1" applyAlignment="1">
      <alignment horizontal="center"/>
    </xf>
    <xf numFmtId="2" fontId="0" fillId="0" borderId="0" xfId="3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Alignment="1">
      <alignment horizontal="center"/>
    </xf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6" workbookViewId="0">
      <selection activeCell="B6" sqref="B6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0</v>
      </c>
    </row>
    <row r="5" spans="1:14" ht="21" customHeight="1" x14ac:dyDescent="0.3">
      <c r="C5" s="4"/>
      <c r="D5" s="5" t="s">
        <v>1</v>
      </c>
      <c r="E5" s="4"/>
      <c r="F5" s="5" t="s">
        <v>2</v>
      </c>
      <c r="G5" s="5" t="s">
        <v>3</v>
      </c>
      <c r="H5" s="29" t="s">
        <v>767</v>
      </c>
    </row>
    <row r="6" spans="1:14" ht="21" customHeight="1" x14ac:dyDescent="0.3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">
      <c r="C7" s="31">
        <v>2</v>
      </c>
      <c r="D7" s="30" t="s">
        <v>775</v>
      </c>
      <c r="E7" s="7"/>
      <c r="F7" s="8" t="s">
        <v>769</v>
      </c>
      <c r="G7" s="30" t="s">
        <v>768</v>
      </c>
      <c r="H7" s="8" t="s">
        <v>769</v>
      </c>
      <c r="J7" s="10"/>
      <c r="N7" s="11"/>
    </row>
    <row r="8" spans="1:14" ht="21" customHeight="1" x14ac:dyDescent="0.3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3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3">
      <c r="C10" s="33">
        <v>5</v>
      </c>
      <c r="D10" s="32" t="s">
        <v>777</v>
      </c>
      <c r="E10" s="13"/>
      <c r="F10" s="14"/>
      <c r="G10" s="30" t="s">
        <v>768</v>
      </c>
      <c r="H10" s="9"/>
      <c r="J10" s="10"/>
      <c r="N10" s="11"/>
    </row>
    <row r="11" spans="1:14" ht="21" customHeight="1" x14ac:dyDescent="0.3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">
      <c r="C12" s="12">
        <v>7</v>
      </c>
      <c r="D12" s="36" t="s">
        <v>783</v>
      </c>
      <c r="E12" s="13"/>
      <c r="F12" s="14" t="s">
        <v>784</v>
      </c>
      <c r="G12" s="36" t="s">
        <v>768</v>
      </c>
      <c r="H12" s="9"/>
      <c r="J12" s="10"/>
      <c r="N12" s="11"/>
    </row>
    <row r="13" spans="1:14" ht="21" customHeight="1" x14ac:dyDescent="0.3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3">
      <c r="C14" s="12">
        <v>9</v>
      </c>
      <c r="D14" s="36" t="s">
        <v>788</v>
      </c>
      <c r="E14" s="13"/>
      <c r="F14" s="14" t="s">
        <v>802</v>
      </c>
      <c r="G14" s="30" t="s">
        <v>768</v>
      </c>
      <c r="H14" s="9"/>
      <c r="J14" s="10"/>
      <c r="N14" s="11"/>
    </row>
    <row r="15" spans="1:14" ht="21" customHeight="1" x14ac:dyDescent="0.3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">
      <c r="C19" s="12">
        <v>13</v>
      </c>
      <c r="D19" s="16" t="s">
        <v>803</v>
      </c>
      <c r="E19" s="19"/>
      <c r="F19" s="37"/>
      <c r="G19" s="30" t="s">
        <v>768</v>
      </c>
      <c r="H19" s="9"/>
      <c r="J19" s="10"/>
      <c r="N19" s="11"/>
    </row>
    <row r="20" spans="3:14" ht="28.8" x14ac:dyDescent="0.3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">
      <c r="C21" s="38">
        <v>15</v>
      </c>
      <c r="D21" s="18" t="s">
        <v>23</v>
      </c>
      <c r="G21" s="30" t="s">
        <v>768</v>
      </c>
      <c r="H21" s="9"/>
      <c r="J21" s="10"/>
      <c r="N21" s="11"/>
    </row>
    <row r="22" spans="3:14" x14ac:dyDescent="0.3">
      <c r="H22" s="9"/>
      <c r="J22" s="10"/>
      <c r="N22" s="11"/>
    </row>
    <row r="23" spans="3:14" x14ac:dyDescent="0.3">
      <c r="H23" s="9"/>
      <c r="J23" s="10"/>
      <c r="N23" s="11"/>
    </row>
    <row r="24" spans="3:14" x14ac:dyDescent="0.3">
      <c r="H24" s="9"/>
      <c r="J24" s="10"/>
      <c r="N24" s="11"/>
    </row>
    <row r="25" spans="3:14" x14ac:dyDescent="0.3">
      <c r="H25" s="9"/>
      <c r="J25" s="10"/>
      <c r="N25" s="11"/>
    </row>
    <row r="26" spans="3:14" x14ac:dyDescent="0.3">
      <c r="H26" s="9"/>
      <c r="J26" s="10"/>
      <c r="N26" s="11"/>
    </row>
    <row r="27" spans="3:14" x14ac:dyDescent="0.3">
      <c r="H27" s="9"/>
      <c r="J27" s="10"/>
      <c r="N27" s="11"/>
    </row>
    <row r="28" spans="3:14" x14ac:dyDescent="0.3">
      <c r="H28" s="9"/>
      <c r="J28" s="10"/>
      <c r="N28" s="11"/>
    </row>
    <row r="29" spans="3:14" x14ac:dyDescent="0.3">
      <c r="H29" s="9"/>
      <c r="J29" s="10"/>
      <c r="N29" s="11"/>
    </row>
    <row r="30" spans="3:14" x14ac:dyDescent="0.3">
      <c r="H30" s="9"/>
      <c r="J30" s="10"/>
      <c r="N30" s="11"/>
    </row>
    <row r="31" spans="3:14" x14ac:dyDescent="0.3">
      <c r="H31" s="9"/>
      <c r="J31" s="10"/>
      <c r="N31" s="11"/>
    </row>
    <row r="32" spans="3:14" x14ac:dyDescent="0.3">
      <c r="H32" s="9"/>
      <c r="J32" s="10"/>
      <c r="N32" s="11"/>
    </row>
    <row r="33" spans="8:14" x14ac:dyDescent="0.3">
      <c r="H33" s="9"/>
      <c r="J33" s="10"/>
      <c r="N33" s="11"/>
    </row>
    <row r="34" spans="8:14" x14ac:dyDescent="0.3">
      <c r="H34" s="9"/>
      <c r="J34" s="10"/>
      <c r="N34" s="11"/>
    </row>
    <row r="35" spans="8:14" x14ac:dyDescent="0.3">
      <c r="H35" s="9"/>
      <c r="J35" s="10"/>
      <c r="N35" s="11"/>
    </row>
    <row r="36" spans="8:14" x14ac:dyDescent="0.3">
      <c r="H36" s="9"/>
      <c r="J36" s="10"/>
      <c r="N36" s="11"/>
    </row>
    <row r="37" spans="8:14" x14ac:dyDescent="0.3">
      <c r="H37" s="9"/>
      <c r="J37" s="10"/>
      <c r="N37" s="11"/>
    </row>
    <row r="38" spans="8:14" x14ac:dyDescent="0.3">
      <c r="H38" s="9"/>
      <c r="J38" s="10"/>
      <c r="N38" s="11"/>
    </row>
    <row r="39" spans="8:14" x14ac:dyDescent="0.3">
      <c r="H39" s="9"/>
      <c r="J39" s="10"/>
      <c r="N39" s="11"/>
    </row>
    <row r="40" spans="8:14" x14ac:dyDescent="0.3">
      <c r="H40" s="9"/>
      <c r="J40" s="10"/>
      <c r="N40" s="11"/>
    </row>
    <row r="41" spans="8:14" x14ac:dyDescent="0.3">
      <c r="H41" s="9"/>
      <c r="J41" s="10"/>
      <c r="N41" s="11"/>
    </row>
    <row r="42" spans="8:14" x14ac:dyDescent="0.3">
      <c r="H42" s="9"/>
      <c r="J42" s="10"/>
      <c r="N42" s="11"/>
    </row>
    <row r="43" spans="8:14" x14ac:dyDescent="0.3">
      <c r="H43" s="9"/>
      <c r="J43" s="10"/>
      <c r="N43" s="11"/>
    </row>
    <row r="44" spans="8:14" x14ac:dyDescent="0.3">
      <c r="H44" s="9"/>
      <c r="J44" s="10"/>
      <c r="N44" s="11"/>
    </row>
    <row r="45" spans="8:14" x14ac:dyDescent="0.3">
      <c r="H45" s="9"/>
      <c r="J45" s="10"/>
      <c r="N45" s="11"/>
    </row>
    <row r="46" spans="8:14" x14ac:dyDescent="0.3">
      <c r="H46" s="9"/>
      <c r="J46" s="10"/>
      <c r="N46" s="11"/>
    </row>
    <row r="47" spans="8:14" x14ac:dyDescent="0.3">
      <c r="H47" s="9"/>
      <c r="J47" s="10"/>
      <c r="N47" s="11"/>
    </row>
    <row r="48" spans="8:14" x14ac:dyDescent="0.3">
      <c r="H48" s="9"/>
      <c r="J48" s="10"/>
      <c r="N48" s="11"/>
    </row>
    <row r="49" spans="8:14" x14ac:dyDescent="0.3">
      <c r="H49" s="9"/>
      <c r="J49" s="10"/>
      <c r="N49" s="11"/>
    </row>
    <row r="50" spans="8:14" x14ac:dyDescent="0.3">
      <c r="H50" s="9"/>
      <c r="J50" s="10"/>
      <c r="N50" s="11"/>
    </row>
    <row r="51" spans="8:14" x14ac:dyDescent="0.3">
      <c r="H51" s="9"/>
      <c r="J51" s="10"/>
      <c r="N51" s="11"/>
    </row>
    <row r="52" spans="8:14" x14ac:dyDescent="0.3">
      <c r="H52" s="9"/>
      <c r="J52" s="10"/>
      <c r="N52" s="11"/>
    </row>
    <row r="53" spans="8:14" x14ac:dyDescent="0.3">
      <c r="H53" s="9"/>
      <c r="J53" s="10"/>
      <c r="N53" s="11"/>
    </row>
    <row r="54" spans="8:14" x14ac:dyDescent="0.3">
      <c r="H54" s="9"/>
      <c r="J54" s="10"/>
      <c r="N54" s="11"/>
    </row>
    <row r="55" spans="8:14" x14ac:dyDescent="0.3">
      <c r="H55" s="9"/>
      <c r="J55" s="10"/>
      <c r="N55" s="11"/>
    </row>
    <row r="56" spans="8:14" x14ac:dyDescent="0.3">
      <c r="H56" s="9"/>
      <c r="J56" s="10"/>
      <c r="N56" s="11"/>
    </row>
    <row r="57" spans="8:14" x14ac:dyDescent="0.3">
      <c r="H57" s="9"/>
      <c r="J57" s="10"/>
      <c r="N57" s="11"/>
    </row>
    <row r="58" spans="8:14" x14ac:dyDescent="0.3">
      <c r="H58" s="9"/>
      <c r="J58" s="10"/>
      <c r="N58" s="11"/>
    </row>
    <row r="59" spans="8:14" x14ac:dyDescent="0.3">
      <c r="H59" s="9"/>
      <c r="J59" s="10"/>
      <c r="N59" s="11"/>
    </row>
    <row r="60" spans="8:14" x14ac:dyDescent="0.3">
      <c r="H60" s="9"/>
      <c r="J60" s="10"/>
      <c r="N60" s="11"/>
    </row>
    <row r="61" spans="8:14" x14ac:dyDescent="0.3">
      <c r="H61" s="9"/>
      <c r="J61" s="10"/>
      <c r="N61" s="11"/>
    </row>
    <row r="62" spans="8:14" x14ac:dyDescent="0.3">
      <c r="H62" s="9"/>
      <c r="J62" s="10"/>
      <c r="N62" s="11"/>
    </row>
    <row r="63" spans="8:14" x14ac:dyDescent="0.3">
      <c r="H63" s="9"/>
      <c r="J63" s="10"/>
      <c r="N63" s="11"/>
    </row>
    <row r="64" spans="8:14" x14ac:dyDescent="0.3">
      <c r="H64" s="9"/>
      <c r="J64" s="10"/>
      <c r="N64" s="11"/>
    </row>
    <row r="65" spans="8:14" x14ac:dyDescent="0.3">
      <c r="H65" s="9"/>
      <c r="J65" s="10"/>
      <c r="N65" s="11"/>
    </row>
    <row r="66" spans="8:14" x14ac:dyDescent="0.3">
      <c r="H66" s="9"/>
      <c r="J66" s="10"/>
      <c r="N66" s="11"/>
    </row>
    <row r="67" spans="8:14" x14ac:dyDescent="0.3">
      <c r="H67" s="9"/>
      <c r="J67" s="10"/>
      <c r="N67" s="11"/>
    </row>
    <row r="68" spans="8:14" x14ac:dyDescent="0.3">
      <c r="H68" s="9"/>
      <c r="J68" s="10"/>
      <c r="N68" s="11"/>
    </row>
    <row r="69" spans="8:14" x14ac:dyDescent="0.3">
      <c r="H69" s="9"/>
      <c r="J69" s="10"/>
      <c r="N69" s="11"/>
    </row>
    <row r="70" spans="8:14" x14ac:dyDescent="0.3">
      <c r="H70" s="9"/>
      <c r="J70" s="10"/>
      <c r="N70" s="11"/>
    </row>
    <row r="71" spans="8:14" x14ac:dyDescent="0.3">
      <c r="H71" s="9"/>
      <c r="J71" s="10"/>
      <c r="N71" s="11"/>
    </row>
    <row r="72" spans="8:14" x14ac:dyDescent="0.3">
      <c r="H72" s="9"/>
      <c r="J72" s="10"/>
      <c r="N72" s="11"/>
    </row>
    <row r="73" spans="8:14" x14ac:dyDescent="0.3">
      <c r="H73" s="9"/>
      <c r="J73" s="10"/>
      <c r="N73" s="11"/>
    </row>
    <row r="74" spans="8:14" x14ac:dyDescent="0.3">
      <c r="H74" s="9"/>
      <c r="J74" s="10"/>
      <c r="N74" s="11"/>
    </row>
    <row r="75" spans="8:14" x14ac:dyDescent="0.3">
      <c r="H75" s="9"/>
      <c r="J75" s="10"/>
      <c r="N75" s="11"/>
    </row>
    <row r="76" spans="8:14" x14ac:dyDescent="0.3">
      <c r="H76" s="9"/>
      <c r="J76" s="10"/>
      <c r="N76" s="11"/>
    </row>
    <row r="77" spans="8:14" x14ac:dyDescent="0.3">
      <c r="H77" s="9"/>
      <c r="J77" s="10"/>
      <c r="N77" s="11"/>
    </row>
    <row r="78" spans="8:14" x14ac:dyDescent="0.3">
      <c r="H78" s="9"/>
      <c r="J78" s="10"/>
      <c r="N78" s="11"/>
    </row>
    <row r="79" spans="8:14" x14ac:dyDescent="0.3">
      <c r="H79" s="9"/>
      <c r="J79" s="10"/>
      <c r="N79" s="11"/>
    </row>
    <row r="80" spans="8:14" x14ac:dyDescent="0.3">
      <c r="H80" s="9"/>
      <c r="J80" s="10"/>
      <c r="N80" s="11"/>
    </row>
    <row r="81" spans="8:14" x14ac:dyDescent="0.3">
      <c r="H81" s="9"/>
      <c r="J81" s="10"/>
      <c r="N81" s="11"/>
    </row>
    <row r="82" spans="8:14" x14ac:dyDescent="0.3">
      <c r="H82" s="9"/>
      <c r="J82" s="10"/>
      <c r="N82" s="11"/>
    </row>
    <row r="83" spans="8:14" x14ac:dyDescent="0.3">
      <c r="H83" s="9"/>
      <c r="J83" s="10"/>
      <c r="N83" s="11"/>
    </row>
    <row r="84" spans="8:14" x14ac:dyDescent="0.3">
      <c r="H84" s="9"/>
      <c r="J84" s="10"/>
      <c r="N84" s="11"/>
    </row>
    <row r="85" spans="8:14" x14ac:dyDescent="0.3">
      <c r="H85" s="9"/>
      <c r="J85" s="10"/>
      <c r="N85" s="11"/>
    </row>
    <row r="86" spans="8:14" x14ac:dyDescent="0.3">
      <c r="H86" s="9"/>
      <c r="J86" s="10"/>
      <c r="N86" s="11"/>
    </row>
    <row r="87" spans="8:14" x14ac:dyDescent="0.3">
      <c r="H87" s="9"/>
      <c r="J87" s="10"/>
      <c r="N87" s="11"/>
    </row>
    <row r="88" spans="8:14" x14ac:dyDescent="0.3">
      <c r="H88" s="9"/>
      <c r="J88" s="10"/>
      <c r="N88" s="11"/>
    </row>
    <row r="89" spans="8:14" x14ac:dyDescent="0.3">
      <c r="H89" s="9"/>
      <c r="J89" s="10"/>
      <c r="N89" s="11"/>
    </row>
    <row r="90" spans="8:14" x14ac:dyDescent="0.3">
      <c r="H90" s="9"/>
      <c r="J90" s="10"/>
      <c r="N90" s="11"/>
    </row>
    <row r="91" spans="8:14" x14ac:dyDescent="0.3">
      <c r="H91" s="9"/>
      <c r="J91" s="10"/>
      <c r="N91" s="11"/>
    </row>
    <row r="92" spans="8:14" x14ac:dyDescent="0.3">
      <c r="H92" s="9"/>
      <c r="J92" s="10"/>
      <c r="N92" s="11"/>
    </row>
    <row r="93" spans="8:14" x14ac:dyDescent="0.3">
      <c r="H93" s="9"/>
      <c r="J93" s="10"/>
      <c r="N93" s="11"/>
    </row>
    <row r="94" spans="8:14" x14ac:dyDescent="0.3">
      <c r="H94" s="9"/>
      <c r="J94" s="10"/>
      <c r="N94" s="11"/>
    </row>
    <row r="95" spans="8:14" x14ac:dyDescent="0.3">
      <c r="H95" s="9"/>
      <c r="J95" s="10"/>
      <c r="N95" s="11"/>
    </row>
    <row r="96" spans="8:14" x14ac:dyDescent="0.3">
      <c r="H96" s="9"/>
      <c r="J96" s="10"/>
      <c r="N96" s="11"/>
    </row>
    <row r="97" spans="8:14" x14ac:dyDescent="0.3">
      <c r="H97" s="9"/>
      <c r="J97" s="10"/>
      <c r="N97" s="11"/>
    </row>
    <row r="98" spans="8:14" x14ac:dyDescent="0.3">
      <c r="H98" s="9"/>
      <c r="J98" s="10"/>
      <c r="N98" s="11"/>
    </row>
    <row r="99" spans="8:14" x14ac:dyDescent="0.3">
      <c r="H99" s="9"/>
      <c r="J99" s="10"/>
      <c r="N99" s="11"/>
    </row>
    <row r="100" spans="8:14" x14ac:dyDescent="0.3">
      <c r="H100" s="9"/>
      <c r="J100" s="10"/>
      <c r="N100" s="11"/>
    </row>
    <row r="101" spans="8:14" x14ac:dyDescent="0.3">
      <c r="H101" s="9"/>
      <c r="J101" s="10"/>
      <c r="N101" s="11"/>
    </row>
    <row r="102" spans="8:14" x14ac:dyDescent="0.3">
      <c r="H102" s="9"/>
      <c r="J102" s="10"/>
      <c r="N102" s="11"/>
    </row>
    <row r="103" spans="8:14" x14ac:dyDescent="0.3">
      <c r="H103" s="9"/>
      <c r="J103" s="10"/>
      <c r="N103" s="11"/>
    </row>
    <row r="104" spans="8:14" x14ac:dyDescent="0.3">
      <c r="H104" s="9"/>
      <c r="J104" s="10"/>
      <c r="N104" s="11"/>
    </row>
    <row r="105" spans="8:14" x14ac:dyDescent="0.3">
      <c r="H105" s="9"/>
      <c r="J105" s="10"/>
      <c r="N105" s="11"/>
    </row>
    <row r="106" spans="8:14" x14ac:dyDescent="0.3">
      <c r="H106" s="9"/>
      <c r="J106" s="10"/>
      <c r="N106" s="11"/>
    </row>
    <row r="107" spans="8:14" x14ac:dyDescent="0.3">
      <c r="H107" s="9"/>
      <c r="J107" s="10"/>
      <c r="N107" s="11"/>
    </row>
    <row r="108" spans="8:14" x14ac:dyDescent="0.3">
      <c r="H108" s="9"/>
      <c r="J108" s="10"/>
      <c r="N108" s="11"/>
    </row>
    <row r="109" spans="8:14" x14ac:dyDescent="0.3">
      <c r="H109" s="9"/>
      <c r="J109" s="10"/>
      <c r="N109" s="11"/>
    </row>
    <row r="110" spans="8:14" x14ac:dyDescent="0.3">
      <c r="H110" s="9"/>
      <c r="J110" s="10"/>
      <c r="N110" s="11"/>
    </row>
    <row r="111" spans="8:14" x14ac:dyDescent="0.3">
      <c r="H111" s="9"/>
      <c r="J111" s="10"/>
      <c r="N111" s="11"/>
    </row>
    <row r="112" spans="8:14" x14ac:dyDescent="0.3">
      <c r="H112" s="9"/>
      <c r="J112" s="10"/>
      <c r="N112" s="11"/>
    </row>
    <row r="113" spans="8:14" x14ac:dyDescent="0.3">
      <c r="H113" s="9"/>
      <c r="J113" s="10"/>
      <c r="N113" s="11"/>
    </row>
    <row r="114" spans="8:14" x14ac:dyDescent="0.3">
      <c r="H114" s="9"/>
      <c r="J114" s="10"/>
      <c r="N114" s="11"/>
    </row>
    <row r="115" spans="8:14" x14ac:dyDescent="0.3">
      <c r="H115" s="9"/>
      <c r="J115" s="10"/>
      <c r="N115" s="11"/>
    </row>
    <row r="116" spans="8:14" x14ac:dyDescent="0.3">
      <c r="H116" s="9"/>
      <c r="J116" s="10"/>
      <c r="N116" s="11"/>
    </row>
    <row r="117" spans="8:14" x14ac:dyDescent="0.3">
      <c r="H117" s="9"/>
      <c r="J117" s="10"/>
      <c r="N117" s="11"/>
    </row>
    <row r="118" spans="8:14" x14ac:dyDescent="0.3">
      <c r="H118" s="9"/>
      <c r="J118" s="10"/>
      <c r="N118" s="11"/>
    </row>
    <row r="119" spans="8:14" x14ac:dyDescent="0.3">
      <c r="H119" s="9"/>
      <c r="J119" s="10"/>
      <c r="N119" s="11"/>
    </row>
    <row r="120" spans="8:14" x14ac:dyDescent="0.3">
      <c r="H120" s="9"/>
      <c r="J120" s="10"/>
      <c r="N120" s="11"/>
    </row>
    <row r="121" spans="8:14" x14ac:dyDescent="0.3">
      <c r="H121" s="9"/>
      <c r="J121" s="10"/>
      <c r="N121" s="11"/>
    </row>
    <row r="122" spans="8:14" x14ac:dyDescent="0.3">
      <c r="H122" s="9"/>
      <c r="J122" s="10"/>
      <c r="N122" s="11"/>
    </row>
    <row r="123" spans="8:14" x14ac:dyDescent="0.3">
      <c r="H123" s="9"/>
      <c r="J123" s="10"/>
      <c r="N123" s="11"/>
    </row>
    <row r="124" spans="8:14" x14ac:dyDescent="0.3">
      <c r="H124" s="9"/>
      <c r="J124" s="10"/>
      <c r="N124" s="11"/>
    </row>
    <row r="125" spans="8:14" x14ac:dyDescent="0.3">
      <c r="H125" s="9"/>
      <c r="J125" s="10"/>
      <c r="N125" s="11"/>
    </row>
    <row r="126" spans="8:14" x14ac:dyDescent="0.3">
      <c r="H126" s="9"/>
      <c r="J126" s="10"/>
      <c r="N126" s="11"/>
    </row>
    <row r="127" spans="8:14" x14ac:dyDescent="0.3">
      <c r="H127" s="9"/>
      <c r="J127" s="10"/>
      <c r="N127" s="11"/>
    </row>
    <row r="128" spans="8:14" x14ac:dyDescent="0.3">
      <c r="H128" s="9"/>
      <c r="J128" s="10"/>
      <c r="N128" s="11"/>
    </row>
    <row r="129" spans="8:14" x14ac:dyDescent="0.3">
      <c r="H129" s="9"/>
      <c r="J129" s="10"/>
      <c r="N129" s="11"/>
    </row>
    <row r="130" spans="8:14" x14ac:dyDescent="0.3">
      <c r="H130" s="9"/>
      <c r="J130" s="10"/>
      <c r="N130" s="11"/>
    </row>
    <row r="131" spans="8:14" x14ac:dyDescent="0.3">
      <c r="H131" s="9"/>
      <c r="J131" s="10"/>
      <c r="N131" s="11"/>
    </row>
    <row r="132" spans="8:14" x14ac:dyDescent="0.3">
      <c r="H132" s="9"/>
      <c r="J132" s="10"/>
      <c r="N132" s="11"/>
    </row>
    <row r="133" spans="8:14" x14ac:dyDescent="0.3">
      <c r="H133" s="9"/>
      <c r="J133" s="10"/>
      <c r="N133" s="11"/>
    </row>
    <row r="134" spans="8:14" x14ac:dyDescent="0.3">
      <c r="H134" s="9"/>
      <c r="J134" s="10"/>
      <c r="N134" s="11"/>
    </row>
    <row r="135" spans="8:14" x14ac:dyDescent="0.3">
      <c r="H135" s="9"/>
      <c r="J135" s="10"/>
      <c r="N135" s="11"/>
    </row>
    <row r="136" spans="8:14" x14ac:dyDescent="0.3">
      <c r="H136" s="9"/>
      <c r="J136" s="10"/>
      <c r="N136" s="11"/>
    </row>
    <row r="137" spans="8:14" x14ac:dyDescent="0.3">
      <c r="H137" s="9"/>
      <c r="J137" s="10"/>
      <c r="N137" s="11"/>
    </row>
    <row r="138" spans="8:14" x14ac:dyDescent="0.3">
      <c r="H138" s="9"/>
      <c r="J138" s="10"/>
      <c r="N138" s="11"/>
    </row>
    <row r="139" spans="8:14" x14ac:dyDescent="0.3">
      <c r="H139" s="9"/>
      <c r="J139" s="10"/>
      <c r="N139" s="11"/>
    </row>
    <row r="140" spans="8:14" x14ac:dyDescent="0.3">
      <c r="H140" s="9"/>
      <c r="J140" s="10"/>
      <c r="N140" s="11"/>
    </row>
    <row r="141" spans="8:14" x14ac:dyDescent="0.3">
      <c r="H141" s="9"/>
      <c r="J141" s="10"/>
      <c r="N141" s="11"/>
    </row>
    <row r="142" spans="8:14" x14ac:dyDescent="0.3">
      <c r="H142" s="9"/>
      <c r="J142" s="10"/>
      <c r="N142" s="11"/>
    </row>
    <row r="143" spans="8:14" x14ac:dyDescent="0.3">
      <c r="H143" s="9"/>
      <c r="J143" s="10"/>
      <c r="N143" s="11"/>
    </row>
    <row r="144" spans="8:14" x14ac:dyDescent="0.3">
      <c r="H144" s="9"/>
      <c r="J144" s="10"/>
      <c r="N144" s="11"/>
    </row>
    <row r="145" spans="8:14" x14ac:dyDescent="0.3">
      <c r="H145" s="9"/>
      <c r="J145" s="10"/>
      <c r="N145" s="11"/>
    </row>
    <row r="146" spans="8:14" x14ac:dyDescent="0.3">
      <c r="H146" s="9"/>
      <c r="J146" s="10"/>
      <c r="N146" s="11"/>
    </row>
    <row r="147" spans="8:14" x14ac:dyDescent="0.3">
      <c r="H147" s="9"/>
      <c r="J147" s="10"/>
      <c r="N147" s="11"/>
    </row>
    <row r="148" spans="8:14" x14ac:dyDescent="0.3">
      <c r="H148" s="9"/>
      <c r="J148" s="10"/>
      <c r="N148" s="11"/>
    </row>
    <row r="149" spans="8:14" x14ac:dyDescent="0.3">
      <c r="H149" s="9"/>
      <c r="J149" s="10"/>
      <c r="N149" s="11"/>
    </row>
    <row r="150" spans="8:14" x14ac:dyDescent="0.3">
      <c r="H150" s="9"/>
      <c r="J150" s="10"/>
      <c r="N150" s="11"/>
    </row>
    <row r="151" spans="8:14" x14ac:dyDescent="0.3">
      <c r="H151" s="9"/>
      <c r="J151" s="10"/>
      <c r="N151" s="11"/>
    </row>
    <row r="152" spans="8:14" x14ac:dyDescent="0.3">
      <c r="H152" s="9"/>
      <c r="J152" s="10"/>
      <c r="N152" s="11"/>
    </row>
    <row r="153" spans="8:14" x14ac:dyDescent="0.3">
      <c r="H153" s="9"/>
      <c r="J153" s="10"/>
      <c r="N153" s="11"/>
    </row>
    <row r="154" spans="8:14" x14ac:dyDescent="0.3">
      <c r="H154" s="9"/>
      <c r="J154" s="10"/>
      <c r="N154" s="11"/>
    </row>
    <row r="155" spans="8:14" x14ac:dyDescent="0.3">
      <c r="H155" s="9"/>
      <c r="J155" s="10"/>
      <c r="N155" s="11"/>
    </row>
    <row r="156" spans="8:14" x14ac:dyDescent="0.3">
      <c r="H156" s="9"/>
      <c r="J156" s="10"/>
      <c r="N156" s="11"/>
    </row>
    <row r="157" spans="8:14" x14ac:dyDescent="0.3">
      <c r="H157" s="9"/>
      <c r="J157" s="10"/>
      <c r="N157" s="11"/>
    </row>
    <row r="158" spans="8:14" x14ac:dyDescent="0.3">
      <c r="H158" s="9"/>
      <c r="J158" s="10"/>
      <c r="N158" s="11"/>
    </row>
    <row r="159" spans="8:14" x14ac:dyDescent="0.3">
      <c r="H159" s="9"/>
      <c r="J159" s="10"/>
      <c r="N159" s="11"/>
    </row>
    <row r="160" spans="8:14" x14ac:dyDescent="0.3">
      <c r="H160" s="9"/>
      <c r="J160" s="10"/>
      <c r="N160" s="11"/>
    </row>
    <row r="161" spans="8:14" x14ac:dyDescent="0.3">
      <c r="H161" s="9"/>
      <c r="J161" s="10"/>
      <c r="N161" s="11"/>
    </row>
    <row r="162" spans="8:14" x14ac:dyDescent="0.3">
      <c r="H162" s="9"/>
      <c r="J162" s="10"/>
      <c r="N162" s="11"/>
    </row>
    <row r="163" spans="8:14" x14ac:dyDescent="0.3">
      <c r="H163" s="9"/>
      <c r="J163" s="10"/>
      <c r="N163" s="11"/>
    </row>
    <row r="164" spans="8:14" x14ac:dyDescent="0.3">
      <c r="H164" s="9"/>
      <c r="J164" s="10"/>
      <c r="N164" s="11"/>
    </row>
    <row r="165" spans="8:14" x14ac:dyDescent="0.3">
      <c r="H165" s="9"/>
      <c r="J165" s="10"/>
      <c r="N165" s="11"/>
    </row>
    <row r="166" spans="8:14" x14ac:dyDescent="0.3">
      <c r="H166" s="9"/>
      <c r="J166" s="10"/>
      <c r="N166" s="11"/>
    </row>
    <row r="167" spans="8:14" x14ac:dyDescent="0.3">
      <c r="H167" s="9"/>
      <c r="J167" s="10"/>
      <c r="N167" s="11"/>
    </row>
    <row r="168" spans="8:14" x14ac:dyDescent="0.3">
      <c r="H168" s="9"/>
      <c r="J168" s="10"/>
      <c r="N168" s="11"/>
    </row>
    <row r="169" spans="8:14" x14ac:dyDescent="0.3">
      <c r="H169" s="9"/>
      <c r="J169" s="10"/>
      <c r="N169" s="11"/>
    </row>
    <row r="170" spans="8:14" x14ac:dyDescent="0.3">
      <c r="H170" s="9"/>
      <c r="J170" s="10"/>
      <c r="N170" s="11"/>
    </row>
    <row r="171" spans="8:14" x14ac:dyDescent="0.3">
      <c r="H171" s="9"/>
      <c r="J171" s="10"/>
      <c r="N171" s="11"/>
    </row>
    <row r="172" spans="8:14" x14ac:dyDescent="0.3">
      <c r="H172" s="9"/>
      <c r="J172" s="10"/>
      <c r="N172" s="11"/>
    </row>
    <row r="173" spans="8:14" x14ac:dyDescent="0.3">
      <c r="H173" s="9"/>
      <c r="J173" s="10"/>
      <c r="N173" s="11"/>
    </row>
    <row r="174" spans="8:14" x14ac:dyDescent="0.3">
      <c r="H174" s="9"/>
      <c r="J174" s="10"/>
      <c r="N174" s="11"/>
    </row>
    <row r="175" spans="8:14" x14ac:dyDescent="0.3">
      <c r="H175" s="9"/>
      <c r="J175" s="10"/>
      <c r="N175" s="11"/>
    </row>
    <row r="176" spans="8:14" x14ac:dyDescent="0.3">
      <c r="H176" s="9"/>
      <c r="J176" s="10"/>
      <c r="N176" s="11"/>
    </row>
    <row r="177" spans="8:14" x14ac:dyDescent="0.3">
      <c r="H177" s="9"/>
      <c r="J177" s="10"/>
      <c r="N177" s="11"/>
    </row>
    <row r="178" spans="8:14" x14ac:dyDescent="0.3">
      <c r="H178" s="9"/>
      <c r="J178" s="10"/>
      <c r="N178" s="11"/>
    </row>
    <row r="179" spans="8:14" x14ac:dyDescent="0.3">
      <c r="H179" s="9"/>
      <c r="J179" s="10"/>
      <c r="N179" s="11"/>
    </row>
    <row r="180" spans="8:14" x14ac:dyDescent="0.3">
      <c r="H180" s="9"/>
      <c r="J180" s="10"/>
      <c r="N180" s="11"/>
    </row>
    <row r="181" spans="8:14" x14ac:dyDescent="0.3">
      <c r="H181" s="9"/>
      <c r="J181" s="10"/>
      <c r="N181" s="11"/>
    </row>
    <row r="182" spans="8:14" x14ac:dyDescent="0.3">
      <c r="H182" s="9"/>
      <c r="J182" s="10"/>
      <c r="N182" s="11"/>
    </row>
    <row r="183" spans="8:14" x14ac:dyDescent="0.3">
      <c r="H183" s="9"/>
      <c r="J183" s="10"/>
      <c r="N183" s="11"/>
    </row>
    <row r="184" spans="8:14" x14ac:dyDescent="0.3">
      <c r="H184" s="9"/>
      <c r="J184" s="10"/>
      <c r="N184" s="11"/>
    </row>
    <row r="185" spans="8:14" x14ac:dyDescent="0.3">
      <c r="H185" s="9"/>
      <c r="J185" s="10"/>
      <c r="N185" s="11"/>
    </row>
    <row r="186" spans="8:14" x14ac:dyDescent="0.3">
      <c r="H186" s="9"/>
      <c r="J186" s="10"/>
      <c r="N186" s="11"/>
    </row>
    <row r="187" spans="8:14" x14ac:dyDescent="0.3">
      <c r="H187" s="9"/>
      <c r="J187" s="10"/>
      <c r="N187" s="11"/>
    </row>
    <row r="188" spans="8:14" x14ac:dyDescent="0.3">
      <c r="H188" s="9"/>
      <c r="J188" s="10"/>
      <c r="N188" s="11"/>
    </row>
    <row r="189" spans="8:14" x14ac:dyDescent="0.3">
      <c r="H189" s="9"/>
      <c r="J189" s="10"/>
      <c r="N189" s="11"/>
    </row>
    <row r="190" spans="8:14" x14ac:dyDescent="0.3">
      <c r="H190" s="9"/>
      <c r="J190" s="10"/>
      <c r="N190" s="11"/>
    </row>
    <row r="191" spans="8:14" x14ac:dyDescent="0.3">
      <c r="H191" s="9"/>
      <c r="J191" s="10"/>
      <c r="N191" s="11"/>
    </row>
    <row r="192" spans="8:14" x14ac:dyDescent="0.3">
      <c r="H192" s="9"/>
      <c r="J192" s="10"/>
      <c r="N192" s="11"/>
    </row>
    <row r="193" spans="8:14" x14ac:dyDescent="0.3">
      <c r="H193" s="9"/>
      <c r="J193" s="10"/>
      <c r="N193" s="11"/>
    </row>
    <row r="194" spans="8:14" x14ac:dyDescent="0.3">
      <c r="H194" s="9"/>
      <c r="J194" s="10"/>
      <c r="N194" s="11"/>
    </row>
    <row r="195" spans="8:14" x14ac:dyDescent="0.3">
      <c r="H195" s="9"/>
      <c r="J195" s="10"/>
      <c r="N195" s="11"/>
    </row>
    <row r="196" spans="8:14" x14ac:dyDescent="0.3">
      <c r="H196" s="9"/>
      <c r="J196" s="10"/>
      <c r="N196" s="11"/>
    </row>
    <row r="197" spans="8:14" x14ac:dyDescent="0.3">
      <c r="H197" s="9"/>
      <c r="J197" s="10"/>
      <c r="N197" s="11"/>
    </row>
    <row r="198" spans="8:14" x14ac:dyDescent="0.3">
      <c r="H198" s="9"/>
      <c r="J198" s="10"/>
      <c r="N198" s="11"/>
    </row>
    <row r="199" spans="8:14" x14ac:dyDescent="0.3">
      <c r="H199" s="9"/>
      <c r="J199" s="10"/>
      <c r="N199" s="11"/>
    </row>
    <row r="200" spans="8:14" x14ac:dyDescent="0.3">
      <c r="H200" s="9"/>
      <c r="J200" s="10"/>
      <c r="N200" s="11"/>
    </row>
    <row r="201" spans="8:14" x14ac:dyDescent="0.3">
      <c r="H201" s="9"/>
      <c r="J201" s="10"/>
      <c r="N201" s="11"/>
    </row>
    <row r="202" spans="8:14" x14ac:dyDescent="0.3">
      <c r="H202" s="9"/>
      <c r="J202" s="10"/>
      <c r="N202" s="11"/>
    </row>
    <row r="203" spans="8:14" x14ac:dyDescent="0.3">
      <c r="H203" s="9"/>
      <c r="J203" s="10"/>
      <c r="N203" s="11"/>
    </row>
    <row r="204" spans="8:14" x14ac:dyDescent="0.3">
      <c r="H204" s="9"/>
      <c r="J204" s="10"/>
      <c r="N204" s="11"/>
    </row>
    <row r="205" spans="8:14" x14ac:dyDescent="0.3">
      <c r="H205" s="9"/>
      <c r="J205" s="10"/>
      <c r="N205" s="11"/>
    </row>
    <row r="206" spans="8:14" x14ac:dyDescent="0.3">
      <c r="H206" s="9"/>
      <c r="J206" s="10"/>
      <c r="N206" s="11"/>
    </row>
    <row r="207" spans="8:14" x14ac:dyDescent="0.3">
      <c r="H207" s="9"/>
      <c r="J207" s="10"/>
      <c r="N207" s="11"/>
    </row>
    <row r="208" spans="8:14" x14ac:dyDescent="0.3">
      <c r="H208" s="9"/>
      <c r="J208" s="10"/>
      <c r="N208" s="11"/>
    </row>
    <row r="209" spans="8:14" x14ac:dyDescent="0.3">
      <c r="H209" s="9"/>
      <c r="J209" s="10"/>
      <c r="N209" s="11"/>
    </row>
    <row r="210" spans="8:14" x14ac:dyDescent="0.3">
      <c r="H210" s="9"/>
      <c r="J210" s="10"/>
      <c r="N210" s="11"/>
    </row>
    <row r="211" spans="8:14" x14ac:dyDescent="0.3">
      <c r="H211" s="9"/>
      <c r="J211" s="10"/>
      <c r="N211" s="11"/>
    </row>
    <row r="212" spans="8:14" x14ac:dyDescent="0.3">
      <c r="H212" s="9"/>
      <c r="J212" s="10"/>
      <c r="N212" s="11"/>
    </row>
    <row r="213" spans="8:14" x14ac:dyDescent="0.3">
      <c r="H213" s="9"/>
      <c r="J213" s="10"/>
      <c r="N213" s="11"/>
    </row>
    <row r="214" spans="8:14" x14ac:dyDescent="0.3">
      <c r="H214" s="9"/>
      <c r="J214" s="10"/>
      <c r="N214" s="11"/>
    </row>
    <row r="215" spans="8:14" x14ac:dyDescent="0.3">
      <c r="H215" s="9"/>
      <c r="J215" s="10"/>
      <c r="N215" s="11"/>
    </row>
    <row r="216" spans="8:14" x14ac:dyDescent="0.3">
      <c r="H216" s="9"/>
      <c r="J216" s="10"/>
      <c r="N216" s="11"/>
    </row>
    <row r="217" spans="8:14" x14ac:dyDescent="0.3">
      <c r="H217" s="9"/>
      <c r="J217" s="10"/>
      <c r="N217" s="11"/>
    </row>
    <row r="218" spans="8:14" x14ac:dyDescent="0.3">
      <c r="H218" s="9"/>
      <c r="J218" s="10"/>
      <c r="N218" s="11"/>
    </row>
    <row r="219" spans="8:14" x14ac:dyDescent="0.3">
      <c r="H219" s="9"/>
      <c r="J219" s="10"/>
      <c r="N219" s="11"/>
    </row>
    <row r="220" spans="8:14" x14ac:dyDescent="0.3">
      <c r="H220" s="9"/>
      <c r="J220" s="10"/>
      <c r="N220" s="11"/>
    </row>
    <row r="221" spans="8:14" x14ac:dyDescent="0.3">
      <c r="H221" s="9"/>
      <c r="J221" s="10"/>
      <c r="N221" s="11"/>
    </row>
    <row r="222" spans="8:14" x14ac:dyDescent="0.3">
      <c r="H222" s="9"/>
      <c r="J222" s="10"/>
      <c r="N222" s="11"/>
    </row>
    <row r="223" spans="8:14" x14ac:dyDescent="0.3">
      <c r="H223" s="9"/>
      <c r="J223" s="10"/>
      <c r="N223" s="11"/>
    </row>
    <row r="224" spans="8:14" x14ac:dyDescent="0.3">
      <c r="H224" s="9"/>
      <c r="J224" s="10"/>
      <c r="N224" s="11"/>
    </row>
    <row r="225" spans="8:14" x14ac:dyDescent="0.3">
      <c r="H225" s="9"/>
      <c r="J225" s="10"/>
      <c r="N225" s="11"/>
    </row>
    <row r="226" spans="8:14" x14ac:dyDescent="0.3">
      <c r="H226" s="9"/>
      <c r="J226" s="10"/>
      <c r="N226" s="11"/>
    </row>
    <row r="227" spans="8:14" x14ac:dyDescent="0.3">
      <c r="H227" s="9"/>
      <c r="J227" s="10"/>
      <c r="N227" s="11"/>
    </row>
    <row r="228" spans="8:14" x14ac:dyDescent="0.3">
      <c r="H228" s="9"/>
      <c r="J228" s="10"/>
      <c r="N228" s="11"/>
    </row>
    <row r="229" spans="8:14" x14ac:dyDescent="0.3">
      <c r="H229" s="9"/>
      <c r="J229" s="10"/>
      <c r="N229" s="11"/>
    </row>
    <row r="230" spans="8:14" x14ac:dyDescent="0.3">
      <c r="H230" s="9"/>
      <c r="J230" s="10"/>
      <c r="N230" s="11"/>
    </row>
    <row r="231" spans="8:14" x14ac:dyDescent="0.3">
      <c r="H231" s="9"/>
      <c r="J231" s="10"/>
      <c r="N231" s="11"/>
    </row>
    <row r="232" spans="8:14" x14ac:dyDescent="0.3">
      <c r="H232" s="9"/>
      <c r="J232" s="10"/>
      <c r="N232" s="11"/>
    </row>
    <row r="233" spans="8:14" x14ac:dyDescent="0.3">
      <c r="H233" s="9"/>
      <c r="J233" s="10"/>
      <c r="N233" s="11"/>
    </row>
    <row r="234" spans="8:14" x14ac:dyDescent="0.3">
      <c r="H234" s="9"/>
      <c r="J234" s="10"/>
      <c r="N234" s="11"/>
    </row>
    <row r="235" spans="8:14" x14ac:dyDescent="0.3">
      <c r="H235" s="9"/>
      <c r="J235" s="10"/>
      <c r="N235" s="11"/>
    </row>
    <row r="236" spans="8:14" x14ac:dyDescent="0.3">
      <c r="H236" s="9"/>
      <c r="J236" s="10"/>
      <c r="N236" s="11"/>
    </row>
    <row r="237" spans="8:14" x14ac:dyDescent="0.3">
      <c r="H237" s="9"/>
      <c r="J237" s="10"/>
      <c r="N237" s="11"/>
    </row>
    <row r="238" spans="8:14" x14ac:dyDescent="0.3">
      <c r="H238" s="9"/>
      <c r="J238" s="10"/>
      <c r="N238" s="11"/>
    </row>
    <row r="239" spans="8:14" x14ac:dyDescent="0.3">
      <c r="H239" s="9"/>
      <c r="J239" s="10"/>
      <c r="N239" s="11"/>
    </row>
    <row r="240" spans="8:14" x14ac:dyDescent="0.3">
      <c r="H240" s="9"/>
      <c r="J240" s="10"/>
      <c r="N240" s="11"/>
    </row>
    <row r="241" spans="8:14" x14ac:dyDescent="0.3">
      <c r="H241" s="9"/>
      <c r="J241" s="10"/>
      <c r="N241" s="11"/>
    </row>
    <row r="242" spans="8:14" x14ac:dyDescent="0.3">
      <c r="H242" s="9"/>
      <c r="J242" s="10"/>
      <c r="N242" s="11"/>
    </row>
    <row r="243" spans="8:14" x14ac:dyDescent="0.3">
      <c r="H243" s="9"/>
      <c r="J243" s="10"/>
      <c r="N243" s="11"/>
    </row>
    <row r="244" spans="8:14" x14ac:dyDescent="0.3">
      <c r="H244" s="9"/>
      <c r="J244" s="10"/>
      <c r="N244" s="11"/>
    </row>
    <row r="245" spans="8:14" x14ac:dyDescent="0.3">
      <c r="H245" s="9"/>
      <c r="J245" s="10"/>
      <c r="N245" s="11"/>
    </row>
    <row r="246" spans="8:14" x14ac:dyDescent="0.3">
      <c r="H246" s="9"/>
      <c r="J246" s="10"/>
      <c r="N246" s="11"/>
    </row>
    <row r="247" spans="8:14" x14ac:dyDescent="0.3">
      <c r="H247" s="9"/>
      <c r="J247" s="10"/>
      <c r="N247" s="11"/>
    </row>
    <row r="248" spans="8:14" x14ac:dyDescent="0.3">
      <c r="H248" s="9"/>
      <c r="J248" s="10"/>
      <c r="N248" s="11"/>
    </row>
    <row r="249" spans="8:14" x14ac:dyDescent="0.3">
      <c r="H249" s="9"/>
      <c r="J249" s="10"/>
      <c r="N249" s="11"/>
    </row>
    <row r="250" spans="8:14" x14ac:dyDescent="0.3">
      <c r="H250" s="9"/>
      <c r="J250" s="10"/>
      <c r="N250" s="11"/>
    </row>
    <row r="251" spans="8:14" x14ac:dyDescent="0.3">
      <c r="H251" s="9"/>
      <c r="J251" s="10"/>
      <c r="N251" s="11"/>
    </row>
    <row r="252" spans="8:14" x14ac:dyDescent="0.3">
      <c r="H252" s="9"/>
      <c r="J252" s="10"/>
      <c r="N252" s="11"/>
    </row>
    <row r="253" spans="8:14" x14ac:dyDescent="0.3">
      <c r="H253" s="9"/>
      <c r="J253" s="10"/>
      <c r="N253" s="11"/>
    </row>
    <row r="254" spans="8:14" x14ac:dyDescent="0.3">
      <c r="H254" s="9"/>
      <c r="J254" s="10"/>
      <c r="N254" s="11"/>
    </row>
    <row r="255" spans="8:14" x14ac:dyDescent="0.3">
      <c r="H255" s="9"/>
      <c r="J255" s="10"/>
      <c r="N255" s="11"/>
    </row>
    <row r="256" spans="8:14" x14ac:dyDescent="0.3">
      <c r="H256" s="9"/>
      <c r="J256" s="10"/>
      <c r="N256" s="11"/>
    </row>
    <row r="257" spans="8:14" x14ac:dyDescent="0.3">
      <c r="H257" s="9"/>
      <c r="J257" s="10"/>
      <c r="N257" s="11"/>
    </row>
    <row r="258" spans="8:14" x14ac:dyDescent="0.3">
      <c r="H258" s="9"/>
      <c r="J258" s="10"/>
      <c r="N258" s="11"/>
    </row>
    <row r="259" spans="8:14" x14ac:dyDescent="0.3">
      <c r="H259" s="9"/>
      <c r="J259" s="10"/>
      <c r="N259" s="11"/>
    </row>
    <row r="260" spans="8:14" x14ac:dyDescent="0.3">
      <c r="H260" s="9"/>
      <c r="J260" s="10"/>
      <c r="N260" s="11"/>
    </row>
    <row r="261" spans="8:14" x14ac:dyDescent="0.3">
      <c r="H261" s="9"/>
      <c r="J261" s="10"/>
      <c r="N261" s="11"/>
    </row>
    <row r="262" spans="8:14" x14ac:dyDescent="0.3">
      <c r="H262" s="9"/>
      <c r="J262" s="10"/>
      <c r="N262" s="11"/>
    </row>
    <row r="263" spans="8:14" x14ac:dyDescent="0.3">
      <c r="H263" s="9"/>
      <c r="J263" s="10"/>
      <c r="N263" s="11"/>
    </row>
    <row r="264" spans="8:14" x14ac:dyDescent="0.3">
      <c r="H264" s="9"/>
      <c r="J264" s="10"/>
      <c r="N264" s="11"/>
    </row>
    <row r="265" spans="8:14" x14ac:dyDescent="0.3">
      <c r="H265" s="9"/>
      <c r="J265" s="10"/>
      <c r="N265" s="11"/>
    </row>
    <row r="266" spans="8:14" x14ac:dyDescent="0.3">
      <c r="H266" s="9"/>
      <c r="J266" s="10"/>
      <c r="N266" s="11"/>
    </row>
    <row r="267" spans="8:14" x14ac:dyDescent="0.3">
      <c r="H267" s="9"/>
      <c r="J267" s="10"/>
      <c r="N267" s="11"/>
    </row>
    <row r="268" spans="8:14" x14ac:dyDescent="0.3">
      <c r="H268" s="9"/>
      <c r="J268" s="10"/>
      <c r="N268" s="11"/>
    </row>
    <row r="269" spans="8:14" x14ac:dyDescent="0.3">
      <c r="H269" s="9"/>
      <c r="J269" s="10"/>
      <c r="N269" s="11"/>
    </row>
    <row r="270" spans="8:14" x14ac:dyDescent="0.3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O10" sqref="O10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3.77734375" bestFit="1" customWidth="1"/>
    <col min="4" max="4" width="12.44140625" bestFit="1" customWidth="1"/>
    <col min="5" max="5" width="23.21875" bestFit="1" customWidth="1"/>
    <col min="6" max="6" width="9.109375" bestFit="1" customWidth="1"/>
    <col min="7" max="7" width="12.33203125" bestFit="1" customWidth="1"/>
    <col min="8" max="8" width="9.5546875" bestFit="1" customWidth="1"/>
    <col min="9" max="9" width="4" bestFit="1" customWidth="1"/>
    <col min="10" max="10" width="13.33203125" bestFit="1" customWidth="1"/>
    <col min="11" max="11" width="20.88671875" bestFit="1" customWidth="1"/>
    <col min="12" max="12" width="6.5546875" bestFit="1" customWidth="1"/>
    <col min="13" max="13" width="9.554687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J32"/>
  <sheetViews>
    <sheetView tabSelected="1" workbookViewId="0">
      <selection activeCell="C30" sqref="C30"/>
    </sheetView>
  </sheetViews>
  <sheetFormatPr defaultColWidth="18.109375" defaultRowHeight="14.4" x14ac:dyDescent="0.3"/>
  <cols>
    <col min="6" max="6" width="12.88671875" bestFit="1" customWidth="1"/>
  </cols>
  <sheetData>
    <row r="1" spans="1:10" x14ac:dyDescent="0.3">
      <c r="B1" t="s">
        <v>804</v>
      </c>
    </row>
    <row r="3" spans="1:10" x14ac:dyDescent="0.3">
      <c r="A3" s="28" t="s">
        <v>808</v>
      </c>
      <c r="C3" s="9">
        <f>AVERAGE(staff[Salary])</f>
        <v>73861.325230769246</v>
      </c>
    </row>
    <row r="4" spans="1:10" x14ac:dyDescent="0.3">
      <c r="A4" s="42" t="s">
        <v>28</v>
      </c>
      <c r="B4" s="42" t="s">
        <v>805</v>
      </c>
      <c r="C4" s="42" t="s">
        <v>806</v>
      </c>
      <c r="D4" s="42" t="s">
        <v>807</v>
      </c>
      <c r="E4" s="42"/>
      <c r="F4" s="42" t="s">
        <v>779</v>
      </c>
      <c r="G4" s="42" t="s">
        <v>809</v>
      </c>
      <c r="H4" s="42" t="s">
        <v>810</v>
      </c>
      <c r="I4" s="42" t="s">
        <v>846</v>
      </c>
      <c r="J4" s="28" t="s">
        <v>847</v>
      </c>
    </row>
    <row r="5" spans="1:10" x14ac:dyDescent="0.3">
      <c r="A5" s="22" t="str" cm="1">
        <f t="array" ref="A5:A16">_xlfn.UNIQUE(staff[Department])</f>
        <v>Training</v>
      </c>
      <c r="B5" s="22">
        <f>COUNTIF(staff[Department],A5)</f>
        <v>24</v>
      </c>
      <c r="C5" s="44">
        <f>AVERAGEIF(staff[Department],A5,staff[Salary])</f>
        <v>83883.965000000011</v>
      </c>
      <c r="D5" s="22">
        <f>((C5 - $C$3)/$C$3)*100</f>
        <v>13.56953688268718</v>
      </c>
      <c r="E5" s="45"/>
      <c r="F5" s="44">
        <f>_xlfn.MAXIFS(staff[Salary], staff[Department], A5)</f>
        <v>116767.63</v>
      </c>
      <c r="G5" s="44" cm="1">
        <f t="array" ref="G5">MEDIAN(IF(staff[Department]=A5, staff[Salary]))</f>
        <v>89569.44</v>
      </c>
      <c r="H5" s="23">
        <f>COUNTIFS(staff[Department],A5, staff[Gender], "Female") / COUNTIF(staff[Department], A5)</f>
        <v>0.70833333333333337</v>
      </c>
      <c r="I5" s="23">
        <f>COUNTIFS(staff[Department],A5, staff[Gender], "Male") / COUNTIF(staff[Department], A5)</f>
        <v>0.25</v>
      </c>
      <c r="J5">
        <f>COUNTIFS(staff[Department],A5, staff[Gender], "Need to check") / COUNTIF(staff[Department], A5)</f>
        <v>4.1666666666666664E-2</v>
      </c>
    </row>
    <row r="6" spans="1:10" x14ac:dyDescent="0.3">
      <c r="A6" s="22" t="str">
        <v>Business Development</v>
      </c>
      <c r="B6" s="22">
        <f>COUNTIF(staff[Department],A6)</f>
        <v>26</v>
      </c>
      <c r="C6" s="44">
        <f>AVERAGEIF(staff[Department],A6,staff[Salary])</f>
        <v>79781.805769230778</v>
      </c>
      <c r="D6" s="22">
        <f t="shared" ref="D6:D16" si="0">((C6 - $C$3)/$C$3)*100</f>
        <v>8.015670609705186</v>
      </c>
      <c r="E6" s="45"/>
      <c r="F6" s="44">
        <f>_xlfn.MAXIFS(staff[Salary], staff[Department], A6)</f>
        <v>110042.37</v>
      </c>
      <c r="G6" s="44" cm="1">
        <f t="array" ref="G6">MEDIAN(IF(staff[Department]=A6, staff[Salary]))</f>
        <v>80695.740000000005</v>
      </c>
      <c r="H6" s="23">
        <f>COUNTIFS(staff[Department],A6, staff[Gender], "Female") / COUNTIF(staff[Department], A6)</f>
        <v>0.42307692307692307</v>
      </c>
      <c r="I6" s="23">
        <f>COUNTIFS(staff[Department],A6, staff[Gender], "Male") / COUNTIF(staff[Department], A6)</f>
        <v>0.57692307692307687</v>
      </c>
      <c r="J6">
        <f>COUNTIFS(staff[Department],A6, staff[Gender], "Need to check") / COUNTIF(staff[Department], A6)</f>
        <v>0</v>
      </c>
    </row>
    <row r="7" spans="1:10" x14ac:dyDescent="0.3">
      <c r="A7" s="22" t="str">
        <v>Engineering</v>
      </c>
      <c r="B7" s="22">
        <f>COUNTIF(staff[Department],A7)</f>
        <v>26</v>
      </c>
      <c r="C7" s="44">
        <f>AVERAGEIF(staff[Department],A7,staff[Salary])</f>
        <v>81976.441923076913</v>
      </c>
      <c r="D7" s="22">
        <f t="shared" si="0"/>
        <v>10.986963295003353</v>
      </c>
      <c r="E7" s="45"/>
      <c r="F7" s="44">
        <f>_xlfn.MAXIFS(staff[Salary], staff[Department], A7)</f>
        <v>120000</v>
      </c>
      <c r="G7" s="44" cm="1">
        <f t="array" ref="G7">MEDIAN(IF(staff[Department]=A7, staff[Salary]))</f>
        <v>85332.304999999993</v>
      </c>
      <c r="H7" s="23">
        <f>COUNTIFS(staff[Department],A7, staff[Gender], "Female") / COUNTIF(staff[Department], A7)</f>
        <v>0.38461538461538464</v>
      </c>
      <c r="I7" s="23">
        <f>COUNTIFS(staff[Department],A7, staff[Gender], "Male") / COUNTIF(staff[Department], A7)</f>
        <v>0.61538461538461542</v>
      </c>
      <c r="J7">
        <f>COUNTIFS(staff[Department],A7, staff[Gender], "Need to check") / COUNTIF(staff[Department], A7)</f>
        <v>0</v>
      </c>
    </row>
    <row r="8" spans="1:10" x14ac:dyDescent="0.3">
      <c r="A8" s="22" t="str">
        <v>Marketing</v>
      </c>
      <c r="B8" s="22">
        <f>COUNTIF(staff[Department],A8)</f>
        <v>12</v>
      </c>
      <c r="C8" s="44">
        <f>AVERAGEIF(staff[Department],A8,staff[Salary])</f>
        <v>64441.299999999996</v>
      </c>
      <c r="D8" s="22">
        <f t="shared" si="0"/>
        <v>-12.75366397954236</v>
      </c>
      <c r="E8" s="45"/>
      <c r="F8" s="44">
        <f>_xlfn.MAXIFS(staff[Salary], staff[Department], A8)</f>
        <v>104903.79</v>
      </c>
      <c r="G8" s="44" cm="1">
        <f t="array" ref="G8">MEDIAN(IF(staff[Department]=A8, staff[Salary]))</f>
        <v>66961.489999999991</v>
      </c>
      <c r="H8" s="23">
        <f>COUNTIFS(staff[Department],A8, staff[Gender], "Female") / COUNTIF(staff[Department], A8)</f>
        <v>0.41666666666666669</v>
      </c>
      <c r="I8" s="23">
        <f>COUNTIFS(staff[Department],A8, staff[Gender], "Male") / COUNTIF(staff[Department], A8)</f>
        <v>0.58333333333333337</v>
      </c>
      <c r="J8">
        <f>COUNTIFS(staff[Department],A8, staff[Gender], "Need to check") / COUNTIF(staff[Department], A8)</f>
        <v>0</v>
      </c>
    </row>
    <row r="9" spans="1:10" x14ac:dyDescent="0.3">
      <c r="A9" s="22" t="str">
        <v>Legal</v>
      </c>
      <c r="B9" s="22">
        <f>COUNTIF(staff[Department],A9)</f>
        <v>21</v>
      </c>
      <c r="C9" s="44">
        <f>AVERAGEIF(staff[Department],A9,staff[Salary])</f>
        <v>67242.51761904762</v>
      </c>
      <c r="D9" s="22">
        <f>((C9 - $C$3)/$C$3)*100</f>
        <v>-8.9611276145426579</v>
      </c>
      <c r="E9" s="45"/>
      <c r="F9" s="44">
        <f>_xlfn.MAXIFS(staff[Salary], staff[Department], A9)</f>
        <v>113747.56</v>
      </c>
      <c r="G9" s="44" cm="1">
        <f t="array" ref="G9">MEDIAN(IF(staff[Department]=A9, staff[Salary]))</f>
        <v>66572.58</v>
      </c>
      <c r="H9" s="23">
        <f>COUNTIFS(staff[Department],A9, staff[Gender], "Female") / COUNTIF(staff[Department], A9)</f>
        <v>0.33333333333333331</v>
      </c>
      <c r="I9" s="23">
        <f>COUNTIFS(staff[Department],A9, staff[Gender], "Male") / COUNTIF(staff[Department], A9)</f>
        <v>0.61904761904761907</v>
      </c>
      <c r="J9">
        <f>COUNTIFS(staff[Department],A9, staff[Gender], "Need to check") / COUNTIF(staff[Department], A9)</f>
        <v>4.7619047619047616E-2</v>
      </c>
    </row>
    <row r="10" spans="1:10" x14ac:dyDescent="0.3">
      <c r="A10" s="22" t="str">
        <v>Accounting</v>
      </c>
      <c r="B10" s="22">
        <f>COUNTIF(staff[Department],A10)</f>
        <v>26</v>
      </c>
      <c r="C10" s="44">
        <f>AVERAGEIF(staff[Department],A10,staff[Salary])</f>
        <v>69806.945769230777</v>
      </c>
      <c r="D10" s="22">
        <f t="shared" si="0"/>
        <v>-5.4891777921275233</v>
      </c>
      <c r="E10" s="45"/>
      <c r="F10" s="44">
        <f>_xlfn.MAXIFS(staff[Salary], staff[Department], A10)</f>
        <v>119022.49</v>
      </c>
      <c r="G10" s="44" cm="1">
        <f t="array" ref="G10">MEDIAN(IF(staff[Department]=A10, staff[Salary]))</f>
        <v>69025.614999999991</v>
      </c>
      <c r="H10" s="23">
        <f>COUNTIFS(staff[Department],A10, staff[Gender], "Female") / COUNTIF(staff[Department], A10)</f>
        <v>0.34615384615384615</v>
      </c>
      <c r="I10" s="23">
        <f>COUNTIFS(staff[Department],A10, staff[Gender], "Male") / COUNTIF(staff[Department], A10)</f>
        <v>0.57692307692307687</v>
      </c>
      <c r="J10">
        <f>COUNTIFS(staff[Department],A10, staff[Gender], "Need to check") / COUNTIF(staff[Department], A10)</f>
        <v>7.6923076923076927E-2</v>
      </c>
    </row>
    <row r="11" spans="1:10" x14ac:dyDescent="0.3">
      <c r="A11" s="22" t="str">
        <v>Human Resources</v>
      </c>
      <c r="B11" s="22">
        <f>COUNTIF(staff[Department],A11)</f>
        <v>22</v>
      </c>
      <c r="C11" s="44">
        <f>AVERAGEIF(staff[Department],A11,staff[Salary])</f>
        <v>73109.377727272746</v>
      </c>
      <c r="D11" s="22">
        <f t="shared" si="0"/>
        <v>-1.0180530895528159</v>
      </c>
      <c r="E11" s="45"/>
      <c r="F11" s="44">
        <f>_xlfn.MAXIFS(staff[Salary], staff[Department], A11)</f>
        <v>103494.94</v>
      </c>
      <c r="G11" s="44" cm="1">
        <f t="array" ref="G11">MEDIAN(IF(staff[Department]=A11, staff[Salary]))</f>
        <v>73182.794999999998</v>
      </c>
      <c r="H11" s="23">
        <f>COUNTIFS(staff[Department],A11, staff[Gender], "Female") / COUNTIF(staff[Department], A11)</f>
        <v>0.31818181818181818</v>
      </c>
      <c r="I11" s="23">
        <f>COUNTIFS(staff[Department],A11, staff[Gender], "Male") / COUNTIF(staff[Department], A11)</f>
        <v>0.54545454545454541</v>
      </c>
      <c r="J11">
        <f>COUNTIFS(staff[Department],A11, staff[Gender], "Need to check") / COUNTIF(staff[Department], A11)</f>
        <v>0.13636363636363635</v>
      </c>
    </row>
    <row r="12" spans="1:10" x14ac:dyDescent="0.3">
      <c r="A12" s="22" t="str">
        <v>Research and Development</v>
      </c>
      <c r="B12" s="22">
        <f>COUNTIF(staff[Department],A12)</f>
        <v>18</v>
      </c>
      <c r="C12" s="44">
        <f>AVERAGEIF(staff[Department],A12,staff[Salary])</f>
        <v>66910.765555555554</v>
      </c>
      <c r="D12" s="22">
        <f t="shared" si="0"/>
        <v>-9.4102829234347656</v>
      </c>
      <c r="E12" s="45"/>
      <c r="F12" s="44">
        <f>_xlfn.MAXIFS(staff[Salary], staff[Department], A12)</f>
        <v>99683.67</v>
      </c>
      <c r="G12" s="44" cm="1">
        <f t="array" ref="G12">MEDIAN(IF(staff[Department]=A12, staff[Salary]))</f>
        <v>65995.375</v>
      </c>
      <c r="H12" s="23">
        <f>COUNTIFS(staff[Department],A12, staff[Gender], "Female") / COUNTIF(staff[Department], A12)</f>
        <v>0.61111111111111116</v>
      </c>
      <c r="I12" s="23">
        <f>COUNTIFS(staff[Department],A12, staff[Gender], "Male") / COUNTIF(staff[Department], A12)</f>
        <v>0.3888888888888889</v>
      </c>
      <c r="J12">
        <f>COUNTIFS(staff[Department],A12, staff[Gender], "Need to check") / COUNTIF(staff[Department], A12)</f>
        <v>0</v>
      </c>
    </row>
    <row r="13" spans="1:10" x14ac:dyDescent="0.3">
      <c r="A13" s="22" t="str">
        <v>Services</v>
      </c>
      <c r="B13" s="22">
        <f>COUNTIF(staff[Department],A13)</f>
        <v>21</v>
      </c>
      <c r="C13" s="44">
        <f>AVERAGEIF(staff[Department],A13,staff[Salary])</f>
        <v>74673.974761904756</v>
      </c>
      <c r="D13" s="22">
        <f t="shared" si="0"/>
        <v>1.1002368676658614</v>
      </c>
      <c r="E13" s="45"/>
      <c r="F13" s="44">
        <f>_xlfn.MAXIFS(staff[Salary], staff[Department], A13)</f>
        <v>120000</v>
      </c>
      <c r="G13" s="44" cm="1">
        <f t="array" ref="G13">MEDIAN(IF(staff[Department]=A13, staff[Salary]))</f>
        <v>77096.05</v>
      </c>
      <c r="H13" s="23">
        <f>COUNTIFS(staff[Department],A13, staff[Gender], "Female") / COUNTIF(staff[Department], A13)</f>
        <v>0.61904761904761907</v>
      </c>
      <c r="I13" s="23">
        <f>COUNTIFS(staff[Department],A13, staff[Gender], "Male") / COUNTIF(staff[Department], A13)</f>
        <v>0.38095238095238093</v>
      </c>
      <c r="J13">
        <f>COUNTIFS(staff[Department],A13, staff[Gender], "Need to check") / COUNTIF(staff[Department], A13)</f>
        <v>0</v>
      </c>
    </row>
    <row r="14" spans="1:10" x14ac:dyDescent="0.3">
      <c r="A14" s="22" t="str">
        <v>Product Management</v>
      </c>
      <c r="B14" s="22">
        <f>COUNTIF(staff[Department],A14)</f>
        <v>29</v>
      </c>
      <c r="C14" s="44">
        <f>AVERAGEIF(staff[Department],A14,staff[Salary])</f>
        <v>75179.064482758593</v>
      </c>
      <c r="D14" s="22">
        <f t="shared" si="0"/>
        <v>1.7840720402352079</v>
      </c>
      <c r="E14" s="45"/>
      <c r="F14" s="44">
        <f>_xlfn.MAXIFS(staff[Salary], staff[Department], A14)</f>
        <v>115191.38</v>
      </c>
      <c r="G14" s="44" cm="1">
        <f t="array" ref="G14">MEDIAN(IF(staff[Department]=A14, staff[Salary]))</f>
        <v>72502.61</v>
      </c>
      <c r="H14" s="23">
        <f>COUNTIFS(staff[Department],A14, staff[Gender], "Female") / COUNTIF(staff[Department], A14)</f>
        <v>0.58620689655172409</v>
      </c>
      <c r="I14" s="23">
        <f>COUNTIFS(staff[Department],A14, staff[Gender], "Male") / COUNTIF(staff[Department], A14)</f>
        <v>0.41379310344827586</v>
      </c>
      <c r="J14">
        <f>COUNTIFS(staff[Department],A14, staff[Gender], "Need to check") / COUNTIF(staff[Department], A14)</f>
        <v>0</v>
      </c>
    </row>
    <row r="15" spans="1:10" x14ac:dyDescent="0.3">
      <c r="A15" s="22" t="str">
        <v>Support</v>
      </c>
      <c r="B15" s="22">
        <f>COUNTIF(staff[Department],A15)</f>
        <v>17</v>
      </c>
      <c r="C15" s="44">
        <f>AVERAGEIF(staff[Department],A15,staff[Salary])</f>
        <v>66432.455882352937</v>
      </c>
      <c r="D15" s="22">
        <f t="shared" si="0"/>
        <v>-10.057860897033541</v>
      </c>
      <c r="E15" s="45"/>
      <c r="F15" s="44">
        <f>_xlfn.MAXIFS(staff[Salary], staff[Department], A15)</f>
        <v>104802.63</v>
      </c>
      <c r="G15" s="44" cm="1">
        <f t="array" ref="G15">MEDIAN(IF(staff[Department]=A15, staff[Salary]))</f>
        <v>61214.26</v>
      </c>
      <c r="H15" s="23">
        <f>COUNTIFS(staff[Department],A15, staff[Gender], "Female") / COUNTIF(staff[Department], A15)</f>
        <v>0.47058823529411764</v>
      </c>
      <c r="I15" s="23">
        <f>COUNTIFS(staff[Department],A15, staff[Gender], "Male") / COUNTIF(staff[Department], A15)</f>
        <v>0.47058823529411764</v>
      </c>
      <c r="J15">
        <f>COUNTIFS(staff[Department],A15, staff[Gender], "Need to check") / COUNTIF(staff[Department], A15)</f>
        <v>5.8823529411764705E-2</v>
      </c>
    </row>
    <row r="16" spans="1:10" x14ac:dyDescent="0.3">
      <c r="A16" s="22" t="str">
        <v>Sales</v>
      </c>
      <c r="B16" s="22">
        <f>COUNTIF(staff[Department],A16)</f>
        <v>18</v>
      </c>
      <c r="C16" s="44">
        <f>AVERAGEIF(staff[Department],A16,staff[Salary])</f>
        <v>71897.095555555556</v>
      </c>
      <c r="D16" s="22">
        <f t="shared" si="0"/>
        <v>-2.6593479998859113</v>
      </c>
      <c r="E16" s="45"/>
      <c r="F16" s="44">
        <f>_xlfn.MAXIFS(staff[Salary], staff[Department], A16)</f>
        <v>102129.37</v>
      </c>
      <c r="G16" s="44" cm="1">
        <f t="array" ref="G16">MEDIAN(IF(staff[Department]=A16, staff[Salary]))</f>
        <v>79396.654999999999</v>
      </c>
      <c r="H16" s="23">
        <f>COUNTIFS(staff[Department],A16, staff[Gender], "Female") / COUNTIF(staff[Department], A16)</f>
        <v>0.55555555555555558</v>
      </c>
      <c r="I16" s="23">
        <f>COUNTIFS(staff[Department],A16, staff[Gender], "Male") / COUNTIF(staff[Department], A16)</f>
        <v>0.44444444444444442</v>
      </c>
      <c r="J16">
        <f>COUNTIFS(staff[Department],A16, staff[Gender], "Need to check") / COUNTIF(staff[Department], A16)</f>
        <v>0</v>
      </c>
    </row>
    <row r="20" spans="2:3" x14ac:dyDescent="0.3">
      <c r="B20" s="28" t="s">
        <v>822</v>
      </c>
      <c r="C20" s="28" t="s">
        <v>814</v>
      </c>
    </row>
    <row r="21" spans="2:3" x14ac:dyDescent="0.3">
      <c r="B21" s="28" t="s">
        <v>28</v>
      </c>
      <c r="C21" t="str">
        <f ca="1">_xlfn.FORMULATEXT(A5)</f>
        <v>=UNIQUE(staff[Department])</v>
      </c>
    </row>
    <row r="22" spans="2:3" x14ac:dyDescent="0.3">
      <c r="B22" s="28" t="s">
        <v>805</v>
      </c>
      <c r="C22" t="str">
        <f ca="1">_xlfn.FORMULATEXT(B5)</f>
        <v>=COUNTIF(staff[Department],A5)</v>
      </c>
    </row>
    <row r="23" spans="2:3" x14ac:dyDescent="0.3">
      <c r="B23" s="28" t="s">
        <v>806</v>
      </c>
      <c r="C23" t="str">
        <f ca="1">_xlfn.FORMULATEXT(C5)</f>
        <v>=AVERAGEIF(staff[Department],A5,staff[Salary])</v>
      </c>
    </row>
    <row r="24" spans="2:3" x14ac:dyDescent="0.3">
      <c r="B24" s="42" t="s">
        <v>807</v>
      </c>
      <c r="C24" t="str">
        <f ca="1">_xlfn.FORMULATEXT(D5)</f>
        <v>=((C5 - $C$3)/$C$3)*100</v>
      </c>
    </row>
    <row r="25" spans="2:3" x14ac:dyDescent="0.3">
      <c r="B25" s="42" t="s">
        <v>779</v>
      </c>
      <c r="C25" t="str">
        <f ca="1">_xlfn.FORMULATEXT(F5)</f>
        <v>=MAXIFS(staff[Salary], staff[Department], A5)</v>
      </c>
    </row>
    <row r="26" spans="2:3" x14ac:dyDescent="0.3">
      <c r="B26" s="42" t="s">
        <v>809</v>
      </c>
      <c r="C26" t="str">
        <f ca="1">_xlfn.FORMULATEXT(G5)</f>
        <v>=MEDIAN(IF(staff[Department]=A5, staff[Salary]))</v>
      </c>
    </row>
    <row r="27" spans="2:3" x14ac:dyDescent="0.3">
      <c r="B27" s="42" t="s">
        <v>810</v>
      </c>
      <c r="C27" t="str">
        <f ca="1">_xlfn.FORMULATEXT(H5)</f>
        <v>=COUNTIFS(staff[Department],A5, staff[Gender], "Female") / COUNTIF(staff[Department], A5)</v>
      </c>
    </row>
    <row r="28" spans="2:3" x14ac:dyDescent="0.3">
      <c r="B28" s="42" t="s">
        <v>846</v>
      </c>
      <c r="C28" t="str">
        <f ca="1">_xlfn.FORMULATEXT(I5)</f>
        <v>=COUNTIFS(staff[Department],A5, staff[Gender], "Male") / COUNTIF(staff[Department], A5)</v>
      </c>
    </row>
    <row r="29" spans="2:3" x14ac:dyDescent="0.3">
      <c r="B29" s="28" t="s">
        <v>847</v>
      </c>
      <c r="C29" t="str">
        <f ca="1">_xlfn.FORMULATEXT(J5)</f>
        <v>=COUNTIFS(staff[Department],A5, staff[Gender], "Need to check") / COUNTIF(staff[Department], A5)</v>
      </c>
    </row>
    <row r="30" spans="2:3" x14ac:dyDescent="0.3">
      <c r="B30" s="28"/>
    </row>
    <row r="31" spans="2:3" x14ac:dyDescent="0.3">
      <c r="B31" s="28"/>
    </row>
    <row r="32" spans="2:3" x14ac:dyDescent="0.3">
      <c r="B32" s="28"/>
    </row>
  </sheetData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B42-0726-42A7-9518-3B5F76E6900F}">
  <dimension ref="B1:Q65"/>
  <sheetViews>
    <sheetView topLeftCell="F1" workbookViewId="0">
      <selection activeCell="K6" sqref="K6"/>
    </sheetView>
  </sheetViews>
  <sheetFormatPr defaultRowHeight="14.4" x14ac:dyDescent="0.3"/>
  <cols>
    <col min="10" max="10" width="49.5546875" bestFit="1" customWidth="1"/>
  </cols>
  <sheetData>
    <row r="1" spans="2:17" x14ac:dyDescent="0.3">
      <c r="B1" s="46" t="s">
        <v>845</v>
      </c>
      <c r="C1" s="46"/>
      <c r="D1" s="46"/>
      <c r="E1" s="46"/>
      <c r="F1" s="46"/>
      <c r="G1" s="46"/>
      <c r="H1" s="46"/>
      <c r="I1" s="46"/>
    </row>
    <row r="3" spans="2:17" x14ac:dyDescent="0.3">
      <c r="B3" t="s">
        <v>24</v>
      </c>
      <c r="C3" t="s">
        <v>25</v>
      </c>
      <c r="D3" t="s">
        <v>26</v>
      </c>
    </row>
    <row r="4" spans="2:17" x14ac:dyDescent="0.3">
      <c r="B4" t="str" cm="1">
        <f t="array" ref="B4:D65">_xlfn._xlws.FILTER(staff[[Emp ID]:[Last Name]], (staff[Gender] = "Female") * (WEEKDAY(staff[Start Date], 2) = 1), "No Employees Found")</f>
        <v>PR00007</v>
      </c>
      <c r="C4" t="str">
        <v>Torrance</v>
      </c>
      <c r="D4" t="str">
        <v>Collier</v>
      </c>
      <c r="J4" t="s">
        <v>837</v>
      </c>
      <c r="K4" t="s">
        <v>814</v>
      </c>
    </row>
    <row r="5" spans="2:17" x14ac:dyDescent="0.3">
      <c r="B5" t="str">
        <v>PR00095</v>
      </c>
      <c r="C5" t="str">
        <v>Devrat</v>
      </c>
      <c r="D5" t="str">
        <v>Damarsingh</v>
      </c>
      <c r="J5" s="28" t="s">
        <v>845</v>
      </c>
      <c r="K5" s="28" t="str">
        <f ca="1">_xlfn.FORMULATEXT(B4)</f>
        <v>=FILTER(staff[[Emp ID]:[Last Name]], (staff[Gender] = "Female") * (WEEKDAY(staff[Start Date], 2) = 1), "No Employees Found")</v>
      </c>
      <c r="L5" s="28"/>
      <c r="M5" s="28"/>
      <c r="N5" s="28"/>
      <c r="O5" s="28"/>
      <c r="P5" s="28"/>
      <c r="Q5" s="28"/>
    </row>
    <row r="6" spans="2:17" x14ac:dyDescent="0.3">
      <c r="B6" t="str">
        <v>PR00113</v>
      </c>
      <c r="C6" t="str">
        <v>Van</v>
      </c>
      <c r="D6" t="str">
        <v>Tuxwell</v>
      </c>
    </row>
    <row r="7" spans="2:17" x14ac:dyDescent="0.3">
      <c r="B7" t="str">
        <v>PR00113</v>
      </c>
      <c r="C7" t="str">
        <v>Van</v>
      </c>
      <c r="D7" t="str">
        <v>Tuxwell</v>
      </c>
    </row>
    <row r="8" spans="2:17" x14ac:dyDescent="0.3">
      <c r="B8" t="str">
        <v>PR00576</v>
      </c>
      <c r="C8" t="str">
        <v>Lalitchandra</v>
      </c>
      <c r="D8" t="str">
        <v>Vadali</v>
      </c>
    </row>
    <row r="9" spans="2:17" x14ac:dyDescent="0.3">
      <c r="B9" t="str">
        <v>PR00916</v>
      </c>
      <c r="C9" t="str">
        <v>Inger</v>
      </c>
      <c r="D9" t="str">
        <v>Chapelhow</v>
      </c>
    </row>
    <row r="10" spans="2:17" x14ac:dyDescent="0.3">
      <c r="B10" t="str">
        <v>PR01383</v>
      </c>
      <c r="C10" t="str">
        <v>Addi</v>
      </c>
      <c r="D10" t="str">
        <v>Studdeard</v>
      </c>
    </row>
    <row r="11" spans="2:17" x14ac:dyDescent="0.3">
      <c r="B11" t="str">
        <v>PR02016</v>
      </c>
      <c r="C11" t="str">
        <v>Iris</v>
      </c>
      <c r="D11" t="str">
        <v>Wagg</v>
      </c>
    </row>
    <row r="12" spans="2:17" x14ac:dyDescent="0.3">
      <c r="B12" t="str">
        <v>PR02113</v>
      </c>
      <c r="C12" t="str">
        <v>Beverie</v>
      </c>
      <c r="D12" t="str">
        <v>Moffet</v>
      </c>
    </row>
    <row r="13" spans="2:17" x14ac:dyDescent="0.3">
      <c r="B13" t="str">
        <v>PR02275</v>
      </c>
      <c r="C13" t="str">
        <v>Louise</v>
      </c>
      <c r="D13" t="str">
        <v>Lamming</v>
      </c>
    </row>
    <row r="14" spans="2:17" x14ac:dyDescent="0.3">
      <c r="B14" t="str">
        <v>PR02436</v>
      </c>
      <c r="C14" t="str">
        <v>Marmaduke</v>
      </c>
      <c r="D14" t="str">
        <v>Worssam</v>
      </c>
    </row>
    <row r="15" spans="2:17" x14ac:dyDescent="0.3">
      <c r="B15" t="str">
        <v>PR02603</v>
      </c>
      <c r="C15" t="str">
        <v>Dinanath</v>
      </c>
      <c r="D15" t="str">
        <v>Simhambhatla</v>
      </c>
    </row>
    <row r="16" spans="2:17" x14ac:dyDescent="0.3">
      <c r="B16" t="str">
        <v>PR03158</v>
      </c>
      <c r="C16" t="str">
        <v>Danica</v>
      </c>
      <c r="D16" t="str">
        <v>Nayshe</v>
      </c>
    </row>
    <row r="17" spans="2:4" x14ac:dyDescent="0.3">
      <c r="B17" t="str">
        <v>PR04380</v>
      </c>
      <c r="C17" t="str">
        <v>Van</v>
      </c>
      <c r="D17" t="str">
        <v>Tuxwell</v>
      </c>
    </row>
    <row r="18" spans="2:4" x14ac:dyDescent="0.3">
      <c r="B18" t="str">
        <v>PR04446</v>
      </c>
      <c r="C18" t="str">
        <v>Sameer</v>
      </c>
      <c r="D18" t="str">
        <v>Shashank</v>
      </c>
    </row>
    <row r="19" spans="2:4" x14ac:dyDescent="0.3">
      <c r="B19" t="str">
        <v>PR04473</v>
      </c>
      <c r="C19" t="str">
        <v>Wyn</v>
      </c>
      <c r="D19" t="str">
        <v>Treadger</v>
      </c>
    </row>
    <row r="20" spans="2:4" x14ac:dyDescent="0.3">
      <c r="B20" t="str">
        <v>PR04686</v>
      </c>
      <c r="C20" t="str">
        <v>Oona</v>
      </c>
      <c r="D20" t="str">
        <v>Donan</v>
      </c>
    </row>
    <row r="21" spans="2:4" x14ac:dyDescent="0.3">
      <c r="B21" t="str">
        <v>SQ00105</v>
      </c>
      <c r="C21" t="str">
        <v>Sarayu</v>
      </c>
      <c r="D21" t="str">
        <v>Ragunathan</v>
      </c>
    </row>
    <row r="22" spans="2:4" x14ac:dyDescent="0.3">
      <c r="B22" t="str">
        <v>SQ00841</v>
      </c>
      <c r="C22" t="str">
        <v>Bhuvan</v>
      </c>
      <c r="D22" t="str">
        <v>Pals</v>
      </c>
    </row>
    <row r="23" spans="2:4" x14ac:dyDescent="0.3">
      <c r="B23" t="str">
        <v>SQ00914</v>
      </c>
      <c r="C23" t="str">
        <v>Duran</v>
      </c>
      <c r="D23" t="str">
        <v>Appala</v>
      </c>
    </row>
    <row r="24" spans="2:4" x14ac:dyDescent="0.3">
      <c r="B24" t="str">
        <v>SQ00914</v>
      </c>
      <c r="C24" t="str">
        <v>Karuna</v>
      </c>
      <c r="D24" t="str">
        <v>Pashupathy</v>
      </c>
    </row>
    <row r="25" spans="2:4" x14ac:dyDescent="0.3">
      <c r="B25" t="str">
        <v>SQ01402</v>
      </c>
      <c r="C25" t="str">
        <v>Sahaj</v>
      </c>
      <c r="D25" t="str">
        <v>Jonnalagadda</v>
      </c>
    </row>
    <row r="26" spans="2:4" x14ac:dyDescent="0.3">
      <c r="B26" t="str">
        <v>SQ01730</v>
      </c>
      <c r="C26" t="str">
        <v>Austine</v>
      </c>
      <c r="D26" t="str">
        <v>Littlewood</v>
      </c>
    </row>
    <row r="27" spans="2:4" x14ac:dyDescent="0.3">
      <c r="B27" t="str">
        <v>SQ02174</v>
      </c>
      <c r="C27" t="str">
        <v>Sidoney</v>
      </c>
      <c r="D27" t="str">
        <v>Yitzhok</v>
      </c>
    </row>
    <row r="28" spans="2:4" x14ac:dyDescent="0.3">
      <c r="B28" t="str">
        <v>SQ03321</v>
      </c>
      <c r="C28" t="str">
        <v>Gradey</v>
      </c>
      <c r="D28" t="str">
        <v>Litton</v>
      </c>
    </row>
    <row r="29" spans="2:4" x14ac:dyDescent="0.3">
      <c r="B29" t="str">
        <v>SQ03350</v>
      </c>
      <c r="C29" t="str">
        <v>Felice</v>
      </c>
      <c r="D29" t="str">
        <v>McMurty</v>
      </c>
    </row>
    <row r="30" spans="2:4" x14ac:dyDescent="0.3">
      <c r="B30" t="str">
        <v>SQ03350</v>
      </c>
      <c r="C30" t="str">
        <v>Felice</v>
      </c>
      <c r="D30" t="str">
        <v>McMurty</v>
      </c>
    </row>
    <row r="31" spans="2:4" x14ac:dyDescent="0.3">
      <c r="B31" t="str">
        <v>SQ03491</v>
      </c>
      <c r="C31" t="str">
        <v>Freda</v>
      </c>
      <c r="D31" t="str">
        <v>Legan</v>
      </c>
    </row>
    <row r="32" spans="2:4" x14ac:dyDescent="0.3">
      <c r="B32" t="str">
        <v>SQ03546</v>
      </c>
      <c r="C32" t="str">
        <v>Amlankusum</v>
      </c>
      <c r="D32" t="str">
        <v>Rajabhushan</v>
      </c>
    </row>
    <row r="33" spans="2:4" x14ac:dyDescent="0.3">
      <c r="B33" t="str">
        <v>SQ03625</v>
      </c>
      <c r="C33" t="str">
        <v>Fidela</v>
      </c>
      <c r="D33" t="str">
        <v>Artis</v>
      </c>
    </row>
    <row r="34" spans="2:4" x14ac:dyDescent="0.3">
      <c r="B34" t="str">
        <v>SQ03626</v>
      </c>
      <c r="C34" t="str">
        <v>Krishnakanta</v>
      </c>
      <c r="D34" t="str">
        <v>Vellanki</v>
      </c>
    </row>
    <row r="35" spans="2:4" x14ac:dyDescent="0.3">
      <c r="B35" t="str">
        <v>SQ04613</v>
      </c>
      <c r="C35" t="str">
        <v>Sarojini</v>
      </c>
      <c r="D35" t="str">
        <v>Naueshwara</v>
      </c>
    </row>
    <row r="36" spans="2:4" x14ac:dyDescent="0.3">
      <c r="B36" t="str">
        <v>SQ04960</v>
      </c>
      <c r="C36" t="str">
        <v>Shubhra</v>
      </c>
      <c r="D36" t="str">
        <v>Potla</v>
      </c>
    </row>
    <row r="37" spans="2:4" x14ac:dyDescent="0.3">
      <c r="B37" t="str">
        <v>TN00083</v>
      </c>
      <c r="C37" t="str">
        <v>Chandana</v>
      </c>
      <c r="D37" t="str">
        <v>Sannidhi</v>
      </c>
    </row>
    <row r="38" spans="2:4" x14ac:dyDescent="0.3">
      <c r="B38" t="str">
        <v>TN00182</v>
      </c>
      <c r="C38" t="str">
        <v>Camilla</v>
      </c>
      <c r="D38" t="str">
        <v>Castle</v>
      </c>
    </row>
    <row r="39" spans="2:4" x14ac:dyDescent="0.3">
      <c r="B39" t="str">
        <v>TN00890</v>
      </c>
      <c r="C39" t="str">
        <v>Mayur</v>
      </c>
      <c r="D39" t="str">
        <v>Kousika</v>
      </c>
    </row>
    <row r="40" spans="2:4" x14ac:dyDescent="0.3">
      <c r="B40" t="str">
        <v>TN01281</v>
      </c>
      <c r="C40" t="str">
        <v>Cletus</v>
      </c>
      <c r="D40" t="str">
        <v>McGarahan</v>
      </c>
    </row>
    <row r="41" spans="2:4" x14ac:dyDescent="0.3">
      <c r="B41" t="str">
        <v>TN01601</v>
      </c>
      <c r="C41" t="str">
        <v>Melva</v>
      </c>
      <c r="D41" t="str">
        <v>Jickells</v>
      </c>
    </row>
    <row r="42" spans="2:4" x14ac:dyDescent="0.3">
      <c r="B42" t="str">
        <v>TN01601</v>
      </c>
      <c r="C42" t="str">
        <v>Melva</v>
      </c>
      <c r="D42" t="str">
        <v>Jickells</v>
      </c>
    </row>
    <row r="43" spans="2:4" x14ac:dyDescent="0.3">
      <c r="B43" t="str">
        <v>TN02749</v>
      </c>
      <c r="C43" t="str">
        <v>Parasuramudu</v>
      </c>
      <c r="D43" t="str">
        <v>Jamakayala</v>
      </c>
    </row>
    <row r="44" spans="2:4" x14ac:dyDescent="0.3">
      <c r="B44" t="str">
        <v>TN02883</v>
      </c>
      <c r="C44" t="str">
        <v>John</v>
      </c>
      <c r="D44" t="str">
        <v>Joseph</v>
      </c>
    </row>
    <row r="45" spans="2:4" x14ac:dyDescent="0.3">
      <c r="B45" t="str">
        <v>TN03575</v>
      </c>
      <c r="C45" t="str">
        <v>Janina</v>
      </c>
      <c r="D45" t="str">
        <v>Wolverson</v>
      </c>
    </row>
    <row r="46" spans="2:4" x14ac:dyDescent="0.3">
      <c r="B46" t="str">
        <v>TN03575</v>
      </c>
      <c r="C46" t="str">
        <v>Janina</v>
      </c>
      <c r="D46" t="str">
        <v>Wolverson</v>
      </c>
    </row>
    <row r="47" spans="2:4" x14ac:dyDescent="0.3">
      <c r="B47" t="str">
        <v>TN04067</v>
      </c>
      <c r="C47" t="str">
        <v>Lea</v>
      </c>
      <c r="D47" t="str">
        <v>Chaplin</v>
      </c>
    </row>
    <row r="48" spans="2:4" x14ac:dyDescent="0.3">
      <c r="B48" t="str">
        <v>TN04175</v>
      </c>
      <c r="C48" t="str">
        <v>Hinda</v>
      </c>
      <c r="D48" t="str">
        <v>Label</v>
      </c>
    </row>
    <row r="49" spans="2:4" x14ac:dyDescent="0.3">
      <c r="B49" t="str">
        <v>TN04246</v>
      </c>
      <c r="C49" t="str">
        <v>Shaylyn</v>
      </c>
      <c r="D49" t="str">
        <v>Ransbury</v>
      </c>
    </row>
    <row r="50" spans="2:4" x14ac:dyDescent="0.3">
      <c r="B50" t="str">
        <v>TN04740</v>
      </c>
      <c r="C50" t="str">
        <v>Tristam</v>
      </c>
      <c r="D50" t="str">
        <v>Cuming</v>
      </c>
    </row>
    <row r="51" spans="2:4" x14ac:dyDescent="0.3">
      <c r="B51" t="str">
        <v>VT00578</v>
      </c>
      <c r="C51" t="str">
        <v>Magnum</v>
      </c>
      <c r="D51" t="str">
        <v>Locksley</v>
      </c>
    </row>
    <row r="52" spans="2:4" x14ac:dyDescent="0.3">
      <c r="B52" t="str">
        <v>VT00596</v>
      </c>
      <c r="C52" t="str">
        <v>Letisha</v>
      </c>
      <c r="D52" t="str">
        <v>Carrett</v>
      </c>
    </row>
    <row r="53" spans="2:4" x14ac:dyDescent="0.3">
      <c r="B53" t="str">
        <v>VT00596</v>
      </c>
      <c r="C53" t="str">
        <v>Letisha</v>
      </c>
      <c r="D53" t="str">
        <v>Carrett</v>
      </c>
    </row>
    <row r="54" spans="2:4" x14ac:dyDescent="0.3">
      <c r="B54" t="str">
        <v>VT00740</v>
      </c>
      <c r="C54" t="str">
        <v>Chitrasen</v>
      </c>
      <c r="D54" t="str">
        <v>Laul</v>
      </c>
    </row>
    <row r="55" spans="2:4" x14ac:dyDescent="0.3">
      <c r="B55" t="str">
        <v>VT01249</v>
      </c>
      <c r="C55" t="str">
        <v>Brendan</v>
      </c>
      <c r="D55" t="str">
        <v>Edgeller</v>
      </c>
    </row>
    <row r="56" spans="2:4" x14ac:dyDescent="0.3">
      <c r="B56" t="str">
        <v>VT01610</v>
      </c>
      <c r="C56" t="str">
        <v>Dhruv</v>
      </c>
      <c r="D56" t="str">
        <v>Manjunath</v>
      </c>
    </row>
    <row r="57" spans="2:4" x14ac:dyDescent="0.3">
      <c r="B57" t="str">
        <v>VT01610</v>
      </c>
      <c r="C57" t="str">
        <v>Kunja</v>
      </c>
      <c r="D57" t="str">
        <v>Prashanta</v>
      </c>
    </row>
    <row r="58" spans="2:4" x14ac:dyDescent="0.3">
      <c r="B58" t="str">
        <v>VT01803</v>
      </c>
      <c r="C58" t="str">
        <v>Freddy</v>
      </c>
      <c r="D58" t="str">
        <v>Linford</v>
      </c>
    </row>
    <row r="59" spans="2:4" x14ac:dyDescent="0.3">
      <c r="B59" t="str">
        <v>VT02374</v>
      </c>
      <c r="C59" t="str">
        <v>Delphine</v>
      </c>
      <c r="D59" t="str">
        <v>Jewis</v>
      </c>
    </row>
    <row r="60" spans="2:4" x14ac:dyDescent="0.3">
      <c r="B60" t="str">
        <v>VT02374</v>
      </c>
      <c r="C60" t="str">
        <v>Delphine</v>
      </c>
      <c r="D60" t="str">
        <v>Jewis</v>
      </c>
    </row>
    <row r="61" spans="2:4" x14ac:dyDescent="0.3">
      <c r="B61" t="str">
        <v>VT02532</v>
      </c>
      <c r="C61" t="str">
        <v>Adey</v>
      </c>
      <c r="D61" t="str">
        <v>Ryal</v>
      </c>
    </row>
    <row r="62" spans="2:4" x14ac:dyDescent="0.3">
      <c r="B62" t="str">
        <v>VT03701</v>
      </c>
      <c r="C62" t="str">
        <v>Narois</v>
      </c>
      <c r="D62" t="str">
        <v>Motiwala</v>
      </c>
    </row>
    <row r="63" spans="2:4" x14ac:dyDescent="0.3">
      <c r="B63" t="str">
        <v>VT03988</v>
      </c>
      <c r="C63" t="str">
        <v>Venkat</v>
      </c>
      <c r="D63" t="str">
        <v>Kodi</v>
      </c>
    </row>
    <row r="64" spans="2:4" x14ac:dyDescent="0.3">
      <c r="B64" t="str">
        <v>VT04415</v>
      </c>
      <c r="C64" t="str">
        <v>Malory</v>
      </c>
      <c r="D64" t="str">
        <v>Biles</v>
      </c>
    </row>
    <row r="65" spans="2:4" x14ac:dyDescent="0.3">
      <c r="B65" t="str">
        <v>VT04552</v>
      </c>
      <c r="C65" t="str">
        <v>Theresita</v>
      </c>
      <c r="D65" t="str">
        <v>Chasmer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J25"/>
  <sheetViews>
    <sheetView workbookViewId="0">
      <selection activeCell="B4" sqref="B4"/>
    </sheetView>
  </sheetViews>
  <sheetFormatPr defaultRowHeight="14.4" x14ac:dyDescent="0.3"/>
  <cols>
    <col min="9" max="9" width="24.77734375" bestFit="1" customWidth="1"/>
  </cols>
  <sheetData>
    <row r="1" spans="2:10" x14ac:dyDescent="0.3">
      <c r="B1" s="28" t="s">
        <v>18</v>
      </c>
    </row>
    <row r="3" spans="2:10" x14ac:dyDescent="0.3">
      <c r="B3" t="s">
        <v>24</v>
      </c>
      <c r="C3" t="s">
        <v>25</v>
      </c>
      <c r="D3" t="s">
        <v>26</v>
      </c>
    </row>
    <row r="4" spans="2:10" x14ac:dyDescent="0.3">
      <c r="B4" t="str" cm="1">
        <f t="array" ref="B4:D25">_xlfn._xlws.FILTER(staff[[Emp ID]:[Last Name]], MONTH(staff[Start Date]) = 3, "No Employees Found")</f>
        <v>PR00746</v>
      </c>
      <c r="C4" t="str">
        <v>Hogan</v>
      </c>
      <c r="D4" t="str">
        <v>Iles</v>
      </c>
    </row>
    <row r="5" spans="2:10" x14ac:dyDescent="0.3">
      <c r="B5" t="str">
        <v>PR00893</v>
      </c>
      <c r="C5" t="str">
        <v>Vasavi</v>
      </c>
      <c r="D5" t="str">
        <v>Veeravasarapu</v>
      </c>
    </row>
    <row r="6" spans="2:10" x14ac:dyDescent="0.3">
      <c r="B6" t="str">
        <v>SQ00022</v>
      </c>
      <c r="C6" t="str">
        <v>Carlin</v>
      </c>
      <c r="D6" t="str">
        <v>Demke</v>
      </c>
      <c r="I6" t="s">
        <v>822</v>
      </c>
      <c r="J6" t="s">
        <v>814</v>
      </c>
    </row>
    <row r="7" spans="2:10" x14ac:dyDescent="0.3">
      <c r="B7" t="str">
        <v>SQ00105</v>
      </c>
      <c r="C7" t="str">
        <v>Sarayu</v>
      </c>
      <c r="D7" t="str">
        <v>Ragunathan</v>
      </c>
      <c r="I7" t="s">
        <v>844</v>
      </c>
      <c r="J7" t="str">
        <f ca="1">_xlfn.FORMULATEXT(B4)</f>
        <v>=FILTER(staff[[Emp ID]:[Last Name]], MONTH(staff[Start Date]) = 3, "No Employees Found")</v>
      </c>
    </row>
    <row r="8" spans="2:10" x14ac:dyDescent="0.3">
      <c r="B8" t="str">
        <v>SQ01519</v>
      </c>
      <c r="C8" t="str">
        <v>Caron</v>
      </c>
      <c r="D8" t="str">
        <v>Kolakovic</v>
      </c>
    </row>
    <row r="9" spans="2:10" x14ac:dyDescent="0.3">
      <c r="B9" t="str">
        <v>SQ03112</v>
      </c>
      <c r="C9" t="str">
        <v>Kantimoy</v>
      </c>
      <c r="D9" t="str">
        <v>Pritish</v>
      </c>
    </row>
    <row r="10" spans="2:10" x14ac:dyDescent="0.3">
      <c r="B10" t="str">
        <v>SQ03625</v>
      </c>
      <c r="C10" t="str">
        <v>Fidela</v>
      </c>
      <c r="D10" t="str">
        <v>Artis</v>
      </c>
    </row>
    <row r="11" spans="2:10" x14ac:dyDescent="0.3">
      <c r="B11" t="str">
        <v>SQ04612</v>
      </c>
      <c r="C11" t="str">
        <v>Mick</v>
      </c>
      <c r="D11" t="str">
        <v>Spraberry</v>
      </c>
    </row>
    <row r="12" spans="2:10" x14ac:dyDescent="0.3">
      <c r="B12" t="str">
        <v>TN01256</v>
      </c>
      <c r="C12" t="str">
        <v>Shattesh</v>
      </c>
      <c r="D12" t="str">
        <v>Utpat</v>
      </c>
    </row>
    <row r="13" spans="2:10" x14ac:dyDescent="0.3">
      <c r="B13" t="str">
        <v>TN01256</v>
      </c>
      <c r="C13" t="str">
        <v>Sawini</v>
      </c>
      <c r="D13" t="str">
        <v>Chandan</v>
      </c>
    </row>
    <row r="14" spans="2:10" x14ac:dyDescent="0.3">
      <c r="B14" t="str">
        <v>TN01601</v>
      </c>
      <c r="C14" t="str">
        <v>Melva</v>
      </c>
      <c r="D14" t="str">
        <v>Jickells</v>
      </c>
    </row>
    <row r="15" spans="2:10" x14ac:dyDescent="0.3">
      <c r="B15" t="str">
        <v>TN01601</v>
      </c>
      <c r="C15" t="str">
        <v>Melva</v>
      </c>
      <c r="D15" t="str">
        <v>Jickells</v>
      </c>
    </row>
    <row r="16" spans="2:10" x14ac:dyDescent="0.3">
      <c r="B16" t="str">
        <v>TN04892</v>
      </c>
      <c r="C16" t="str">
        <v>Luca</v>
      </c>
      <c r="D16" t="str">
        <v>Wolstenholme</v>
      </c>
    </row>
    <row r="17" spans="2:4" x14ac:dyDescent="0.3">
      <c r="B17" t="str">
        <v>VT01762</v>
      </c>
      <c r="C17" t="str">
        <v>Geena</v>
      </c>
      <c r="D17" t="str">
        <v>Raghavanpillai</v>
      </c>
    </row>
    <row r="18" spans="2:4" x14ac:dyDescent="0.3">
      <c r="B18" t="str">
        <v>VT01803</v>
      </c>
      <c r="C18" t="str">
        <v>Freddy</v>
      </c>
      <c r="D18" t="str">
        <v>Linford</v>
      </c>
    </row>
    <row r="19" spans="2:4" x14ac:dyDescent="0.3">
      <c r="B19" t="str">
        <v>VT02417</v>
      </c>
      <c r="C19" t="str">
        <v>Evangelina</v>
      </c>
      <c r="D19" t="str">
        <v>Lergan</v>
      </c>
    </row>
    <row r="20" spans="2:4" x14ac:dyDescent="0.3">
      <c r="B20" t="str">
        <v>VT03421</v>
      </c>
      <c r="C20" t="str">
        <v>Alic</v>
      </c>
      <c r="D20" t="str">
        <v>Bagg</v>
      </c>
    </row>
    <row r="21" spans="2:4" x14ac:dyDescent="0.3">
      <c r="B21" t="str">
        <v>VT03421</v>
      </c>
      <c r="C21" t="str">
        <v>Alic</v>
      </c>
      <c r="D21" t="str">
        <v>Bagg</v>
      </c>
    </row>
    <row r="22" spans="2:4" x14ac:dyDescent="0.3">
      <c r="B22" t="str">
        <v>VT03993</v>
      </c>
      <c r="C22" t="str">
        <v>Dulce</v>
      </c>
      <c r="D22" t="str">
        <v>Colbeck</v>
      </c>
    </row>
    <row r="23" spans="2:4" x14ac:dyDescent="0.3">
      <c r="B23" t="str">
        <v>VT04028</v>
      </c>
      <c r="C23" t="str">
        <v>Michale</v>
      </c>
      <c r="D23" t="str">
        <v>Rolf</v>
      </c>
    </row>
    <row r="24" spans="2:4" x14ac:dyDescent="0.3">
      <c r="B24" t="str">
        <v>VT04028</v>
      </c>
      <c r="C24" t="str">
        <v>Michale</v>
      </c>
      <c r="D24" t="str">
        <v>Rolf</v>
      </c>
    </row>
    <row r="25" spans="2:4" x14ac:dyDescent="0.3">
      <c r="B25" t="str">
        <v>VT04415</v>
      </c>
      <c r="C25" t="str">
        <v>Malory</v>
      </c>
      <c r="D25" t="str">
        <v>Biles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H7"/>
  <sheetViews>
    <sheetView workbookViewId="0">
      <selection activeCell="H7" sqref="H7"/>
    </sheetView>
  </sheetViews>
  <sheetFormatPr defaultRowHeight="14.4" x14ac:dyDescent="0.3"/>
  <cols>
    <col min="2" max="2" width="34.44140625" bestFit="1" customWidth="1"/>
    <col min="7" max="7" width="18" bestFit="1" customWidth="1"/>
  </cols>
  <sheetData>
    <row r="1" spans="2:8" x14ac:dyDescent="0.3">
      <c r="B1" s="28" t="s">
        <v>16</v>
      </c>
    </row>
    <row r="3" spans="2:8" x14ac:dyDescent="0.3">
      <c r="B3" s="28" t="s">
        <v>800</v>
      </c>
      <c r="C3">
        <f>MAX(staff[Salary])</f>
        <v>120000</v>
      </c>
    </row>
    <row r="4" spans="2:8" x14ac:dyDescent="0.3">
      <c r="G4" t="s">
        <v>837</v>
      </c>
      <c r="H4" t="s">
        <v>814</v>
      </c>
    </row>
    <row r="5" spans="2:8" x14ac:dyDescent="0.3">
      <c r="C5" t="str" cm="1">
        <f t="array" ref="C5">_xlfn.XLOOKUP(C3,staff[Salary],staff[First Name]&amp;" "&amp;staff[Last Name],"Not Available",0,1)</f>
        <v>Minerva Ricardot</v>
      </c>
      <c r="G5" t="s">
        <v>843</v>
      </c>
      <c r="H5" t="str">
        <f ca="1">_xlfn.FORMULATEXT(C5)</f>
        <v>=XLOOKUP(C3,staff[Salary],staff[First Name]&amp;" "&amp;staff[Last Name],"Not Available",0,1)</v>
      </c>
    </row>
    <row r="6" spans="2:8" x14ac:dyDescent="0.3">
      <c r="B6" t="s">
        <v>801</v>
      </c>
      <c r="C6" t="str" cm="1">
        <f t="array" ref="C6:C7">_xlfn._xlws.FILTER(staff[First Name]&amp;" "&amp;staff[Last Name],staff[Salary]=MAX(staff[Salary]))</f>
        <v>Minerva Ricardot</v>
      </c>
      <c r="H6" t="str">
        <f ca="1">_xlfn.FORMULATEXT(C6)</f>
        <v>=FILTER(staff[First Name]&amp;" "&amp;staff[Last Name],staff[Salary]=MAX(staff[Salary]))</v>
      </c>
    </row>
    <row r="7" spans="2:8" x14ac:dyDescent="0.3">
      <c r="C7" t="str">
        <v>Mick Spraberry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C5" sqref="C5"/>
    </sheetView>
  </sheetViews>
  <sheetFormatPr defaultRowHeight="14.4" x14ac:dyDescent="0.3"/>
  <cols>
    <col min="2" max="2" width="11.33203125" bestFit="1" customWidth="1"/>
    <col min="3" max="3" width="12.44140625" bestFit="1" customWidth="1"/>
    <col min="8" max="8" width="19.77734375" bestFit="1" customWidth="1"/>
  </cols>
  <sheetData>
    <row r="1" spans="1:9" x14ac:dyDescent="0.3">
      <c r="A1" t="s">
        <v>789</v>
      </c>
    </row>
    <row r="3" spans="1:9" x14ac:dyDescent="0.3">
      <c r="B3" s="28" t="s">
        <v>794</v>
      </c>
      <c r="C3" t="s">
        <v>195</v>
      </c>
      <c r="E3" s="28" t="s">
        <v>796</v>
      </c>
      <c r="H3" s="28" t="s">
        <v>837</v>
      </c>
      <c r="I3" s="28" t="s">
        <v>814</v>
      </c>
    </row>
    <row r="4" spans="1:9" x14ac:dyDescent="0.3">
      <c r="H4" s="28" t="s">
        <v>841</v>
      </c>
      <c r="I4" t="str">
        <f ca="1">_xlfn.FORMULATEXT(C5)</f>
        <v>=XLOOKUP(C3,staff[Emp ID],staff[First Name],"N/A",0,1)</v>
      </c>
    </row>
    <row r="5" spans="1:9" x14ac:dyDescent="0.3">
      <c r="B5" s="28" t="s">
        <v>25</v>
      </c>
      <c r="C5" t="str">
        <f>_xlfn.XLOOKUP(C3,staff[Emp ID],staff[First Name],"N/A",0,1)</f>
        <v>Edd</v>
      </c>
      <c r="H5" s="28" t="s">
        <v>842</v>
      </c>
      <c r="I5" t="str">
        <f ca="1">_xlfn.FORMULATEXT(C14)</f>
        <v>=XLOOKUP(C12,staff[Last Name],staff[Emp ID],"N/A",0,1)</v>
      </c>
    </row>
    <row r="6" spans="1:9" x14ac:dyDescent="0.3">
      <c r="B6" s="28" t="s">
        <v>26</v>
      </c>
      <c r="C6" t="str">
        <f>_xlfn.XLOOKUP(C3,staff[Emp ID],staff[Last Name],"N/A",0,1)</f>
        <v>MacKnockiter</v>
      </c>
    </row>
    <row r="7" spans="1:9" x14ac:dyDescent="0.3">
      <c r="B7" s="28" t="s">
        <v>28</v>
      </c>
      <c r="C7" t="str">
        <f>_xlfn.XLOOKUP(C3,staff[Emp ID],staff[Department],"N/A",0,1)</f>
        <v>Accounting</v>
      </c>
    </row>
    <row r="8" spans="1:9" x14ac:dyDescent="0.3">
      <c r="B8" s="28" t="s">
        <v>29</v>
      </c>
      <c r="C8" s="26">
        <f>_xlfn.XLOOKUP(C3,staff[Emp ID],staff[Salary],"N/A",0,1)</f>
        <v>119022.49</v>
      </c>
    </row>
    <row r="12" spans="1:9" x14ac:dyDescent="0.3">
      <c r="B12" s="28" t="s">
        <v>792</v>
      </c>
      <c r="C12" t="s">
        <v>54</v>
      </c>
      <c r="G12" s="28" t="s">
        <v>798</v>
      </c>
      <c r="I12" s="28" t="s">
        <v>799</v>
      </c>
    </row>
    <row r="14" spans="1:9" x14ac:dyDescent="0.3">
      <c r="B14" s="28" t="s">
        <v>797</v>
      </c>
      <c r="C14" t="str">
        <f>_xlfn.XLOOKUP(C12,staff[Last Name],staff[Emp ID],"N/A",0,1)</f>
        <v>PR00113</v>
      </c>
    </row>
    <row r="15" spans="1:9" x14ac:dyDescent="0.3">
      <c r="B15" s="28" t="s">
        <v>28</v>
      </c>
      <c r="C15" t="str">
        <f>_xlfn.XLOOKUP(C12,staff[Last Name],staff[Department],"",0,1)</f>
        <v>Business Development</v>
      </c>
    </row>
    <row r="16" spans="1:9" x14ac:dyDescent="0.3">
      <c r="B16" s="28" t="s">
        <v>29</v>
      </c>
      <c r="C16" s="26">
        <f>_xlfn.XLOOKUP(C12,staff[Last Name],staff[Salary],"",0,1)</f>
        <v>80695.740000000005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H18"/>
  <sheetViews>
    <sheetView workbookViewId="0">
      <selection activeCell="J6" sqref="J6"/>
    </sheetView>
  </sheetViews>
  <sheetFormatPr defaultRowHeight="14.4" x14ac:dyDescent="0.3"/>
  <cols>
    <col min="1" max="1" width="10.21875" bestFit="1" customWidth="1"/>
    <col min="2" max="2" width="21.88671875" bestFit="1" customWidth="1"/>
  </cols>
  <sheetData>
    <row r="1" spans="1:8" ht="20.399999999999999" thickBot="1" x14ac:dyDescent="0.45">
      <c r="B1" s="25" t="s">
        <v>789</v>
      </c>
    </row>
    <row r="2" spans="1:8" ht="15" thickTop="1" x14ac:dyDescent="0.3"/>
    <row r="3" spans="1:8" x14ac:dyDescent="0.3">
      <c r="A3" t="s">
        <v>790</v>
      </c>
      <c r="B3" s="24" t="s">
        <v>37</v>
      </c>
    </row>
    <row r="5" spans="1:8" x14ac:dyDescent="0.3">
      <c r="A5" t="s">
        <v>791</v>
      </c>
      <c r="B5" t="str">
        <f>VLOOKUP(B3,staff[],2,TRUE)</f>
        <v>Torrance</v>
      </c>
    </row>
    <row r="6" spans="1:8" x14ac:dyDescent="0.3">
      <c r="A6" t="s">
        <v>792</v>
      </c>
      <c r="B6" t="str">
        <f>VLOOKUP(B3,staff[],3,TRUE)</f>
        <v>Collier</v>
      </c>
    </row>
    <row r="7" spans="1:8" x14ac:dyDescent="0.3">
      <c r="A7" t="s">
        <v>28</v>
      </c>
      <c r="B7" t="str">
        <f>VLOOKUP(B3,staff[],5,TRUE)</f>
        <v>Training</v>
      </c>
      <c r="G7" s="28" t="s">
        <v>837</v>
      </c>
      <c r="H7" s="28" t="s">
        <v>814</v>
      </c>
    </row>
    <row r="8" spans="1:8" x14ac:dyDescent="0.3">
      <c r="A8" t="s">
        <v>29</v>
      </c>
      <c r="B8" s="26">
        <f>VLOOKUP(B3,staff[],6,TRUE)</f>
        <v>96135.75</v>
      </c>
      <c r="G8" s="28" t="s">
        <v>838</v>
      </c>
      <c r="H8" t="str">
        <f ca="1">_xlfn.FORMULATEXT(B5)</f>
        <v>=VLOOKUP(B3,staff,2,TRUE)</v>
      </c>
    </row>
    <row r="9" spans="1:8" x14ac:dyDescent="0.3">
      <c r="G9" s="28" t="s">
        <v>839</v>
      </c>
      <c r="H9" t="str">
        <f ca="1">_xlfn.FORMULATEXT(B15)</f>
        <v>=MATCH(B14,staff[Last Name],)</v>
      </c>
    </row>
    <row r="10" spans="1:8" x14ac:dyDescent="0.3">
      <c r="G10" s="28" t="s">
        <v>840</v>
      </c>
      <c r="H10" t="str">
        <f ca="1">_xlfn.FORMULATEXT(B16)</f>
        <v>=INDEX(staff[Emp ID],B15)</v>
      </c>
    </row>
    <row r="14" spans="1:8" x14ac:dyDescent="0.3">
      <c r="A14" t="s">
        <v>793</v>
      </c>
      <c r="B14" s="24" t="s">
        <v>186</v>
      </c>
    </row>
    <row r="15" spans="1:8" x14ac:dyDescent="0.3">
      <c r="B15">
        <f>MATCH(B14,staff[Last Name],)</f>
        <v>43</v>
      </c>
    </row>
    <row r="16" spans="1:8" x14ac:dyDescent="0.3">
      <c r="A16" t="s">
        <v>794</v>
      </c>
      <c r="B16" t="str" cm="1">
        <f t="array" ref="B16">INDEX(staff[Emp ID],B15)</f>
        <v>PR03532</v>
      </c>
    </row>
    <row r="17" spans="1:2" x14ac:dyDescent="0.3">
      <c r="A17" t="s">
        <v>28</v>
      </c>
      <c r="B17" t="str" cm="1">
        <f t="array" ref="B17">INDEX(staff[Department],B15)</f>
        <v>Human Resources</v>
      </c>
    </row>
    <row r="18" spans="1:2" x14ac:dyDescent="0.3">
      <c r="A18" t="s">
        <v>795</v>
      </c>
      <c r="B18" s="26" cm="1">
        <f t="array" ref="B18">INDEX(staff[Salary],B15)</f>
        <v>72876.91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M30"/>
  <sheetViews>
    <sheetView workbookViewId="0">
      <selection activeCell="A10" sqref="A10"/>
    </sheetView>
  </sheetViews>
  <sheetFormatPr defaultRowHeight="14.4" x14ac:dyDescent="0.3"/>
  <cols>
    <col min="1" max="1" width="24.21875" bestFit="1" customWidth="1"/>
  </cols>
  <sheetData>
    <row r="1" spans="1:9" ht="20.399999999999999" thickBot="1" x14ac:dyDescent="0.45">
      <c r="A1" s="25" t="s">
        <v>785</v>
      </c>
    </row>
    <row r="2" spans="1:9" ht="15" thickTop="1" x14ac:dyDescent="0.3">
      <c r="C2" s="28"/>
    </row>
    <row r="3" spans="1:9" x14ac:dyDescent="0.3">
      <c r="A3" s="28" t="s">
        <v>28</v>
      </c>
      <c r="B3" s="28" t="s">
        <v>836</v>
      </c>
      <c r="C3" s="28" t="s">
        <v>786</v>
      </c>
      <c r="D3" s="28" t="s">
        <v>834</v>
      </c>
      <c r="E3" s="28" t="s">
        <v>835</v>
      </c>
      <c r="F3" s="28" t="s">
        <v>802</v>
      </c>
    </row>
    <row r="4" spans="1:9" x14ac:dyDescent="0.3">
      <c r="A4" t="str" cm="1">
        <f t="array" ref="A4:A15">_xlfn.UNIQUE(staff[Department])</f>
        <v>Training</v>
      </c>
      <c r="B4">
        <f>COUNT(staff[Department],A4)</f>
        <v>0</v>
      </c>
      <c r="C4">
        <f>COUNTA(staff[Department],A4)</f>
        <v>261</v>
      </c>
      <c r="D4">
        <f>COUNTIF(staff[Department],A4)</f>
        <v>24</v>
      </c>
      <c r="E4">
        <f>COUNTIFS(staff[Department],A4,staff[Employee type],"Permanent")</f>
        <v>11</v>
      </c>
      <c r="F4" t="str">
        <f>_xlfn.TEXTJOIN(", ", TRUE, A4:A15)</f>
        <v>Training, Business Development, Engineering, Marketing, Legal, Accounting, Human Resources, Research and Development, Services, Product Management, Support, Sales</v>
      </c>
    </row>
    <row r="5" spans="1:9" x14ac:dyDescent="0.3">
      <c r="A5" t="str">
        <v>Business Development</v>
      </c>
      <c r="B5">
        <f>COUNT(staff[Department],A5)</f>
        <v>0</v>
      </c>
      <c r="C5">
        <f>COUNTA(staff[Department],A5)</f>
        <v>261</v>
      </c>
      <c r="D5">
        <f>COUNTIF(staff[Department],A5)</f>
        <v>26</v>
      </c>
      <c r="E5">
        <f>COUNTIFS(staff[Department],A5,staff[Employee type],"Permanent")</f>
        <v>18</v>
      </c>
      <c r="H5" s="28" t="s">
        <v>822</v>
      </c>
      <c r="I5" s="28" t="s">
        <v>814</v>
      </c>
    </row>
    <row r="6" spans="1:9" x14ac:dyDescent="0.3">
      <c r="A6" t="str">
        <v>Engineering</v>
      </c>
      <c r="B6">
        <f>COUNT(staff[Department],A6)</f>
        <v>0</v>
      </c>
      <c r="C6">
        <f>COUNTA(staff[Department],A6)</f>
        <v>261</v>
      </c>
      <c r="D6">
        <f>COUNTIF(staff[Department],A6)</f>
        <v>26</v>
      </c>
      <c r="E6">
        <f>COUNTIFS(staff[Department],A6,staff[Employee type],"Permanent")</f>
        <v>16</v>
      </c>
      <c r="H6" s="28" t="s">
        <v>786</v>
      </c>
      <c r="I6" t="str">
        <f ca="1">_xlfn.FORMULATEXT(C4)</f>
        <v>=COUNTA(staff[Department],A4)</v>
      </c>
    </row>
    <row r="7" spans="1:9" x14ac:dyDescent="0.3">
      <c r="A7" t="str">
        <v>Marketing</v>
      </c>
      <c r="B7">
        <f>COUNT(staff[Department],A7)</f>
        <v>0</v>
      </c>
      <c r="C7">
        <f>COUNTA(staff[Department],A7)</f>
        <v>261</v>
      </c>
      <c r="D7">
        <f>COUNTIF(staff[Department],A7)</f>
        <v>12</v>
      </c>
      <c r="E7">
        <f>COUNTIFS(staff[Department],A7,staff[Employee type],"Permanent")</f>
        <v>9</v>
      </c>
      <c r="H7" s="28" t="s">
        <v>834</v>
      </c>
      <c r="I7" t="str">
        <f ca="1">_xlfn.FORMULATEXT(D4)</f>
        <v>=COUNTIF(staff[Department],A4)</v>
      </c>
    </row>
    <row r="8" spans="1:9" x14ac:dyDescent="0.3">
      <c r="A8" t="str">
        <v>Legal</v>
      </c>
      <c r="B8">
        <f>COUNT(staff[Department],A8)</f>
        <v>0</v>
      </c>
      <c r="C8">
        <f>COUNTA(staff[Department],A8)</f>
        <v>261</v>
      </c>
      <c r="D8">
        <f>COUNTIF(staff[Department],A8)</f>
        <v>21</v>
      </c>
      <c r="E8">
        <f>COUNTIFS(staff[Department],A8,staff[Employee type],"Permanent")</f>
        <v>13</v>
      </c>
      <c r="H8" s="28" t="s">
        <v>835</v>
      </c>
      <c r="I8" t="str">
        <f ca="1">_xlfn.FORMULATEXT(E4)</f>
        <v>=COUNTIFS(staff[Department],A4,staff[Employee type],"Permanent")</v>
      </c>
    </row>
    <row r="9" spans="1:9" x14ac:dyDescent="0.3">
      <c r="A9" t="str">
        <v>Accounting</v>
      </c>
      <c r="B9">
        <f>COUNT(staff[Department],A9)</f>
        <v>0</v>
      </c>
      <c r="C9">
        <f>COUNTA(staff[Department],A9)</f>
        <v>261</v>
      </c>
      <c r="D9">
        <f>COUNTIF(staff[Department],A9)</f>
        <v>26</v>
      </c>
      <c r="E9">
        <f>COUNTIFS(staff[Department],A9,staff[Employee type],"Permanent")</f>
        <v>18</v>
      </c>
      <c r="H9" s="28" t="s">
        <v>802</v>
      </c>
      <c r="I9" t="str">
        <f ca="1">_xlfn.FORMULATEXT(F4)</f>
        <v>=TEXTJOIN(", ", TRUE, A4:A15)</v>
      </c>
    </row>
    <row r="10" spans="1:9" x14ac:dyDescent="0.3">
      <c r="A10" t="str">
        <v>Human Resources</v>
      </c>
      <c r="B10">
        <f>COUNT(staff[Department],A10)</f>
        <v>0</v>
      </c>
      <c r="C10">
        <f>COUNTA(staff[Department],A10)</f>
        <v>261</v>
      </c>
      <c r="D10">
        <f>COUNTIF(staff[Department],A10)</f>
        <v>22</v>
      </c>
      <c r="E10">
        <f>COUNTIFS(staff[Department],A10,staff[Employee type],"Permanent")</f>
        <v>13</v>
      </c>
    </row>
    <row r="11" spans="1:9" x14ac:dyDescent="0.3">
      <c r="A11" t="str">
        <v>Research and Development</v>
      </c>
      <c r="B11">
        <f>COUNT(staff[Department],A11)</f>
        <v>0</v>
      </c>
      <c r="C11">
        <f>COUNTA(staff[Department],A11)</f>
        <v>261</v>
      </c>
      <c r="D11">
        <f>COUNTIF(staff[Department],A11)</f>
        <v>18</v>
      </c>
      <c r="E11">
        <f>COUNTIFS(staff[Department],A11,staff[Employee type],"Permanent")</f>
        <v>11</v>
      </c>
    </row>
    <row r="12" spans="1:9" x14ac:dyDescent="0.3">
      <c r="A12" t="str">
        <v>Services</v>
      </c>
      <c r="B12">
        <f>COUNT(staff[Department],A12)</f>
        <v>0</v>
      </c>
      <c r="C12">
        <f>COUNTA(staff[Department],A12)</f>
        <v>261</v>
      </c>
      <c r="D12">
        <f>COUNTIF(staff[Department],A12)</f>
        <v>21</v>
      </c>
      <c r="E12">
        <f>COUNTIFS(staff[Department],A12,staff[Employee type],"Permanent")</f>
        <v>16</v>
      </c>
    </row>
    <row r="13" spans="1:9" x14ac:dyDescent="0.3">
      <c r="A13" t="str">
        <v>Product Management</v>
      </c>
      <c r="B13">
        <f>COUNT(staff[Department],A13)</f>
        <v>0</v>
      </c>
      <c r="C13">
        <f>COUNTA(staff[Department],A13)</f>
        <v>261</v>
      </c>
      <c r="D13">
        <f>COUNTIF(staff[Department],A13)</f>
        <v>29</v>
      </c>
      <c r="E13">
        <f>COUNTIFS(staff[Department],A13,staff[Employee type],"Permanent")</f>
        <v>19</v>
      </c>
    </row>
    <row r="14" spans="1:9" x14ac:dyDescent="0.3">
      <c r="A14" t="str">
        <v>Support</v>
      </c>
      <c r="B14">
        <f>COUNT(staff[Department],A14)</f>
        <v>0</v>
      </c>
      <c r="C14">
        <f>COUNTA(staff[Department],A14)</f>
        <v>261</v>
      </c>
      <c r="D14">
        <f>COUNTIF(staff[Department],A14)</f>
        <v>17</v>
      </c>
      <c r="E14">
        <f>COUNTIFS(staff[Department],A14,staff[Employee type],"Permanent")</f>
        <v>11</v>
      </c>
    </row>
    <row r="15" spans="1:9" x14ac:dyDescent="0.3">
      <c r="A15" t="str">
        <v>Sales</v>
      </c>
      <c r="B15">
        <f>COUNT(staff[Department],A15)</f>
        <v>0</v>
      </c>
      <c r="C15">
        <f>COUNTA(staff[Department],A15)</f>
        <v>261</v>
      </c>
      <c r="D15">
        <f>COUNTIF(staff[Department],A15)</f>
        <v>18</v>
      </c>
      <c r="E15">
        <f>COUNTIFS(staff[Department],A15,staff[Employee type],"Permanent")</f>
        <v>13</v>
      </c>
    </row>
    <row r="18" spans="13:13" x14ac:dyDescent="0.3">
      <c r="M18" s="28" t="s">
        <v>28</v>
      </c>
    </row>
    <row r="19" spans="13:13" x14ac:dyDescent="0.3">
      <c r="M19" t="str" cm="1">
        <f t="array" ref="M19:M30">_xlfn.UNIQUE(staff[Department])</f>
        <v>Training</v>
      </c>
    </row>
    <row r="20" spans="13:13" x14ac:dyDescent="0.3">
      <c r="M20" t="str">
        <v>Business Development</v>
      </c>
    </row>
    <row r="21" spans="13:13" x14ac:dyDescent="0.3">
      <c r="M21" t="str">
        <v>Engineering</v>
      </c>
    </row>
    <row r="22" spans="13:13" x14ac:dyDescent="0.3">
      <c r="M22" t="str">
        <v>Marketing</v>
      </c>
    </row>
    <row r="23" spans="13:13" x14ac:dyDescent="0.3">
      <c r="M23" t="str">
        <v>Legal</v>
      </c>
    </row>
    <row r="24" spans="13:13" x14ac:dyDescent="0.3">
      <c r="M24" t="str">
        <v>Accounting</v>
      </c>
    </row>
    <row r="25" spans="13:13" x14ac:dyDescent="0.3">
      <c r="M25" t="str">
        <v>Human Resources</v>
      </c>
    </row>
    <row r="26" spans="13:13" x14ac:dyDescent="0.3">
      <c r="M26" t="str">
        <v>Research and Development</v>
      </c>
    </row>
    <row r="27" spans="13:13" x14ac:dyDescent="0.3">
      <c r="M27" t="str">
        <v>Services</v>
      </c>
    </row>
    <row r="28" spans="13:13" x14ac:dyDescent="0.3">
      <c r="M28" t="str">
        <v>Product Management</v>
      </c>
    </row>
    <row r="29" spans="13:13" x14ac:dyDescent="0.3">
      <c r="M29" t="str">
        <v>Support</v>
      </c>
    </row>
    <row r="30" spans="13:13" x14ac:dyDescent="0.3">
      <c r="M30" t="str">
        <v>Sales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L19"/>
  <sheetViews>
    <sheetView workbookViewId="0">
      <selection activeCell="D6" sqref="D6"/>
    </sheetView>
  </sheetViews>
  <sheetFormatPr defaultRowHeight="14.4" x14ac:dyDescent="0.3"/>
  <cols>
    <col min="1" max="1" width="12.33203125" bestFit="1" customWidth="1"/>
    <col min="2" max="2" width="15.21875" customWidth="1"/>
    <col min="3" max="3" width="14.77734375" customWidth="1"/>
    <col min="4" max="4" width="21.77734375" customWidth="1"/>
    <col min="9" max="9" width="12.21875" bestFit="1" customWidth="1"/>
    <col min="10" max="10" width="16" bestFit="1" customWidth="1"/>
    <col min="11" max="11" width="32.88671875" bestFit="1" customWidth="1"/>
  </cols>
  <sheetData>
    <row r="1" spans="1:12" ht="20.399999999999999" thickBot="1" x14ac:dyDescent="0.45">
      <c r="B1" s="25" t="s">
        <v>10</v>
      </c>
    </row>
    <row r="2" spans="1:12" ht="15" thickTop="1" x14ac:dyDescent="0.3"/>
    <row r="3" spans="1:12" x14ac:dyDescent="0.3">
      <c r="B3" s="34" t="s">
        <v>781</v>
      </c>
      <c r="C3" s="34" t="s">
        <v>59</v>
      </c>
      <c r="D3" s="34" t="s">
        <v>40</v>
      </c>
    </row>
    <row r="4" spans="1:12" x14ac:dyDescent="0.3">
      <c r="A4" s="34" t="s">
        <v>778</v>
      </c>
      <c r="B4" s="35">
        <f>MIN(staff[Salary])</f>
        <v>28160.79</v>
      </c>
      <c r="C4" s="35">
        <f>_xlfn.MINIFS(staff[Salary],staff[Gender],C3)</f>
        <v>28160.79</v>
      </c>
      <c r="D4" s="35">
        <f>_xlfn.MINIFS(staff[Salary],staff[Gender],D3)</f>
        <v>28305.08</v>
      </c>
    </row>
    <row r="5" spans="1:12" x14ac:dyDescent="0.3">
      <c r="A5" s="34" t="s">
        <v>779</v>
      </c>
      <c r="B5" s="35">
        <f>MAX(staff[Salary])</f>
        <v>120000</v>
      </c>
      <c r="C5" s="35">
        <f>_xlfn.MAXIFS(staff[Salary],staff[Gender],C3)</f>
        <v>120000</v>
      </c>
      <c r="D5" s="35">
        <f>_xlfn.MAXIFS(staff[Salary],staff[Gender],D3)</f>
        <v>120000</v>
      </c>
    </row>
    <row r="6" spans="1:12" x14ac:dyDescent="0.3">
      <c r="A6" s="34" t="s">
        <v>780</v>
      </c>
      <c r="B6" s="35">
        <f>LARGE(staff[Salary],E13)</f>
        <v>120000</v>
      </c>
      <c r="C6" s="35" cm="1">
        <f t="array" ref="C6:C10">_xlfn.TAKE(_xlfn._xlws.SORT(staff[Salary],,-1),5)</f>
        <v>120000</v>
      </c>
      <c r="D6" s="35" cm="1">
        <f t="array" ref="D6:D10">_xlfn.TAKE(_xlfn._xlws.SORT(staff[Salary],,-1),5)</f>
        <v>120000</v>
      </c>
      <c r="I6" s="28" t="s">
        <v>822</v>
      </c>
      <c r="J6" s="28" t="s">
        <v>814</v>
      </c>
      <c r="K6" t="s">
        <v>832</v>
      </c>
      <c r="L6" t="s">
        <v>833</v>
      </c>
    </row>
    <row r="7" spans="1:12" x14ac:dyDescent="0.3">
      <c r="B7" s="35">
        <f>LARGE(staff[Salary],E14)</f>
        <v>120000</v>
      </c>
      <c r="C7" s="35">
        <v>120000</v>
      </c>
      <c r="D7" s="35">
        <v>120000</v>
      </c>
      <c r="I7" s="28" t="s">
        <v>829</v>
      </c>
      <c r="J7" t="str">
        <f ca="1">_xlfn.FORMULATEXT(B4)</f>
        <v>=MIN(staff[Salary])</v>
      </c>
      <c r="K7" t="str">
        <f ca="1">_xlfn.FORMULATEXT(C4)</f>
        <v>=MINIFS(staff[Salary],staff[Gender],C3)</v>
      </c>
      <c r="L7" t="str">
        <f ca="1">_xlfn.FORMULATEXT(D4)</f>
        <v>=MINIFS(staff[Salary],staff[Gender],D3)</v>
      </c>
    </row>
    <row r="8" spans="1:12" x14ac:dyDescent="0.3">
      <c r="B8" s="35">
        <f>LARGE(staff[Salary],E15)</f>
        <v>119022.49</v>
      </c>
      <c r="C8" s="35">
        <v>119022.49</v>
      </c>
      <c r="D8" s="35">
        <v>119022.49</v>
      </c>
      <c r="I8" s="28" t="s">
        <v>830</v>
      </c>
      <c r="J8" t="str">
        <f ca="1">_xlfn.FORMULATEXT(B5)</f>
        <v>=MAX(staff[Salary])</v>
      </c>
    </row>
    <row r="9" spans="1:12" x14ac:dyDescent="0.3">
      <c r="B9" s="35">
        <f>LARGE(staff[Salary],E16)</f>
        <v>118976.16</v>
      </c>
      <c r="C9" s="35">
        <v>118976.16</v>
      </c>
      <c r="D9" s="35">
        <v>118976.16</v>
      </c>
      <c r="I9" s="28" t="s">
        <v>831</v>
      </c>
      <c r="J9" t="str">
        <f ca="1">_xlfn.FORMULATEXT(B6)</f>
        <v>=LARGE(staff[Salary],E13)</v>
      </c>
    </row>
    <row r="10" spans="1:12" x14ac:dyDescent="0.3">
      <c r="B10" s="35">
        <f>LARGE(staff[Salary],E17)</f>
        <v>118442.54</v>
      </c>
      <c r="C10" s="35">
        <v>118442.54</v>
      </c>
      <c r="D10" s="35">
        <v>118442.54</v>
      </c>
      <c r="I10" s="28" t="s">
        <v>831</v>
      </c>
      <c r="J10" t="str">
        <f ca="1">_xlfn.FORMULATEXT(B15)</f>
        <v>=TAKE(SORT(staff[Salary],,-1),5)</v>
      </c>
    </row>
    <row r="11" spans="1:12" x14ac:dyDescent="0.3">
      <c r="B11" s="35"/>
      <c r="C11" s="34"/>
      <c r="D11" s="34"/>
    </row>
    <row r="12" spans="1:12" x14ac:dyDescent="0.3">
      <c r="B12" s="35"/>
      <c r="C12" s="34"/>
      <c r="D12" s="34"/>
    </row>
    <row r="13" spans="1:12" x14ac:dyDescent="0.3">
      <c r="E13">
        <v>1</v>
      </c>
    </row>
    <row r="14" spans="1:12" x14ac:dyDescent="0.3">
      <c r="E14">
        <v>2</v>
      </c>
    </row>
    <row r="15" spans="1:12" x14ac:dyDescent="0.3">
      <c r="A15" t="s">
        <v>782</v>
      </c>
      <c r="B15" s="26" cm="1">
        <f t="array" ref="B15:B19">_xlfn.TAKE(_xlfn._xlws.SORT(staff[Salary],,-1),5)</f>
        <v>120000</v>
      </c>
      <c r="E15">
        <v>3</v>
      </c>
    </row>
    <row r="16" spans="1:12" x14ac:dyDescent="0.3">
      <c r="B16" s="26">
        <v>120000</v>
      </c>
      <c r="E16">
        <v>4</v>
      </c>
    </row>
    <row r="17" spans="2:5" x14ac:dyDescent="0.3">
      <c r="B17" s="26">
        <v>119022.49</v>
      </c>
      <c r="E17">
        <v>5</v>
      </c>
    </row>
    <row r="18" spans="2:5" x14ac:dyDescent="0.3">
      <c r="B18" s="26">
        <v>118976.16</v>
      </c>
    </row>
    <row r="19" spans="2:5" x14ac:dyDescent="0.3">
      <c r="B19" s="26">
        <v>118442.54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B62-2FE0-4793-836C-E6BDAAA20A46}">
  <dimension ref="A1:M18"/>
  <sheetViews>
    <sheetView workbookViewId="0">
      <selection activeCell="A6" sqref="A6"/>
    </sheetView>
  </sheetViews>
  <sheetFormatPr defaultRowHeight="14.4" x14ac:dyDescent="0.3"/>
  <cols>
    <col min="1" max="1" width="22.33203125" customWidth="1"/>
    <col min="2" max="2" width="18.21875" customWidth="1"/>
    <col min="8" max="8" width="10.33203125" style="43" bestFit="1" customWidth="1"/>
  </cols>
  <sheetData>
    <row r="1" spans="1:13" x14ac:dyDescent="0.3">
      <c r="A1" s="46" t="s">
        <v>828</v>
      </c>
      <c r="B1" s="46"/>
      <c r="C1" s="46"/>
      <c r="D1" s="46"/>
      <c r="E1" s="46"/>
    </row>
    <row r="3" spans="1:13" ht="20.399999999999999" thickBot="1" x14ac:dyDescent="0.45">
      <c r="A3" s="47" t="s">
        <v>773</v>
      </c>
      <c r="B3" s="47"/>
      <c r="C3">
        <v>100000</v>
      </c>
    </row>
    <row r="4" spans="1:13" ht="15" thickTop="1" x14ac:dyDescent="0.3"/>
    <row r="5" spans="1:13" x14ac:dyDescent="0.3">
      <c r="A5" t="str" cm="1">
        <f t="array" ref="A5:M5">staff[#Headers]</f>
        <v>Emp ID</v>
      </c>
      <c r="B5" t="str">
        <v>First Name</v>
      </c>
      <c r="C5" t="str">
        <v>Last Name</v>
      </c>
      <c r="D5" t="str">
        <v>Gender</v>
      </c>
      <c r="E5" t="str">
        <v>Department</v>
      </c>
      <c r="F5" t="str">
        <v>Salary</v>
      </c>
      <c r="G5" t="str">
        <v>Salary Bucket</v>
      </c>
      <c r="H5" s="43" t="str">
        <v>Start Date</v>
      </c>
      <c r="I5" t="str">
        <v>FTE</v>
      </c>
      <c r="J5" t="str">
        <v>Employee type</v>
      </c>
      <c r="K5" t="str">
        <v>Work location</v>
      </c>
      <c r="L5" t="str">
        <v>Tenure</v>
      </c>
      <c r="M5" t="str">
        <v>Work Type</v>
      </c>
    </row>
    <row r="6" spans="1:13" x14ac:dyDescent="0.3">
      <c r="A6" t="str" cm="1">
        <f t="array" ref="A6:M18">_xlfn._xlws.FILTER(staff[],(staff[Gender]="Female")*(staff[Salary]&gt;C3)*(staff[Start Date]&gt;=DATE(2020,1,1)))</f>
        <v>PR00746</v>
      </c>
      <c r="B6" t="str">
        <v>Hogan</v>
      </c>
      <c r="C6" t="str">
        <v>Iles</v>
      </c>
      <c r="D6" t="str">
        <v>Female</v>
      </c>
      <c r="E6" t="str">
        <v>Accounting</v>
      </c>
      <c r="F6">
        <v>114177.23</v>
      </c>
      <c r="G6" t="str">
        <v>Above 100k</v>
      </c>
      <c r="H6" s="43">
        <v>43908</v>
      </c>
      <c r="I6">
        <v>1</v>
      </c>
      <c r="J6" t="str">
        <v>Permanent</v>
      </c>
      <c r="K6" t="str">
        <v>Wellington, New Zealand</v>
      </c>
      <c r="L6">
        <v>4.2630136986301368</v>
      </c>
      <c r="M6" t="str">
        <v>Full time</v>
      </c>
    </row>
    <row r="7" spans="1:13" x14ac:dyDescent="0.3">
      <c r="A7" t="str">
        <v>PR02208</v>
      </c>
      <c r="B7" t="str">
        <v>Gowri</v>
      </c>
      <c r="C7" t="str">
        <v>Sankar</v>
      </c>
      <c r="D7" t="str">
        <v>Female</v>
      </c>
      <c r="E7" t="str">
        <v>Training</v>
      </c>
      <c r="F7">
        <v>102934.09</v>
      </c>
      <c r="G7" t="str">
        <v>Above 100k</v>
      </c>
      <c r="H7" s="43">
        <v>44315</v>
      </c>
      <c r="I7">
        <v>1</v>
      </c>
      <c r="J7" t="str">
        <v>Permanent</v>
      </c>
      <c r="K7" t="str">
        <v>Hyderabad, India</v>
      </c>
      <c r="L7">
        <v>3.1479452054794521</v>
      </c>
      <c r="M7" t="str">
        <v>Full time</v>
      </c>
    </row>
    <row r="8" spans="1:13" x14ac:dyDescent="0.3">
      <c r="A8" t="str">
        <v>SQ00498</v>
      </c>
      <c r="B8" t="str">
        <v>Amery</v>
      </c>
      <c r="C8" t="str">
        <v>Ofer</v>
      </c>
      <c r="D8" t="str">
        <v>Female</v>
      </c>
      <c r="E8" t="str">
        <v>Legal</v>
      </c>
      <c r="F8">
        <v>111049.84</v>
      </c>
      <c r="G8" t="str">
        <v>Above 100k</v>
      </c>
      <c r="H8" s="43">
        <v>44393</v>
      </c>
      <c r="I8">
        <v>1</v>
      </c>
      <c r="J8" t="str">
        <v>Permanent</v>
      </c>
      <c r="K8" t="str">
        <v>Wellington, New Zealand</v>
      </c>
      <c r="L8">
        <v>2.9342465753424656</v>
      </c>
      <c r="M8" t="str">
        <v>Full time</v>
      </c>
    </row>
    <row r="9" spans="1:13" x14ac:dyDescent="0.3">
      <c r="A9" t="str">
        <v>SQ02174</v>
      </c>
      <c r="B9" t="str">
        <v>Sidoney</v>
      </c>
      <c r="C9" t="str">
        <v>Yitzhok</v>
      </c>
      <c r="D9" t="str">
        <v>Female</v>
      </c>
      <c r="E9" t="str">
        <v>Engineering</v>
      </c>
      <c r="F9">
        <v>118442.54</v>
      </c>
      <c r="G9" t="str">
        <v>Above 100k</v>
      </c>
      <c r="H9" s="43">
        <v>44193</v>
      </c>
      <c r="I9">
        <v>1</v>
      </c>
      <c r="J9" t="str">
        <v>Permanent</v>
      </c>
      <c r="K9" t="str">
        <v>Auckland, New Zealand</v>
      </c>
      <c r="L9">
        <v>3.4821917808219176</v>
      </c>
      <c r="M9" t="str">
        <v>Full time</v>
      </c>
    </row>
    <row r="10" spans="1:13" x14ac:dyDescent="0.3">
      <c r="A10" t="str">
        <v>SQ02624</v>
      </c>
      <c r="B10" t="str">
        <v>Gwenneth</v>
      </c>
      <c r="C10" t="str">
        <v>Fealey</v>
      </c>
      <c r="D10" t="str">
        <v>Female</v>
      </c>
      <c r="E10" t="str">
        <v>Engineering</v>
      </c>
      <c r="F10">
        <v>114772.32</v>
      </c>
      <c r="G10" t="str">
        <v>Above 100k</v>
      </c>
      <c r="H10" s="43">
        <v>44251</v>
      </c>
      <c r="I10">
        <v>1</v>
      </c>
      <c r="J10" t="str">
        <v>Permanent</v>
      </c>
      <c r="K10" t="str">
        <v>Columbus, USA</v>
      </c>
      <c r="L10">
        <v>3.3232876712328765</v>
      </c>
      <c r="M10" t="str">
        <v>Full time</v>
      </c>
    </row>
    <row r="11" spans="1:13" x14ac:dyDescent="0.3">
      <c r="A11" t="str">
        <v>SQ03387</v>
      </c>
      <c r="B11" t="str">
        <v>Robinia</v>
      </c>
      <c r="C11" t="str">
        <v>Scholling</v>
      </c>
      <c r="D11" t="str">
        <v>Female</v>
      </c>
      <c r="E11" t="str">
        <v>Human Resources</v>
      </c>
      <c r="F11">
        <v>100731.95</v>
      </c>
      <c r="G11" t="str">
        <v>Above 100k</v>
      </c>
      <c r="H11" s="43">
        <v>43936</v>
      </c>
      <c r="I11">
        <v>1</v>
      </c>
      <c r="J11" t="str">
        <v>Permanent</v>
      </c>
      <c r="K11" t="str">
        <v>Auckland, New Zealand</v>
      </c>
      <c r="L11">
        <v>4.1863013698630134</v>
      </c>
      <c r="M11" t="str">
        <v>Full time</v>
      </c>
    </row>
    <row r="12" spans="1:13" x14ac:dyDescent="0.3">
      <c r="A12" t="str">
        <v>SQ03491</v>
      </c>
      <c r="B12" t="str">
        <v>Freda</v>
      </c>
      <c r="C12" t="str">
        <v>Legan</v>
      </c>
      <c r="D12" t="str">
        <v>Female</v>
      </c>
      <c r="E12" t="str">
        <v>Sales</v>
      </c>
      <c r="F12">
        <v>102129.37</v>
      </c>
      <c r="G12" t="str">
        <v>Above 100k</v>
      </c>
      <c r="H12" s="43">
        <v>44396</v>
      </c>
      <c r="I12">
        <v>1</v>
      </c>
      <c r="J12" t="str">
        <v>Permanent</v>
      </c>
      <c r="K12" t="str">
        <v>Columbus, USA</v>
      </c>
      <c r="L12">
        <v>2.9260273972602739</v>
      </c>
      <c r="M12" t="str">
        <v>Full time</v>
      </c>
    </row>
    <row r="13" spans="1:13" x14ac:dyDescent="0.3">
      <c r="A13" t="str">
        <v>SQ04612</v>
      </c>
      <c r="B13" t="str">
        <v>Mick</v>
      </c>
      <c r="C13" t="str">
        <v>Spraberry</v>
      </c>
      <c r="D13" t="str">
        <v>Female</v>
      </c>
      <c r="E13" t="str">
        <v>Services</v>
      </c>
      <c r="F13">
        <v>120000</v>
      </c>
      <c r="G13" t="str">
        <v>Above 100k</v>
      </c>
      <c r="H13" s="43">
        <v>43902</v>
      </c>
      <c r="I13">
        <v>0.9</v>
      </c>
      <c r="J13" t="str">
        <v>Permanent</v>
      </c>
      <c r="K13" t="str">
        <v>Remote</v>
      </c>
      <c r="L13">
        <v>4.279452054794521</v>
      </c>
      <c r="M13" t="str">
        <v>Part time</v>
      </c>
    </row>
    <row r="14" spans="1:13" x14ac:dyDescent="0.3">
      <c r="A14" t="str">
        <v>TN00579</v>
      </c>
      <c r="B14" t="str">
        <v>Rafaelita</v>
      </c>
      <c r="C14" t="str">
        <v>Blaksland</v>
      </c>
      <c r="D14" t="str">
        <v>Female</v>
      </c>
      <c r="E14" t="str">
        <v>Services</v>
      </c>
      <c r="F14">
        <v>109163.39</v>
      </c>
      <c r="G14" t="str">
        <v>Above 100k</v>
      </c>
      <c r="H14" s="43">
        <v>44019</v>
      </c>
      <c r="I14">
        <v>0.8</v>
      </c>
      <c r="J14" t="str">
        <v>Permanent</v>
      </c>
      <c r="K14" t="str">
        <v>Seattle, USA</v>
      </c>
      <c r="L14">
        <v>3.9589041095890409</v>
      </c>
      <c r="M14" t="str">
        <v>Part time</v>
      </c>
    </row>
    <row r="15" spans="1:13" x14ac:dyDescent="0.3">
      <c r="A15" t="str">
        <v>TN01281</v>
      </c>
      <c r="B15" t="str">
        <v>Cletus</v>
      </c>
      <c r="C15" t="str">
        <v>McGarahan</v>
      </c>
      <c r="D15" t="str">
        <v>Female</v>
      </c>
      <c r="E15" t="str">
        <v>Engineering</v>
      </c>
      <c r="F15">
        <v>114425.19</v>
      </c>
      <c r="G15" t="str">
        <v>Above 100k</v>
      </c>
      <c r="H15" s="43">
        <v>43857</v>
      </c>
      <c r="I15">
        <v>1</v>
      </c>
      <c r="J15" t="str">
        <v>Permanent</v>
      </c>
      <c r="K15" t="str">
        <v>Wellington, New Zealand</v>
      </c>
      <c r="L15">
        <v>4.4027397260273968</v>
      </c>
      <c r="M15" t="str">
        <v>Full time</v>
      </c>
    </row>
    <row r="16" spans="1:13" x14ac:dyDescent="0.3">
      <c r="A16" t="str">
        <v>TN04246</v>
      </c>
      <c r="B16" t="str">
        <v>Shaylyn</v>
      </c>
      <c r="C16" t="str">
        <v>Ransbury</v>
      </c>
      <c r="D16" t="str">
        <v>Female</v>
      </c>
      <c r="E16" t="str">
        <v>Support</v>
      </c>
      <c r="F16">
        <v>100371.31</v>
      </c>
      <c r="G16" t="str">
        <v>Above 100k</v>
      </c>
      <c r="H16" s="43">
        <v>44067</v>
      </c>
      <c r="I16">
        <v>0.8</v>
      </c>
      <c r="J16" t="str">
        <v>Fixed Term</v>
      </c>
      <c r="K16" t="str">
        <v>Auckland, New Zealand</v>
      </c>
      <c r="L16">
        <v>3.8273972602739725</v>
      </c>
      <c r="M16" t="str">
        <v>Part time</v>
      </c>
    </row>
    <row r="17" spans="1:13" x14ac:dyDescent="0.3">
      <c r="A17" t="str">
        <v>VT04093</v>
      </c>
      <c r="B17" t="str">
        <v>Prasanna</v>
      </c>
      <c r="C17" t="str">
        <v>Lakshmi</v>
      </c>
      <c r="D17" t="str">
        <v>Female</v>
      </c>
      <c r="E17" t="str">
        <v>Training</v>
      </c>
      <c r="F17">
        <v>116767.63</v>
      </c>
      <c r="G17" t="str">
        <v>Above 100k</v>
      </c>
      <c r="H17" s="43">
        <v>43949</v>
      </c>
      <c r="I17">
        <v>0.4</v>
      </c>
      <c r="J17" t="str">
        <v>Temporary</v>
      </c>
      <c r="K17" t="str">
        <v>Chennai, India</v>
      </c>
      <c r="L17">
        <v>4.1506849315068495</v>
      </c>
      <c r="M17" t="str">
        <v>Part time</v>
      </c>
    </row>
    <row r="18" spans="1:13" x14ac:dyDescent="0.3">
      <c r="A18" t="str">
        <v>VT04093</v>
      </c>
      <c r="B18" t="str">
        <v>Baruna</v>
      </c>
      <c r="C18" t="str">
        <v>Ogale</v>
      </c>
      <c r="D18" t="str">
        <v>Female</v>
      </c>
      <c r="E18" t="str">
        <v>Training</v>
      </c>
      <c r="F18">
        <v>116767.63</v>
      </c>
      <c r="G18" t="str">
        <v>Above 100k</v>
      </c>
      <c r="H18" s="43">
        <v>43949</v>
      </c>
      <c r="I18">
        <v>0.4</v>
      </c>
      <c r="J18" t="str">
        <v>Temporary</v>
      </c>
      <c r="K18" t="str">
        <v>Chennai, India</v>
      </c>
      <c r="L18">
        <v>4.1506849315068495</v>
      </c>
      <c r="M18" t="str">
        <v>Part time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7"/>
  <sheetViews>
    <sheetView workbookViewId="0">
      <selection activeCell="B2" sqref="B2:D2"/>
    </sheetView>
  </sheetViews>
  <sheetFormatPr defaultRowHeight="14.4" x14ac:dyDescent="0.3"/>
  <cols>
    <col min="2" max="2" width="39.77734375" bestFit="1" customWidth="1"/>
    <col min="3" max="3" width="17.88671875" bestFit="1" customWidth="1"/>
    <col min="12" max="12" width="20.88671875" bestFit="1" customWidth="1"/>
    <col min="13" max="13" width="12" bestFit="1" customWidth="1"/>
  </cols>
  <sheetData>
    <row r="1" spans="2:21" ht="20.399999999999999" thickBot="1" x14ac:dyDescent="0.45">
      <c r="B1" s="25" t="s">
        <v>772</v>
      </c>
      <c r="C1" s="25" t="s">
        <v>771</v>
      </c>
      <c r="P1" s="25" t="s">
        <v>776</v>
      </c>
    </row>
    <row r="2" spans="2:21" ht="21" thickTop="1" thickBot="1" x14ac:dyDescent="0.45">
      <c r="B2" s="25" t="s">
        <v>773</v>
      </c>
      <c r="C2" s="25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" thickTop="1" x14ac:dyDescent="0.3">
      <c r="B3" s="28" t="str" cm="1">
        <f t="array" ref="B3:N3">staff[#Headers]</f>
        <v>Emp ID</v>
      </c>
      <c r="C3" s="28" t="str">
        <v>First Name</v>
      </c>
      <c r="D3" s="28" t="str">
        <v>Last Name</v>
      </c>
      <c r="E3" s="28" t="str">
        <v>Gender</v>
      </c>
      <c r="F3" s="28" t="str">
        <v>Department</v>
      </c>
      <c r="G3" s="28" t="str">
        <v>Salary</v>
      </c>
      <c r="H3" s="28" t="str">
        <v>Salary Bucket</v>
      </c>
      <c r="I3" s="28" t="str">
        <v>Start Date</v>
      </c>
      <c r="J3" s="28" t="str">
        <v>FTE</v>
      </c>
      <c r="K3" s="28" t="str">
        <v>Employee type</v>
      </c>
      <c r="L3" s="28" t="str">
        <v>Work location</v>
      </c>
      <c r="M3" s="28" t="str">
        <v>Tenure</v>
      </c>
      <c r="N3" s="28" t="str">
        <v>Work Type</v>
      </c>
      <c r="P3" t="str" cm="1">
        <f t="array" ref="P3:U127">_xlfn.CHOOSECOLS(_xlfn._xlws.FILTER(staff[],staff[Gender]="Female"),1,2,3,4,5,6)</f>
        <v>PR00007</v>
      </c>
      <c r="Q3" t="str">
        <v>Torrance</v>
      </c>
      <c r="R3" t="str">
        <v>Collier</v>
      </c>
      <c r="S3" t="str">
        <v>Female</v>
      </c>
      <c r="T3" t="str">
        <v>Training</v>
      </c>
      <c r="U3">
        <v>96135.75</v>
      </c>
    </row>
    <row r="4" spans="2:21" x14ac:dyDescent="0.3">
      <c r="B4" t="str" cm="1">
        <f t="array" ref="B4:N50">_xlfn._xlws.FILTER(staff[],staff[Salary]&gt;D2)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  <c r="P4" t="str">
        <v>PR00095</v>
      </c>
      <c r="Q4" t="str">
        <v>Devrat</v>
      </c>
      <c r="R4" t="str">
        <v>Damarsingh</v>
      </c>
      <c r="S4" t="str">
        <v>Female</v>
      </c>
      <c r="T4" t="str">
        <v>Business Development</v>
      </c>
      <c r="U4">
        <v>70649.460000000006</v>
      </c>
    </row>
    <row r="5" spans="2:21" x14ac:dyDescent="0.3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  <c r="P5" t="str">
        <v>PR00113</v>
      </c>
      <c r="Q5" t="str">
        <v>Van</v>
      </c>
      <c r="R5" t="str">
        <v>Tuxwell</v>
      </c>
      <c r="S5" t="str">
        <v>Female</v>
      </c>
      <c r="T5" t="str">
        <v>Business Development</v>
      </c>
      <c r="U5">
        <v>80695.740000000005</v>
      </c>
    </row>
    <row r="6" spans="2:21" x14ac:dyDescent="0.3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2:21" x14ac:dyDescent="0.3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  <c r="P7" t="str">
        <v>PR00246</v>
      </c>
      <c r="Q7" t="str">
        <v>Husein</v>
      </c>
      <c r="R7" t="str">
        <v>Augar</v>
      </c>
      <c r="S7" t="str">
        <v>Female</v>
      </c>
      <c r="T7" t="str">
        <v>Marketing</v>
      </c>
      <c r="U7">
        <v>67905.8</v>
      </c>
    </row>
    <row r="8" spans="2:21" x14ac:dyDescent="0.3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  <c r="P8" t="str">
        <v>PR00419</v>
      </c>
      <c r="Q8" t="str">
        <v>Billi</v>
      </c>
      <c r="R8" t="str">
        <v>Fellgate</v>
      </c>
      <c r="S8" t="str">
        <v>Female</v>
      </c>
      <c r="T8" t="str">
        <v>Business Development</v>
      </c>
      <c r="U8">
        <v>68980.52</v>
      </c>
    </row>
    <row r="9" spans="2:21" x14ac:dyDescent="0.3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  <c r="P9" t="str">
        <v>PR00576</v>
      </c>
      <c r="Q9" t="str">
        <v>Lalitchandra</v>
      </c>
      <c r="R9" t="str">
        <v>Vadali</v>
      </c>
      <c r="S9" t="str">
        <v>Female</v>
      </c>
      <c r="T9" t="str">
        <v>Legal</v>
      </c>
      <c r="U9">
        <v>63705.4</v>
      </c>
    </row>
    <row r="10" spans="2:21" x14ac:dyDescent="0.3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  <c r="P10" t="str">
        <v>PR00746</v>
      </c>
      <c r="Q10" t="str">
        <v>Hogan</v>
      </c>
      <c r="R10" t="str">
        <v>Iles</v>
      </c>
      <c r="S10" t="str">
        <v>Female</v>
      </c>
      <c r="T10" t="str">
        <v>Accounting</v>
      </c>
      <c r="U10">
        <v>114177.23</v>
      </c>
    </row>
    <row r="11" spans="2:21" x14ac:dyDescent="0.3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  <c r="P11" t="str">
        <v>PR00916</v>
      </c>
      <c r="Q11" t="str">
        <v>Inger</v>
      </c>
      <c r="R11" t="str">
        <v>Chapelhow</v>
      </c>
      <c r="S11" t="str">
        <v>Female</v>
      </c>
      <c r="T11" t="str">
        <v>Research and Development</v>
      </c>
      <c r="U11">
        <v>84309.95</v>
      </c>
    </row>
    <row r="12" spans="2:21" x14ac:dyDescent="0.3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  <c r="P12" t="str">
        <v>PR01269</v>
      </c>
      <c r="Q12" t="str">
        <v>Eleonore</v>
      </c>
      <c r="R12" t="str">
        <v>Airdrie</v>
      </c>
      <c r="S12" t="str">
        <v>Female</v>
      </c>
      <c r="T12" t="str">
        <v>Engineering</v>
      </c>
      <c r="U12">
        <v>97105.19</v>
      </c>
    </row>
    <row r="13" spans="2:21" x14ac:dyDescent="0.3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  <c r="P13" t="str">
        <v>PR01383</v>
      </c>
      <c r="Q13" t="str">
        <v>Addi</v>
      </c>
      <c r="R13" t="str">
        <v>Studdeard</v>
      </c>
      <c r="S13" t="str">
        <v>Female</v>
      </c>
      <c r="T13" t="str">
        <v>Product Management</v>
      </c>
      <c r="U13">
        <v>72502.61</v>
      </c>
    </row>
    <row r="14" spans="2:21" x14ac:dyDescent="0.3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  <c r="P14" t="str">
        <v>PR01662</v>
      </c>
      <c r="Q14" t="str">
        <v>Genevra</v>
      </c>
      <c r="R14" t="str">
        <v>Friday</v>
      </c>
      <c r="S14" t="str">
        <v>Female</v>
      </c>
      <c r="T14" t="str">
        <v>Research and Development</v>
      </c>
      <c r="U14">
        <v>50449.46</v>
      </c>
    </row>
    <row r="15" spans="2:21" x14ac:dyDescent="0.3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  <c r="P15" t="str">
        <v>PR02016</v>
      </c>
      <c r="Q15" t="str">
        <v>Iris</v>
      </c>
      <c r="R15" t="str">
        <v>Wagg</v>
      </c>
      <c r="S15" t="str">
        <v>Female</v>
      </c>
      <c r="T15" t="str">
        <v>Engineering</v>
      </c>
      <c r="U15">
        <v>58861.19</v>
      </c>
    </row>
    <row r="16" spans="2:21" x14ac:dyDescent="0.3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  <c r="P16" t="str">
        <v>PR02113</v>
      </c>
      <c r="Q16" t="str">
        <v>Beverie</v>
      </c>
      <c r="R16" t="str">
        <v>Moffet</v>
      </c>
      <c r="S16" t="str">
        <v>Female</v>
      </c>
      <c r="T16" t="str">
        <v>Support</v>
      </c>
      <c r="U16">
        <v>75974.990000000005</v>
      </c>
    </row>
    <row r="17" spans="2:21" x14ac:dyDescent="0.3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  <c r="P17" t="str">
        <v>PR02208</v>
      </c>
      <c r="Q17" t="str">
        <v>Gowri</v>
      </c>
      <c r="R17" t="str">
        <v>Sankar</v>
      </c>
      <c r="S17" t="str">
        <v>Female</v>
      </c>
      <c r="T17" t="str">
        <v>Training</v>
      </c>
      <c r="U17">
        <v>102934.09</v>
      </c>
    </row>
    <row r="18" spans="2:21" x14ac:dyDescent="0.3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  <c r="P18" t="str">
        <v>PR02275</v>
      </c>
      <c r="Q18" t="str">
        <v>Louise</v>
      </c>
      <c r="R18" t="str">
        <v>Lamming</v>
      </c>
      <c r="S18" t="str">
        <v>Female</v>
      </c>
      <c r="T18" t="str">
        <v>Sales</v>
      </c>
      <c r="U18">
        <v>41934.71</v>
      </c>
    </row>
    <row r="19" spans="2:21" x14ac:dyDescent="0.3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  <c r="P19" t="str">
        <v>PR02321</v>
      </c>
      <c r="Q19" t="str">
        <v>Evanne</v>
      </c>
      <c r="R19" t="str">
        <v>Sheryn</v>
      </c>
      <c r="S19" t="str">
        <v>Female</v>
      </c>
      <c r="T19" t="str">
        <v>Services</v>
      </c>
      <c r="U19">
        <v>81897.789999999994</v>
      </c>
    </row>
    <row r="20" spans="2:21" x14ac:dyDescent="0.3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  <c r="P20" t="str">
        <v>PR02436</v>
      </c>
      <c r="Q20" t="str">
        <v>Marmaduke</v>
      </c>
      <c r="R20" t="str">
        <v>Worssam</v>
      </c>
      <c r="S20" t="str">
        <v>Female</v>
      </c>
      <c r="T20" t="str">
        <v>Engineering</v>
      </c>
      <c r="U20">
        <v>78378.2</v>
      </c>
    </row>
    <row r="21" spans="2:21" x14ac:dyDescent="0.3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  <c r="P21" t="str">
        <v>PR02603</v>
      </c>
      <c r="Q21" t="str">
        <v>Dinanath</v>
      </c>
      <c r="R21" t="str">
        <v>Simhambhatla</v>
      </c>
      <c r="S21" t="str">
        <v>Female</v>
      </c>
      <c r="T21" t="str">
        <v>Human Resources</v>
      </c>
      <c r="U21">
        <v>61994.76</v>
      </c>
    </row>
    <row r="22" spans="2:21" x14ac:dyDescent="0.3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  <c r="P22" t="str">
        <v>PR02957</v>
      </c>
      <c r="Q22" t="str">
        <v>Vaughn</v>
      </c>
      <c r="R22" t="str">
        <v>Carvill</v>
      </c>
      <c r="S22" t="str">
        <v>Female</v>
      </c>
      <c r="T22" t="str">
        <v>Training</v>
      </c>
      <c r="U22">
        <v>84745.93</v>
      </c>
    </row>
    <row r="23" spans="2:21" x14ac:dyDescent="0.3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  <c r="P23" t="str">
        <v>PR03158</v>
      </c>
      <c r="Q23" t="str">
        <v>Danica</v>
      </c>
      <c r="R23" t="str">
        <v>Nayshe</v>
      </c>
      <c r="S23" t="str">
        <v>Female</v>
      </c>
      <c r="T23" t="str">
        <v>Services</v>
      </c>
      <c r="U23">
        <v>89690.38</v>
      </c>
    </row>
    <row r="24" spans="2:21" x14ac:dyDescent="0.3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  <c r="P24" t="str">
        <v>PR03271</v>
      </c>
      <c r="Q24" t="str">
        <v>Stan</v>
      </c>
      <c r="R24" t="str">
        <v>Tolliday</v>
      </c>
      <c r="S24" t="str">
        <v>Female</v>
      </c>
      <c r="T24" t="str">
        <v>Sales</v>
      </c>
      <c r="U24">
        <v>39535.49</v>
      </c>
    </row>
    <row r="25" spans="2:21" x14ac:dyDescent="0.3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  <c r="P25" t="str">
        <v>PR03844</v>
      </c>
      <c r="Q25" t="str">
        <v>Brose</v>
      </c>
      <c r="R25" t="str">
        <v>MacCorkell</v>
      </c>
      <c r="S25" t="str">
        <v>Female</v>
      </c>
      <c r="T25" t="str">
        <v>Human Resources</v>
      </c>
      <c r="U25">
        <v>35943.620000000003</v>
      </c>
    </row>
    <row r="26" spans="2:21" x14ac:dyDescent="0.3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  <c r="P26" t="str">
        <v>PR04366</v>
      </c>
      <c r="Q26" t="str">
        <v>Carry</v>
      </c>
      <c r="R26" t="str">
        <v>Loblie</v>
      </c>
      <c r="S26" t="str">
        <v>Female</v>
      </c>
      <c r="T26" t="str">
        <v>Sales</v>
      </c>
      <c r="U26">
        <v>47551.89</v>
      </c>
    </row>
    <row r="27" spans="2:21" x14ac:dyDescent="0.3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  <c r="P27" t="str">
        <v>PR04380</v>
      </c>
      <c r="Q27" t="str">
        <v>Van</v>
      </c>
      <c r="R27" t="str">
        <v>Tuxwell</v>
      </c>
      <c r="S27" t="str">
        <v>Female</v>
      </c>
      <c r="T27" t="str">
        <v>Business Development</v>
      </c>
      <c r="U27">
        <v>80695.740000000005</v>
      </c>
    </row>
    <row r="28" spans="2:21" x14ac:dyDescent="0.3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  <c r="P28" t="str">
        <v>PR04446</v>
      </c>
      <c r="Q28" t="str">
        <v>Sameer</v>
      </c>
      <c r="R28" t="str">
        <v>Shashank</v>
      </c>
      <c r="S28" t="str">
        <v>Female</v>
      </c>
      <c r="T28" t="str">
        <v>Research and Development</v>
      </c>
      <c r="U28">
        <v>92336.08</v>
      </c>
    </row>
    <row r="29" spans="2:21" x14ac:dyDescent="0.3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  <c r="P29" t="str">
        <v>PR04473</v>
      </c>
      <c r="Q29" t="str">
        <v>Wyn</v>
      </c>
      <c r="R29" t="str">
        <v>Treadger</v>
      </c>
      <c r="S29" t="str">
        <v>Female</v>
      </c>
      <c r="T29" t="str">
        <v>Business Development</v>
      </c>
      <c r="U29">
        <v>69192.850000000006</v>
      </c>
    </row>
    <row r="30" spans="2:21" x14ac:dyDescent="0.3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  <c r="P30" t="str">
        <v>PR04686</v>
      </c>
      <c r="Q30" t="str">
        <v>Oona</v>
      </c>
      <c r="R30" t="str">
        <v>Donan</v>
      </c>
      <c r="S30" t="str">
        <v>Female</v>
      </c>
      <c r="T30" t="str">
        <v>Business Development</v>
      </c>
      <c r="U30">
        <v>98000</v>
      </c>
    </row>
    <row r="31" spans="2:21" x14ac:dyDescent="0.3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  <c r="P31" t="str">
        <v>PR04851</v>
      </c>
      <c r="Q31" t="str">
        <v>Rodina</v>
      </c>
      <c r="R31" t="str">
        <v>Drinan</v>
      </c>
      <c r="S31" t="str">
        <v>Female</v>
      </c>
      <c r="T31" t="str">
        <v>Sales</v>
      </c>
      <c r="U31">
        <v>77045.440000000002</v>
      </c>
    </row>
    <row r="32" spans="2:21" x14ac:dyDescent="0.3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  <c r="P32" t="str">
        <v>SQ00105</v>
      </c>
      <c r="Q32" t="str">
        <v>Sarayu</v>
      </c>
      <c r="R32" t="str">
        <v>Ragunathan</v>
      </c>
      <c r="S32" t="str">
        <v>Female</v>
      </c>
      <c r="T32" t="str">
        <v>Training</v>
      </c>
      <c r="U32">
        <v>86010.54</v>
      </c>
    </row>
    <row r="33" spans="2:21" x14ac:dyDescent="0.3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  <c r="P33" t="str">
        <v>SQ00187</v>
      </c>
      <c r="Q33" t="str">
        <v>Rupak</v>
      </c>
      <c r="R33" t="str">
        <v>Mehra</v>
      </c>
      <c r="S33" t="str">
        <v>Female</v>
      </c>
      <c r="T33" t="str">
        <v>Services</v>
      </c>
      <c r="U33">
        <v>71229.42</v>
      </c>
    </row>
    <row r="34" spans="2:21" x14ac:dyDescent="0.3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  <c r="P34" t="str">
        <v>SQ00286</v>
      </c>
      <c r="Q34" t="str">
        <v>Ilesh</v>
      </c>
      <c r="R34" t="str">
        <v>Dasgupta</v>
      </c>
      <c r="S34" t="str">
        <v>Female</v>
      </c>
      <c r="T34" t="str">
        <v>Legal</v>
      </c>
      <c r="U34">
        <v>61213.01</v>
      </c>
    </row>
    <row r="35" spans="2:21" x14ac:dyDescent="0.3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  <c r="P35" t="str">
        <v>SQ00450</v>
      </c>
      <c r="Q35" t="str">
        <v>Louise</v>
      </c>
      <c r="R35" t="str">
        <v>Lamming</v>
      </c>
      <c r="S35" t="str">
        <v>Female</v>
      </c>
      <c r="T35" t="str">
        <v>Sales</v>
      </c>
      <c r="U35">
        <v>41934.71</v>
      </c>
    </row>
    <row r="36" spans="2:21" x14ac:dyDescent="0.3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  <c r="P36" t="str">
        <v>SQ00498</v>
      </c>
      <c r="Q36" t="str">
        <v>Amery</v>
      </c>
      <c r="R36" t="str">
        <v>Ofer</v>
      </c>
      <c r="S36" t="str">
        <v>Female</v>
      </c>
      <c r="T36" t="str">
        <v>Legal</v>
      </c>
      <c r="U36">
        <v>111049.84</v>
      </c>
    </row>
    <row r="37" spans="2:21" x14ac:dyDescent="0.3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>
        <v>89690.38</v>
      </c>
    </row>
    <row r="38" spans="2:21" x14ac:dyDescent="0.3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  <c r="P38" t="str">
        <v>SQ00914</v>
      </c>
      <c r="Q38" t="str">
        <v>Duran</v>
      </c>
      <c r="R38" t="str">
        <v>Appala</v>
      </c>
      <c r="S38" t="str">
        <v>Female</v>
      </c>
      <c r="T38" t="str">
        <v>Product Management</v>
      </c>
      <c r="U38">
        <v>38438.239999999998</v>
      </c>
    </row>
    <row r="39" spans="2:21" x14ac:dyDescent="0.3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  <c r="P39" t="str">
        <v>SQ00914</v>
      </c>
      <c r="Q39" t="str">
        <v>Karuna</v>
      </c>
      <c r="R39" t="str">
        <v>Pashupathy</v>
      </c>
      <c r="S39" t="str">
        <v>Female</v>
      </c>
      <c r="T39" t="str">
        <v>Product Management</v>
      </c>
      <c r="U39">
        <v>38438.239999999998</v>
      </c>
    </row>
    <row r="40" spans="2:21" x14ac:dyDescent="0.3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  <c r="P40" t="str">
        <v>SQ00960</v>
      </c>
      <c r="Q40" t="str">
        <v>Calvin</v>
      </c>
      <c r="R40" t="str">
        <v>O'Carroll</v>
      </c>
      <c r="S40" t="str">
        <v>Female</v>
      </c>
      <c r="T40" t="str">
        <v>Research and Development</v>
      </c>
      <c r="U40">
        <v>44447.26</v>
      </c>
    </row>
    <row r="41" spans="2:21" x14ac:dyDescent="0.3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  <c r="P41" t="str">
        <v>SQ01283</v>
      </c>
      <c r="Q41" t="str">
        <v>Barr</v>
      </c>
      <c r="R41" t="str">
        <v>Faughny</v>
      </c>
      <c r="S41" t="str">
        <v>Female</v>
      </c>
      <c r="T41" t="str">
        <v>Marketing</v>
      </c>
      <c r="U41">
        <v>68008.55</v>
      </c>
    </row>
    <row r="42" spans="2:21" x14ac:dyDescent="0.3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  <c r="P42" t="str">
        <v>SQ01402</v>
      </c>
      <c r="Q42" t="str">
        <v>Sahaj</v>
      </c>
      <c r="R42" t="str">
        <v>Jonnalagadda</v>
      </c>
      <c r="S42" t="str">
        <v>Female</v>
      </c>
      <c r="T42" t="str">
        <v>Engineering</v>
      </c>
      <c r="U42">
        <v>44403.77</v>
      </c>
    </row>
    <row r="43" spans="2:21" x14ac:dyDescent="0.3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  <c r="P43" t="str">
        <v>SQ01730</v>
      </c>
      <c r="Q43" t="str">
        <v>Austine</v>
      </c>
      <c r="R43" t="str">
        <v>Littlewood</v>
      </c>
      <c r="S43" t="str">
        <v>Female</v>
      </c>
      <c r="T43" t="str">
        <v>Services</v>
      </c>
      <c r="U43">
        <v>32269.91</v>
      </c>
    </row>
    <row r="44" spans="2:21" x14ac:dyDescent="0.3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  <c r="P44" t="str">
        <v>SQ01854</v>
      </c>
      <c r="Q44" t="str">
        <v>Jessica</v>
      </c>
      <c r="R44" t="str">
        <v>Callcott</v>
      </c>
      <c r="S44" t="str">
        <v>Female</v>
      </c>
      <c r="T44" t="str">
        <v>Marketing</v>
      </c>
      <c r="U44">
        <v>66017.179999999993</v>
      </c>
    </row>
    <row r="45" spans="2:21" x14ac:dyDescent="0.3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  <c r="P45" t="str">
        <v>SQ02174</v>
      </c>
      <c r="Q45" t="str">
        <v>Sidoney</v>
      </c>
      <c r="R45" t="str">
        <v>Yitzhok</v>
      </c>
      <c r="S45" t="str">
        <v>Female</v>
      </c>
      <c r="T45" t="str">
        <v>Engineering</v>
      </c>
      <c r="U45">
        <v>118442.54</v>
      </c>
    </row>
    <row r="46" spans="2:21" x14ac:dyDescent="0.3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  <c r="P46" t="str">
        <v>SQ02223</v>
      </c>
      <c r="Q46" t="str">
        <v>Pippy</v>
      </c>
      <c r="R46" t="str">
        <v>Shepperd</v>
      </c>
      <c r="S46" t="str">
        <v>Female</v>
      </c>
      <c r="T46" t="str">
        <v>Accounting</v>
      </c>
      <c r="U46">
        <v>44845.33</v>
      </c>
    </row>
    <row r="47" spans="2:21" x14ac:dyDescent="0.3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  <c r="P47" t="str">
        <v>SQ02465</v>
      </c>
      <c r="Q47" t="str">
        <v>Bernie</v>
      </c>
      <c r="R47" t="str">
        <v>Gorges</v>
      </c>
      <c r="S47" t="str">
        <v>Female</v>
      </c>
      <c r="T47" t="str">
        <v>Training</v>
      </c>
      <c r="U47">
        <v>99965.97</v>
      </c>
    </row>
    <row r="48" spans="2:21" x14ac:dyDescent="0.3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  <c r="P48" t="str">
        <v>SQ02565</v>
      </c>
      <c r="Q48" t="str">
        <v>Konstantin</v>
      </c>
      <c r="R48" t="str">
        <v>Timblett</v>
      </c>
      <c r="S48" t="str">
        <v>Female</v>
      </c>
      <c r="T48" t="str">
        <v>Training</v>
      </c>
      <c r="U48">
        <v>56253.81</v>
      </c>
    </row>
    <row r="49" spans="2:21" x14ac:dyDescent="0.3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  <c r="P49" t="str">
        <v>SQ02582</v>
      </c>
      <c r="Q49" t="str">
        <v>Kaishori</v>
      </c>
      <c r="R49" t="str">
        <v>Harathi</v>
      </c>
      <c r="S49" t="str">
        <v>Female</v>
      </c>
      <c r="T49" t="str">
        <v>Product Management</v>
      </c>
      <c r="U49">
        <v>51798.25</v>
      </c>
    </row>
    <row r="50" spans="2:21" x14ac:dyDescent="0.3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  <c r="P50" t="str">
        <v>SQ02624</v>
      </c>
      <c r="Q50" t="str">
        <v>Gwenneth</v>
      </c>
      <c r="R50" t="str">
        <v>Fealey</v>
      </c>
      <c r="S50" t="str">
        <v>Female</v>
      </c>
      <c r="T50" t="str">
        <v>Engineering</v>
      </c>
      <c r="U50">
        <v>114772.32</v>
      </c>
    </row>
    <row r="51" spans="2:21" ht="20.399999999999999" thickBot="1" x14ac:dyDescent="0.45">
      <c r="B51" s="25"/>
      <c r="P51" t="str">
        <v>SQ02643</v>
      </c>
      <c r="Q51" t="str">
        <v>Indu</v>
      </c>
      <c r="R51" t="str">
        <v>Varada</v>
      </c>
      <c r="S51" t="str">
        <v>Female</v>
      </c>
      <c r="T51" t="str">
        <v>Engineering</v>
      </c>
      <c r="U51">
        <v>88425.08</v>
      </c>
    </row>
    <row r="52" spans="2:21" ht="15" thickTop="1" x14ac:dyDescent="0.3">
      <c r="P52" t="str">
        <v>SQ02703</v>
      </c>
      <c r="Q52" t="str">
        <v>Deepit</v>
      </c>
      <c r="R52" t="str">
        <v>Ranjana</v>
      </c>
      <c r="S52" t="str">
        <v>Female</v>
      </c>
      <c r="T52" t="str">
        <v>Marketing</v>
      </c>
      <c r="U52">
        <v>104903.79</v>
      </c>
    </row>
    <row r="53" spans="2:21" x14ac:dyDescent="0.3">
      <c r="P53" t="str">
        <v>SQ03024</v>
      </c>
      <c r="Q53" t="str">
        <v>Inge</v>
      </c>
      <c r="R53" t="str">
        <v>Creer</v>
      </c>
      <c r="S53" t="str">
        <v>Female</v>
      </c>
      <c r="T53" t="str">
        <v>Services</v>
      </c>
      <c r="U53">
        <v>69057.320000000007</v>
      </c>
    </row>
    <row r="54" spans="2:21" x14ac:dyDescent="0.3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2:21" x14ac:dyDescent="0.3">
      <c r="P55" t="str">
        <v>SQ03321</v>
      </c>
      <c r="Q55" t="str">
        <v>Gradey</v>
      </c>
      <c r="R55" t="str">
        <v>Litton</v>
      </c>
      <c r="S55" t="str">
        <v>Female</v>
      </c>
      <c r="T55" t="str">
        <v>Accounting</v>
      </c>
      <c r="U55">
        <v>68887.839999999997</v>
      </c>
    </row>
    <row r="56" spans="2:21" x14ac:dyDescent="0.3">
      <c r="P56" t="str">
        <v>SQ03350</v>
      </c>
      <c r="Q56" t="str">
        <v>Felice</v>
      </c>
      <c r="R56" t="str">
        <v>McMurty</v>
      </c>
      <c r="S56" t="str">
        <v>Female</v>
      </c>
      <c r="T56" t="str">
        <v>Product Management</v>
      </c>
      <c r="U56">
        <v>66865.490000000005</v>
      </c>
    </row>
    <row r="57" spans="2:21" x14ac:dyDescent="0.3">
      <c r="B57" s="28" t="s">
        <v>822</v>
      </c>
      <c r="C57" s="28" t="s">
        <v>814</v>
      </c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2:21" x14ac:dyDescent="0.3">
      <c r="B58" t="s">
        <v>823</v>
      </c>
      <c r="C58" t="str">
        <f ca="1">_xlfn.FORMULATEXT(B3)</f>
        <v>=staff[#Headers]</v>
      </c>
      <c r="P58" t="str">
        <v>SQ03387</v>
      </c>
      <c r="Q58" t="str">
        <v>Robinia</v>
      </c>
      <c r="R58" t="str">
        <v>Scholling</v>
      </c>
      <c r="S58" t="str">
        <v>Female</v>
      </c>
      <c r="T58" t="str">
        <v>Human Resources</v>
      </c>
      <c r="U58">
        <v>100731.95</v>
      </c>
    </row>
    <row r="59" spans="2:21" x14ac:dyDescent="0.3">
      <c r="B59" t="s">
        <v>824</v>
      </c>
      <c r="C59" t="str">
        <f ca="1">_xlfn.FORMULATEXT(B4)</f>
        <v>=FILTER(staff,staff[Salary]&gt;D2)</v>
      </c>
      <c r="P59" t="str">
        <v>SQ03491</v>
      </c>
      <c r="Q59" t="str">
        <v>Freda</v>
      </c>
      <c r="R59" t="str">
        <v>Legan</v>
      </c>
      <c r="S59" t="str">
        <v>Female</v>
      </c>
      <c r="T59" t="str">
        <v>Sales</v>
      </c>
      <c r="U59">
        <v>102129.37</v>
      </c>
    </row>
    <row r="60" spans="2:21" x14ac:dyDescent="0.3">
      <c r="B60" t="s">
        <v>825</v>
      </c>
      <c r="C60" t="s">
        <v>827</v>
      </c>
      <c r="P60" t="str">
        <v>SQ03546</v>
      </c>
      <c r="Q60" t="str">
        <v>Amlankusum</v>
      </c>
      <c r="R60" t="str">
        <v>Rajabhushan</v>
      </c>
      <c r="S60" t="str">
        <v>Female</v>
      </c>
      <c r="T60" t="str">
        <v>Legal</v>
      </c>
      <c r="U60">
        <v>75733.740000000005</v>
      </c>
    </row>
    <row r="61" spans="2:21" x14ac:dyDescent="0.3">
      <c r="B61" t="s">
        <v>826</v>
      </c>
      <c r="C61" t="str">
        <f ca="1">_xlfn.FORMULATEXT(P3)</f>
        <v>=CHOOSECOLS(FILTER(staff,staff[Gender]="Female"),1,2,3,4,5,6)</v>
      </c>
      <c r="P61" t="str">
        <v>SQ03625</v>
      </c>
      <c r="Q61" t="str">
        <v>Fidela</v>
      </c>
      <c r="R61" t="str">
        <v>Artis</v>
      </c>
      <c r="S61" t="str">
        <v>Female</v>
      </c>
      <c r="T61" t="str">
        <v>Sales</v>
      </c>
      <c r="U61">
        <v>78020.39</v>
      </c>
    </row>
    <row r="62" spans="2:21" x14ac:dyDescent="0.3">
      <c r="P62" t="str">
        <v>SQ03626</v>
      </c>
      <c r="Q62" t="str">
        <v>Krishnakanta</v>
      </c>
      <c r="R62" t="str">
        <v>Vellanki</v>
      </c>
      <c r="S62" t="str">
        <v>Female</v>
      </c>
      <c r="T62" t="str">
        <v>Training</v>
      </c>
      <c r="U62">
        <v>95677.9</v>
      </c>
    </row>
    <row r="63" spans="2:21" x14ac:dyDescent="0.3">
      <c r="P63" t="str">
        <v>SQ04437</v>
      </c>
      <c r="Q63" t="str">
        <v>Hephzibah</v>
      </c>
      <c r="R63" t="str">
        <v>Summerell</v>
      </c>
      <c r="S63" t="str">
        <v>Female</v>
      </c>
      <c r="T63" t="str">
        <v>Services</v>
      </c>
      <c r="U63">
        <v>28305.08</v>
      </c>
    </row>
    <row r="64" spans="2:21" x14ac:dyDescent="0.3">
      <c r="P64" t="str">
        <v>SQ04612</v>
      </c>
      <c r="Q64" t="str">
        <v>Mick</v>
      </c>
      <c r="R64" t="str">
        <v>Spraberry</v>
      </c>
      <c r="S64" t="str">
        <v>Female</v>
      </c>
      <c r="T64" t="str">
        <v>Services</v>
      </c>
      <c r="U64">
        <v>120000</v>
      </c>
    </row>
    <row r="65" spans="16:21" x14ac:dyDescent="0.3">
      <c r="P65" t="str">
        <v>SQ04613</v>
      </c>
      <c r="Q65" t="str">
        <v>Sarojini</v>
      </c>
      <c r="R65" t="str">
        <v>Naueshwara</v>
      </c>
      <c r="S65" t="str">
        <v>Female</v>
      </c>
      <c r="T65" t="str">
        <v>Human Resources</v>
      </c>
      <c r="U65">
        <v>85264.38</v>
      </c>
    </row>
    <row r="66" spans="16:21" x14ac:dyDescent="0.3">
      <c r="P66" t="str">
        <v>SQ04960</v>
      </c>
      <c r="Q66" t="str">
        <v>Shubhra</v>
      </c>
      <c r="R66" t="str">
        <v>Potla</v>
      </c>
      <c r="S66" t="str">
        <v>Female</v>
      </c>
      <c r="T66" t="str">
        <v>Support</v>
      </c>
      <c r="U66">
        <v>71924.850000000006</v>
      </c>
    </row>
    <row r="67" spans="16:21" x14ac:dyDescent="0.3">
      <c r="P67" t="str">
        <v>TN00083</v>
      </c>
      <c r="Q67" t="str">
        <v>Chandana</v>
      </c>
      <c r="R67" t="str">
        <v>Sannidhi</v>
      </c>
      <c r="S67" t="str">
        <v>Female</v>
      </c>
      <c r="T67" t="str">
        <v>Business Development</v>
      </c>
      <c r="U67">
        <v>61688.77</v>
      </c>
    </row>
    <row r="68" spans="16:21" x14ac:dyDescent="0.3">
      <c r="P68" t="str">
        <v>TN00182</v>
      </c>
      <c r="Q68" t="str">
        <v>Camilla</v>
      </c>
      <c r="R68" t="str">
        <v>Castle</v>
      </c>
      <c r="S68" t="str">
        <v>Female</v>
      </c>
      <c r="T68" t="str">
        <v>Product Management</v>
      </c>
      <c r="U68">
        <v>75475.929999999993</v>
      </c>
    </row>
    <row r="69" spans="16:21" x14ac:dyDescent="0.3">
      <c r="P69" t="str">
        <v>TN00214</v>
      </c>
      <c r="Q69" t="str">
        <v>Devsena</v>
      </c>
      <c r="R69" t="str">
        <v>Veluvalapalli</v>
      </c>
      <c r="S69" t="str">
        <v>Female</v>
      </c>
      <c r="T69" t="str">
        <v>Training</v>
      </c>
      <c r="U69">
        <v>37902.35</v>
      </c>
    </row>
    <row r="70" spans="16:21" x14ac:dyDescent="0.3">
      <c r="P70" t="str">
        <v>TN00214</v>
      </c>
      <c r="Q70" t="str">
        <v>Hemavati</v>
      </c>
      <c r="R70" t="str">
        <v>Muthiah</v>
      </c>
      <c r="S70" t="str">
        <v>Female</v>
      </c>
      <c r="T70" t="str">
        <v>Training</v>
      </c>
      <c r="U70">
        <v>37902.35</v>
      </c>
    </row>
    <row r="71" spans="16:21" x14ac:dyDescent="0.3">
      <c r="P71" t="str">
        <v>TN00227</v>
      </c>
      <c r="Q71" t="str">
        <v>Raghuveer</v>
      </c>
      <c r="R71" t="str">
        <v>Yettugunna</v>
      </c>
      <c r="S71" t="str">
        <v>Female</v>
      </c>
      <c r="T71" t="str">
        <v>Support</v>
      </c>
      <c r="U71">
        <v>63555.73</v>
      </c>
    </row>
    <row r="72" spans="16:21" x14ac:dyDescent="0.3">
      <c r="P72" t="str">
        <v>TN00258</v>
      </c>
      <c r="Q72" t="str">
        <v>Joyce</v>
      </c>
      <c r="R72" t="str">
        <v>Leyband</v>
      </c>
      <c r="S72" t="str">
        <v>Female</v>
      </c>
      <c r="T72" t="str">
        <v>Product Management</v>
      </c>
      <c r="U72">
        <v>68197.899999999994</v>
      </c>
    </row>
    <row r="73" spans="16:21" x14ac:dyDescent="0.3">
      <c r="P73" t="str">
        <v>TN00328</v>
      </c>
      <c r="Q73" t="str">
        <v>Jeannie</v>
      </c>
      <c r="R73" t="str">
        <v>Petracco</v>
      </c>
      <c r="S73" t="str">
        <v>Female</v>
      </c>
      <c r="T73" t="str">
        <v>Engineering</v>
      </c>
      <c r="U73">
        <v>94815.28</v>
      </c>
    </row>
    <row r="74" spans="16:21" x14ac:dyDescent="0.3">
      <c r="P74" t="str">
        <v>TN00579</v>
      </c>
      <c r="Q74" t="str">
        <v>Rafaelita</v>
      </c>
      <c r="R74" t="str">
        <v>Blaksland</v>
      </c>
      <c r="S74" t="str">
        <v>Female</v>
      </c>
      <c r="T74" t="str">
        <v>Services</v>
      </c>
      <c r="U74">
        <v>109163.39</v>
      </c>
    </row>
    <row r="75" spans="16:21" x14ac:dyDescent="0.3">
      <c r="P75" t="str">
        <v>TN00698</v>
      </c>
      <c r="Q75" t="str">
        <v>Barbara-anne</v>
      </c>
      <c r="R75" t="str">
        <v>Kenchington</v>
      </c>
      <c r="S75" t="str">
        <v>Female</v>
      </c>
      <c r="T75" t="str">
        <v>Support</v>
      </c>
      <c r="U75">
        <v>88034.67</v>
      </c>
    </row>
    <row r="76" spans="16:21" x14ac:dyDescent="0.3">
      <c r="P76" t="str">
        <v>TN00727</v>
      </c>
      <c r="Q76" t="str">
        <v>Dulsea</v>
      </c>
      <c r="R76" t="str">
        <v>Folkes</v>
      </c>
      <c r="S76" t="str">
        <v>Female</v>
      </c>
      <c r="T76" t="str">
        <v>Services</v>
      </c>
      <c r="U76">
        <v>42161.77</v>
      </c>
    </row>
    <row r="77" spans="16:21" x14ac:dyDescent="0.3">
      <c r="P77" t="str">
        <v>TN00890</v>
      </c>
      <c r="Q77" t="str">
        <v>Mayur</v>
      </c>
      <c r="R77" t="str">
        <v>Kousika</v>
      </c>
      <c r="S77" t="str">
        <v>Female</v>
      </c>
      <c r="T77" t="str">
        <v>Training</v>
      </c>
      <c r="U77">
        <v>71570.990000000005</v>
      </c>
    </row>
    <row r="78" spans="16:21" x14ac:dyDescent="0.3">
      <c r="P78" t="str">
        <v>TN01281</v>
      </c>
      <c r="Q78" t="str">
        <v>Cletus</v>
      </c>
      <c r="R78" t="str">
        <v>McGarahan</v>
      </c>
      <c r="S78" t="str">
        <v>Female</v>
      </c>
      <c r="T78" t="str">
        <v>Engineering</v>
      </c>
      <c r="U78">
        <v>114425.19</v>
      </c>
    </row>
    <row r="79" spans="16:21" x14ac:dyDescent="0.3">
      <c r="P79" t="str">
        <v>TN01601</v>
      </c>
      <c r="Q79" t="str">
        <v>Melva</v>
      </c>
      <c r="R79" t="str">
        <v>Jickells</v>
      </c>
      <c r="S79" t="str">
        <v>Female</v>
      </c>
      <c r="T79" t="str">
        <v>Product Management</v>
      </c>
      <c r="U79">
        <v>68795.48</v>
      </c>
    </row>
    <row r="80" spans="16:21" x14ac:dyDescent="0.3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3">
      <c r="P81" t="str">
        <v>TN02570</v>
      </c>
      <c r="Q81" t="str">
        <v>Grady</v>
      </c>
      <c r="R81" t="str">
        <v>Rochelle</v>
      </c>
      <c r="S81" t="str">
        <v>Female</v>
      </c>
      <c r="T81" t="str">
        <v>Accounting</v>
      </c>
      <c r="U81">
        <v>69163.39</v>
      </c>
    </row>
    <row r="82" spans="16:21" x14ac:dyDescent="0.3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3">
      <c r="P83" t="str">
        <v>TN02727</v>
      </c>
      <c r="Q83" t="str">
        <v>Wald</v>
      </c>
      <c r="R83" t="str">
        <v>Bountiff</v>
      </c>
      <c r="S83" t="str">
        <v>Female</v>
      </c>
      <c r="T83" t="str">
        <v>Support</v>
      </c>
      <c r="U83">
        <v>28974.03</v>
      </c>
    </row>
    <row r="84" spans="16:21" x14ac:dyDescent="0.3">
      <c r="P84" t="str">
        <v>TN02749</v>
      </c>
      <c r="Q84" t="str">
        <v>Parasuramudu</v>
      </c>
      <c r="R84" t="str">
        <v>Jamakayala</v>
      </c>
      <c r="S84" t="str">
        <v>Female</v>
      </c>
      <c r="T84" t="str">
        <v>Training</v>
      </c>
      <c r="U84">
        <v>57002.02</v>
      </c>
    </row>
    <row r="85" spans="16:21" x14ac:dyDescent="0.3">
      <c r="P85" t="str">
        <v>TN02798</v>
      </c>
      <c r="Q85" t="str">
        <v>Krittika</v>
      </c>
      <c r="R85" t="str">
        <v>Gaekwad</v>
      </c>
      <c r="S85" t="str">
        <v>Female</v>
      </c>
      <c r="T85" t="str">
        <v>Business Development</v>
      </c>
      <c r="U85">
        <v>33031.26</v>
      </c>
    </row>
    <row r="86" spans="16:21" x14ac:dyDescent="0.3">
      <c r="P86" t="str">
        <v>TN02883</v>
      </c>
      <c r="Q86" t="str">
        <v>John</v>
      </c>
      <c r="R86" t="str">
        <v>Joseph</v>
      </c>
      <c r="S86" t="str">
        <v>Female</v>
      </c>
      <c r="T86" t="str">
        <v>Sales</v>
      </c>
      <c r="U86">
        <v>84762.76</v>
      </c>
    </row>
    <row r="87" spans="16:21" x14ac:dyDescent="0.3">
      <c r="P87" t="str">
        <v>TN03032</v>
      </c>
      <c r="Q87" t="str">
        <v>Jaipal</v>
      </c>
      <c r="R87" t="str">
        <v>Potanapudi</v>
      </c>
      <c r="S87" t="str">
        <v>Female</v>
      </c>
      <c r="T87" t="str">
        <v>Research and Development</v>
      </c>
      <c r="U87">
        <v>39700.82</v>
      </c>
    </row>
    <row r="88" spans="16:21" x14ac:dyDescent="0.3">
      <c r="P88" t="str">
        <v>TN03032</v>
      </c>
      <c r="Q88" t="str">
        <v>Fullara</v>
      </c>
      <c r="R88" t="str">
        <v>Sushanti</v>
      </c>
      <c r="S88" t="str">
        <v>Female</v>
      </c>
      <c r="T88" t="str">
        <v>Research and Development</v>
      </c>
      <c r="U88">
        <v>39700.82</v>
      </c>
    </row>
    <row r="89" spans="16:21" x14ac:dyDescent="0.3">
      <c r="P89" t="str">
        <v>TN03169</v>
      </c>
      <c r="Q89" t="str">
        <v>Doe</v>
      </c>
      <c r="R89" t="str">
        <v>Clubley</v>
      </c>
      <c r="S89" t="str">
        <v>Female</v>
      </c>
      <c r="T89" t="str">
        <v>Product Management</v>
      </c>
      <c r="U89">
        <v>67818.14</v>
      </c>
    </row>
    <row r="90" spans="16:21" x14ac:dyDescent="0.3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3">
      <c r="P91" t="str">
        <v>TN03575</v>
      </c>
      <c r="Q91" t="str">
        <v>Janina</v>
      </c>
      <c r="R91" t="str">
        <v>Wolverson</v>
      </c>
      <c r="S91" t="str">
        <v>Female</v>
      </c>
      <c r="T91" t="str">
        <v>Research and Development</v>
      </c>
      <c r="U91">
        <v>99683.67</v>
      </c>
    </row>
    <row r="92" spans="16:21" x14ac:dyDescent="0.3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3">
      <c r="P93" t="str">
        <v>TN04067</v>
      </c>
      <c r="Q93" t="str">
        <v>Lea</v>
      </c>
      <c r="R93" t="str">
        <v>Chaplin</v>
      </c>
      <c r="S93" t="str">
        <v>Female</v>
      </c>
      <c r="T93" t="str">
        <v>Human Resources</v>
      </c>
      <c r="U93">
        <v>73488.679999999993</v>
      </c>
    </row>
    <row r="94" spans="16:21" x14ac:dyDescent="0.3">
      <c r="P94" t="str">
        <v>TN04166</v>
      </c>
      <c r="Q94" t="str">
        <v>Tadio</v>
      </c>
      <c r="R94" t="str">
        <v>Dowdle</v>
      </c>
      <c r="S94" t="str">
        <v>Female</v>
      </c>
      <c r="T94" t="str">
        <v>Product Management</v>
      </c>
      <c r="U94">
        <v>91929.69</v>
      </c>
    </row>
    <row r="95" spans="16:21" x14ac:dyDescent="0.3">
      <c r="P95" t="str">
        <v>TN04175</v>
      </c>
      <c r="Q95" t="str">
        <v>Hinda</v>
      </c>
      <c r="R95" t="str">
        <v>Label</v>
      </c>
      <c r="S95" t="str">
        <v>Female</v>
      </c>
      <c r="T95" t="str">
        <v>Human Resources</v>
      </c>
      <c r="U95">
        <v>92704.48</v>
      </c>
    </row>
    <row r="96" spans="16:21" x14ac:dyDescent="0.3">
      <c r="P96" t="str">
        <v>TN04246</v>
      </c>
      <c r="Q96" t="str">
        <v>Shaylyn</v>
      </c>
      <c r="R96" t="str">
        <v>Ransbury</v>
      </c>
      <c r="S96" t="str">
        <v>Female</v>
      </c>
      <c r="T96" t="str">
        <v>Support</v>
      </c>
      <c r="U96">
        <v>100371.31</v>
      </c>
    </row>
    <row r="97" spans="16:21" x14ac:dyDescent="0.3">
      <c r="P97" t="str">
        <v>TN04265</v>
      </c>
      <c r="Q97" t="str">
        <v>Rushil</v>
      </c>
      <c r="R97" t="str">
        <v>Kripa</v>
      </c>
      <c r="S97" t="str">
        <v>Female</v>
      </c>
      <c r="T97" t="str">
        <v>Training</v>
      </c>
      <c r="U97">
        <v>93964.3</v>
      </c>
    </row>
    <row r="98" spans="16:21" x14ac:dyDescent="0.3">
      <c r="P98" t="str">
        <v>TN04740</v>
      </c>
      <c r="Q98" t="str">
        <v>Tristam</v>
      </c>
      <c r="R98" t="str">
        <v>Cuming</v>
      </c>
      <c r="S98" t="str">
        <v>Female</v>
      </c>
      <c r="T98" t="str">
        <v>Support</v>
      </c>
      <c r="U98">
        <v>104038.9</v>
      </c>
    </row>
    <row r="99" spans="16:21" x14ac:dyDescent="0.3">
      <c r="P99" t="str">
        <v>TN04775</v>
      </c>
      <c r="Q99" t="str">
        <v>Hridaynath</v>
      </c>
      <c r="R99" t="str">
        <v>Tendulkar</v>
      </c>
      <c r="S99" t="str">
        <v>Female</v>
      </c>
      <c r="T99" t="str">
        <v>Legal</v>
      </c>
      <c r="U99">
        <v>31089.22</v>
      </c>
    </row>
    <row r="100" spans="16:21" x14ac:dyDescent="0.3">
      <c r="P100" t="str">
        <v>VT00194</v>
      </c>
      <c r="Q100" t="str">
        <v>Violante</v>
      </c>
      <c r="R100" t="str">
        <v>Courtonne</v>
      </c>
      <c r="S100" t="str">
        <v>Female</v>
      </c>
      <c r="T100" t="str">
        <v>Product Management</v>
      </c>
      <c r="U100">
        <v>49625.64</v>
      </c>
    </row>
    <row r="101" spans="16:21" x14ac:dyDescent="0.3">
      <c r="P101" t="str">
        <v>VT00578</v>
      </c>
      <c r="Q101" t="str">
        <v>Magnum</v>
      </c>
      <c r="R101" t="str">
        <v>Locksley</v>
      </c>
      <c r="S101" t="str">
        <v>Female</v>
      </c>
      <c r="T101" t="str">
        <v>Services</v>
      </c>
      <c r="U101">
        <v>42314.39</v>
      </c>
    </row>
    <row r="102" spans="16:21" x14ac:dyDescent="0.3">
      <c r="P102" t="str">
        <v>VT00596</v>
      </c>
      <c r="Q102" t="str">
        <v>Letisha</v>
      </c>
      <c r="R102" t="str">
        <v>Carrett</v>
      </c>
      <c r="S102" t="str">
        <v>Female</v>
      </c>
      <c r="T102" t="str">
        <v>Sales</v>
      </c>
      <c r="U102">
        <v>84598.88</v>
      </c>
    </row>
    <row r="103" spans="16:21" x14ac:dyDescent="0.3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3">
      <c r="P104" t="str">
        <v>VT00740</v>
      </c>
      <c r="Q104" t="str">
        <v>Chitrasen</v>
      </c>
      <c r="R104" t="str">
        <v>Laul</v>
      </c>
      <c r="S104" t="str">
        <v>Female</v>
      </c>
      <c r="T104" t="str">
        <v>Research and Development</v>
      </c>
      <c r="U104">
        <v>46751.7</v>
      </c>
    </row>
    <row r="105" spans="16:21" x14ac:dyDescent="0.3">
      <c r="P105" t="str">
        <v>VT01249</v>
      </c>
      <c r="Q105" t="str">
        <v>Brendan</v>
      </c>
      <c r="R105" t="str">
        <v>Edgeller</v>
      </c>
      <c r="S105" t="str">
        <v>Female</v>
      </c>
      <c r="T105" t="str">
        <v>Legal</v>
      </c>
      <c r="U105">
        <v>31042.51</v>
      </c>
    </row>
    <row r="106" spans="16:21" x14ac:dyDescent="0.3">
      <c r="P106" t="str">
        <v>VT01323</v>
      </c>
      <c r="Q106" t="str">
        <v>Mardav</v>
      </c>
      <c r="R106" t="str">
        <v>Ramaswami</v>
      </c>
      <c r="S106" t="str">
        <v>Female</v>
      </c>
      <c r="T106" t="str">
        <v>Business Development</v>
      </c>
      <c r="U106">
        <v>86233.83</v>
      </c>
    </row>
    <row r="107" spans="16:21" x14ac:dyDescent="0.3">
      <c r="P107" t="str">
        <v>VT01523</v>
      </c>
      <c r="Q107" t="str">
        <v>Charmane</v>
      </c>
      <c r="R107" t="str">
        <v>Heistermann</v>
      </c>
      <c r="S107" t="str">
        <v>Female</v>
      </c>
      <c r="T107" t="str">
        <v>Business Development</v>
      </c>
      <c r="U107">
        <v>86558.58</v>
      </c>
    </row>
    <row r="108" spans="16:21" x14ac:dyDescent="0.3">
      <c r="P108" t="str">
        <v>VT01610</v>
      </c>
      <c r="Q108" t="str">
        <v>Dhruv</v>
      </c>
      <c r="R108" t="str">
        <v>Manjunath</v>
      </c>
      <c r="S108" t="str">
        <v>Female</v>
      </c>
      <c r="T108" t="str">
        <v>Accounting</v>
      </c>
      <c r="U108">
        <v>76303.820000000007</v>
      </c>
    </row>
    <row r="109" spans="16:21" x14ac:dyDescent="0.3">
      <c r="P109" t="str">
        <v>VT01610</v>
      </c>
      <c r="Q109" t="str">
        <v>Kunja</v>
      </c>
      <c r="R109" t="str">
        <v>Prashanta</v>
      </c>
      <c r="S109" t="str">
        <v>Female</v>
      </c>
      <c r="T109" t="str">
        <v>Accounting</v>
      </c>
      <c r="U109">
        <v>76303.820000000007</v>
      </c>
    </row>
    <row r="110" spans="16:21" x14ac:dyDescent="0.3">
      <c r="P110" t="str">
        <v>VT01684</v>
      </c>
      <c r="Q110" t="str">
        <v>Audry</v>
      </c>
      <c r="R110" t="str">
        <v>Yu</v>
      </c>
      <c r="S110" t="str">
        <v>Female</v>
      </c>
      <c r="T110" t="str">
        <v>Training</v>
      </c>
      <c r="U110">
        <v>101187.36</v>
      </c>
    </row>
    <row r="111" spans="16:21" x14ac:dyDescent="0.3">
      <c r="P111" t="str">
        <v>VT01740</v>
      </c>
      <c r="Q111" t="str">
        <v>Ginger</v>
      </c>
      <c r="R111" t="str">
        <v>Myott</v>
      </c>
      <c r="S111" t="str">
        <v>Female</v>
      </c>
      <c r="T111" t="str">
        <v>Services</v>
      </c>
      <c r="U111">
        <v>31172.77</v>
      </c>
    </row>
    <row r="112" spans="16:21" x14ac:dyDescent="0.3">
      <c r="P112" t="str">
        <v>VT01803</v>
      </c>
      <c r="Q112" t="str">
        <v>Freddy</v>
      </c>
      <c r="R112" t="str">
        <v>Linford</v>
      </c>
      <c r="S112" t="str">
        <v>Female</v>
      </c>
      <c r="T112" t="str">
        <v>Training</v>
      </c>
      <c r="U112">
        <v>93128.34</v>
      </c>
    </row>
    <row r="113" spans="16:21" x14ac:dyDescent="0.3">
      <c r="P113" t="str">
        <v>VT02118</v>
      </c>
      <c r="Q113" t="str">
        <v>Oorjit</v>
      </c>
      <c r="R113" t="str">
        <v>Nandanavanam</v>
      </c>
      <c r="S113" t="str">
        <v>Female</v>
      </c>
      <c r="T113" t="str">
        <v>Engineering</v>
      </c>
      <c r="U113">
        <v>51165.37</v>
      </c>
    </row>
    <row r="114" spans="16:21" x14ac:dyDescent="0.3">
      <c r="P114" t="str">
        <v>VT02260</v>
      </c>
      <c r="Q114" t="str">
        <v>Rhiamon</v>
      </c>
      <c r="R114" t="str">
        <v>Mollison</v>
      </c>
      <c r="S114" t="str">
        <v>Female</v>
      </c>
      <c r="T114" t="str">
        <v>Research and Development</v>
      </c>
      <c r="U114">
        <v>59434.18</v>
      </c>
    </row>
    <row r="115" spans="16:21" x14ac:dyDescent="0.3">
      <c r="P115" t="str">
        <v>VT02319</v>
      </c>
      <c r="Q115" t="str">
        <v>Tarala</v>
      </c>
      <c r="R115" t="str">
        <v>Vishaal</v>
      </c>
      <c r="S115" t="str">
        <v>Female</v>
      </c>
      <c r="T115" t="str">
        <v>Research and Development</v>
      </c>
      <c r="U115">
        <v>96555.53</v>
      </c>
    </row>
    <row r="116" spans="16:21" x14ac:dyDescent="0.3">
      <c r="P116" t="str">
        <v>VT02374</v>
      </c>
      <c r="Q116" t="str">
        <v>Delphine</v>
      </c>
      <c r="R116" t="str">
        <v>Jewis</v>
      </c>
      <c r="S116" t="str">
        <v>Female</v>
      </c>
      <c r="T116" t="str">
        <v>Accounting</v>
      </c>
      <c r="U116">
        <v>71823.56</v>
      </c>
    </row>
    <row r="117" spans="16:21" x14ac:dyDescent="0.3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3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>
        <v>32496.880000000001</v>
      </c>
    </row>
    <row r="119" spans="16:21" x14ac:dyDescent="0.3">
      <c r="P119" t="str">
        <v>VT03701</v>
      </c>
      <c r="Q119" t="str">
        <v>Narois</v>
      </c>
      <c r="R119" t="str">
        <v>Motiwala</v>
      </c>
      <c r="S119" t="str">
        <v>Female</v>
      </c>
      <c r="T119" t="str">
        <v>Product Management</v>
      </c>
      <c r="U119">
        <v>89829.33</v>
      </c>
    </row>
    <row r="120" spans="16:21" x14ac:dyDescent="0.3">
      <c r="P120" t="str">
        <v>VT03988</v>
      </c>
      <c r="Q120" t="str">
        <v>Venkat</v>
      </c>
      <c r="R120" t="str">
        <v>Kodi</v>
      </c>
      <c r="S120" t="str">
        <v>Female</v>
      </c>
      <c r="T120" t="str">
        <v>Support</v>
      </c>
      <c r="U120">
        <v>58935.92</v>
      </c>
    </row>
    <row r="121" spans="16:21" x14ac:dyDescent="0.3">
      <c r="P121" t="str">
        <v>VT04093</v>
      </c>
      <c r="Q121" t="str">
        <v>Prasanna</v>
      </c>
      <c r="R121" t="str">
        <v>Lakshmi</v>
      </c>
      <c r="S121" t="str">
        <v>Female</v>
      </c>
      <c r="T121" t="str">
        <v>Training</v>
      </c>
      <c r="U121">
        <v>116767.63</v>
      </c>
    </row>
    <row r="122" spans="16:21" x14ac:dyDescent="0.3">
      <c r="P122" t="str">
        <v>VT04093</v>
      </c>
      <c r="Q122" t="str">
        <v>Baruna</v>
      </c>
      <c r="R122" t="str">
        <v>Ogale</v>
      </c>
      <c r="S122" t="str">
        <v>Female</v>
      </c>
      <c r="T122" t="str">
        <v>Training</v>
      </c>
      <c r="U122">
        <v>116767.63</v>
      </c>
    </row>
    <row r="123" spans="16:21" x14ac:dyDescent="0.3">
      <c r="P123" t="str">
        <v>VT04415</v>
      </c>
      <c r="Q123" t="str">
        <v>Malory</v>
      </c>
      <c r="R123" t="str">
        <v>Biles</v>
      </c>
      <c r="S123" t="str">
        <v>Female</v>
      </c>
      <c r="T123" t="str">
        <v>Training</v>
      </c>
      <c r="U123">
        <v>58744.17</v>
      </c>
    </row>
    <row r="124" spans="16:21" x14ac:dyDescent="0.3">
      <c r="P124" t="str">
        <v>VT04467</v>
      </c>
      <c r="Q124" t="str">
        <v>Amal</v>
      </c>
      <c r="R124" t="str">
        <v>Nimesh</v>
      </c>
      <c r="S124" t="str">
        <v>Female</v>
      </c>
      <c r="T124" t="str">
        <v>Marketing</v>
      </c>
      <c r="U124">
        <v>70755.5</v>
      </c>
    </row>
    <row r="125" spans="16:21" x14ac:dyDescent="0.3">
      <c r="P125" t="str">
        <v>VT04552</v>
      </c>
      <c r="Q125" t="str">
        <v>Theresita</v>
      </c>
      <c r="R125" t="str">
        <v>Chasmer</v>
      </c>
      <c r="S125" t="str">
        <v>Female</v>
      </c>
      <c r="T125" t="str">
        <v>Product Management</v>
      </c>
      <c r="U125">
        <v>106665.67</v>
      </c>
    </row>
    <row r="126" spans="16:21" x14ac:dyDescent="0.3">
      <c r="P126" t="str">
        <v>VT04681</v>
      </c>
      <c r="Q126" t="str">
        <v>Nickolai</v>
      </c>
      <c r="R126" t="str">
        <v>Artin</v>
      </c>
      <c r="S126" t="str">
        <v>Female</v>
      </c>
      <c r="T126" t="str">
        <v>Product Management</v>
      </c>
      <c r="U126">
        <v>110906.35</v>
      </c>
    </row>
    <row r="127" spans="16:21" x14ac:dyDescent="0.3">
      <c r="P127" t="str">
        <v>VT04905</v>
      </c>
      <c r="Q127" t="str">
        <v>Suchira</v>
      </c>
      <c r="R127" t="str">
        <v>Bhanupriya</v>
      </c>
      <c r="S127" t="str">
        <v>Female</v>
      </c>
      <c r="T127" t="str">
        <v>Human Resources</v>
      </c>
      <c r="U127">
        <v>29808.07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I26"/>
  <sheetViews>
    <sheetView workbookViewId="0">
      <selection activeCell="F12" sqref="F12"/>
    </sheetView>
  </sheetViews>
  <sheetFormatPr defaultRowHeight="14.4" x14ac:dyDescent="0.3"/>
  <cols>
    <col min="1" max="1" width="23.21875" bestFit="1" customWidth="1"/>
    <col min="2" max="2" width="14.33203125" bestFit="1" customWidth="1"/>
    <col min="3" max="3" width="14.5546875" bestFit="1" customWidth="1"/>
    <col min="4" max="4" width="27.88671875" bestFit="1" customWidth="1"/>
    <col min="5" max="5" width="28" bestFit="1" customWidth="1"/>
    <col min="6" max="6" width="18.21875" bestFit="1" customWidth="1"/>
  </cols>
  <sheetData>
    <row r="3" spans="1:9" ht="20.399999999999999" thickBot="1" x14ac:dyDescent="0.45">
      <c r="A3" s="39" t="s">
        <v>28</v>
      </c>
      <c r="B3" s="25" t="s">
        <v>763</v>
      </c>
      <c r="C3" s="25" t="s">
        <v>764</v>
      </c>
      <c r="D3" s="25" t="s">
        <v>766</v>
      </c>
      <c r="E3" s="25" t="s">
        <v>821</v>
      </c>
      <c r="F3" s="27" t="s">
        <v>770</v>
      </c>
    </row>
    <row r="4" spans="1:9" ht="15" thickTop="1" x14ac:dyDescent="0.3">
      <c r="A4" s="41" t="s">
        <v>118</v>
      </c>
      <c r="B4">
        <f>COUNTIF(staff[Department],A4)</f>
        <v>29</v>
      </c>
      <c r="C4" s="26">
        <f>SUMIF(staff[Department],A4,staff[Salary])</f>
        <v>2180192.8699999992</v>
      </c>
      <c r="D4">
        <f>COUNTIFS(staff[Department],A4,staff[Employee type],"Permanent")</f>
        <v>19</v>
      </c>
      <c r="E4" s="26">
        <f>SUMIFS(staff[Salary],staff[Department],A4,staff[Employee type],"Permanent")</f>
        <v>1292089.0299999996</v>
      </c>
      <c r="F4" s="26">
        <f>AVERAGEIF(staff[Department],A4,staff[Salary])</f>
        <v>75179.064482758593</v>
      </c>
    </row>
    <row r="5" spans="1:9" x14ac:dyDescent="0.3">
      <c r="A5" s="40" t="s">
        <v>60</v>
      </c>
      <c r="B5">
        <f>COUNTIF(staff[Department],A5)</f>
        <v>26</v>
      </c>
      <c r="C5" s="26">
        <f>SUMIF(staff[Department],A5,staff[Salary])</f>
        <v>2131387.4899999998</v>
      </c>
      <c r="D5">
        <f>COUNTIFS(staff[Department],A5,staff[Employee type],"Permanent")</f>
        <v>16</v>
      </c>
      <c r="E5" s="26">
        <f>SUMIFS(staff[Salary],staff[Department],A5,staff[Employee type],"Permanent")</f>
        <v>1523066.2699999998</v>
      </c>
      <c r="F5" s="26">
        <f>AVERAGEIF(staff[Department],A5,staff[Salary])</f>
        <v>81976.441923076913</v>
      </c>
      <c r="I5" t="s">
        <v>812</v>
      </c>
    </row>
    <row r="6" spans="1:9" x14ac:dyDescent="0.3">
      <c r="A6" s="41" t="s">
        <v>49</v>
      </c>
      <c r="B6">
        <f>COUNTIF(staff[Department],A6)</f>
        <v>26</v>
      </c>
      <c r="C6" s="26">
        <f>SUMIF(staff[Department],A6,staff[Salary])</f>
        <v>2074326.9500000002</v>
      </c>
      <c r="D6">
        <f>COUNTIFS(staff[Department],A6,staff[Employee type],"Permanent")</f>
        <v>18</v>
      </c>
      <c r="E6" s="26">
        <f>SUMIFS(staff[Salary],staff[Department],A6,staff[Employee type],"Permanent")</f>
        <v>1432465.4</v>
      </c>
      <c r="F6" s="26">
        <f>AVERAGEIF(staff[Department],A6,staff[Salary])</f>
        <v>79781.805769230778</v>
      </c>
      <c r="I6" t="s">
        <v>813</v>
      </c>
    </row>
    <row r="7" spans="1:9" x14ac:dyDescent="0.3">
      <c r="A7" s="40" t="s">
        <v>41</v>
      </c>
      <c r="B7">
        <f>COUNTIF(staff[Department],A7)</f>
        <v>24</v>
      </c>
      <c r="C7" s="26">
        <f>SUMIF(staff[Department],A7,staff[Salary])</f>
        <v>2013215.1600000001</v>
      </c>
      <c r="D7">
        <f>COUNTIFS(staff[Department],A7,staff[Employee type],"Permanent")</f>
        <v>11</v>
      </c>
      <c r="E7" s="26">
        <f>SUMIFS(staff[Salary],staff[Department],A7,staff[Employee type],"Permanent")</f>
        <v>826101.70000000007</v>
      </c>
      <c r="F7" s="26">
        <f>AVERAGEIF(staff[Department],A7,staff[Salary])</f>
        <v>83883.965000000011</v>
      </c>
      <c r="I7" t="s">
        <v>820</v>
      </c>
    </row>
    <row r="8" spans="1:9" x14ac:dyDescent="0.3">
      <c r="A8" s="40" t="s">
        <v>77</v>
      </c>
      <c r="B8">
        <f>COUNTIF(staff[Department],A8)</f>
        <v>26</v>
      </c>
      <c r="C8" s="26">
        <f>SUMIF(staff[Department],A8,staff[Salary])</f>
        <v>1814980.59</v>
      </c>
      <c r="D8">
        <f>COUNTIFS(staff[Department],A8,staff[Employee type],"Permanent")</f>
        <v>18</v>
      </c>
      <c r="E8" s="26">
        <f>SUMIFS(staff[Salary],staff[Department],A8,staff[Employee type],"Permanent")</f>
        <v>1267719.1999999997</v>
      </c>
      <c r="F8" s="26">
        <f>AVERAGEIF(staff[Department],A8,staff[Salary])</f>
        <v>69806.945769230777</v>
      </c>
      <c r="I8" t="s">
        <v>819</v>
      </c>
    </row>
    <row r="9" spans="1:9" x14ac:dyDescent="0.3">
      <c r="A9" s="41" t="s">
        <v>88</v>
      </c>
      <c r="B9">
        <f>COUNTIF(staff[Department],A9)</f>
        <v>22</v>
      </c>
      <c r="C9" s="26">
        <f>SUMIF(staff[Department],A9,staff[Salary])</f>
        <v>1608406.3100000003</v>
      </c>
      <c r="D9">
        <f>COUNTIFS(staff[Department],A9,staff[Employee type],"Permanent")</f>
        <v>13</v>
      </c>
      <c r="E9" s="26">
        <f>SUMIFS(staff[Salary],staff[Department],A9,staff[Employee type],"Permanent")</f>
        <v>915344.31</v>
      </c>
      <c r="F9" s="26">
        <f>AVERAGEIF(staff[Department],A9,staff[Salary])</f>
        <v>73109.377727272746</v>
      </c>
    </row>
    <row r="10" spans="1:9" x14ac:dyDescent="0.3">
      <c r="A10" s="41" t="s">
        <v>111</v>
      </c>
      <c r="B10">
        <f>COUNTIF(staff[Department],A10)</f>
        <v>21</v>
      </c>
      <c r="C10" s="26">
        <f>SUMIF(staff[Department],A10,staff[Salary])</f>
        <v>1568153.47</v>
      </c>
      <c r="D10">
        <f>COUNTIFS(staff[Department],A10,staff[Employee type],"Permanent")</f>
        <v>16</v>
      </c>
      <c r="E10" s="26">
        <f>SUMIFS(staff[Salary],staff[Department],A10,staff[Employee type],"Permanent")</f>
        <v>1223388.3800000001</v>
      </c>
      <c r="F10" s="26">
        <f>AVERAGEIF(staff[Department],A10,staff[Salary])</f>
        <v>74673.974761904756</v>
      </c>
    </row>
    <row r="11" spans="1:9" x14ac:dyDescent="0.3">
      <c r="A11" s="41" t="s">
        <v>73</v>
      </c>
      <c r="B11">
        <f>COUNTIF(staff[Department],A11)</f>
        <v>21</v>
      </c>
      <c r="C11" s="26">
        <f>SUMIF(staff[Department],A11,staff[Salary])</f>
        <v>1412092.87</v>
      </c>
      <c r="D11">
        <f>COUNTIFS(staff[Department],A11,staff[Employee type],"Permanent")</f>
        <v>13</v>
      </c>
      <c r="E11" s="26">
        <f>SUMIFS(staff[Salary],staff[Department],A11,staff[Employee type],"Permanent")</f>
        <v>925197.68000000017</v>
      </c>
      <c r="F11" s="26">
        <f>AVERAGEIF(staff[Department],A11,staff[Salary])</f>
        <v>67242.51761904762</v>
      </c>
    </row>
    <row r="12" spans="1:9" x14ac:dyDescent="0.3">
      <c r="A12" s="40" t="s">
        <v>150</v>
      </c>
      <c r="B12">
        <f>COUNTIF(staff[Department],A12)</f>
        <v>18</v>
      </c>
      <c r="C12" s="26">
        <f>SUMIF(staff[Department],A12,staff[Salary])</f>
        <v>1294147.72</v>
      </c>
      <c r="D12">
        <f>COUNTIFS(staff[Department],A12,staff[Employee type],"Permanent")</f>
        <v>13</v>
      </c>
      <c r="E12" s="26">
        <f>SUMIFS(staff[Salary],staff[Department],A12,staff[Employee type],"Permanent")</f>
        <v>869670.34000000008</v>
      </c>
      <c r="F12" s="26">
        <f>AVERAGEIF(staff[Department],A12,staff[Salary])</f>
        <v>71897.095555555556</v>
      </c>
    </row>
    <row r="13" spans="1:9" x14ac:dyDescent="0.3">
      <c r="A13" s="40" t="s">
        <v>92</v>
      </c>
      <c r="B13">
        <f>COUNTIF(staff[Department],A13)</f>
        <v>18</v>
      </c>
      <c r="C13" s="26">
        <f>SUMIF(staff[Department],A13,staff[Salary])</f>
        <v>1204393.78</v>
      </c>
      <c r="D13">
        <f>COUNTIFS(staff[Department],A13,staff[Employee type],"Permanent")</f>
        <v>11</v>
      </c>
      <c r="E13" s="26">
        <f>SUMIFS(staff[Salary],staff[Department],A13,staff[Employee type],"Permanent")</f>
        <v>695418.30999999994</v>
      </c>
      <c r="F13" s="26">
        <f>AVERAGEIF(staff[Department],A13,staff[Salary])</f>
        <v>66910.765555555554</v>
      </c>
    </row>
    <row r="14" spans="1:9" x14ac:dyDescent="0.3">
      <c r="A14" s="41" t="s">
        <v>140</v>
      </c>
      <c r="B14">
        <f>COUNTIF(staff[Department],A14)</f>
        <v>17</v>
      </c>
      <c r="C14" s="26">
        <f>SUMIF(staff[Department],A14,staff[Salary])</f>
        <v>1129351.75</v>
      </c>
      <c r="D14">
        <f>COUNTIFS(staff[Department],A14,staff[Employee type],"Permanent")</f>
        <v>11</v>
      </c>
      <c r="E14" s="26">
        <f>SUMIFS(staff[Salary],staff[Department],A14,staff[Employee type],"Permanent")</f>
        <v>672712.15999999992</v>
      </c>
      <c r="F14" s="26">
        <f>AVERAGEIF(staff[Department],A14,staff[Salary])</f>
        <v>66432.455882352937</v>
      </c>
    </row>
    <row r="15" spans="1:9" x14ac:dyDescent="0.3">
      <c r="A15" s="41" t="s">
        <v>66</v>
      </c>
      <c r="B15">
        <f>COUNTIF(staff[Department],A15)</f>
        <v>12</v>
      </c>
      <c r="C15" s="26">
        <f>SUMIF(staff[Department],A15,staff[Salary])</f>
        <v>773295.6</v>
      </c>
      <c r="D15">
        <f>COUNTIFS(staff[Department],A15,staff[Employee type],"Permanent")</f>
        <v>9</v>
      </c>
      <c r="E15" s="26">
        <f>SUMIFS(staff[Salary],staff[Department],A15,staff[Employee type],"Permanent")</f>
        <v>617187.91</v>
      </c>
      <c r="F15" s="26">
        <f>AVERAGEIF(staff[Department],A15,staff[Salary])</f>
        <v>64441.299999999996</v>
      </c>
    </row>
    <row r="17" spans="1:2" x14ac:dyDescent="0.3">
      <c r="A17" t="s">
        <v>811</v>
      </c>
    </row>
    <row r="21" spans="1:2" x14ac:dyDescent="0.3">
      <c r="A21" s="28" t="s">
        <v>818</v>
      </c>
      <c r="B21" s="28" t="s">
        <v>814</v>
      </c>
    </row>
    <row r="22" spans="1:2" x14ac:dyDescent="0.3">
      <c r="A22" s="28" t="s">
        <v>805</v>
      </c>
      <c r="B22" t="str">
        <f ca="1">_xlfn.FORMULATEXT(B15)</f>
        <v>=COUNTIF(staff[Department],A15)</v>
      </c>
    </row>
    <row r="23" spans="1:2" x14ac:dyDescent="0.3">
      <c r="A23" s="28" t="s">
        <v>764</v>
      </c>
      <c r="B23" t="str">
        <f ca="1">_xlfn.FORMULATEXT(C4)</f>
        <v>=SUMIF(staff[Department],A4,staff[Salary])</v>
      </c>
    </row>
    <row r="24" spans="1:2" x14ac:dyDescent="0.3">
      <c r="A24" s="28" t="s">
        <v>815</v>
      </c>
      <c r="B24" t="str">
        <f ca="1">_xlfn.FORMULATEXT(D4)</f>
        <v>=COUNTIFS(staff[Department],A4,staff[Employee type],"Permanent")</v>
      </c>
    </row>
    <row r="25" spans="1:2" x14ac:dyDescent="0.3">
      <c r="A25" s="28" t="s">
        <v>816</v>
      </c>
      <c r="B25" t="str">
        <f ca="1">_xlfn.FORMULATEXT(E4)</f>
        <v>=SUMIFS(staff[Salary],staff[Department],A4,staff[Employee type],"Permanent")</v>
      </c>
    </row>
    <row r="26" spans="1:2" x14ac:dyDescent="0.3">
      <c r="A26" s="28" t="s">
        <v>817</v>
      </c>
      <c r="B26" t="str">
        <f ca="1">_xlfn.FORMULATEXT(F4)</f>
        <v>=AVERAGEIF(staff[Department],A4,staff[Salary])</v>
      </c>
    </row>
  </sheetData>
  <autoFilter ref="A3:F3" xr:uid="{D315D8E3-BDFF-4D29-8E4E-4528C7B53938}">
    <sortState xmlns:xlrd2="http://schemas.microsoft.com/office/spreadsheetml/2017/richdata2" ref="A4:F15">
      <sortCondition descending="1" ref="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Concept</vt:lpstr>
      <vt:lpstr>Data</vt:lpstr>
      <vt:lpstr>14 &amp; 15</vt:lpstr>
      <vt:lpstr>13</vt:lpstr>
      <vt:lpstr>12</vt:lpstr>
      <vt:lpstr>11</vt:lpstr>
      <vt:lpstr>10</vt:lpstr>
      <vt:lpstr>9</vt:lpstr>
      <vt:lpstr>8&amp;9</vt:lpstr>
      <vt:lpstr>6&amp;7</vt:lpstr>
      <vt:lpstr>5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Sudan Sapkota</cp:lastModifiedBy>
  <dcterms:created xsi:type="dcterms:W3CDTF">2025-02-21T23:23:06Z</dcterms:created>
  <dcterms:modified xsi:type="dcterms:W3CDTF">2025-04-06T09:45:02Z</dcterms:modified>
</cp:coreProperties>
</file>