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tor\Downloads\Supporting documentation\"/>
    </mc:Choice>
  </mc:AlternateContent>
  <xr:revisionPtr revIDLastSave="0" documentId="13_ncr:1_{05A8398D-36E3-4CCA-9EAB-0A328335C8E8}" xr6:coauthVersionLast="47" xr6:coauthVersionMax="47" xr10:uidLastSave="{00000000-0000-0000-0000-000000000000}"/>
  <bookViews>
    <workbookView xWindow="-120" yWindow="-120" windowWidth="29040" windowHeight="15720" xr2:uid="{ED567969-DDB7-48C7-A0D3-0D6B7FA16D94}"/>
  </bookViews>
  <sheets>
    <sheet name="Valuation mod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3" l="1"/>
  <c r="D79" i="3"/>
  <c r="E79" i="3"/>
  <c r="F79" i="3"/>
  <c r="C71" i="3"/>
  <c r="D71" i="3"/>
  <c r="E71" i="3"/>
  <c r="F71" i="3"/>
  <c r="B71" i="3"/>
  <c r="B50" i="3"/>
  <c r="C50" i="3"/>
  <c r="D50" i="3"/>
  <c r="E50" i="3"/>
  <c r="F50" i="3"/>
  <c r="B46" i="3"/>
  <c r="C46" i="3"/>
  <c r="D46" i="3"/>
  <c r="E46" i="3"/>
  <c r="F46" i="3"/>
  <c r="B47" i="3"/>
  <c r="C47" i="3"/>
  <c r="D47" i="3"/>
  <c r="E47" i="3"/>
  <c r="F47" i="3"/>
  <c r="B98" i="3"/>
  <c r="B61" i="3"/>
  <c r="C61" i="3"/>
  <c r="D61" i="3"/>
  <c r="E61" i="3"/>
  <c r="F61" i="3"/>
  <c r="B43" i="3"/>
  <c r="C43" i="3"/>
  <c r="D43" i="3"/>
  <c r="E43" i="3"/>
  <c r="F43" i="3"/>
  <c r="B14" i="3"/>
  <c r="C14" i="3"/>
  <c r="D14" i="3"/>
  <c r="E14" i="3"/>
  <c r="F14" i="3"/>
  <c r="B59" i="3"/>
  <c r="C59" i="3"/>
  <c r="C26" i="3" s="1"/>
  <c r="C16" i="3" s="1"/>
  <c r="D59" i="3"/>
  <c r="D26" i="3" s="1"/>
  <c r="D16" i="3" s="1"/>
  <c r="E59" i="3"/>
  <c r="E15" i="3" s="1"/>
  <c r="F59" i="3"/>
  <c r="F15" i="3" s="1"/>
  <c r="G1" i="3"/>
  <c r="H1" i="3" s="1"/>
  <c r="I1" i="3" s="1"/>
  <c r="J1" i="3" s="1"/>
  <c r="K1" i="3" s="1"/>
  <c r="D15" i="3" l="1"/>
  <c r="C15" i="3"/>
  <c r="F26" i="3"/>
  <c r="F16" i="3" s="1"/>
  <c r="B15" i="3"/>
  <c r="E26" i="3"/>
  <c r="E16" i="3" s="1"/>
  <c r="B20" i="3"/>
  <c r="C20" i="3"/>
  <c r="D20" i="3"/>
  <c r="E20" i="3"/>
  <c r="F20" i="3"/>
  <c r="C83" i="3"/>
  <c r="D83" i="3"/>
  <c r="E83" i="3"/>
  <c r="F83" i="3"/>
  <c r="C84" i="3"/>
  <c r="D84" i="3"/>
  <c r="E84" i="3"/>
  <c r="F84" i="3"/>
  <c r="C85" i="3"/>
  <c r="D85" i="3"/>
  <c r="E85" i="3"/>
  <c r="F85" i="3"/>
  <c r="B79" i="3"/>
  <c r="B81" i="3" s="1"/>
  <c r="C78" i="3" s="1"/>
  <c r="B62" i="3"/>
  <c r="C62" i="3"/>
  <c r="D62" i="3"/>
  <c r="E62" i="3"/>
  <c r="F62" i="3"/>
  <c r="B63" i="3"/>
  <c r="C63" i="3"/>
  <c r="D63" i="3"/>
  <c r="E63" i="3"/>
  <c r="F63" i="3"/>
  <c r="F4" i="3"/>
  <c r="E4" i="3"/>
  <c r="D4" i="3"/>
  <c r="C4" i="3"/>
  <c r="E65" i="3"/>
  <c r="F65" i="3"/>
  <c r="G58" i="3" l="1"/>
  <c r="G79" i="3" s="1"/>
  <c r="D86" i="3"/>
  <c r="D88" i="3" s="1"/>
  <c r="G18" i="3"/>
  <c r="E86" i="3"/>
  <c r="E88" i="3" s="1"/>
  <c r="G61" i="3" l="1"/>
  <c r="G22" i="3"/>
  <c r="G83" i="3" s="1"/>
  <c r="D37" i="3"/>
  <c r="E37" i="3"/>
  <c r="H58" i="3"/>
  <c r="H79" i="3" s="1"/>
  <c r="G59" i="3"/>
  <c r="G63" i="3"/>
  <c r="G62" i="3"/>
  <c r="C86" i="3"/>
  <c r="C88" i="3" s="1"/>
  <c r="H18" i="3"/>
  <c r="H61" i="3" l="1"/>
  <c r="G24" i="3"/>
  <c r="G23" i="3"/>
  <c r="G26" i="3" s="1"/>
  <c r="C37" i="3"/>
  <c r="H62" i="3"/>
  <c r="H63" i="3"/>
  <c r="I58" i="3"/>
  <c r="I79" i="3" s="1"/>
  <c r="H59" i="3"/>
  <c r="H22" i="3"/>
  <c r="H83" i="3" s="1"/>
  <c r="I61" i="3" l="1"/>
  <c r="H24" i="3"/>
  <c r="H23" i="3"/>
  <c r="H26" i="3" s="1"/>
  <c r="I22" i="3"/>
  <c r="I83" i="3" s="1"/>
  <c r="I63" i="3"/>
  <c r="I62" i="3"/>
  <c r="I59" i="3"/>
  <c r="J58" i="3"/>
  <c r="J79" i="3" s="1"/>
  <c r="I18" i="3"/>
  <c r="J61" i="3" l="1"/>
  <c r="I24" i="3"/>
  <c r="I23" i="3"/>
  <c r="I26" i="3" s="1"/>
  <c r="J62" i="3"/>
  <c r="K58" i="3"/>
  <c r="K79" i="3" s="1"/>
  <c r="J59" i="3"/>
  <c r="J63" i="3"/>
  <c r="J22" i="3"/>
  <c r="J83" i="3" s="1"/>
  <c r="C60" i="3"/>
  <c r="C64" i="3" s="1"/>
  <c r="J18" i="3"/>
  <c r="K61" i="3" l="1"/>
  <c r="J24" i="3"/>
  <c r="J23" i="3"/>
  <c r="J26" i="3" s="1"/>
  <c r="K22" i="3"/>
  <c r="K83" i="3" s="1"/>
  <c r="K63" i="3"/>
  <c r="K62" i="3"/>
  <c r="K59" i="3"/>
  <c r="C73" i="3"/>
  <c r="B60" i="3"/>
  <c r="B64" i="3" s="1"/>
  <c r="K18" i="3"/>
  <c r="K24" i="3" l="1"/>
  <c r="K23" i="3"/>
  <c r="K26" i="3" s="1"/>
  <c r="B73" i="3"/>
  <c r="C67" i="3"/>
  <c r="C74" i="3"/>
  <c r="C68" i="3" l="1"/>
  <c r="C69" i="3" s="1"/>
  <c r="C18" i="3"/>
  <c r="B74" i="3"/>
  <c r="B67" i="3"/>
  <c r="D60" i="3"/>
  <c r="D64" i="3" s="1"/>
  <c r="E60" i="3"/>
  <c r="E64" i="3" s="1"/>
  <c r="C70" i="3" l="1"/>
  <c r="C51" i="3"/>
  <c r="B68" i="3"/>
  <c r="B69" i="3" s="1"/>
  <c r="D73" i="3"/>
  <c r="E73" i="3"/>
  <c r="B70" i="3" l="1"/>
  <c r="B51" i="3"/>
  <c r="C75" i="3"/>
  <c r="C48" i="3" s="1"/>
  <c r="C54" i="3" s="1"/>
  <c r="C53" i="3"/>
  <c r="E74" i="3"/>
  <c r="E67" i="3"/>
  <c r="D74" i="3"/>
  <c r="D67" i="3"/>
  <c r="F60" i="3"/>
  <c r="F64" i="3" s="1"/>
  <c r="F86" i="3"/>
  <c r="F88" i="3" s="1"/>
  <c r="B75" i="3" l="1"/>
  <c r="B48" i="3" s="1"/>
  <c r="B54" i="3" s="1"/>
  <c r="B53" i="3"/>
  <c r="D68" i="3"/>
  <c r="D75" i="3" s="1"/>
  <c r="D48" i="3" s="1"/>
  <c r="D54" i="3" s="1"/>
  <c r="E68" i="3"/>
  <c r="F37" i="3"/>
  <c r="F73" i="3"/>
  <c r="D18" i="3"/>
  <c r="E18" i="3"/>
  <c r="D69" i="3" l="1"/>
  <c r="E75" i="3"/>
  <c r="E48" i="3" s="1"/>
  <c r="E54" i="3" s="1"/>
  <c r="E69" i="3"/>
  <c r="F74" i="3"/>
  <c r="F67" i="3"/>
  <c r="G60" i="3"/>
  <c r="G64" i="3" s="1"/>
  <c r="E70" i="3" l="1"/>
  <c r="E51" i="3"/>
  <c r="E53" i="3" s="1"/>
  <c r="D70" i="3"/>
  <c r="D51" i="3"/>
  <c r="D53" i="3" s="1"/>
  <c r="F68" i="3"/>
  <c r="F75" i="3" s="1"/>
  <c r="F48" i="3" s="1"/>
  <c r="F54" i="3" s="1"/>
  <c r="F18" i="3"/>
  <c r="G73" i="3"/>
  <c r="G74" i="3"/>
  <c r="H60" i="3"/>
  <c r="H64" i="3" s="1"/>
  <c r="F69" i="3" l="1"/>
  <c r="H73" i="3"/>
  <c r="H74" i="3"/>
  <c r="G85" i="3"/>
  <c r="F70" i="3" l="1"/>
  <c r="F51" i="3"/>
  <c r="F53" i="3" s="1"/>
  <c r="G84" i="3"/>
  <c r="G86" i="3" s="1"/>
  <c r="G88" i="3" s="1"/>
  <c r="H85" i="3"/>
  <c r="I60" i="3"/>
  <c r="I64" i="3" s="1"/>
  <c r="G37" i="3" l="1"/>
  <c r="I73" i="3"/>
  <c r="I74" i="3"/>
  <c r="H84" i="3"/>
  <c r="H86" i="3" s="1"/>
  <c r="H88" i="3" s="1"/>
  <c r="H37" i="3" l="1"/>
  <c r="G42" i="3"/>
  <c r="I85" i="3"/>
  <c r="J60" i="3"/>
  <c r="J64" i="3" s="1"/>
  <c r="G35" i="3" l="1"/>
  <c r="G46" i="3" s="1"/>
  <c r="G65" i="3"/>
  <c r="G67" i="3" s="1"/>
  <c r="H42" i="3"/>
  <c r="J74" i="3"/>
  <c r="J73" i="3"/>
  <c r="I84" i="3"/>
  <c r="I86" i="3" s="1"/>
  <c r="I88" i="3" s="1"/>
  <c r="H65" i="3" l="1"/>
  <c r="H67" i="3" s="1"/>
  <c r="H68" i="3" s="1"/>
  <c r="H69" i="3" s="1"/>
  <c r="G68" i="3"/>
  <c r="I37" i="3"/>
  <c r="H35" i="3"/>
  <c r="J85" i="3"/>
  <c r="K60" i="3"/>
  <c r="K64" i="3" s="1"/>
  <c r="H51" i="3" l="1"/>
  <c r="H70" i="3"/>
  <c r="H71" i="3" s="1"/>
  <c r="H46" i="3"/>
  <c r="G69" i="3"/>
  <c r="K73" i="3"/>
  <c r="K74" i="3"/>
  <c r="I42" i="3"/>
  <c r="J84" i="3"/>
  <c r="J86" i="3" s="1"/>
  <c r="J88" i="3" s="1"/>
  <c r="G51" i="3" l="1"/>
  <c r="G70" i="3"/>
  <c r="G71" i="3" s="1"/>
  <c r="H75" i="3"/>
  <c r="H48" i="3" s="1"/>
  <c r="J37" i="3"/>
  <c r="I65" i="3"/>
  <c r="I67" i="3" s="1"/>
  <c r="I35" i="3"/>
  <c r="K85" i="3"/>
  <c r="G75" i="3" l="1"/>
  <c r="G48" i="3" s="1"/>
  <c r="G41" i="3"/>
  <c r="I46" i="3"/>
  <c r="I68" i="3"/>
  <c r="K84" i="3"/>
  <c r="K86" i="3" s="1"/>
  <c r="K88" i="3" s="1"/>
  <c r="J42" i="3"/>
  <c r="G50" i="3" l="1"/>
  <c r="G53" i="3" s="1"/>
  <c r="G43" i="3"/>
  <c r="H41" i="3"/>
  <c r="G47" i="3"/>
  <c r="G54" i="3" s="1"/>
  <c r="I69" i="3"/>
  <c r="K37" i="3"/>
  <c r="J35" i="3"/>
  <c r="J65" i="3"/>
  <c r="J67" i="3" s="1"/>
  <c r="I51" i="3" l="1"/>
  <c r="H47" i="3"/>
  <c r="H54" i="3" s="1"/>
  <c r="H50" i="3"/>
  <c r="H53" i="3" s="1"/>
  <c r="H43" i="3"/>
  <c r="I70" i="3"/>
  <c r="I71" i="3" s="1"/>
  <c r="J46" i="3"/>
  <c r="J68" i="3"/>
  <c r="K42" i="3"/>
  <c r="I41" i="3" l="1"/>
  <c r="I75" i="3"/>
  <c r="I48" i="3" s="1"/>
  <c r="K35" i="3"/>
  <c r="K46" i="3" s="1"/>
  <c r="J69" i="3"/>
  <c r="K65" i="3"/>
  <c r="K67" i="3" s="1"/>
  <c r="J51" i="3" l="1"/>
  <c r="I47" i="3"/>
  <c r="I54" i="3" s="1"/>
  <c r="I50" i="3"/>
  <c r="I53" i="3" s="1"/>
  <c r="I43" i="3"/>
  <c r="J70" i="3"/>
  <c r="J71" i="3" s="1"/>
  <c r="K68" i="3"/>
  <c r="J75" i="3" l="1"/>
  <c r="J48" i="3" s="1"/>
  <c r="J41" i="3"/>
  <c r="K69" i="3"/>
  <c r="K51" i="3" l="1"/>
  <c r="J47" i="3"/>
  <c r="J54" i="3" s="1"/>
  <c r="J50" i="3"/>
  <c r="J53" i="3" s="1"/>
  <c r="J43" i="3"/>
  <c r="K70" i="3"/>
  <c r="K71" i="3" s="1"/>
  <c r="K41" i="3" l="1"/>
  <c r="K75" i="3"/>
  <c r="K48" i="3" s="1"/>
  <c r="K43" i="3" l="1"/>
  <c r="K50" i="3"/>
  <c r="K53" i="3" s="1"/>
  <c r="K47" i="3"/>
  <c r="K54" i="3" s="1"/>
  <c r="C91" i="3" l="1"/>
  <c r="C77" i="3"/>
  <c r="C81" i="3" l="1"/>
  <c r="D77" i="3" l="1"/>
  <c r="D78" i="3"/>
  <c r="D91" i="3"/>
  <c r="D81" i="3" l="1"/>
  <c r="E77" i="3" l="1"/>
  <c r="E78" i="3"/>
  <c r="E81" i="3" s="1"/>
  <c r="E91" i="3" l="1"/>
  <c r="F78" i="3"/>
  <c r="F91" i="3" s="1"/>
  <c r="F77" i="3"/>
  <c r="F81" i="3" l="1"/>
  <c r="G78" i="3" s="1"/>
  <c r="G91" i="3" s="1"/>
  <c r="G93" i="3" s="1"/>
  <c r="G77" i="3" l="1"/>
  <c r="G81" i="3"/>
  <c r="H78" i="3" l="1"/>
  <c r="H77" i="3"/>
  <c r="H91" i="3"/>
  <c r="H93" i="3" s="1"/>
  <c r="H81" i="3" l="1"/>
  <c r="I78" i="3" l="1"/>
  <c r="I77" i="3"/>
  <c r="I91" i="3"/>
  <c r="I81" i="3" l="1"/>
  <c r="J77" i="3" s="1"/>
  <c r="J78" i="3"/>
  <c r="J91" i="3" s="1"/>
  <c r="J93" i="3" s="1"/>
  <c r="I93" i="3"/>
  <c r="J81" i="3" l="1"/>
  <c r="K78" i="3" l="1"/>
  <c r="K77" i="3"/>
  <c r="K91" i="3" l="1"/>
  <c r="K93" i="3" s="1"/>
  <c r="B104" i="3" s="1"/>
  <c r="B105" i="3" s="1"/>
  <c r="K81" i="3"/>
</calcChain>
</file>

<file path=xl/sharedStrings.xml><?xml version="1.0" encoding="utf-8"?>
<sst xmlns="http://schemas.openxmlformats.org/spreadsheetml/2006/main" count="79" uniqueCount="71">
  <si>
    <t>Sales</t>
  </si>
  <si>
    <t>Model</t>
  </si>
  <si>
    <t>Drivers and assumptions</t>
  </si>
  <si>
    <t>Year</t>
  </si>
  <si>
    <t>Gross margin</t>
  </si>
  <si>
    <t>Gross profit</t>
  </si>
  <si>
    <t>SG&amp;A</t>
  </si>
  <si>
    <t xml:space="preserve">Other </t>
  </si>
  <si>
    <t>Operating Profit</t>
  </si>
  <si>
    <t>Operating Margin</t>
  </si>
  <si>
    <t>Interest expense</t>
  </si>
  <si>
    <t>Unusual items</t>
  </si>
  <si>
    <t>Net income Margin</t>
  </si>
  <si>
    <t>Debt</t>
  </si>
  <si>
    <t>Interest Rate</t>
  </si>
  <si>
    <t>EBT</t>
  </si>
  <si>
    <t>Tax expense</t>
  </si>
  <si>
    <t>Tax rate</t>
  </si>
  <si>
    <t>Revenue growth</t>
  </si>
  <si>
    <t>CAPEX</t>
  </si>
  <si>
    <t>CAPEX % from Sales</t>
  </si>
  <si>
    <t>Changes in Working Capital</t>
  </si>
  <si>
    <t>Adjustment for Net Borrowings (Target Det to Asset technique)</t>
  </si>
  <si>
    <t>FCFE</t>
  </si>
  <si>
    <t>Sust Growth rate</t>
  </si>
  <si>
    <t>Cost of equity</t>
  </si>
  <si>
    <t>Terminal Value at t</t>
  </si>
  <si>
    <t>Discounted FCFE</t>
  </si>
  <si>
    <t>Fair Value per share</t>
  </si>
  <si>
    <t>Days of Sales</t>
  </si>
  <si>
    <t>Days of Inventory</t>
  </si>
  <si>
    <t>Days of Payables</t>
  </si>
  <si>
    <t>Inventory</t>
  </si>
  <si>
    <t>Payables</t>
  </si>
  <si>
    <t>Receivables</t>
  </si>
  <si>
    <t>Total Assets</t>
  </si>
  <si>
    <t>Purchases</t>
  </si>
  <si>
    <t>COGS</t>
  </si>
  <si>
    <t>Debt to Assets</t>
  </si>
  <si>
    <t>Number of shares (millions</t>
  </si>
  <si>
    <t>WC and CAPEX Debt</t>
  </si>
  <si>
    <t>Discrete debt issuance</t>
  </si>
  <si>
    <t>Cash Conversion cycle</t>
  </si>
  <si>
    <t>Beta</t>
  </si>
  <si>
    <t>Risk Free</t>
  </si>
  <si>
    <t>Market Return</t>
  </si>
  <si>
    <t>Current price</t>
  </si>
  <si>
    <t>Upside / Downside</t>
  </si>
  <si>
    <t>Beggining PPE</t>
  </si>
  <si>
    <t>Depreciation</t>
  </si>
  <si>
    <t>Adjustments</t>
  </si>
  <si>
    <t>Ending Net PPE</t>
  </si>
  <si>
    <t>Equity</t>
  </si>
  <si>
    <t>Payout ratio</t>
  </si>
  <si>
    <t>Debt to Equity ratio</t>
  </si>
  <si>
    <t>Operations</t>
  </si>
  <si>
    <t>Investments</t>
  </si>
  <si>
    <t>Capital Structure</t>
  </si>
  <si>
    <t>Yearly depreciation as Begining Net PPE</t>
  </si>
  <si>
    <t>Research and development</t>
  </si>
  <si>
    <t>Minority interestt in earnings</t>
  </si>
  <si>
    <t>Minority interest in earnings</t>
  </si>
  <si>
    <t>Net income  to company</t>
  </si>
  <si>
    <t>Net income  to stockholders</t>
  </si>
  <si>
    <t>Equity multiplier</t>
  </si>
  <si>
    <t>Profit margin</t>
  </si>
  <si>
    <t>Asset turnover</t>
  </si>
  <si>
    <t xml:space="preserve">DuPont  and ROI decomposition Analysis </t>
  </si>
  <si>
    <t>Capital Turnover</t>
  </si>
  <si>
    <t>ROI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</si>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</sst>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"/>
    <numFmt numFmtId="165" formatCode="&quot;$&quot;#,##0.00"/>
    <numFmt numFmtId="166" formatCode="0.0"/>
    <numFmt numFmtId="167" formatCode="0.0\x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ptos Narrow"/>
      <family val="2"/>
      <scheme val="minor"/>
    </font>
    <font>
      <sz val="11"/>
      <color theme="7"/>
      <name val="Arial Narrow"/>
      <family val="2"/>
    </font>
    <font>
      <sz val="11"/>
      <name val="Arial Narrow"/>
      <family val="2"/>
    </font>
    <font>
      <b/>
      <i/>
      <sz val="11"/>
      <color theme="1"/>
      <name val="Arial Narrow"/>
      <family val="2"/>
    </font>
    <font>
      <sz val="9"/>
      <color rgb="FF333333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0" fontId="2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10" fontId="4" fillId="0" borderId="0" xfId="2" applyNumberFormat="1" applyFont="1"/>
    <xf numFmtId="165" fontId="1" fillId="0" borderId="1" xfId="0" applyNumberFormat="1" applyFont="1" applyBorder="1"/>
    <xf numFmtId="4" fontId="2" fillId="0" borderId="0" xfId="0" applyNumberFormat="1" applyFont="1"/>
    <xf numFmtId="4" fontId="4" fillId="0" borderId="0" xfId="0" applyNumberFormat="1" applyFont="1"/>
    <xf numFmtId="165" fontId="1" fillId="0" borderId="0" xfId="0" applyNumberFormat="1" applyFont="1"/>
    <xf numFmtId="0" fontId="2" fillId="4" borderId="0" xfId="0" applyFont="1" applyFill="1"/>
    <xf numFmtId="0" fontId="4" fillId="4" borderId="0" xfId="0" applyFont="1" applyFill="1"/>
    <xf numFmtId="165" fontId="2" fillId="0" borderId="0" xfId="0" applyNumberFormat="1" applyFont="1"/>
    <xf numFmtId="10" fontId="2" fillId="0" borderId="0" xfId="2" applyNumberFormat="1" applyFont="1"/>
    <xf numFmtId="0" fontId="1" fillId="0" borderId="3" xfId="0" applyFont="1" applyBorder="1"/>
    <xf numFmtId="165" fontId="1" fillId="0" borderId="4" xfId="0" applyNumberFormat="1" applyFont="1" applyBorder="1"/>
    <xf numFmtId="165" fontId="1" fillId="0" borderId="5" xfId="0" applyNumberFormat="1" applyFont="1" applyBorder="1"/>
    <xf numFmtId="165" fontId="4" fillId="4" borderId="0" xfId="0" applyNumberFormat="1" applyFont="1" applyFill="1"/>
    <xf numFmtId="166" fontId="5" fillId="4" borderId="0" xfId="0" applyNumberFormat="1" applyFont="1" applyFill="1"/>
    <xf numFmtId="43" fontId="4" fillId="0" borderId="0" xfId="1" applyFont="1"/>
    <xf numFmtId="165" fontId="5" fillId="4" borderId="0" xfId="0" applyNumberFormat="1" applyFont="1" applyFill="1"/>
    <xf numFmtId="10" fontId="5" fillId="0" borderId="0" xfId="2" applyNumberFormat="1" applyFont="1"/>
    <xf numFmtId="10" fontId="4" fillId="0" borderId="0" xfId="0" applyNumberFormat="1" applyFont="1"/>
    <xf numFmtId="2" fontId="4" fillId="0" borderId="0" xfId="0" applyNumberFormat="1" applyFont="1"/>
    <xf numFmtId="165" fontId="5" fillId="0" borderId="0" xfId="2" applyNumberFormat="1" applyFont="1"/>
    <xf numFmtId="166" fontId="2" fillId="0" borderId="0" xfId="0" applyNumberFormat="1" applyFont="1"/>
    <xf numFmtId="0" fontId="1" fillId="2" borderId="0" xfId="0" applyFont="1" applyFill="1"/>
    <xf numFmtId="164" fontId="5" fillId="0" borderId="0" xfId="0" applyNumberFormat="1" applyFont="1"/>
    <xf numFmtId="4" fontId="2" fillId="4" borderId="0" xfId="0" applyNumberFormat="1" applyFont="1" applyFill="1"/>
    <xf numFmtId="9" fontId="4" fillId="4" borderId="0" xfId="2" applyFont="1" applyFill="1"/>
    <xf numFmtId="0" fontId="1" fillId="0" borderId="3" xfId="0" applyFont="1" applyBorder="1" applyAlignment="1">
      <alignment horizontal="centerContinuous"/>
    </xf>
    <xf numFmtId="165" fontId="1" fillId="0" borderId="4" xfId="0" applyNumberFormat="1" applyFont="1" applyBorder="1" applyAlignment="1">
      <alignment horizontal="centerContinuous"/>
    </xf>
    <xf numFmtId="167" fontId="5" fillId="4" borderId="0" xfId="1" applyNumberFormat="1" applyFont="1" applyFill="1"/>
    <xf numFmtId="10" fontId="4" fillId="4" borderId="0" xfId="2" applyNumberFormat="1" applyFont="1" applyFill="1"/>
    <xf numFmtId="0" fontId="1" fillId="3" borderId="0" xfId="0" applyFont="1" applyFill="1" applyAlignment="1">
      <alignment horizontal="centerContinuous"/>
    </xf>
    <xf numFmtId="10" fontId="5" fillId="3" borderId="0" xfId="2" applyNumberFormat="1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165" fontId="6" fillId="0" borderId="2" xfId="0" applyNumberFormat="1" applyFont="1" applyBorder="1" applyAlignment="1">
      <alignment horizontal="center"/>
    </xf>
    <xf numFmtId="10" fontId="5" fillId="0" borderId="0" xfId="2" applyNumberFormat="1" applyFont="1" applyAlignment="1">
      <alignment horizontal="center"/>
    </xf>
    <xf numFmtId="0" fontId="7" fillId="0" borderId="0" xfId="0" applyFont="1" applyAlignment="1">
      <alignment horizontal="right" vertical="center"/>
    </xf>
    <xf numFmtId="0" fontId="6" fillId="0" borderId="0" xfId="0" applyFont="1"/>
    <xf numFmtId="10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FBC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F3F8-A24D-44CB-9EB9-7CEDEE4A591A}">
  <dimension ref="A1:Q105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RowHeight="16.5" outlineLevelRow="1" x14ac:dyDescent="0.3"/>
  <cols>
    <col min="1" max="1" width="20.5703125" style="1" bestFit="1" customWidth="1"/>
    <col min="2" max="14" width="15.5703125" style="1" customWidth="1"/>
    <col min="15" max="18" width="12.140625" style="1" customWidth="1"/>
    <col min="19" max="16384" width="9.140625" style="1"/>
  </cols>
  <sheetData>
    <row r="1" spans="1:17" x14ac:dyDescent="0.3">
      <c r="A1" s="5" t="s">
        <v>3</v>
      </c>
      <c r="B1" s="5">
        <v>2019</v>
      </c>
      <c r="C1" s="5">
        <v>2020</v>
      </c>
      <c r="D1" s="5">
        <v>2021</v>
      </c>
      <c r="E1" s="5">
        <v>2022</v>
      </c>
      <c r="F1" s="5">
        <v>2023</v>
      </c>
      <c r="G1" s="28">
        <f>F1+1</f>
        <v>2024</v>
      </c>
      <c r="H1" s="28">
        <f>G1+1</f>
        <v>2025</v>
      </c>
      <c r="I1" s="28">
        <f>H1+1</f>
        <v>2026</v>
      </c>
      <c r="J1" s="28">
        <f>I1+1</f>
        <v>2027</v>
      </c>
      <c r="K1" s="28">
        <f>J1+1</f>
        <v>2028</v>
      </c>
    </row>
    <row r="2" spans="1:17" x14ac:dyDescent="0.3">
      <c r="A2" s="36" t="s">
        <v>2</v>
      </c>
      <c r="B2" s="37"/>
      <c r="C2" s="37"/>
      <c r="D2" s="37"/>
      <c r="E2" s="37"/>
      <c r="F2" s="37"/>
      <c r="G2" s="38"/>
      <c r="H2" s="39"/>
      <c r="I2" s="39"/>
      <c r="J2" s="39"/>
      <c r="K2" s="39"/>
    </row>
    <row r="3" spans="1:17" outlineLevel="1" x14ac:dyDescent="0.3">
      <c r="A3" s="36" t="s">
        <v>55</v>
      </c>
      <c r="B3" s="37"/>
      <c r="C3" s="37"/>
      <c r="D3" s="37"/>
      <c r="E3" s="37"/>
      <c r="F3" s="37"/>
      <c r="G3" s="38"/>
      <c r="H3" s="39"/>
      <c r="I3" s="39"/>
      <c r="J3" s="39"/>
      <c r="K3" s="39"/>
    </row>
    <row r="4" spans="1:17" outlineLevel="1" x14ac:dyDescent="0.3">
      <c r="A4" s="1" t="s">
        <v>18</v>
      </c>
      <c r="B4" s="15"/>
      <c r="C4" s="15">
        <f t="shared" ref="C4:F4" si="0">C58/B58-1</f>
        <v>0.20020800832033281</v>
      </c>
      <c r="D4" s="15">
        <f t="shared" si="0"/>
        <v>0.10051993067590992</v>
      </c>
      <c r="E4" s="15">
        <f t="shared" si="0"/>
        <v>0.72204724409448806</v>
      </c>
      <c r="F4" s="15">
        <f t="shared" si="0"/>
        <v>0.40283493369913126</v>
      </c>
      <c r="G4" s="7">
        <v>0.3</v>
      </c>
      <c r="H4" s="7">
        <v>0.2</v>
      </c>
      <c r="I4" s="7">
        <v>0.05</v>
      </c>
      <c r="J4" s="7">
        <v>0.05</v>
      </c>
      <c r="K4" s="7">
        <v>0.05</v>
      </c>
    </row>
    <row r="5" spans="1:17" outlineLevel="1" x14ac:dyDescent="0.3">
      <c r="A5" s="1" t="s">
        <v>4</v>
      </c>
      <c r="B5" s="7">
        <v>0.52</v>
      </c>
      <c r="C5" s="7">
        <v>0.68100000000000005</v>
      </c>
      <c r="D5" s="7">
        <v>0.58699999999999997</v>
      </c>
      <c r="E5" s="7">
        <v>0.62</v>
      </c>
      <c r="F5" s="7">
        <v>0.61899999999999999</v>
      </c>
      <c r="G5" s="7">
        <v>0.60866666666666658</v>
      </c>
      <c r="H5" s="7">
        <v>0.60866666666666658</v>
      </c>
      <c r="I5" s="7">
        <v>0.60866666666666658</v>
      </c>
      <c r="J5" s="7">
        <v>0.60866666666666658</v>
      </c>
      <c r="K5" s="7">
        <v>0.60866666666666658</v>
      </c>
      <c r="L5" s="2"/>
    </row>
    <row r="6" spans="1:17" outlineLevel="1" x14ac:dyDescent="0.3">
      <c r="A6" s="1" t="s">
        <v>59</v>
      </c>
      <c r="B6" s="7">
        <v>-0.13300000000000001</v>
      </c>
      <c r="C6" s="7">
        <v>-0.155</v>
      </c>
      <c r="D6" s="7">
        <v>-0.20799999999999999</v>
      </c>
      <c r="E6" s="7">
        <v>-0.17</v>
      </c>
      <c r="F6" s="7">
        <v>-0.13500000000000001</v>
      </c>
      <c r="G6" s="7">
        <v>-0.17100000000000001</v>
      </c>
      <c r="H6" s="7">
        <v>-0.15866666666666671</v>
      </c>
      <c r="I6" s="7">
        <v>-0.15488888888888894</v>
      </c>
      <c r="J6" s="7">
        <v>-0.16151851851851853</v>
      </c>
      <c r="K6" s="7">
        <v>-0.15835802469135807</v>
      </c>
      <c r="L6" s="2"/>
    </row>
    <row r="7" spans="1:17" outlineLevel="1" x14ac:dyDescent="0.3">
      <c r="A7" s="1" t="s">
        <v>6</v>
      </c>
      <c r="B7" s="7">
        <v>-0.66300000000000003</v>
      </c>
      <c r="C7" s="7">
        <v>-0.58299999999999996</v>
      </c>
      <c r="D7" s="7">
        <v>-0.80400000000000005</v>
      </c>
      <c r="E7" s="7">
        <v>-0.72899999999999998</v>
      </c>
      <c r="F7" s="7">
        <v>-0.42799999999999999</v>
      </c>
      <c r="G7" s="7">
        <v>-0.4</v>
      </c>
      <c r="H7" s="7">
        <v>-0.4</v>
      </c>
      <c r="I7" s="7">
        <v>-0.4</v>
      </c>
      <c r="J7" s="7">
        <v>-0.4</v>
      </c>
      <c r="K7" s="7">
        <v>-0.4</v>
      </c>
      <c r="L7" s="2"/>
      <c r="N7" s="2"/>
    </row>
    <row r="8" spans="1:17" outlineLevel="1" x14ac:dyDescent="0.3">
      <c r="A8" s="1" t="s">
        <v>7</v>
      </c>
      <c r="B8" s="7">
        <v>-1.4999999999999999E-2</v>
      </c>
      <c r="C8" s="7">
        <v>1.4999999999999999E-2</v>
      </c>
      <c r="D8" s="7">
        <v>-2.5999999999999999E-2</v>
      </c>
      <c r="E8" s="7">
        <v>-4.0000000000000001E-3</v>
      </c>
      <c r="F8" s="7">
        <v>-0.02</v>
      </c>
      <c r="G8" s="7">
        <v>-1.6666666666666666E-2</v>
      </c>
      <c r="H8" s="7">
        <v>-1.3555555555555557E-2</v>
      </c>
      <c r="I8" s="7">
        <v>-1.674074074074074E-2</v>
      </c>
      <c r="J8" s="7">
        <v>-1.5654320987654322E-2</v>
      </c>
      <c r="K8" s="7">
        <v>-1.531687242798354E-2</v>
      </c>
      <c r="L8" s="2"/>
      <c r="N8" s="2"/>
    </row>
    <row r="9" spans="1:17" outlineLevel="1" x14ac:dyDescent="0.3">
      <c r="B9" s="2"/>
      <c r="C9" s="2"/>
      <c r="D9" s="2"/>
      <c r="E9" s="2"/>
      <c r="F9" s="2"/>
      <c r="G9" s="7"/>
      <c r="H9" s="7"/>
      <c r="I9" s="7"/>
      <c r="J9" s="7"/>
      <c r="K9" s="7"/>
      <c r="L9" s="2"/>
      <c r="N9" s="2"/>
    </row>
    <row r="10" spans="1:17" outlineLevel="1" x14ac:dyDescent="0.3">
      <c r="A10" s="1" t="s">
        <v>14</v>
      </c>
      <c r="B10" s="7"/>
      <c r="C10" s="7"/>
      <c r="D10" s="7"/>
      <c r="E10" s="7">
        <v>5.0730207532667181E-2</v>
      </c>
      <c r="F10" s="7">
        <v>0.22762951334379905</v>
      </c>
      <c r="G10" s="7">
        <v>-0.05</v>
      </c>
      <c r="H10" s="7">
        <v>-0.05</v>
      </c>
      <c r="I10" s="7">
        <v>-0.05</v>
      </c>
      <c r="J10" s="7">
        <v>-0.05</v>
      </c>
      <c r="K10" s="7">
        <v>-0.05</v>
      </c>
      <c r="L10" s="2"/>
      <c r="N10" s="2"/>
      <c r="Q10" s="9"/>
    </row>
    <row r="11" spans="1:17" outlineLevel="1" x14ac:dyDescent="0.3">
      <c r="A11" s="1" t="s">
        <v>17</v>
      </c>
      <c r="B11" s="7">
        <v>0</v>
      </c>
      <c r="C11" s="7">
        <v>0</v>
      </c>
      <c r="D11" s="7">
        <v>1.7413411809775888E-3</v>
      </c>
      <c r="E11" s="7">
        <v>-1.7920504641410699E-2</v>
      </c>
      <c r="F11" s="7">
        <v>-1.3701418684037467E-2</v>
      </c>
      <c r="G11" s="7">
        <v>-9.960194048156859E-3</v>
      </c>
      <c r="H11" s="7">
        <v>-1.3860705791201675E-2</v>
      </c>
      <c r="I11" s="7">
        <v>-1.2507439507798666E-2</v>
      </c>
      <c r="J11" s="7">
        <v>-1.2109446449052401E-2</v>
      </c>
      <c r="K11" s="7">
        <v>-1.2825863916017581E-2</v>
      </c>
      <c r="L11" s="2"/>
      <c r="N11" s="2"/>
      <c r="Q11" s="9"/>
    </row>
    <row r="12" spans="1:17" outlineLevel="1" x14ac:dyDescent="0.3">
      <c r="A12" s="1" t="s">
        <v>60</v>
      </c>
      <c r="B12" s="7"/>
      <c r="C12" s="7"/>
      <c r="D12" s="7">
        <v>-0.68750325933909284</v>
      </c>
      <c r="E12" s="7">
        <v>-0.43359557610862298</v>
      </c>
      <c r="F12" s="7">
        <v>-0.43262895518122829</v>
      </c>
      <c r="G12" s="7">
        <v>-0.5</v>
      </c>
      <c r="H12" s="7">
        <v>-0.5</v>
      </c>
      <c r="I12" s="7">
        <v>-0.5</v>
      </c>
      <c r="J12" s="7">
        <v>-0.5</v>
      </c>
      <c r="K12" s="7">
        <v>-0.5</v>
      </c>
      <c r="L12" s="2"/>
      <c r="N12" s="2"/>
      <c r="Q12" s="9"/>
    </row>
    <row r="13" spans="1:17" outlineLevel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2"/>
      <c r="N13" s="2"/>
      <c r="Q13" s="9"/>
    </row>
    <row r="14" spans="1:17" outlineLevel="1" x14ac:dyDescent="0.3">
      <c r="A14" s="1" t="s">
        <v>29</v>
      </c>
      <c r="B14" s="20">
        <f>365/(B58/AVERAGE(B22:B22))</f>
        <v>2.0878835153406139</v>
      </c>
      <c r="C14" s="20">
        <f t="shared" ref="C14:F14" si="1">365/(C58/AVERAGE(B22:C22))</f>
        <v>2.2140381282495665</v>
      </c>
      <c r="D14" s="20">
        <f t="shared" si="1"/>
        <v>7.0413385826771657</v>
      </c>
      <c r="E14" s="20">
        <f t="shared" si="1"/>
        <v>4.9651348879743935</v>
      </c>
      <c r="F14" s="20">
        <f t="shared" si="1"/>
        <v>1.8440352020860493</v>
      </c>
      <c r="G14" s="21">
        <v>4.61683622424587</v>
      </c>
      <c r="H14" s="21">
        <v>3.8086687714354377</v>
      </c>
      <c r="I14" s="21">
        <v>3.4231800659224523</v>
      </c>
      <c r="J14" s="21">
        <v>3.9495616872012533</v>
      </c>
      <c r="K14" s="21">
        <v>3.7271368415197146</v>
      </c>
      <c r="L14" s="2"/>
    </row>
    <row r="15" spans="1:17" outlineLevel="1" x14ac:dyDescent="0.3">
      <c r="A15" s="1" t="s">
        <v>30</v>
      </c>
      <c r="B15" s="20">
        <f>365/(-B59/AVERAGE(B23:B23))</f>
        <v>3.954324839660253E-37</v>
      </c>
      <c r="C15" s="20">
        <f t="shared" ref="C15:F15" si="2">365/(-C59/AVERAGE(B23:C23))</f>
        <v>4.9575417112619055E-37</v>
      </c>
      <c r="D15" s="20">
        <f t="shared" si="2"/>
        <v>3.4794379516119804E-37</v>
      </c>
      <c r="E15" s="20">
        <f t="shared" si="2"/>
        <v>2.1959906625273748E-37</v>
      </c>
      <c r="F15" s="20">
        <f t="shared" si="2"/>
        <v>1.5612862603387093E-37</v>
      </c>
      <c r="G15" s="21">
        <v>2.4122382914926881E-37</v>
      </c>
      <c r="H15" s="21">
        <v>2.056505071452924E-37</v>
      </c>
      <c r="I15" s="21">
        <v>2.0100098744281069E-37</v>
      </c>
      <c r="J15" s="21">
        <v>2.1595844124579062E-37</v>
      </c>
      <c r="K15" s="21">
        <v>2.0753664527796457E-37</v>
      </c>
      <c r="L15" s="2"/>
    </row>
    <row r="16" spans="1:17" outlineLevel="1" x14ac:dyDescent="0.3">
      <c r="A16" s="1" t="s">
        <v>31</v>
      </c>
      <c r="B16" s="20"/>
      <c r="C16" s="20">
        <f t="shared" ref="C16" si="3">365/(C26/AVERAGE(B24:C24))</f>
        <v>128.64820740724645</v>
      </c>
      <c r="D16" s="20">
        <f t="shared" ref="D16" si="4">365/(D26/AVERAGE(C24:D24))</f>
        <v>120.21458122819389</v>
      </c>
      <c r="E16" s="20">
        <f t="shared" ref="E16" si="5">365/(E26/AVERAGE(D24:E24))</f>
        <v>88.388624166726828</v>
      </c>
      <c r="F16" s="20">
        <f t="shared" ref="F16" si="6">365/(F26/AVERAGE(E24:F24))</f>
        <v>87.197837639916898</v>
      </c>
      <c r="G16" s="21">
        <v>98.600347678279206</v>
      </c>
      <c r="H16" s="21">
        <v>91.395603161640977</v>
      </c>
      <c r="I16" s="21">
        <v>92.397929493279022</v>
      </c>
      <c r="J16" s="21">
        <v>94.131293444399731</v>
      </c>
      <c r="K16" s="21">
        <v>92.641608699773244</v>
      </c>
      <c r="L16" s="2"/>
      <c r="O16" s="2"/>
      <c r="P16" s="44"/>
      <c r="Q16" s="2"/>
    </row>
    <row r="17" spans="1:17" outlineLevel="1" x14ac:dyDescent="0.3"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42"/>
      <c r="O17" s="2"/>
      <c r="P17" s="44"/>
      <c r="Q17" s="2"/>
    </row>
    <row r="18" spans="1:17" outlineLevel="1" x14ac:dyDescent="0.3">
      <c r="A18" s="1" t="s">
        <v>42</v>
      </c>
      <c r="B18" s="27"/>
      <c r="C18" s="27">
        <f t="shared" ref="C18:K18" si="7">(C14+C15)-C16</f>
        <v>-126.43416927899688</v>
      </c>
      <c r="D18" s="27">
        <f t="shared" si="7"/>
        <v>-113.17324264551672</v>
      </c>
      <c r="E18" s="27">
        <f t="shared" si="7"/>
        <v>-83.423489278752442</v>
      </c>
      <c r="F18" s="27">
        <f t="shared" si="7"/>
        <v>-85.353802437830851</v>
      </c>
      <c r="G18" s="27">
        <f t="shared" si="7"/>
        <v>-93.983511454033334</v>
      </c>
      <c r="H18" s="27">
        <f t="shared" si="7"/>
        <v>-87.586934390205542</v>
      </c>
      <c r="I18" s="27">
        <f t="shared" si="7"/>
        <v>-88.974749427356571</v>
      </c>
      <c r="J18" s="27">
        <f t="shared" si="7"/>
        <v>-90.181731757198477</v>
      </c>
      <c r="K18" s="27">
        <f t="shared" si="7"/>
        <v>-88.914471858253535</v>
      </c>
      <c r="L18" s="42"/>
      <c r="O18" s="2"/>
      <c r="P18" s="44"/>
      <c r="Q18" s="14"/>
    </row>
    <row r="19" spans="1:17" outlineLevel="1" x14ac:dyDescent="0.3">
      <c r="B19" s="7"/>
      <c r="C19" s="7"/>
      <c r="D19" s="7"/>
      <c r="E19" s="7"/>
      <c r="F19" s="7"/>
      <c r="G19" s="7"/>
      <c r="L19" s="42"/>
      <c r="O19" s="2"/>
      <c r="P19" s="44"/>
      <c r="Q19" s="14"/>
    </row>
    <row r="20" spans="1:17" outlineLevel="1" x14ac:dyDescent="0.3">
      <c r="A20" s="1" t="s">
        <v>38</v>
      </c>
      <c r="B20" s="23">
        <f t="shared" ref="B20:F20" si="8">B42/B35</f>
        <v>0</v>
      </c>
      <c r="C20" s="23">
        <f t="shared" si="8"/>
        <v>0</v>
      </c>
      <c r="D20" s="23">
        <f t="shared" si="8"/>
        <v>0</v>
      </c>
      <c r="E20" s="23">
        <f t="shared" si="8"/>
        <v>0.12539759036144577</v>
      </c>
      <c r="F20" s="23">
        <f t="shared" si="8"/>
        <v>0.12191387559808613</v>
      </c>
      <c r="G20" s="7">
        <v>0.12</v>
      </c>
      <c r="H20" s="7">
        <v>0.12</v>
      </c>
      <c r="I20" s="7">
        <v>0.12</v>
      </c>
      <c r="J20" s="7">
        <v>0.12</v>
      </c>
      <c r="K20" s="7">
        <v>0.12</v>
      </c>
      <c r="L20" s="42"/>
      <c r="O20" s="2"/>
      <c r="Q20" s="14"/>
    </row>
    <row r="21" spans="1:17" outlineLevel="1" x14ac:dyDescent="0.3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42"/>
      <c r="M21" s="14"/>
      <c r="N21" s="14"/>
      <c r="O21" s="14"/>
      <c r="Q21" s="14"/>
    </row>
    <row r="22" spans="1:17" outlineLevel="1" x14ac:dyDescent="0.3">
      <c r="A22" s="1" t="s">
        <v>34</v>
      </c>
      <c r="B22" s="19">
        <v>1.1000000000000001</v>
      </c>
      <c r="C22" s="19">
        <v>1.7000000000000002</v>
      </c>
      <c r="D22" s="19">
        <v>8.1</v>
      </c>
      <c r="E22" s="19">
        <v>3.8</v>
      </c>
      <c r="F22" s="19">
        <v>2.4</v>
      </c>
      <c r="G22" s="22">
        <f>(G14*G58)/365</f>
        <v>10.089747724264235</v>
      </c>
      <c r="H22" s="22">
        <f>(H14*H58)/365</f>
        <v>9.9882703745708064</v>
      </c>
      <c r="I22" s="22">
        <f>(I14*I58)/365</f>
        <v>9.42618867529076</v>
      </c>
      <c r="J22" s="22">
        <f>(J14*J58)/365</f>
        <v>11.419434145407067</v>
      </c>
      <c r="K22" s="22">
        <f>(K14*K58)/365</f>
        <v>11.315150119849338</v>
      </c>
      <c r="L22" s="42"/>
      <c r="M22" s="9"/>
      <c r="N22" s="9"/>
    </row>
    <row r="23" spans="1:17" outlineLevel="1" x14ac:dyDescent="0.3">
      <c r="A23" s="1" t="s">
        <v>32</v>
      </c>
      <c r="B23" s="19">
        <v>1.0000000000000001E-37</v>
      </c>
      <c r="C23" s="19">
        <v>1.0000000000000001E-37</v>
      </c>
      <c r="D23" s="19">
        <v>1.0000000000000001E-37</v>
      </c>
      <c r="E23" s="19">
        <v>1.0000000000000001E-37</v>
      </c>
      <c r="F23" s="19">
        <v>1.0000000000000001E-37</v>
      </c>
      <c r="G23" s="22">
        <f>(G15*(-G59))/365</f>
        <v>2.0630173864659001E-37</v>
      </c>
      <c r="H23" s="22">
        <f>(H15*(-H59))/365</f>
        <v>2.1105406042472017E-37</v>
      </c>
      <c r="I23" s="22">
        <f>(I15*(-I59))/365</f>
        <v>2.16596491275233E-37</v>
      </c>
      <c r="J23" s="22">
        <f>(J15*(-J59))/365</f>
        <v>2.4435020589556244E-37</v>
      </c>
      <c r="K23" s="22">
        <f>(K15*(-K59))/365</f>
        <v>2.4656226817348388E-37</v>
      </c>
      <c r="L23" s="42"/>
      <c r="M23" s="42"/>
    </row>
    <row r="24" spans="1:17" outlineLevel="1" x14ac:dyDescent="0.3">
      <c r="A24" s="1" t="s">
        <v>33</v>
      </c>
      <c r="B24" s="19">
        <v>25.4</v>
      </c>
      <c r="C24" s="19">
        <v>26.5</v>
      </c>
      <c r="D24" s="19">
        <v>42.599999999999994</v>
      </c>
      <c r="E24" s="19">
        <v>37.9</v>
      </c>
      <c r="F24" s="19">
        <v>73.8</v>
      </c>
      <c r="G24" s="22">
        <f>(G16*(-G59))/365</f>
        <v>84.325927620525562</v>
      </c>
      <c r="H24" s="22">
        <f>(H16*(-H59))/365</f>
        <v>93.797060945746765</v>
      </c>
      <c r="I24" s="22">
        <f>(I16*(-I59))/365</f>
        <v>99.567010012996931</v>
      </c>
      <c r="J24" s="22">
        <f>(J16*(-J59))/365</f>
        <v>106.50660748276263</v>
      </c>
      <c r="K24" s="22">
        <f>(K16*(-K59))/365</f>
        <v>110.06212969118334</v>
      </c>
      <c r="L24" s="42"/>
      <c r="M24" s="42"/>
      <c r="N24" s="9"/>
    </row>
    <row r="25" spans="1:17" outlineLevel="1" x14ac:dyDescent="0.3">
      <c r="B25" s="13"/>
      <c r="C25" s="13"/>
      <c r="D25" s="13"/>
      <c r="E25" s="13"/>
      <c r="F25" s="13"/>
      <c r="G25" s="13"/>
      <c r="L25" s="42"/>
      <c r="M25" s="42"/>
    </row>
    <row r="26" spans="1:17" outlineLevel="1" x14ac:dyDescent="0.3">
      <c r="A26" s="1" t="s">
        <v>36</v>
      </c>
      <c r="B26" s="14"/>
      <c r="C26" s="14">
        <f t="shared" ref="C26:K26" si="9">C23-B23+(-C59)</f>
        <v>73.625199999999992</v>
      </c>
      <c r="D26" s="14">
        <f t="shared" si="9"/>
        <v>104.90200000000002</v>
      </c>
      <c r="E26" s="14">
        <f t="shared" si="9"/>
        <v>166.21199999999999</v>
      </c>
      <c r="F26" s="14">
        <f t="shared" si="9"/>
        <v>233.78160000000003</v>
      </c>
      <c r="G26" s="14">
        <f t="shared" si="9"/>
        <v>312.15877333333344</v>
      </c>
      <c r="H26" s="14">
        <f t="shared" si="9"/>
        <v>374.59052800000006</v>
      </c>
      <c r="I26" s="14">
        <f t="shared" si="9"/>
        <v>393.32005440000012</v>
      </c>
      <c r="J26" s="14">
        <f t="shared" si="9"/>
        <v>412.98605712000017</v>
      </c>
      <c r="K26" s="14">
        <f t="shared" si="9"/>
        <v>433.63535997600019</v>
      </c>
      <c r="L26" s="42"/>
      <c r="M26" s="42"/>
    </row>
    <row r="27" spans="1:17" outlineLevel="1" x14ac:dyDescent="0.3">
      <c r="B27" s="14"/>
      <c r="C27" s="14"/>
      <c r="D27" s="14"/>
      <c r="E27" s="14"/>
      <c r="F27" s="14"/>
      <c r="G27" s="14"/>
      <c r="H27" s="14"/>
      <c r="I27" s="14"/>
      <c r="J27" s="14"/>
      <c r="K27" s="14"/>
      <c r="M27" s="42"/>
    </row>
    <row r="28" spans="1:17" outlineLevel="1" x14ac:dyDescent="0.3">
      <c r="A28" s="36" t="s">
        <v>56</v>
      </c>
      <c r="B28" s="37"/>
      <c r="C28" s="37"/>
      <c r="D28" s="37"/>
      <c r="E28" s="37"/>
      <c r="F28" s="37"/>
      <c r="G28" s="38"/>
      <c r="H28" s="39"/>
      <c r="I28" s="39"/>
      <c r="J28" s="39"/>
      <c r="K28" s="39"/>
      <c r="M28" s="9"/>
      <c r="O28" s="45"/>
    </row>
    <row r="29" spans="1:17" outlineLevel="1" x14ac:dyDescent="0.3">
      <c r="A29" s="1" t="s">
        <v>20</v>
      </c>
      <c r="B29" s="7">
        <v>7.6443057722308888E-2</v>
      </c>
      <c r="C29" s="7">
        <v>7.1490467937608312E-2</v>
      </c>
      <c r="D29" s="7">
        <v>0.11062992125984253</v>
      </c>
      <c r="E29" s="7">
        <v>7.1787837219935979E-2</v>
      </c>
      <c r="F29" s="7">
        <v>4.1720990873533245E-2</v>
      </c>
      <c r="G29" s="7">
        <v>7.4712916451103908E-2</v>
      </c>
      <c r="H29" s="7">
        <v>6.2740581514857716E-2</v>
      </c>
      <c r="I29" s="7">
        <v>5.9724829613164963E-2</v>
      </c>
      <c r="J29" s="7">
        <v>6.5726109193042198E-2</v>
      </c>
      <c r="K29" s="7">
        <v>6.2730506773688285E-2</v>
      </c>
      <c r="M29" s="9"/>
    </row>
    <row r="30" spans="1:17" outlineLevel="1" x14ac:dyDescent="0.3">
      <c r="B30" s="19"/>
      <c r="C30" s="19"/>
      <c r="D30" s="19"/>
      <c r="E30" s="19"/>
      <c r="F30" s="19"/>
      <c r="G30" s="7"/>
      <c r="H30" s="7"/>
      <c r="I30" s="7"/>
      <c r="J30" s="7"/>
      <c r="K30" s="7"/>
      <c r="M30" s="9"/>
    </row>
    <row r="31" spans="1:17" outlineLevel="1" x14ac:dyDescent="0.3">
      <c r="A31" s="1" t="s">
        <v>58</v>
      </c>
      <c r="B31" s="7"/>
      <c r="C31" s="31">
        <v>0.21189591078066916</v>
      </c>
      <c r="D31" s="31">
        <v>0.19602272727272727</v>
      </c>
      <c r="E31" s="31">
        <v>0.24943820224719102</v>
      </c>
      <c r="F31" s="31">
        <v>7.315731573157315E-2</v>
      </c>
      <c r="G31" s="7">
        <v>0.17287274841716382</v>
      </c>
      <c r="H31" s="7">
        <v>0.16515608879864266</v>
      </c>
      <c r="I31" s="7">
        <v>0.13706205098245985</v>
      </c>
      <c r="J31" s="7">
        <v>0.15836362939942208</v>
      </c>
      <c r="K31" s="7">
        <v>0.1535272563935082</v>
      </c>
      <c r="M31" s="9"/>
    </row>
    <row r="32" spans="1:17" outlineLevel="1" x14ac:dyDescent="0.3">
      <c r="A32" s="19"/>
      <c r="B32" s="19"/>
      <c r="C32" s="19"/>
      <c r="D32" s="19"/>
      <c r="E32" s="19"/>
      <c r="G32" s="13"/>
      <c r="M32" s="9"/>
    </row>
    <row r="33" spans="1:17" outlineLevel="1" x14ac:dyDescent="0.3">
      <c r="A33" s="36" t="s">
        <v>57</v>
      </c>
      <c r="B33" s="37"/>
      <c r="C33" s="37"/>
      <c r="D33" s="37"/>
      <c r="E33" s="37"/>
      <c r="F33" s="37"/>
      <c r="G33" s="38"/>
      <c r="H33" s="39"/>
      <c r="I33" s="39"/>
      <c r="J33" s="39"/>
      <c r="K33" s="39"/>
      <c r="L33" s="9"/>
      <c r="M33" s="42"/>
      <c r="N33" s="2"/>
      <c r="P33" s="9"/>
      <c r="Q33" s="9"/>
    </row>
    <row r="34" spans="1:17" outlineLevel="1" x14ac:dyDescent="0.3">
      <c r="B34" s="7"/>
      <c r="C34" s="7"/>
      <c r="D34" s="7"/>
      <c r="E34" s="7"/>
      <c r="F34" s="7"/>
      <c r="G34" s="7"/>
      <c r="L34" s="9"/>
      <c r="M34" s="42"/>
      <c r="P34" s="9"/>
    </row>
    <row r="35" spans="1:17" outlineLevel="1" x14ac:dyDescent="0.3">
      <c r="A35" s="1" t="s">
        <v>35</v>
      </c>
      <c r="B35" s="19">
        <v>318.89999999999998</v>
      </c>
      <c r="C35" s="19">
        <v>232.3</v>
      </c>
      <c r="D35" s="19">
        <v>812.8</v>
      </c>
      <c r="E35" s="19">
        <v>1037.5</v>
      </c>
      <c r="F35" s="19">
        <v>1045</v>
      </c>
      <c r="G35" s="22">
        <f>G42/G20</f>
        <v>1118.4274859734553</v>
      </c>
      <c r="H35" s="22">
        <f>H42/H20</f>
        <v>1168.9111637822</v>
      </c>
      <c r="I35" s="22">
        <f>I42/I20</f>
        <v>1222.607173652148</v>
      </c>
      <c r="J35" s="22">
        <f>J42/J20</f>
        <v>1287.0235985402351</v>
      </c>
      <c r="K35" s="22">
        <f>K42/K20</f>
        <v>1352.8752894686406</v>
      </c>
      <c r="L35" s="9"/>
      <c r="M35" s="42"/>
      <c r="Q35" s="9"/>
    </row>
    <row r="36" spans="1:17" outlineLevel="1" x14ac:dyDescent="0.3">
      <c r="B36" s="19"/>
      <c r="C36" s="19"/>
      <c r="D36" s="19"/>
      <c r="E36" s="19"/>
      <c r="F36" s="19"/>
      <c r="G36" s="22"/>
      <c r="H36" s="22"/>
      <c r="I36" s="22"/>
      <c r="J36" s="22"/>
      <c r="K36" s="22"/>
      <c r="M36" s="42"/>
      <c r="Q36" s="9"/>
    </row>
    <row r="37" spans="1:17" outlineLevel="1" x14ac:dyDescent="0.3">
      <c r="A37" s="1" t="s">
        <v>40</v>
      </c>
      <c r="B37" s="26"/>
      <c r="C37" s="26">
        <f t="shared" ref="C37:K37" si="10">C79+(-C86)+C88</f>
        <v>0</v>
      </c>
      <c r="D37" s="26">
        <f t="shared" si="10"/>
        <v>0</v>
      </c>
      <c r="E37" s="26">
        <f t="shared" si="10"/>
        <v>3.9876433734939738</v>
      </c>
      <c r="F37" s="26">
        <f t="shared" si="10"/>
        <v>-1.4263923444976072</v>
      </c>
      <c r="G37" s="26">
        <f t="shared" si="10"/>
        <v>6.8112983158146321</v>
      </c>
      <c r="H37" s="26">
        <f t="shared" si="10"/>
        <v>6.0580413360493708</v>
      </c>
      <c r="I37" s="26">
        <f t="shared" si="10"/>
        <v>6.4435211833937842</v>
      </c>
      <c r="J37" s="26">
        <f t="shared" si="10"/>
        <v>7.7299709855704464</v>
      </c>
      <c r="K37" s="26">
        <f t="shared" si="10"/>
        <v>7.9022029104086826</v>
      </c>
      <c r="M37" s="42"/>
      <c r="Q37" s="9"/>
    </row>
    <row r="38" spans="1:17" outlineLevel="1" x14ac:dyDescent="0.3">
      <c r="A38" s="1" t="s">
        <v>41</v>
      </c>
      <c r="B38" s="19">
        <v>1.0000000000000001E-9</v>
      </c>
      <c r="C38" s="19">
        <v>1.0000000000000001E-9</v>
      </c>
      <c r="D38" s="19">
        <v>1.0000000000000001E-9</v>
      </c>
      <c r="E38" s="19">
        <v>1.0000000000000001E-9</v>
      </c>
      <c r="F38" s="19">
        <v>1.0000000000000001E-9</v>
      </c>
      <c r="G38" s="19">
        <v>1.0000000000000001E-9</v>
      </c>
      <c r="H38" s="19">
        <v>1.0000000000000001E-9</v>
      </c>
      <c r="I38" s="19">
        <v>1.0000000000000001E-9</v>
      </c>
      <c r="J38" s="19">
        <v>1.0000000000000001E-9</v>
      </c>
      <c r="K38" s="19">
        <v>1.0000000000000001E-9</v>
      </c>
      <c r="Q38" s="9"/>
    </row>
    <row r="39" spans="1:17" outlineLevel="1" x14ac:dyDescent="0.3">
      <c r="B39" s="19"/>
      <c r="C39" s="19"/>
      <c r="D39" s="19"/>
      <c r="E39" s="19"/>
      <c r="F39" s="19"/>
      <c r="G39" s="22"/>
      <c r="H39" s="22"/>
      <c r="I39" s="22"/>
      <c r="J39" s="22"/>
      <c r="K39" s="22"/>
      <c r="M39" s="9"/>
      <c r="Q39" s="9"/>
    </row>
    <row r="40" spans="1:17" outlineLevel="1" x14ac:dyDescent="0.3">
      <c r="A40" s="1" t="s">
        <v>53</v>
      </c>
      <c r="B40" s="31"/>
      <c r="C40" s="31"/>
      <c r="D40" s="31"/>
      <c r="E40" s="31"/>
      <c r="F40" s="35"/>
      <c r="G40" s="35">
        <v>0.6</v>
      </c>
      <c r="H40" s="35">
        <v>0.6</v>
      </c>
      <c r="I40" s="35">
        <v>0.6</v>
      </c>
      <c r="J40" s="35">
        <v>0.6</v>
      </c>
      <c r="K40" s="35">
        <v>0.6</v>
      </c>
      <c r="L40" s="9"/>
      <c r="M40" s="9"/>
      <c r="Q40" s="9"/>
    </row>
    <row r="41" spans="1:17" outlineLevel="1" x14ac:dyDescent="0.3">
      <c r="A41" s="1" t="s">
        <v>52</v>
      </c>
      <c r="B41" s="19">
        <v>-283.3</v>
      </c>
      <c r="C41" s="19">
        <v>-486.9</v>
      </c>
      <c r="D41" s="19">
        <v>539.5</v>
      </c>
      <c r="E41" s="19">
        <v>510.9</v>
      </c>
      <c r="F41" s="19">
        <v>369.2</v>
      </c>
      <c r="G41" s="22">
        <f>F41+((1-G40)*G71)</f>
        <v>371.18814152270772</v>
      </c>
      <c r="H41" s="22">
        <f t="shared" ref="H41:K41" si="11">G41+((1-H40)*H71)</f>
        <v>376.6852247998022</v>
      </c>
      <c r="I41" s="22">
        <f t="shared" si="11"/>
        <v>382.58834149317101</v>
      </c>
      <c r="J41" s="22">
        <f t="shared" si="11"/>
        <v>387.6294006185388</v>
      </c>
      <c r="K41" s="22">
        <f t="shared" si="11"/>
        <v>393.68216587014115</v>
      </c>
      <c r="L41" s="9"/>
      <c r="M41" s="9"/>
      <c r="Q41" s="9"/>
    </row>
    <row r="42" spans="1:17" outlineLevel="1" x14ac:dyDescent="0.3">
      <c r="A42" s="1" t="s">
        <v>13</v>
      </c>
      <c r="B42" s="19">
        <v>0</v>
      </c>
      <c r="C42" s="19">
        <v>0</v>
      </c>
      <c r="D42" s="19">
        <v>0</v>
      </c>
      <c r="E42" s="19">
        <v>130.1</v>
      </c>
      <c r="F42" s="19">
        <v>127.4</v>
      </c>
      <c r="G42" s="22">
        <f>F42+G37+G38</f>
        <v>134.21129831681463</v>
      </c>
      <c r="H42" s="22">
        <f>G42+H37+H38</f>
        <v>140.26933965386399</v>
      </c>
      <c r="I42" s="22">
        <f>H42+I37+I38</f>
        <v>146.71286083825777</v>
      </c>
      <c r="J42" s="22">
        <f>I42+J37+J38</f>
        <v>154.4428318248282</v>
      </c>
      <c r="K42" s="22">
        <f>J42+K37+K38</f>
        <v>162.34503473623687</v>
      </c>
      <c r="L42" s="9"/>
      <c r="M42" s="9"/>
      <c r="Q42" s="9"/>
    </row>
    <row r="43" spans="1:17" outlineLevel="1" x14ac:dyDescent="0.3">
      <c r="A43" s="1" t="s">
        <v>54</v>
      </c>
      <c r="B43" s="34">
        <f t="shared" ref="B43:K43" si="12">B42/B41</f>
        <v>0</v>
      </c>
      <c r="C43" s="34">
        <f t="shared" si="12"/>
        <v>0</v>
      </c>
      <c r="D43" s="34">
        <f t="shared" si="12"/>
        <v>0</v>
      </c>
      <c r="E43" s="34">
        <f t="shared" si="12"/>
        <v>0.25464865922881191</v>
      </c>
      <c r="F43" s="34">
        <f t="shared" si="12"/>
        <v>0.34507042253521131</v>
      </c>
      <c r="G43" s="34">
        <f t="shared" si="12"/>
        <v>0.36157216059286246</v>
      </c>
      <c r="H43" s="34">
        <f t="shared" si="12"/>
        <v>0.37237813011756243</v>
      </c>
      <c r="I43" s="34">
        <f t="shared" si="12"/>
        <v>0.38347446831668947</v>
      </c>
      <c r="J43" s="34">
        <f t="shared" si="12"/>
        <v>0.39842909639564067</v>
      </c>
      <c r="K43" s="34">
        <f t="shared" si="12"/>
        <v>0.41237589306950606</v>
      </c>
      <c r="L43" s="9"/>
      <c r="M43" s="9"/>
      <c r="Q43" s="9"/>
    </row>
    <row r="44" spans="1:17" outlineLevel="1" x14ac:dyDescent="0.3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9"/>
      <c r="M44" s="9"/>
      <c r="Q44" s="9"/>
    </row>
    <row r="45" spans="1:17" x14ac:dyDescent="0.3">
      <c r="A45" s="36" t="s">
        <v>67</v>
      </c>
      <c r="B45" s="37"/>
      <c r="C45" s="37"/>
      <c r="D45" s="37"/>
      <c r="E45" s="37"/>
      <c r="F45" s="37"/>
      <c r="G45" s="38"/>
      <c r="H45" s="39"/>
      <c r="I45" s="39"/>
      <c r="J45" s="39"/>
      <c r="K45" s="39"/>
      <c r="L45" s="9"/>
      <c r="N45" s="2"/>
      <c r="Q45" s="9"/>
    </row>
    <row r="46" spans="1:17" outlineLevel="1" x14ac:dyDescent="0.3">
      <c r="A46" s="43" t="s">
        <v>66</v>
      </c>
      <c r="B46" s="34">
        <f t="shared" ref="B46:K46" si="13">B58/B35</f>
        <v>0.60301034807149589</v>
      </c>
      <c r="C46" s="34">
        <f t="shared" si="13"/>
        <v>0.99354283254412401</v>
      </c>
      <c r="D46" s="34">
        <f t="shared" si="13"/>
        <v>0.3125</v>
      </c>
      <c r="E46" s="34">
        <f t="shared" si="13"/>
        <v>0.4215903614457831</v>
      </c>
      <c r="F46" s="34">
        <f t="shared" si="13"/>
        <v>0.58717703349282302</v>
      </c>
      <c r="G46" s="34">
        <f t="shared" si="13"/>
        <v>0.71321566217206878</v>
      </c>
      <c r="H46" s="34">
        <f t="shared" si="13"/>
        <v>0.81889542136185423</v>
      </c>
      <c r="I46" s="34">
        <f t="shared" si="13"/>
        <v>0.8220766421627107</v>
      </c>
      <c r="J46" s="34">
        <f t="shared" si="13"/>
        <v>0.81997769209280602</v>
      </c>
      <c r="K46" s="34">
        <f t="shared" si="13"/>
        <v>0.8190682323979912</v>
      </c>
      <c r="L46" s="9"/>
      <c r="M46" s="9"/>
      <c r="Q46" s="9"/>
    </row>
    <row r="47" spans="1:17" outlineLevel="1" x14ac:dyDescent="0.3">
      <c r="A47" s="43" t="s">
        <v>64</v>
      </c>
      <c r="B47" s="34">
        <f t="shared" ref="B47:K47" si="14">B35/B41</f>
        <v>-1.125661842569714</v>
      </c>
      <c r="C47" s="34">
        <f t="shared" si="14"/>
        <v>-0.47710002053809819</v>
      </c>
      <c r="D47" s="34">
        <f t="shared" si="14"/>
        <v>1.5065801668211305</v>
      </c>
      <c r="E47" s="34">
        <f t="shared" si="14"/>
        <v>2.030730084165199</v>
      </c>
      <c r="F47" s="34">
        <f t="shared" si="14"/>
        <v>2.8304442036836406</v>
      </c>
      <c r="G47" s="34">
        <f t="shared" si="14"/>
        <v>3.0131013382738541</v>
      </c>
      <c r="H47" s="34">
        <f t="shared" si="14"/>
        <v>3.1031510843130201</v>
      </c>
      <c r="I47" s="34">
        <f t="shared" si="14"/>
        <v>3.1956205693057451</v>
      </c>
      <c r="J47" s="34">
        <f t="shared" si="14"/>
        <v>3.3202424699636723</v>
      </c>
      <c r="K47" s="34">
        <f t="shared" si="14"/>
        <v>3.4364657755792174</v>
      </c>
      <c r="L47" s="9"/>
      <c r="M47" s="9"/>
      <c r="Q47" s="9"/>
    </row>
    <row r="48" spans="1:17" outlineLevel="1" x14ac:dyDescent="0.3">
      <c r="A48" s="43" t="s">
        <v>65</v>
      </c>
      <c r="B48" s="2">
        <f t="shared" ref="B48:K48" si="15">B75</f>
        <v>-0.2811196047841914</v>
      </c>
      <c r="C48" s="2">
        <f t="shared" si="15"/>
        <v>-3.9400346620450576E-2</v>
      </c>
      <c r="D48" s="2">
        <f t="shared" si="15"/>
        <v>-0.14155118110236228</v>
      </c>
      <c r="E48" s="2">
        <f t="shared" si="15"/>
        <v>-0.14902652034750807</v>
      </c>
      <c r="F48" s="2">
        <f t="shared" si="15"/>
        <v>4.6593220338982971E-2</v>
      </c>
      <c r="G48" s="2">
        <f t="shared" si="15"/>
        <v>6.2310121938237671E-3</v>
      </c>
      <c r="H48" s="2">
        <f t="shared" si="15"/>
        <v>1.4356956207100816E-2</v>
      </c>
      <c r="I48" s="2">
        <f t="shared" si="15"/>
        <v>1.4683247820884973E-2</v>
      </c>
      <c r="J48" s="2">
        <f t="shared" si="15"/>
        <v>1.1941895113951669E-2</v>
      </c>
      <c r="K48" s="2">
        <f t="shared" si="15"/>
        <v>1.3655763692361345E-2</v>
      </c>
      <c r="L48" s="9"/>
      <c r="M48" s="9"/>
      <c r="Q48" s="9"/>
    </row>
    <row r="49" spans="1:17" outlineLevel="1" x14ac:dyDescent="0.3">
      <c r="A49" s="43"/>
      <c r="B49" s="2"/>
      <c r="C49" s="2"/>
      <c r="D49" s="2"/>
      <c r="E49" s="2"/>
      <c r="F49" s="2"/>
      <c r="G49" s="2"/>
      <c r="H49" s="2"/>
      <c r="I49" s="2"/>
      <c r="J49" s="2"/>
      <c r="K49" s="2"/>
      <c r="L49" s="9"/>
      <c r="M49" s="9"/>
      <c r="Q49" s="9"/>
    </row>
    <row r="50" spans="1:17" outlineLevel="1" x14ac:dyDescent="0.3">
      <c r="A50" s="43" t="s">
        <v>68</v>
      </c>
      <c r="B50" s="34">
        <f t="shared" ref="B50:K50" si="16">B58/(B42+B41)</f>
        <v>-0.67878573949876453</v>
      </c>
      <c r="C50" s="34">
        <f t="shared" si="16"/>
        <v>-0.47401930581228185</v>
      </c>
      <c r="D50" s="34">
        <f t="shared" si="16"/>
        <v>0.47080630213160335</v>
      </c>
      <c r="E50" s="34">
        <f t="shared" si="16"/>
        <v>0.68237129485179404</v>
      </c>
      <c r="F50" s="34">
        <f t="shared" si="16"/>
        <v>1.2356020942408377</v>
      </c>
      <c r="G50" s="34">
        <f t="shared" si="16"/>
        <v>1.5783159558967546</v>
      </c>
      <c r="H50" s="34">
        <f t="shared" si="16"/>
        <v>1.8516443529454392</v>
      </c>
      <c r="I50" s="34">
        <f t="shared" si="16"/>
        <v>1.898874961124041</v>
      </c>
      <c r="J50" s="34">
        <f t="shared" si="16"/>
        <v>1.9468450454345227</v>
      </c>
      <c r="K50" s="34">
        <f t="shared" si="16"/>
        <v>1.992883029448127</v>
      </c>
      <c r="L50" s="9"/>
      <c r="M50" s="9"/>
      <c r="Q50" s="9"/>
    </row>
    <row r="51" spans="1:17" outlineLevel="1" x14ac:dyDescent="0.3">
      <c r="A51" s="43" t="s">
        <v>9</v>
      </c>
      <c r="B51" s="2">
        <f t="shared" ref="B51:K51" si="17">(B69+(-B65*(1+B11)))/B58</f>
        <v>-0.29100000000000004</v>
      </c>
      <c r="C51" s="2">
        <f t="shared" si="17"/>
        <v>-4.1999999999999968E-2</v>
      </c>
      <c r="D51" s="2">
        <f t="shared" si="17"/>
        <v>-0.45178534487262095</v>
      </c>
      <c r="E51" s="2">
        <f t="shared" si="17"/>
        <v>-0.27792849718648083</v>
      </c>
      <c r="F51" s="2">
        <f t="shared" si="17"/>
        <v>3.5506748927374578E-2</v>
      </c>
      <c r="G51" s="2">
        <f t="shared" si="17"/>
        <v>2.0790835924988579E-2</v>
      </c>
      <c r="H51" s="2">
        <f t="shared" si="17"/>
        <v>3.5939298722276074E-2</v>
      </c>
      <c r="I51" s="2">
        <f t="shared" si="17"/>
        <v>3.6573798536748081E-2</v>
      </c>
      <c r="J51" s="2">
        <f t="shared" si="17"/>
        <v>3.1112454347017961E-2</v>
      </c>
      <c r="K51" s="2">
        <f t="shared" si="17"/>
        <v>3.4542969872930242E-2</v>
      </c>
      <c r="L51" s="9"/>
      <c r="M51" s="9"/>
      <c r="Q51" s="9"/>
    </row>
    <row r="52" spans="1:17" outlineLevel="1" x14ac:dyDescent="0.3">
      <c r="A52" s="43"/>
      <c r="B52" s="2"/>
      <c r="C52" s="2"/>
      <c r="D52" s="2"/>
      <c r="E52" s="2"/>
      <c r="F52" s="2"/>
      <c r="G52" s="2"/>
      <c r="H52" s="2"/>
      <c r="I52" s="2"/>
      <c r="J52" s="2"/>
      <c r="K52" s="2"/>
      <c r="L52" s="9"/>
      <c r="M52" s="9"/>
      <c r="Q52" s="9"/>
    </row>
    <row r="53" spans="1:17" outlineLevel="1" x14ac:dyDescent="0.3">
      <c r="A53" s="43" t="s">
        <v>69</v>
      </c>
      <c r="B53" s="2">
        <f t="shared" ref="B53:K53" si="18">B50*B51</f>
        <v>0.19752665019414051</v>
      </c>
      <c r="C53" s="2">
        <f t="shared" si="18"/>
        <v>1.9908810844115821E-2</v>
      </c>
      <c r="D53" s="2">
        <f t="shared" si="18"/>
        <v>-0.2127033875767298</v>
      </c>
      <c r="E53" s="2">
        <f t="shared" si="18"/>
        <v>-0.18965042850135211</v>
      </c>
      <c r="F53" s="2">
        <f t="shared" si="18"/>
        <v>4.3872213334347647E-2</v>
      </c>
      <c r="G53" s="2">
        <f t="shared" si="18"/>
        <v>3.2814508076840936E-2</v>
      </c>
      <c r="H53" s="2">
        <f t="shared" si="18"/>
        <v>6.6546799527921724E-2</v>
      </c>
      <c r="I53" s="2">
        <f t="shared" si="18"/>
        <v>6.9449070274626018E-2</v>
      </c>
      <c r="J53" s="2">
        <f t="shared" si="18"/>
        <v>6.0571127596799695E-2</v>
      </c>
      <c r="K53" s="2">
        <f t="shared" si="18"/>
        <v>6.8840098446500603E-2</v>
      </c>
      <c r="L53" s="9"/>
      <c r="M53" s="9"/>
      <c r="Q53" s="9"/>
    </row>
    <row r="54" spans="1:17" outlineLevel="1" x14ac:dyDescent="0.3">
      <c r="A54" s="43" t="s">
        <v>70</v>
      </c>
      <c r="B54" s="2">
        <f t="shared" ref="B54:K54" si="19">B48*B47*B46</f>
        <v>0.19081997882103779</v>
      </c>
      <c r="C54" s="2">
        <f t="shared" si="19"/>
        <v>1.8676524953789266E-2</v>
      </c>
      <c r="D54" s="2">
        <f t="shared" si="19"/>
        <v>-6.6643188137164064E-2</v>
      </c>
      <c r="E54" s="2">
        <f t="shared" si="19"/>
        <v>-0.1275870033274614</v>
      </c>
      <c r="F54" s="2">
        <f t="shared" si="19"/>
        <v>7.7436619718309743E-2</v>
      </c>
      <c r="G54" s="2">
        <f t="shared" si="19"/>
        <v>1.3390389537714469E-2</v>
      </c>
      <c r="H54" s="2">
        <f t="shared" si="19"/>
        <v>3.6483268490395626E-2</v>
      </c>
      <c r="I54" s="2">
        <f t="shared" si="19"/>
        <v>3.8573553171602486E-2</v>
      </c>
      <c r="J54" s="2">
        <f t="shared" si="19"/>
        <v>3.2512105101701494E-2</v>
      </c>
      <c r="K54" s="2">
        <f t="shared" si="19"/>
        <v>3.8436877361615759E-2</v>
      </c>
      <c r="L54" s="9"/>
      <c r="M54" s="9"/>
      <c r="Q54" s="9"/>
    </row>
    <row r="55" spans="1:17" outlineLevel="1" x14ac:dyDescent="0.3">
      <c r="A55" s="43"/>
      <c r="B55" s="2"/>
      <c r="C55" s="2"/>
      <c r="D55" s="2"/>
      <c r="E55" s="2"/>
      <c r="F55" s="2"/>
      <c r="G55" s="2"/>
      <c r="H55" s="2"/>
      <c r="I55" s="2"/>
      <c r="J55" s="2"/>
      <c r="K55" s="2"/>
      <c r="L55" s="9"/>
      <c r="M55" s="9"/>
      <c r="Q55" s="9"/>
    </row>
    <row r="56" spans="1:17" x14ac:dyDescent="0.3">
      <c r="A56" s="36" t="s">
        <v>1</v>
      </c>
      <c r="B56" s="37"/>
      <c r="C56" s="37"/>
      <c r="D56" s="37"/>
      <c r="E56" s="37"/>
      <c r="F56" s="37"/>
      <c r="G56" s="38"/>
      <c r="H56" s="39"/>
      <c r="I56" s="39"/>
      <c r="J56" s="39"/>
      <c r="K56" s="39"/>
      <c r="L56" s="9"/>
      <c r="N56" s="2"/>
      <c r="Q56" s="9"/>
    </row>
    <row r="57" spans="1:17" s="12" customFormat="1" outlineLevel="1" x14ac:dyDescent="0.3">
      <c r="L57" s="30"/>
      <c r="M57" s="30"/>
    </row>
    <row r="58" spans="1:17" outlineLevel="1" x14ac:dyDescent="0.3">
      <c r="A58" s="1" t="s">
        <v>0</v>
      </c>
      <c r="B58" s="3">
        <v>192.3</v>
      </c>
      <c r="C58" s="3">
        <v>230.8</v>
      </c>
      <c r="D58" s="3">
        <v>254</v>
      </c>
      <c r="E58" s="3">
        <v>437.4</v>
      </c>
      <c r="F58" s="3">
        <v>613.6</v>
      </c>
      <c r="G58" s="14">
        <f>F58*(1+G4)</f>
        <v>797.68000000000006</v>
      </c>
      <c r="H58" s="14">
        <f>G58*(1+H4)</f>
        <v>957.21600000000001</v>
      </c>
      <c r="I58" s="14">
        <f>H58*(1+I4)</f>
        <v>1005.0768</v>
      </c>
      <c r="J58" s="14">
        <f>I58*(1+J4)</f>
        <v>1055.3306400000001</v>
      </c>
      <c r="K58" s="14">
        <f>J58*(1+K4)</f>
        <v>1108.0971720000002</v>
      </c>
      <c r="L58" s="9"/>
      <c r="M58" s="9"/>
    </row>
    <row r="59" spans="1:17" outlineLevel="1" x14ac:dyDescent="0.3">
      <c r="A59" s="1" t="s">
        <v>37</v>
      </c>
      <c r="B59" s="29">
        <f t="shared" ref="B59:K59" si="20">B58*-(1-B5)</f>
        <v>-92.304000000000002</v>
      </c>
      <c r="C59" s="29">
        <f t="shared" si="20"/>
        <v>-73.625199999999992</v>
      </c>
      <c r="D59" s="29">
        <f t="shared" si="20"/>
        <v>-104.90200000000002</v>
      </c>
      <c r="E59" s="29">
        <f t="shared" si="20"/>
        <v>-166.21199999999999</v>
      </c>
      <c r="F59" s="29">
        <f t="shared" si="20"/>
        <v>-233.78160000000003</v>
      </c>
      <c r="G59" s="29">
        <f t="shared" si="20"/>
        <v>-312.15877333333344</v>
      </c>
      <c r="H59" s="29">
        <f t="shared" si="20"/>
        <v>-374.59052800000006</v>
      </c>
      <c r="I59" s="29">
        <f t="shared" si="20"/>
        <v>-393.32005440000012</v>
      </c>
      <c r="J59" s="29">
        <f t="shared" si="20"/>
        <v>-412.98605712000017</v>
      </c>
      <c r="K59" s="29">
        <f t="shared" si="20"/>
        <v>-433.63535997600019</v>
      </c>
      <c r="L59" s="9"/>
      <c r="M59" s="9"/>
    </row>
    <row r="60" spans="1:17" outlineLevel="1" x14ac:dyDescent="0.3">
      <c r="A60" s="6" t="s">
        <v>5</v>
      </c>
      <c r="B60" s="8">
        <f t="shared" ref="B60:K60" si="21">SUM(B58:B59)</f>
        <v>99.996000000000009</v>
      </c>
      <c r="C60" s="8">
        <f t="shared" si="21"/>
        <v>157.1748</v>
      </c>
      <c r="D60" s="8">
        <f t="shared" si="21"/>
        <v>149.09799999999998</v>
      </c>
      <c r="E60" s="8">
        <f t="shared" si="21"/>
        <v>271.18799999999999</v>
      </c>
      <c r="F60" s="8">
        <f t="shared" si="21"/>
        <v>379.8184</v>
      </c>
      <c r="G60" s="8">
        <f t="shared" si="21"/>
        <v>485.52122666666662</v>
      </c>
      <c r="H60" s="8">
        <f t="shared" si="21"/>
        <v>582.62547199999995</v>
      </c>
      <c r="I60" s="8">
        <f t="shared" si="21"/>
        <v>611.75674559999993</v>
      </c>
      <c r="J60" s="8">
        <f t="shared" si="21"/>
        <v>642.34458287999996</v>
      </c>
      <c r="K60" s="8">
        <f t="shared" si="21"/>
        <v>674.46181202399998</v>
      </c>
      <c r="L60" s="9"/>
      <c r="M60" s="9"/>
    </row>
    <row r="61" spans="1:17" outlineLevel="1" x14ac:dyDescent="0.3">
      <c r="A61" s="1" t="s">
        <v>59</v>
      </c>
      <c r="B61" s="14">
        <f t="shared" ref="B61:K61" si="22">B58*B6</f>
        <v>-25.575900000000004</v>
      </c>
      <c r="C61" s="14">
        <f t="shared" si="22"/>
        <v>-35.774000000000001</v>
      </c>
      <c r="D61" s="14">
        <f t="shared" si="22"/>
        <v>-52.832000000000001</v>
      </c>
      <c r="E61" s="14">
        <f t="shared" si="22"/>
        <v>-74.358000000000004</v>
      </c>
      <c r="F61" s="14">
        <f t="shared" si="22"/>
        <v>-82.836000000000013</v>
      </c>
      <c r="G61" s="14">
        <f t="shared" si="22"/>
        <v>-136.40328000000002</v>
      </c>
      <c r="H61" s="14">
        <f t="shared" si="22"/>
        <v>-151.87827200000004</v>
      </c>
      <c r="I61" s="14">
        <f t="shared" si="22"/>
        <v>-155.67522880000004</v>
      </c>
      <c r="J61" s="14">
        <f t="shared" si="22"/>
        <v>-170.45544152000005</v>
      </c>
      <c r="K61" s="14">
        <f t="shared" si="22"/>
        <v>-175.4760793240001</v>
      </c>
    </row>
    <row r="62" spans="1:17" outlineLevel="1" x14ac:dyDescent="0.3">
      <c r="A62" s="1" t="s">
        <v>6</v>
      </c>
      <c r="B62" s="14">
        <f t="shared" ref="B62:K62" si="23">B58*B7</f>
        <v>-127.49490000000002</v>
      </c>
      <c r="C62" s="14">
        <f t="shared" si="23"/>
        <v>-134.5564</v>
      </c>
      <c r="D62" s="14">
        <f t="shared" si="23"/>
        <v>-204.21600000000001</v>
      </c>
      <c r="E62" s="14">
        <f t="shared" si="23"/>
        <v>-318.8646</v>
      </c>
      <c r="F62" s="14">
        <f t="shared" si="23"/>
        <v>-262.62080000000003</v>
      </c>
      <c r="G62" s="14">
        <f t="shared" si="23"/>
        <v>-319.07200000000006</v>
      </c>
      <c r="H62" s="14">
        <f t="shared" si="23"/>
        <v>-382.88640000000004</v>
      </c>
      <c r="I62" s="14">
        <f t="shared" si="23"/>
        <v>-402.03072000000003</v>
      </c>
      <c r="J62" s="14">
        <f t="shared" si="23"/>
        <v>-422.1322560000001</v>
      </c>
      <c r="K62" s="14">
        <f t="shared" si="23"/>
        <v>-443.23886880000009</v>
      </c>
      <c r="M62" s="9"/>
    </row>
    <row r="63" spans="1:17" outlineLevel="1" x14ac:dyDescent="0.3">
      <c r="A63" s="1" t="s">
        <v>7</v>
      </c>
      <c r="B63" s="14">
        <f t="shared" ref="B63:K63" si="24">B58*B8</f>
        <v>-2.8845000000000001</v>
      </c>
      <c r="C63" s="14">
        <f t="shared" si="24"/>
        <v>3.4620000000000002</v>
      </c>
      <c r="D63" s="14">
        <f t="shared" si="24"/>
        <v>-6.6040000000000001</v>
      </c>
      <c r="E63" s="14">
        <f t="shared" si="24"/>
        <v>-1.7496</v>
      </c>
      <c r="F63" s="14">
        <f t="shared" si="24"/>
        <v>-12.272</v>
      </c>
      <c r="G63" s="14">
        <f t="shared" si="24"/>
        <v>-13.294666666666668</v>
      </c>
      <c r="H63" s="14">
        <f t="shared" si="24"/>
        <v>-12.975594666666668</v>
      </c>
      <c r="I63" s="14">
        <f t="shared" si="24"/>
        <v>-16.825730133333334</v>
      </c>
      <c r="J63" s="14">
        <f t="shared" si="24"/>
        <v>-16.520484586666669</v>
      </c>
      <c r="K63" s="14">
        <f t="shared" si="24"/>
        <v>-16.972583021333339</v>
      </c>
      <c r="M63" s="9"/>
    </row>
    <row r="64" spans="1:17" outlineLevel="1" x14ac:dyDescent="0.3">
      <c r="A64" s="6" t="s">
        <v>8</v>
      </c>
      <c r="B64" s="8">
        <f t="shared" ref="B64:K64" si="25">SUM(B60:B63)</f>
        <v>-55.959300000000013</v>
      </c>
      <c r="C64" s="8">
        <f t="shared" si="25"/>
        <v>-9.6935999999999929</v>
      </c>
      <c r="D64" s="8">
        <f t="shared" si="25"/>
        <v>-114.55400000000002</v>
      </c>
      <c r="E64" s="8">
        <f t="shared" si="25"/>
        <v>-123.78420000000001</v>
      </c>
      <c r="F64" s="8">
        <f t="shared" si="25"/>
        <v>22.089599999999955</v>
      </c>
      <c r="G64" s="8">
        <f t="shared" si="25"/>
        <v>16.751279999999898</v>
      </c>
      <c r="H64" s="8">
        <f t="shared" si="25"/>
        <v>34.885205333333204</v>
      </c>
      <c r="I64" s="8">
        <f t="shared" si="25"/>
        <v>37.22506666666655</v>
      </c>
      <c r="J64" s="8">
        <f t="shared" si="25"/>
        <v>33.236400773333173</v>
      </c>
      <c r="K64" s="8">
        <f t="shared" si="25"/>
        <v>38.774280878666431</v>
      </c>
      <c r="M64" s="9"/>
    </row>
    <row r="65" spans="1:13" outlineLevel="1" x14ac:dyDescent="0.3">
      <c r="A65" s="1" t="s">
        <v>10</v>
      </c>
      <c r="B65" s="3">
        <v>1.9</v>
      </c>
      <c r="C65" s="3">
        <v>0.6</v>
      </c>
      <c r="D65" s="3">
        <v>-0.3</v>
      </c>
      <c r="E65" s="14">
        <f t="shared" ref="E65:K65" si="26">E42*E10</f>
        <v>6.6</v>
      </c>
      <c r="F65" s="14">
        <f t="shared" si="26"/>
        <v>29</v>
      </c>
      <c r="G65" s="14">
        <f t="shared" si="26"/>
        <v>-6.7105649158407319</v>
      </c>
      <c r="H65" s="14">
        <f t="shared" si="26"/>
        <v>-7.0134669826931999</v>
      </c>
      <c r="I65" s="14">
        <f t="shared" si="26"/>
        <v>-7.3356430419128884</v>
      </c>
      <c r="J65" s="14">
        <f t="shared" si="26"/>
        <v>-7.7221415912414102</v>
      </c>
      <c r="K65" s="14">
        <f t="shared" si="26"/>
        <v>-8.1172517368118431</v>
      </c>
      <c r="M65" s="9"/>
    </row>
    <row r="66" spans="1:13" outlineLevel="1" x14ac:dyDescent="0.3">
      <c r="A66" s="1" t="s">
        <v>11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/>
      <c r="M66" s="9"/>
    </row>
    <row r="67" spans="1:13" outlineLevel="1" x14ac:dyDescent="0.3">
      <c r="A67" s="6" t="s">
        <v>15</v>
      </c>
      <c r="B67" s="8">
        <f t="shared" ref="B67:F67" si="27">SUM(B64:B66)</f>
        <v>-54.059300000000015</v>
      </c>
      <c r="C67" s="8">
        <f t="shared" si="27"/>
        <v>-9.0935999999999932</v>
      </c>
      <c r="D67" s="8">
        <f t="shared" si="27"/>
        <v>-114.85400000000001</v>
      </c>
      <c r="E67" s="8">
        <f t="shared" si="27"/>
        <v>-117.18420000000002</v>
      </c>
      <c r="F67" s="8">
        <f t="shared" si="27"/>
        <v>51.089599999999955</v>
      </c>
      <c r="G67" s="8">
        <f>SUM(G64:G66)</f>
        <v>10.040715084159167</v>
      </c>
      <c r="H67" s="8">
        <f>SUM(H64:H66)</f>
        <v>27.871738350640005</v>
      </c>
      <c r="I67" s="8">
        <f>SUM(I64:I66)</f>
        <v>29.889423624753661</v>
      </c>
      <c r="J67" s="8">
        <f>SUM(J64:J66)</f>
        <v>25.514259182091763</v>
      </c>
      <c r="K67" s="8">
        <f>SUM(K64:K66)</f>
        <v>30.657029141854586</v>
      </c>
    </row>
    <row r="68" spans="1:13" outlineLevel="1" x14ac:dyDescent="0.3">
      <c r="A68" s="1" t="s">
        <v>16</v>
      </c>
      <c r="B68" s="14">
        <f t="shared" ref="B68" si="28">B67*B11</f>
        <v>0</v>
      </c>
      <c r="C68" s="14">
        <f t="shared" ref="C68" si="29">C67*C11</f>
        <v>0</v>
      </c>
      <c r="D68" s="14">
        <f t="shared" ref="D68" si="30">D67*D11</f>
        <v>-0.2</v>
      </c>
      <c r="E68" s="14">
        <f t="shared" ref="E68" si="31">E67*E11</f>
        <v>2.1</v>
      </c>
      <c r="F68" s="14">
        <f t="shared" ref="F68" si="32">F67*F11</f>
        <v>-0.7</v>
      </c>
      <c r="G68" s="14">
        <f t="shared" ref="G68" si="33">G67*G11</f>
        <v>-0.10000747062048093</v>
      </c>
      <c r="H68" s="14">
        <f t="shared" ref="H68" si="34">H67*H11</f>
        <v>-0.38632196516757372</v>
      </c>
      <c r="I68" s="14">
        <f t="shared" ref="I68" si="35">I67*I11</f>
        <v>-0.37384015790957476</v>
      </c>
      <c r="J68" s="14">
        <f t="shared" ref="J68" si="36">J67*J11</f>
        <v>-0.30896355525278368</v>
      </c>
      <c r="K68" s="14">
        <f t="shared" ref="K68" si="37">K67*K11</f>
        <v>-0.39320288384281216</v>
      </c>
      <c r="L68" s="2"/>
    </row>
    <row r="69" spans="1:13" outlineLevel="1" x14ac:dyDescent="0.3">
      <c r="A69" s="6" t="s">
        <v>62</v>
      </c>
      <c r="B69" s="8">
        <f t="shared" ref="B69:K69" si="38">SUM(B67:B68)</f>
        <v>-54.059300000000015</v>
      </c>
      <c r="C69" s="8">
        <f t="shared" si="38"/>
        <v>-9.0935999999999932</v>
      </c>
      <c r="D69" s="8">
        <f t="shared" si="38"/>
        <v>-115.05400000000002</v>
      </c>
      <c r="E69" s="8">
        <f t="shared" si="38"/>
        <v>-115.08420000000002</v>
      </c>
      <c r="F69" s="8">
        <f t="shared" si="38"/>
        <v>50.389599999999952</v>
      </c>
      <c r="G69" s="8">
        <f t="shared" si="38"/>
        <v>9.9407076135386863</v>
      </c>
      <c r="H69" s="8">
        <f t="shared" si="38"/>
        <v>27.48541638547243</v>
      </c>
      <c r="I69" s="8">
        <f t="shared" si="38"/>
        <v>29.515583466844085</v>
      </c>
      <c r="J69" s="8">
        <f t="shared" si="38"/>
        <v>25.205295626838979</v>
      </c>
      <c r="K69" s="8">
        <f t="shared" si="38"/>
        <v>30.263826258011775</v>
      </c>
    </row>
    <row r="70" spans="1:13" outlineLevel="1" x14ac:dyDescent="0.3">
      <c r="A70" s="1" t="s">
        <v>61</v>
      </c>
      <c r="B70" s="14">
        <f t="shared" ref="B70:K70" si="39">B69*B12</f>
        <v>0</v>
      </c>
      <c r="C70" s="14">
        <f t="shared" si="39"/>
        <v>0</v>
      </c>
      <c r="D70" s="14">
        <f t="shared" si="39"/>
        <v>79.099999999999994</v>
      </c>
      <c r="E70" s="14">
        <f t="shared" si="39"/>
        <v>49.9</v>
      </c>
      <c r="F70" s="14">
        <f t="shared" si="39"/>
        <v>-21.8</v>
      </c>
      <c r="G70" s="14">
        <f t="shared" si="39"/>
        <v>-4.9703538067693431</v>
      </c>
      <c r="H70" s="14">
        <f t="shared" si="39"/>
        <v>-13.742708192736215</v>
      </c>
      <c r="I70" s="14">
        <f t="shared" si="39"/>
        <v>-14.757791733422042</v>
      </c>
      <c r="J70" s="14">
        <f t="shared" si="39"/>
        <v>-12.602647813419489</v>
      </c>
      <c r="K70" s="14">
        <f t="shared" si="39"/>
        <v>-15.131913129005888</v>
      </c>
      <c r="L70" s="2"/>
    </row>
    <row r="71" spans="1:13" outlineLevel="1" x14ac:dyDescent="0.3">
      <c r="A71" s="6" t="s">
        <v>63</v>
      </c>
      <c r="B71" s="8">
        <f>SUM(B69:B70)</f>
        <v>-54.059300000000015</v>
      </c>
      <c r="C71" s="8">
        <f t="shared" ref="C71:K71" si="40">SUM(C69:C70)</f>
        <v>-9.0935999999999932</v>
      </c>
      <c r="D71" s="8">
        <f t="shared" si="40"/>
        <v>-35.954000000000022</v>
      </c>
      <c r="E71" s="8">
        <f t="shared" si="40"/>
        <v>-65.184200000000033</v>
      </c>
      <c r="F71" s="8">
        <f t="shared" si="40"/>
        <v>28.589599999999951</v>
      </c>
      <c r="G71" s="8">
        <f t="shared" si="40"/>
        <v>4.9703538067693431</v>
      </c>
      <c r="H71" s="8">
        <f t="shared" si="40"/>
        <v>13.742708192736215</v>
      </c>
      <c r="I71" s="8">
        <f t="shared" si="40"/>
        <v>14.757791733422042</v>
      </c>
      <c r="J71" s="8">
        <f t="shared" si="40"/>
        <v>12.602647813419489</v>
      </c>
      <c r="K71" s="8">
        <f t="shared" si="40"/>
        <v>15.131913129005888</v>
      </c>
    </row>
    <row r="72" spans="1:13" outlineLevel="1" x14ac:dyDescent="0.3">
      <c r="A72" s="5"/>
      <c r="B72" s="11"/>
      <c r="C72" s="11"/>
      <c r="D72" s="11"/>
      <c r="E72" s="11"/>
      <c r="F72" s="11"/>
      <c r="G72" s="5"/>
      <c r="H72" s="5"/>
      <c r="I72" s="5"/>
      <c r="J72" s="5"/>
      <c r="K72" s="5"/>
    </row>
    <row r="73" spans="1:13" outlineLevel="1" x14ac:dyDescent="0.3">
      <c r="A73" s="1" t="s">
        <v>4</v>
      </c>
      <c r="B73" s="2">
        <f t="shared" ref="B73:K73" si="41">B60/B58</f>
        <v>0.52</v>
      </c>
      <c r="C73" s="2">
        <f t="shared" si="41"/>
        <v>0.68099999999999994</v>
      </c>
      <c r="D73" s="2">
        <f t="shared" si="41"/>
        <v>0.58699999999999997</v>
      </c>
      <c r="E73" s="2">
        <f t="shared" si="41"/>
        <v>0.62</v>
      </c>
      <c r="F73" s="2">
        <f t="shared" si="41"/>
        <v>0.61899999999999999</v>
      </c>
      <c r="G73" s="2">
        <f t="shared" si="41"/>
        <v>0.60866666666666658</v>
      </c>
      <c r="H73" s="2">
        <f t="shared" si="41"/>
        <v>0.60866666666666658</v>
      </c>
      <c r="I73" s="2">
        <f t="shared" si="41"/>
        <v>0.60866666666666658</v>
      </c>
      <c r="J73" s="2">
        <f t="shared" si="41"/>
        <v>0.60866666666666658</v>
      </c>
      <c r="K73" s="2">
        <f t="shared" si="41"/>
        <v>0.60866666666666658</v>
      </c>
    </row>
    <row r="74" spans="1:13" outlineLevel="1" x14ac:dyDescent="0.3">
      <c r="A74" s="1" t="s">
        <v>9</v>
      </c>
      <c r="B74" s="2">
        <f t="shared" ref="B74:K74" si="42">B64/B58</f>
        <v>-0.29100000000000004</v>
      </c>
      <c r="C74" s="2">
        <f t="shared" si="42"/>
        <v>-4.1999999999999968E-2</v>
      </c>
      <c r="D74" s="2">
        <f t="shared" si="42"/>
        <v>-0.45100000000000007</v>
      </c>
      <c r="E74" s="2">
        <f t="shared" si="42"/>
        <v>-0.28300000000000003</v>
      </c>
      <c r="F74" s="2">
        <f t="shared" si="42"/>
        <v>3.5999999999999928E-2</v>
      </c>
      <c r="G74" s="2">
        <f t="shared" si="42"/>
        <v>2.0999999999999869E-2</v>
      </c>
      <c r="H74" s="2">
        <f t="shared" si="42"/>
        <v>3.6444444444444307E-2</v>
      </c>
      <c r="I74" s="2">
        <f t="shared" si="42"/>
        <v>3.7037037037036917E-2</v>
      </c>
      <c r="J74" s="2">
        <f t="shared" si="42"/>
        <v>3.1493827160493669E-2</v>
      </c>
      <c r="K74" s="2">
        <f t="shared" si="42"/>
        <v>3.4991769547324886E-2</v>
      </c>
    </row>
    <row r="75" spans="1:13" outlineLevel="1" x14ac:dyDescent="0.3">
      <c r="A75" s="1" t="s">
        <v>12</v>
      </c>
      <c r="B75" s="2">
        <f t="shared" ref="B75:K75" si="43">B71/B58</f>
        <v>-0.2811196047841914</v>
      </c>
      <c r="C75" s="2">
        <f t="shared" si="43"/>
        <v>-3.9400346620450576E-2</v>
      </c>
      <c r="D75" s="2">
        <f t="shared" si="43"/>
        <v>-0.14155118110236228</v>
      </c>
      <c r="E75" s="2">
        <f t="shared" si="43"/>
        <v>-0.14902652034750807</v>
      </c>
      <c r="F75" s="2">
        <f t="shared" si="43"/>
        <v>4.6593220338982971E-2</v>
      </c>
      <c r="G75" s="2">
        <f t="shared" si="43"/>
        <v>6.2310121938237671E-3</v>
      </c>
      <c r="H75" s="2">
        <f t="shared" si="43"/>
        <v>1.4356956207100816E-2</v>
      </c>
      <c r="I75" s="2">
        <f t="shared" si="43"/>
        <v>1.4683247820884973E-2</v>
      </c>
      <c r="J75" s="2">
        <f t="shared" si="43"/>
        <v>1.1941895113951669E-2</v>
      </c>
      <c r="K75" s="2">
        <f t="shared" si="43"/>
        <v>1.3655763692361345E-2</v>
      </c>
      <c r="L75" s="2"/>
    </row>
    <row r="76" spans="1:13" outlineLevel="1" x14ac:dyDescent="0.3">
      <c r="L76" s="2"/>
    </row>
    <row r="77" spans="1:13" outlineLevel="1" x14ac:dyDescent="0.3">
      <c r="A77" s="1" t="s">
        <v>48</v>
      </c>
      <c r="B77" s="19">
        <v>15.099999999999982</v>
      </c>
      <c r="C77" s="14">
        <f t="shared" ref="C77" si="44">B81</f>
        <v>26.899999999999981</v>
      </c>
      <c r="D77" s="14">
        <f t="shared" ref="D77" si="45">C81</f>
        <v>35.199999999999996</v>
      </c>
      <c r="E77" s="14">
        <f t="shared" ref="E77" si="46">D81</f>
        <v>44.500000000000007</v>
      </c>
      <c r="F77" s="14">
        <f t="shared" ref="F77" si="47">E81</f>
        <v>181.8</v>
      </c>
      <c r="G77" s="14">
        <f t="shared" ref="G77" si="48">F81</f>
        <v>178.5</v>
      </c>
      <c r="H77" s="14">
        <f t="shared" ref="H77" si="49">G81</f>
        <v>224.63921360225282</v>
      </c>
      <c r="I77" s="14">
        <f t="shared" ref="I77" si="50">H81</f>
        <v>264.9949681682279</v>
      </c>
      <c r="J77" s="14">
        <f t="shared" ref="J77" si="51">I81</f>
        <v>306.102254959204</v>
      </c>
      <c r="K77" s="14">
        <f t="shared" ref="K77" si="52">J81</f>
        <v>344.38956777592028</v>
      </c>
      <c r="L77" s="2"/>
    </row>
    <row r="78" spans="1:13" outlineLevel="1" x14ac:dyDescent="0.3">
      <c r="A78" s="1" t="s">
        <v>49</v>
      </c>
      <c r="B78" s="19">
        <v>-2.9</v>
      </c>
      <c r="C78" s="14">
        <f>B81*-C31</f>
        <v>-5.6999999999999966</v>
      </c>
      <c r="D78" s="14">
        <f t="shared" ref="D78:K78" si="53">C81*-D31</f>
        <v>-6.8999999999999986</v>
      </c>
      <c r="E78" s="14">
        <f t="shared" si="53"/>
        <v>-11.100000000000001</v>
      </c>
      <c r="F78" s="14">
        <f t="shared" si="53"/>
        <v>-13.299999999999999</v>
      </c>
      <c r="G78" s="14">
        <f t="shared" si="53"/>
        <v>-30.857785592463742</v>
      </c>
      <c r="H78" s="14">
        <f t="shared" si="53"/>
        <v>-37.100533909350922</v>
      </c>
      <c r="I78" s="14">
        <f t="shared" si="53"/>
        <v>-36.320753837168979</v>
      </c>
      <c r="J78" s="14">
        <f t="shared" si="53"/>
        <v>-48.475464062686797</v>
      </c>
      <c r="K78" s="14">
        <f t="shared" si="53"/>
        <v>-52.873185471183184</v>
      </c>
      <c r="L78" s="2"/>
    </row>
    <row r="79" spans="1:13" outlineLevel="1" x14ac:dyDescent="0.3">
      <c r="A79" s="1" t="s">
        <v>19</v>
      </c>
      <c r="B79" s="14">
        <f t="shared" ref="B79:K79" si="54">B58*B29</f>
        <v>14.7</v>
      </c>
      <c r="C79" s="14">
        <f t="shared" si="54"/>
        <v>16.5</v>
      </c>
      <c r="D79" s="14">
        <f t="shared" si="54"/>
        <v>28.1</v>
      </c>
      <c r="E79" s="14">
        <f t="shared" si="54"/>
        <v>31.399999999999995</v>
      </c>
      <c r="F79" s="14">
        <f t="shared" si="54"/>
        <v>25.6</v>
      </c>
      <c r="G79" s="14">
        <f t="shared" si="54"/>
        <v>59.596999194716574</v>
      </c>
      <c r="H79" s="14">
        <f t="shared" si="54"/>
        <v>60.056288475326042</v>
      </c>
      <c r="I79" s="14">
        <f t="shared" si="54"/>
        <v>60.028040628145085</v>
      </c>
      <c r="J79" s="14">
        <f t="shared" si="54"/>
        <v>69.362776879403114</v>
      </c>
      <c r="K79" s="14">
        <f t="shared" si="54"/>
        <v>69.511497154050844</v>
      </c>
      <c r="L79" s="2"/>
    </row>
    <row r="80" spans="1:13" outlineLevel="1" x14ac:dyDescent="0.3">
      <c r="A80" s="1" t="s">
        <v>50</v>
      </c>
      <c r="B80" s="19">
        <v>0</v>
      </c>
      <c r="C80" s="19">
        <v>-2.4999999999999911</v>
      </c>
      <c r="D80" s="19">
        <v>-11.899999999999991</v>
      </c>
      <c r="E80" s="19">
        <v>117.00000000000003</v>
      </c>
      <c r="F80" s="19">
        <v>-15.599999999999987</v>
      </c>
      <c r="G80" s="19">
        <v>17.399999999999999</v>
      </c>
      <c r="H80" s="19">
        <v>17.399999999999999</v>
      </c>
      <c r="I80" s="19">
        <v>17.399999999999999</v>
      </c>
      <c r="J80" s="19">
        <v>17.399999999999999</v>
      </c>
      <c r="K80" s="19">
        <v>17.399999999999999</v>
      </c>
      <c r="L80" s="2"/>
    </row>
    <row r="81" spans="1:12" outlineLevel="1" x14ac:dyDescent="0.3">
      <c r="A81" s="6" t="s">
        <v>51</v>
      </c>
      <c r="B81" s="8">
        <f>SUM(B77:B80)</f>
        <v>26.899999999999981</v>
      </c>
      <c r="C81" s="8">
        <f t="shared" ref="C81:D81" si="55">SUM(C77:C80)</f>
        <v>35.199999999999996</v>
      </c>
      <c r="D81" s="8">
        <f t="shared" si="55"/>
        <v>44.500000000000007</v>
      </c>
      <c r="E81" s="8">
        <f t="shared" ref="E81" si="56">SUM(E77:E80)</f>
        <v>181.8</v>
      </c>
      <c r="F81" s="8">
        <f t="shared" ref="F81" si="57">SUM(F77:F80)</f>
        <v>178.5</v>
      </c>
      <c r="G81" s="8">
        <f t="shared" ref="G81" si="58">SUM(G77:G80)</f>
        <v>224.63921360225282</v>
      </c>
      <c r="H81" s="8">
        <f t="shared" ref="H81" si="59">SUM(H77:H80)</f>
        <v>264.9949681682279</v>
      </c>
      <c r="I81" s="8">
        <f t="shared" ref="I81" si="60">SUM(I77:I80)</f>
        <v>306.102254959204</v>
      </c>
      <c r="J81" s="8">
        <f t="shared" ref="J81" si="61">SUM(J77:J80)</f>
        <v>344.38956777592028</v>
      </c>
      <c r="K81" s="8">
        <f t="shared" ref="K81" si="62">SUM(K77:K80)</f>
        <v>378.42787945878791</v>
      </c>
      <c r="L81" s="2"/>
    </row>
    <row r="82" spans="1:12" outlineLevel="1" x14ac:dyDescent="0.3">
      <c r="A82" s="14"/>
      <c r="B82" s="14"/>
      <c r="C82" s="14"/>
      <c r="D82" s="14"/>
      <c r="E82" s="14"/>
      <c r="F82" s="14"/>
      <c r="G82" s="9"/>
      <c r="H82" s="9"/>
      <c r="I82" s="9"/>
      <c r="J82" s="9"/>
      <c r="K82" s="9"/>
      <c r="L82" s="2"/>
    </row>
    <row r="83" spans="1:12" outlineLevel="1" x14ac:dyDescent="0.3">
      <c r="A83" s="1" t="s">
        <v>34</v>
      </c>
      <c r="B83" s="14"/>
      <c r="C83" s="14">
        <f t="shared" ref="C83:K83" si="63">-(C22-B22)</f>
        <v>-0.60000000000000009</v>
      </c>
      <c r="D83" s="14">
        <f t="shared" si="63"/>
        <v>-6.3999999999999995</v>
      </c>
      <c r="E83" s="14">
        <f t="shared" si="63"/>
        <v>4.3</v>
      </c>
      <c r="F83" s="14">
        <f t="shared" si="63"/>
        <v>1.4</v>
      </c>
      <c r="G83" s="14">
        <f t="shared" si="63"/>
        <v>-7.6897477242642349</v>
      </c>
      <c r="H83" s="14">
        <f t="shared" si="63"/>
        <v>0.10147734969342892</v>
      </c>
      <c r="I83" s="14">
        <f t="shared" si="63"/>
        <v>0.56208169928004637</v>
      </c>
      <c r="J83" s="14">
        <f t="shared" si="63"/>
        <v>-1.9932454701163067</v>
      </c>
      <c r="K83" s="14">
        <f t="shared" si="63"/>
        <v>0.1042840255577282</v>
      </c>
    </row>
    <row r="84" spans="1:12" outlineLevel="1" x14ac:dyDescent="0.3">
      <c r="A84" s="1" t="s">
        <v>32</v>
      </c>
      <c r="B84" s="14"/>
      <c r="C84" s="14">
        <f t="shared" ref="C84:K84" si="64">-(C23-B23)</f>
        <v>0</v>
      </c>
      <c r="D84" s="14">
        <f t="shared" si="64"/>
        <v>0</v>
      </c>
      <c r="E84" s="14">
        <f t="shared" si="64"/>
        <v>0</v>
      </c>
      <c r="F84" s="14">
        <f t="shared" si="64"/>
        <v>0</v>
      </c>
      <c r="G84" s="14">
        <f t="shared" si="64"/>
        <v>-1.0630173864659E-37</v>
      </c>
      <c r="H84" s="14">
        <f t="shared" si="64"/>
        <v>-4.7523217781301586E-39</v>
      </c>
      <c r="I84" s="14">
        <f t="shared" si="64"/>
        <v>-5.5424308505128301E-39</v>
      </c>
      <c r="J84" s="14">
        <f t="shared" si="64"/>
        <v>-2.7753714620329442E-38</v>
      </c>
      <c r="K84" s="14">
        <f t="shared" si="64"/>
        <v>-2.2120622779214456E-39</v>
      </c>
    </row>
    <row r="85" spans="1:12" outlineLevel="1" x14ac:dyDescent="0.3">
      <c r="A85" s="1" t="s">
        <v>33</v>
      </c>
      <c r="B85" s="14"/>
      <c r="C85" s="14">
        <f t="shared" ref="C85:K85" si="65">C24-B24</f>
        <v>1.1000000000000014</v>
      </c>
      <c r="D85" s="14">
        <f t="shared" si="65"/>
        <v>16.099999999999994</v>
      </c>
      <c r="E85" s="14">
        <f t="shared" si="65"/>
        <v>-4.6999999999999957</v>
      </c>
      <c r="F85" s="14">
        <f t="shared" si="65"/>
        <v>35.9</v>
      </c>
      <c r="G85" s="14">
        <f t="shared" si="65"/>
        <v>10.525927620525565</v>
      </c>
      <c r="H85" s="14">
        <f t="shared" si="65"/>
        <v>9.4711333252212029</v>
      </c>
      <c r="I85" s="14">
        <f t="shared" si="65"/>
        <v>5.7699490672501668</v>
      </c>
      <c r="J85" s="14">
        <f t="shared" si="65"/>
        <v>6.939597469765701</v>
      </c>
      <c r="K85" s="14">
        <f t="shared" si="65"/>
        <v>3.5555222084207116</v>
      </c>
    </row>
    <row r="86" spans="1:12" outlineLevel="1" x14ac:dyDescent="0.3">
      <c r="A86" s="6" t="s">
        <v>21</v>
      </c>
      <c r="B86" s="8"/>
      <c r="C86" s="8">
        <f t="shared" ref="C86:K86" si="66">SUM(C83:C85)</f>
        <v>0.50000000000000133</v>
      </c>
      <c r="D86" s="8">
        <f t="shared" si="66"/>
        <v>9.6999999999999957</v>
      </c>
      <c r="E86" s="8">
        <f t="shared" si="66"/>
        <v>-0.39999999999999591</v>
      </c>
      <c r="F86" s="8">
        <f t="shared" si="66"/>
        <v>37.299999999999997</v>
      </c>
      <c r="G86" s="8">
        <f t="shared" si="66"/>
        <v>2.8361798962613296</v>
      </c>
      <c r="H86" s="8">
        <f t="shared" si="66"/>
        <v>9.5726106749146318</v>
      </c>
      <c r="I86" s="8">
        <f t="shared" si="66"/>
        <v>6.3320307665302131</v>
      </c>
      <c r="J86" s="8">
        <f t="shared" si="66"/>
        <v>4.9463519996493943</v>
      </c>
      <c r="K86" s="8">
        <f t="shared" si="66"/>
        <v>3.6598062339784398</v>
      </c>
      <c r="L86" s="2"/>
    </row>
    <row r="87" spans="1:12" outlineLevel="1" x14ac:dyDescent="0.3"/>
    <row r="88" spans="1:12" outlineLevel="1" x14ac:dyDescent="0.3">
      <c r="A88" s="6" t="s">
        <v>22</v>
      </c>
      <c r="B88" s="8"/>
      <c r="C88" s="8">
        <f t="shared" ref="C88:K88" si="67">-C79*(1-C20)+C86*(1-C20)</f>
        <v>-15.999999999999998</v>
      </c>
      <c r="D88" s="8">
        <f t="shared" si="67"/>
        <v>-18.400000000000006</v>
      </c>
      <c r="E88" s="8">
        <f t="shared" si="67"/>
        <v>-27.812356626506016</v>
      </c>
      <c r="F88" s="8">
        <f t="shared" si="67"/>
        <v>10.273607655502389</v>
      </c>
      <c r="G88" s="8">
        <f t="shared" si="67"/>
        <v>-49.949520982640614</v>
      </c>
      <c r="H88" s="8">
        <f t="shared" si="67"/>
        <v>-44.425636464362043</v>
      </c>
      <c r="I88" s="8">
        <f t="shared" si="67"/>
        <v>-47.252488678221084</v>
      </c>
      <c r="J88" s="8">
        <f t="shared" si="67"/>
        <v>-56.686453894183273</v>
      </c>
      <c r="K88" s="8">
        <f t="shared" si="67"/>
        <v>-57.949488009663717</v>
      </c>
    </row>
    <row r="89" spans="1:12" outlineLevel="1" x14ac:dyDescent="0.3">
      <c r="A89" s="5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2" ht="17.25" outlineLevel="1" thickBot="1" x14ac:dyDescent="0.35">
      <c r="G90" s="4">
        <v>1</v>
      </c>
      <c r="H90" s="4">
        <v>2</v>
      </c>
      <c r="I90" s="4">
        <v>3</v>
      </c>
      <c r="J90" s="4">
        <v>4</v>
      </c>
      <c r="K90" s="4">
        <v>5</v>
      </c>
    </row>
    <row r="91" spans="1:12" ht="17.25" thickBot="1" x14ac:dyDescent="0.35">
      <c r="A91" s="16" t="s">
        <v>23</v>
      </c>
      <c r="B91" s="17"/>
      <c r="C91" s="17">
        <f t="shared" ref="C91:K91" si="68">C71+(-C78)+C88+C38</f>
        <v>-19.393599998999996</v>
      </c>
      <c r="D91" s="17">
        <f t="shared" si="68"/>
        <v>-47.453999999000033</v>
      </c>
      <c r="E91" s="17">
        <f t="shared" si="68"/>
        <v>-81.896556625506051</v>
      </c>
      <c r="F91" s="17">
        <f t="shared" si="68"/>
        <v>52.163207656502337</v>
      </c>
      <c r="G91" s="17">
        <f t="shared" si="68"/>
        <v>-14.121381582407526</v>
      </c>
      <c r="H91" s="17">
        <f t="shared" si="68"/>
        <v>6.4176056387250959</v>
      </c>
      <c r="I91" s="17">
        <f t="shared" si="68"/>
        <v>3.8260568933699339</v>
      </c>
      <c r="J91" s="17">
        <f t="shared" si="68"/>
        <v>4.3916579829230109</v>
      </c>
      <c r="K91" s="18">
        <f t="shared" si="68"/>
        <v>10.055610591525355</v>
      </c>
    </row>
    <row r="92" spans="1:12" ht="17.25" thickBot="1" x14ac:dyDescent="0.35">
      <c r="A92" s="5"/>
      <c r="B92" s="11"/>
      <c r="C92" s="11"/>
      <c r="D92" s="11"/>
      <c r="E92" s="11"/>
      <c r="F92" s="11"/>
      <c r="G92" s="11"/>
      <c r="H92" s="11"/>
      <c r="I92" s="11"/>
      <c r="J92" s="11"/>
      <c r="K92" s="11" t="s">
        <v>26</v>
      </c>
    </row>
    <row r="93" spans="1:12" ht="17.25" thickBot="1" x14ac:dyDescent="0.35">
      <c r="A93" s="32" t="s">
        <v>27</v>
      </c>
      <c r="B93" s="33"/>
      <c r="C93" s="33"/>
      <c r="D93" s="33"/>
      <c r="E93" s="33"/>
      <c r="F93" s="33"/>
      <c r="G93" s="17">
        <f>G91/((1+$B$98)^G90)</f>
        <v>-12.552339184362246</v>
      </c>
      <c r="H93" s="17">
        <f>H91/((1+$B$98)^H90)</f>
        <v>5.0707007515852611</v>
      </c>
      <c r="I93" s="17">
        <f>I91/((1+$B$98)^I90)</f>
        <v>2.6871620430801184</v>
      </c>
      <c r="J93" s="17">
        <f>J91/((1+$B$98)^J90)</f>
        <v>2.7416904584747224</v>
      </c>
      <c r="K93" s="18">
        <f>(K91/(B98-B101))/((1+$B$98)^K90)</f>
        <v>58.738415796176916</v>
      </c>
    </row>
    <row r="94" spans="1:12" x14ac:dyDescent="0.3">
      <c r="A94" s="5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2" x14ac:dyDescent="0.3">
      <c r="A95" s="1" t="s">
        <v>43</v>
      </c>
      <c r="B95" s="21">
        <v>2.5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1:12" x14ac:dyDescent="0.3">
      <c r="A96" s="1" t="s">
        <v>45</v>
      </c>
      <c r="B96" s="7">
        <v>0.08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1:11" x14ac:dyDescent="0.3">
      <c r="A97" s="1" t="s">
        <v>44</v>
      </c>
      <c r="B97" s="7">
        <v>0.05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1:11" x14ac:dyDescent="0.3">
      <c r="A98" s="1" t="s">
        <v>25</v>
      </c>
      <c r="B98" s="23">
        <f>B97+((B96-B97)*B95)</f>
        <v>0.125</v>
      </c>
    </row>
    <row r="99" spans="1:11" x14ac:dyDescent="0.3">
      <c r="A99" s="1" t="s">
        <v>46</v>
      </c>
      <c r="B99" s="19">
        <v>28.74</v>
      </c>
    </row>
    <row r="101" spans="1:11" x14ac:dyDescent="0.3">
      <c r="A101" s="1" t="s">
        <v>24</v>
      </c>
      <c r="B101" s="24">
        <v>0.03</v>
      </c>
    </row>
    <row r="102" spans="1:11" x14ac:dyDescent="0.3">
      <c r="A102" s="1" t="s">
        <v>39</v>
      </c>
      <c r="B102" s="25">
        <v>93.12</v>
      </c>
    </row>
    <row r="103" spans="1:11" ht="17.25" thickBot="1" x14ac:dyDescent="0.35"/>
    <row r="104" spans="1:11" ht="17.25" thickBot="1" x14ac:dyDescent="0.35">
      <c r="A104" s="1" t="s">
        <v>28</v>
      </c>
      <c r="B104" s="40">
        <f>(G93+H93+I93+J93+K93)/B102</f>
        <v>0.60873743411678227</v>
      </c>
    </row>
    <row r="105" spans="1:11" x14ac:dyDescent="0.3">
      <c r="A105" s="1" t="s">
        <v>47</v>
      </c>
      <c r="B105" s="41">
        <f>B104/B99-1</f>
        <v>-0.97881915678090525</v>
      </c>
    </row>
  </sheetData>
  <conditionalFormatting sqref="B10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d diaz</dc:creator>
  <cp:lastModifiedBy>aitor d diaz</cp:lastModifiedBy>
  <dcterms:created xsi:type="dcterms:W3CDTF">2024-05-02T11:14:28Z</dcterms:created>
  <dcterms:modified xsi:type="dcterms:W3CDTF">2024-09-03T10:36:54Z</dcterms:modified>
</cp:coreProperties>
</file>