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omments6.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codeName="ThisWorkbook" defaultThemeVersion="124226"/>
  <mc:AlternateContent xmlns:mc="http://schemas.openxmlformats.org/markup-compatibility/2006">
    <mc:Choice Requires="x15">
      <x15ac:absPath xmlns:x15ac="http://schemas.microsoft.com/office/spreadsheetml/2010/11/ac" url="https://aplitecgroupe.sharepoint.com/sites/Equipes59/Documents partages/Dossiers EC/EMZ Partners/Bolzen - SLP/Exercice 2025/2- Fichier VL/Situation 2025-12-31/"/>
    </mc:Choice>
  </mc:AlternateContent>
  <xr:revisionPtr revIDLastSave="0" documentId="8_{160D8C42-6F51-4ED9-986E-56E89DCACD3D}" xr6:coauthVersionLast="47" xr6:coauthVersionMax="47" xr10:uidLastSave="{00000000-0000-0000-0000-000000000000}"/>
  <bookViews>
    <workbookView minimized="1" xWindow="58380" yWindow="5445" windowWidth="21600" windowHeight="11295" tabRatio="888" firstSheet="11" activeTab="11" xr2:uid="{00000000-000D-0000-FFFF-FFFF00000000}"/>
  </bookViews>
  <sheets>
    <sheet name="Sommaire" sheetId="102" r:id="rId1"/>
    <sheet name="Inventaire" sheetId="2" r:id="rId2"/>
    <sheet name="Calcul VL" sheetId="118" r:id="rId3"/>
    <sheet name="O.D Rééval" sheetId="114" r:id="rId4"/>
    <sheet name="Rappro Titres &amp; Parts" sheetId="47" r:id="rId5"/>
    <sheet name="Hors bilan" sheetId="110" r:id="rId6"/>
    <sheet name="PVMV" sheetId="42" r:id="rId7"/>
    <sheet name="Intérêts Obligations" sheetId="84" r:id="rId8"/>
    <sheet name="Emprunt" sheetId="112" r:id="rId9"/>
    <sheet name="Sous rachat" sheetId="117" r:id="rId10"/>
    <sheet name="Liste porteurs selon versement " sheetId="69" r:id="rId11"/>
    <sheet name="Frais de gestion" sheetId="60" r:id="rId12"/>
    <sheet name="Créances_&amp;_dettes" sheetId="40" r:id="rId13"/>
    <sheet name="Bilan" sheetId="100" r:id="rId14"/>
    <sheet name="Résultat" sheetId="119" r:id="rId15"/>
    <sheet name="Capitaux propres" sheetId="101" r:id="rId16"/>
    <sheet name="Rappro Banque" sheetId="43" r:id="rId17"/>
    <sheet name="Rappro Balance" sheetId="37" r:id="rId18"/>
    <sheet name="Balance " sheetId="113" r:id="rId19"/>
    <sheet name="Grand livre" sheetId="120"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xlnm._FilterDatabase" localSheetId="10" hidden="1">'Liste porteurs selon versement '!$B$9:$G$12</definedName>
    <definedName name="_xlnm._FilterDatabase" localSheetId="3" hidden="1">'O.D Rééval'!$C$1:$I$31</definedName>
    <definedName name="_xlnm._FilterDatabase" localSheetId="6" hidden="1">PVMV!$A$12:$T$166</definedName>
    <definedName name="_xlnm._FilterDatabase" localSheetId="4" hidden="1">'Rappro Titres &amp; Parts'!$B$5:$L$17</definedName>
    <definedName name="_xlnm._FilterDatabase" localSheetId="9" hidden="1">'Sous rachat'!$B$18:$E$47</definedName>
    <definedName name="_UNDO_UPS_" localSheetId="3" hidden="1">'[1]Frais de gestion'!#REF!</definedName>
    <definedName name="_UNDO_UPS_" localSheetId="14" hidden="1">[2]Inventaire!#REF!</definedName>
    <definedName name="_UNDO_UPS_" hidden="1">Inventaire!#REF!</definedName>
    <definedName name="_UNDO_UPS_SEL_" localSheetId="3" hidden="1">'[1]Frais de gestion'!#REF!</definedName>
    <definedName name="_UNDO_UPS_SEL_" localSheetId="14" hidden="1">[2]Inventaire!#REF!</definedName>
    <definedName name="_UNDO_UPS_SEL_" hidden="1">Inventaire!#REF!</definedName>
    <definedName name="_UNDO31X31X_" localSheetId="3" hidden="1">'[1]Frais de gestion'!#REF!</definedName>
    <definedName name="_UNDO31X31X_" localSheetId="14" hidden="1">[2]Inventaire!#REF!</definedName>
    <definedName name="_UNDO31X31X_" hidden="1">Inventaire!#REF!</definedName>
    <definedName name="_zz8" localSheetId="5">#REF!</definedName>
    <definedName name="_zz8" localSheetId="3">#REF!</definedName>
    <definedName name="_zz8">#REF!</definedName>
    <definedName name="ABCcostPerLine" localSheetId="2">[3]Assump!$O$77</definedName>
    <definedName name="ABCcostPerLine" localSheetId="5">#REF!</definedName>
    <definedName name="ABCcostPerLine" localSheetId="3">#REF!</definedName>
    <definedName name="ABCcostPerLine">#REF!</definedName>
    <definedName name="ABClinesMax" localSheetId="2">[3]Assump!$L$77</definedName>
    <definedName name="ABClinesMax" localSheetId="5">#REF!</definedName>
    <definedName name="ABClinesMax" localSheetId="3">#REF!</definedName>
    <definedName name="ABClinesMax">#REF!</definedName>
    <definedName name="ABClinesMin" localSheetId="2">[3]Assump!$M$77</definedName>
    <definedName name="ABClinesMin" localSheetId="5">#REF!</definedName>
    <definedName name="ABClinesMin" localSheetId="3">#REF!</definedName>
    <definedName name="ABClinesMin">#REF!</definedName>
    <definedName name="ABCterminalCost" localSheetId="2">[3]Assump!$O$79</definedName>
    <definedName name="ABCterminalCost" localSheetId="5">#REF!</definedName>
    <definedName name="ABCterminalCost" localSheetId="3">#REF!</definedName>
    <definedName name="ABCterminalCost">#REF!</definedName>
    <definedName name="ABCutil" localSheetId="2">[3]Assump!$N$77</definedName>
    <definedName name="ABCutil" localSheetId="5">#REF!</definedName>
    <definedName name="ABCutil" localSheetId="3">#REF!</definedName>
    <definedName name="ABCutil">#REF!</definedName>
    <definedName name="AccessNodeSize" localSheetId="2">[3]Assump!$L$103</definedName>
    <definedName name="AccessNodeSize" localSheetId="5">#REF!</definedName>
    <definedName name="AccessNodeSize" localSheetId="3">#REF!</definedName>
    <definedName name="AccessNodeSize">#REF!</definedName>
    <definedName name="ActCabinetTelcoCost" localSheetId="2">[3]Assump!$N$106</definedName>
    <definedName name="ActCabinetTelcoCost" localSheetId="5">#REF!</definedName>
    <definedName name="ActCabinetTelcoCost" localSheetId="3">#REF!</definedName>
    <definedName name="ActCabinetTelcoCost">#REF!</definedName>
    <definedName name="ActCabinetVideoCost" localSheetId="2">[3]Assump!$N$107</definedName>
    <definedName name="ActCabinetVideoCost" localSheetId="5">#REF!</definedName>
    <definedName name="ActCabinetVideoCost" localSheetId="3">#REF!</definedName>
    <definedName name="ActCabinetVideoCost">#REF!</definedName>
    <definedName name="ActiveLines" localSheetId="2">[3]Assump!$L$106</definedName>
    <definedName name="ActiveLines" localSheetId="5">#REF!</definedName>
    <definedName name="ActiveLines" localSheetId="3">#REF!</definedName>
    <definedName name="ActiveLines">#REF!</definedName>
    <definedName name="ActiveUtil" localSheetId="2">[3]Assump!$M$106</definedName>
    <definedName name="ActiveUtil" localSheetId="5">#REF!</definedName>
    <definedName name="ActiveUtil" localSheetId="3">#REF!</definedName>
    <definedName name="ActiveUtil">#REF!</definedName>
    <definedName name="AN0" localSheetId="11">'Frais de gestion'!$H$144</definedName>
    <definedName name="AreaPerEmployee" localSheetId="2">[3]Assump!$L$69</definedName>
    <definedName name="AreaPerEmployee" localSheetId="5">#REF!</definedName>
    <definedName name="AreaPerEmployee" localSheetId="3">#REF!</definedName>
    <definedName name="AreaPerEmployee">#REF!</definedName>
    <definedName name="AreaPerHeadend" localSheetId="2">[3]Assump!$L$71</definedName>
    <definedName name="AreaPerHeadend" localSheetId="5">#REF!</definedName>
    <definedName name="AreaPerHeadend" localSheetId="3">#REF!</definedName>
    <definedName name="AreaPerHeadend">#REF!</definedName>
    <definedName name="AreaPerSwitch" localSheetId="2">[3]Assump!$L$70</definedName>
    <definedName name="AreaPerSwitch" localSheetId="5">#REF!</definedName>
    <definedName name="AreaPerSwitch" localSheetId="3">#REF!</definedName>
    <definedName name="AreaPerSwitch">#REF!</definedName>
    <definedName name="ArialCoaxLabor" localSheetId="2">[3]Assump!$M$134</definedName>
    <definedName name="ArialCoaxLabor" localSheetId="5">#REF!</definedName>
    <definedName name="ArialCoaxLabor" localSheetId="3">#REF!</definedName>
    <definedName name="ArialCoaxLabor">#REF!</definedName>
    <definedName name="ArialCoaxMaterial" localSheetId="2">[3]Assump!$L$134</definedName>
    <definedName name="ArialCoaxMaterial" localSheetId="5">#REF!</definedName>
    <definedName name="ArialCoaxMaterial" localSheetId="3">#REF!</definedName>
    <definedName name="ArialCoaxMaterial">#REF!</definedName>
    <definedName name="ArialFiberLabor" localSheetId="2">[3]Assump!$M$129</definedName>
    <definedName name="ArialFiberLabor" localSheetId="5">#REF!</definedName>
    <definedName name="ArialFiberLabor" localSheetId="3">#REF!</definedName>
    <definedName name="ArialFiberLabor">#REF!</definedName>
    <definedName name="ArialFiberMaterial" localSheetId="2">[3]Assump!$L$129</definedName>
    <definedName name="ArialFiberMaterial" localSheetId="5">#REF!</definedName>
    <definedName name="ArialFiberMaterial" localSheetId="3">#REF!</definedName>
    <definedName name="ArialFiberMaterial">#REF!</definedName>
    <definedName name="Autres_fds" localSheetId="2">[4]!Liste_fds</definedName>
    <definedName name="Autres_fds" localSheetId="8">[4]!Liste_fds</definedName>
    <definedName name="Autres_fds" localSheetId="5">#REF!</definedName>
    <definedName name="Autres_fds" localSheetId="3">#REF!</definedName>
    <definedName name="Autres_fds">#REF!</definedName>
    <definedName name="AvgDropLength" localSheetId="2">[3]Assump!$L$67</definedName>
    <definedName name="AvgDropLength" localSheetId="5">#REF!</definedName>
    <definedName name="AvgDropLength" localSheetId="3">#REF!</definedName>
    <definedName name="AvgDropLength">#REF!</definedName>
    <definedName name="AW" localSheetId="5">#REF!</definedName>
    <definedName name="AW" localSheetId="3">#REF!</definedName>
    <definedName name="AW">#REF!</definedName>
    <definedName name="BAREME" localSheetId="11">'Frais de gestion'!$E$151</definedName>
    <definedName name="BaseYear" localSheetId="2">'[5]Pro Forma Financial Statements'!#REF!</definedName>
    <definedName name="BaseYear" localSheetId="5">#REF!</definedName>
    <definedName name="BaseYear" localSheetId="3">#REF!</definedName>
    <definedName name="BaseYear">#REF!</definedName>
    <definedName name="bb" localSheetId="5">#REF!</definedName>
    <definedName name="bb" localSheetId="3">#REF!</definedName>
    <definedName name="bb">#REF!</definedName>
    <definedName name="Beg_Bal" localSheetId="5">#REF!</definedName>
    <definedName name="Beg_Bal" localSheetId="3">#REF!</definedName>
    <definedName name="Beg_Bal">#REF!</definedName>
    <definedName name="BOOST" localSheetId="5">#REF!</definedName>
    <definedName name="BOOST" localSheetId="3">#REF!</definedName>
    <definedName name="BOOST">#REF!</definedName>
    <definedName name="BSPrint" localSheetId="5">#REF!</definedName>
    <definedName name="BSPrint" localSheetId="3">#REF!</definedName>
    <definedName name="BSPrint">#REF!</definedName>
    <definedName name="BuildSchedule" localSheetId="5">#REF!</definedName>
    <definedName name="BuildSchedule" localSheetId="3">#REF!</definedName>
    <definedName name="BuildSchedule">#REF!</definedName>
    <definedName name="BuildScheduleFast" localSheetId="5">#REF!</definedName>
    <definedName name="BuildScheduleFast" localSheetId="3">#REF!</definedName>
    <definedName name="BuildScheduleFast">#REF!</definedName>
    <definedName name="BuildScheduleLong" localSheetId="5">#REF!</definedName>
    <definedName name="BuildScheduleLong" localSheetId="3">#REF!</definedName>
    <definedName name="BuildScheduleLong">#REF!</definedName>
    <definedName name="BuildScheduleSubs" localSheetId="5">#REF!</definedName>
    <definedName name="BuildScheduleSubs" localSheetId="3">#REF!</definedName>
    <definedName name="BuildScheduleSubs">#REF!</definedName>
    <definedName name="BuriedCoaxLabor" localSheetId="2">[3]Assump!$M$135</definedName>
    <definedName name="BuriedCoaxLabor" localSheetId="5">#REF!</definedName>
    <definedName name="BuriedCoaxLabor" localSheetId="3">#REF!</definedName>
    <definedName name="BuriedCoaxLabor">#REF!</definedName>
    <definedName name="BuriedCoaxMaterial" localSheetId="2">[3]Assump!$L$135</definedName>
    <definedName name="BuriedCoaxMaterial" localSheetId="5">#REF!</definedName>
    <definedName name="BuriedCoaxMaterial" localSheetId="3">#REF!</definedName>
    <definedName name="BuriedCoaxMaterial">#REF!</definedName>
    <definedName name="BuriedFiberLabor" localSheetId="2">[3]Assump!$M$130</definedName>
    <definedName name="BuriedFiberLabor" localSheetId="5">#REF!</definedName>
    <definedName name="BuriedFiberLabor" localSheetId="3">#REF!</definedName>
    <definedName name="BuriedFiberLabor">#REF!</definedName>
    <definedName name="BuriedFiberMaterial" localSheetId="2">[3]Assump!$L$130</definedName>
    <definedName name="BuriedFiberMaterial" localSheetId="5">#REF!</definedName>
    <definedName name="BuriedFiberMaterial" localSheetId="3">#REF!</definedName>
    <definedName name="BuriedFiberMaterial">#REF!</definedName>
    <definedName name="BusinessesPassed" localSheetId="2">'[3]Input-Output'!$L$43:$Z$43</definedName>
    <definedName name="BusinessesPassed" localSheetId="5">#REF!</definedName>
    <definedName name="BusinessesPassed" localSheetId="3">#REF!</definedName>
    <definedName name="BusinessesPassed">#REF!</definedName>
    <definedName name="BusinessLines" localSheetId="2">'[3]Input-Output'!$L$46:$Z$46</definedName>
    <definedName name="BusinessLines" localSheetId="5">#REF!</definedName>
    <definedName name="BusinessLines" localSheetId="3">#REF!</definedName>
    <definedName name="BusinessLines">#REF!</definedName>
    <definedName name="CableTelephony" localSheetId="2">[3]Quantity!$L$165:$Z$165</definedName>
    <definedName name="CableTelephony" localSheetId="5">#REF!</definedName>
    <definedName name="CableTelephony" localSheetId="3">#REF!</definedName>
    <definedName name="CableTelephony">#REF!</definedName>
    <definedName name="CAPXexport" localSheetId="2">[3]Quantity!$L$513:$Z$516</definedName>
    <definedName name="CAPXexport" localSheetId="5">#REF!</definedName>
    <definedName name="CAPXexport" localSheetId="3">#REF!</definedName>
    <definedName name="CAPXexport">#REF!</definedName>
    <definedName name="CATV2Outlet" localSheetId="2">'[3]Input-Output'!$L$51:$Z$51</definedName>
    <definedName name="CATV2Outlet" localSheetId="5">#REF!</definedName>
    <definedName name="CATV2Outlet" localSheetId="3">#REF!</definedName>
    <definedName name="CATV2Outlet">#REF!</definedName>
    <definedName name="CATVchurnRate" localSheetId="2">'[3]Input-Output'!$L$52:$Z$52</definedName>
    <definedName name="CATVchurnRate" localSheetId="5">#REF!</definedName>
    <definedName name="CATVchurnRate" localSheetId="3">#REF!</definedName>
    <definedName name="CATVchurnRate">#REF!</definedName>
    <definedName name="CATVnodeSize" localSheetId="2">[3]Assump!$L$102</definedName>
    <definedName name="CATVnodeSize" localSheetId="5">#REF!</definedName>
    <definedName name="CATVnodeSize" localSheetId="3">#REF!</definedName>
    <definedName name="CATVnodeSize">#REF!</definedName>
    <definedName name="CATVsubscribers" localSheetId="2">'[3]Input-Output'!$L$50:$Z$50</definedName>
    <definedName name="CATVsubscribers" localSheetId="5">#REF!</definedName>
    <definedName name="CATVsubscribers" localSheetId="3">#REF!</definedName>
    <definedName name="CATVsubscribers">#REF!</definedName>
    <definedName name="CClines" localSheetId="2">[3]Assump!$L$113</definedName>
    <definedName name="CClines" localSheetId="5">#REF!</definedName>
    <definedName name="CClines" localSheetId="3">#REF!</definedName>
    <definedName name="CClines">#REF!</definedName>
    <definedName name="CCutil" localSheetId="2">[3]Assump!$M$113</definedName>
    <definedName name="CCutil" localSheetId="5">#REF!</definedName>
    <definedName name="CCutil" localSheetId="3">#REF!</definedName>
    <definedName name="CCutil">#REF!</definedName>
    <definedName name="CDC" localSheetId="5">#REF!</definedName>
    <definedName name="CDC" localSheetId="3">#REF!</definedName>
    <definedName name="CDC">#REF!</definedName>
    <definedName name="CFactor" localSheetId="5">#REF!</definedName>
    <definedName name="CFactor" localSheetId="3">#REF!</definedName>
    <definedName name="CFactor">#REF!</definedName>
    <definedName name="clot1">#REF!</definedName>
    <definedName name="CNTcost" localSheetId="2">[3]Assump!$N$117</definedName>
    <definedName name="CNTcost" localSheetId="5">#REF!</definedName>
    <definedName name="CNTcost" localSheetId="3">#REF!</definedName>
    <definedName name="CNTcost">#REF!</definedName>
    <definedName name="CoaxDropLabor" localSheetId="2">[3]Assump!$M$140</definedName>
    <definedName name="CoaxDropLabor" localSheetId="5">#REF!</definedName>
    <definedName name="CoaxDropLabor" localSheetId="3">#REF!</definedName>
    <definedName name="CoaxDropLabor">#REF!</definedName>
    <definedName name="CoaxDropMaterial" localSheetId="2">[3]Assump!$L$140</definedName>
    <definedName name="CoaxDropMaterial" localSheetId="5">#REF!</definedName>
    <definedName name="CoaxDropMaterial" localSheetId="3">#REF!</definedName>
    <definedName name="CoaxDropMaterial">#REF!</definedName>
    <definedName name="ConduitLabor" localSheetId="2">[3]Assump!$M$126</definedName>
    <definedName name="ConduitLabor" localSheetId="5">#REF!</definedName>
    <definedName name="ConduitLabor" localSheetId="3">#REF!</definedName>
    <definedName name="ConduitLabor">#REF!</definedName>
    <definedName name="ConduitMaterial" localSheetId="2">[3]Assump!$L$126</definedName>
    <definedName name="ConduitMaterial" localSheetId="5">#REF!</definedName>
    <definedName name="ConduitMaterial" localSheetId="3">#REF!</definedName>
    <definedName name="ConduitMaterial">#REF!</definedName>
    <definedName name="ConverterCost" localSheetId="2">[3]Assump!$N$121</definedName>
    <definedName name="ConverterCost" localSheetId="5">#REF!</definedName>
    <definedName name="ConverterCost" localSheetId="3">#REF!</definedName>
    <definedName name="ConverterCost">#REF!</definedName>
    <definedName name="Corr" localSheetId="2">'[6]Control sheet'!$E$11</definedName>
    <definedName name="Corr" localSheetId="5">#REF!</definedName>
    <definedName name="Corr" localSheetId="3">#REF!</definedName>
    <definedName name="Corr">#REF!</definedName>
    <definedName name="Cover" localSheetId="13" hidden="1">{"sum1",#N/A,FALSE,"Grand Total";"sum1",#N/A,FALSE,"CAs";"sum1",#N/A,FALSE,"HWSCo1T";"sum1",#N/A,FALSE,"WSCo";"sum1",#N/A,FALSE,"FL";"sum1",#N/A,FALSE,"DTT";"sum1",#N/A,FALSE,"DAB";"sum1",#N/A,FALSE,"HSCo"}</definedName>
    <definedName name="Cover" localSheetId="2" hidden="1">{"sum1",#N/A,FALSE,"Grand Total";"sum1",#N/A,FALSE,"CAs";"sum1",#N/A,FALSE,"HWSCo1T";"sum1",#N/A,FALSE,"WSCo";"sum1",#N/A,FALSE,"FL";"sum1",#N/A,FALSE,"DTT";"sum1",#N/A,FALSE,"DAB";"sum1",#N/A,FALSE,"HSCo"}</definedName>
    <definedName name="Cover" localSheetId="15" hidden="1">{"sum1",#N/A,FALSE,"Grand Total";"sum1",#N/A,FALSE,"CAs";"sum1",#N/A,FALSE,"HWSCo1T";"sum1",#N/A,FALSE,"WSCo";"sum1",#N/A,FALSE,"FL";"sum1",#N/A,FALSE,"DTT";"sum1",#N/A,FALSE,"DAB";"sum1",#N/A,FALSE,"HSCo"}</definedName>
    <definedName name="Cover" localSheetId="8" hidden="1">{"sum1",#N/A,FALSE,"Grand Total";"sum1",#N/A,FALSE,"CAs";"sum1",#N/A,FALSE,"HWSCo1T";"sum1",#N/A,FALSE,"WSCo";"sum1",#N/A,FALSE,"FL";"sum1",#N/A,FALSE,"DTT";"sum1",#N/A,FALSE,"DAB";"sum1",#N/A,FALSE,"HSCo"}</definedName>
    <definedName name="Cover" localSheetId="5" hidden="1">{"sum1",#N/A,FALSE,"Grand Total";"sum1",#N/A,FALSE,"CAs";"sum1",#N/A,FALSE,"HWSCo1T";"sum1",#N/A,FALSE,"WSCo";"sum1",#N/A,FALSE,"FL";"sum1",#N/A,FALSE,"DTT";"sum1",#N/A,FALSE,"DAB";"sum1",#N/A,FALSE,"HSCo"}</definedName>
    <definedName name="Cover" localSheetId="3" hidden="1">{"sum1",#N/A,FALSE,"Grand Total";"sum1",#N/A,FALSE,"CAs";"sum1",#N/A,FALSE,"HWSCo1T";"sum1",#N/A,FALSE,"WSCo";"sum1",#N/A,FALSE,"FL";"sum1",#N/A,FALSE,"DTT";"sum1",#N/A,FALSE,"DAB";"sum1",#N/A,FALSE,"HSCo"}</definedName>
    <definedName name="Cover" localSheetId="14" hidden="1">{"sum1",#N/A,FALSE,"Grand Total";"sum1",#N/A,FALSE,"CAs";"sum1",#N/A,FALSE,"HWSCo1T";"sum1",#N/A,FALSE,"WSCo";"sum1",#N/A,FALSE,"FL";"sum1",#N/A,FALSE,"DTT";"sum1",#N/A,FALSE,"DAB";"sum1",#N/A,FALSE,"HSCo"}</definedName>
    <definedName name="Cover" hidden="1">{"sum1",#N/A,FALSE,"Grand Total";"sum1",#N/A,FALSE,"CAs";"sum1",#N/A,FALSE,"HWSCo1T";"sum1",#N/A,FALSE,"WSCo";"sum1",#N/A,FALSE,"FL";"sum1",#N/A,FALSE,"DTT";"sum1",#N/A,FALSE,"DAB";"sum1",#N/A,FALSE,"HSCo"}</definedName>
    <definedName name="CrossConnCost" localSheetId="2">[3]Assump!$N$113</definedName>
    <definedName name="CrossConnCost" localSheetId="5">#REF!</definedName>
    <definedName name="CrossConnCost" localSheetId="3">#REF!</definedName>
    <definedName name="CrossConnCost">#REF!</definedName>
    <definedName name="CSRstaff" localSheetId="2">'[3]Input-Output'!$L$57:$Z$57</definedName>
    <definedName name="CSRstaff" localSheetId="5">#REF!</definedName>
    <definedName name="CSRstaff" localSheetId="3">#REF!</definedName>
    <definedName name="CSRstaff">#REF!</definedName>
    <definedName name="Data" localSheetId="5">#REF!</definedName>
    <definedName name="Data" localSheetId="3">#REF!</definedName>
    <definedName name="Data">#REF!</definedName>
    <definedName name="dcfsept_97_2_DCF_List" localSheetId="2">'[5]Pro Forma Financial Statements'!#REF!</definedName>
    <definedName name="dcfsept_97_2_DCF_List" localSheetId="5">#REF!</definedName>
    <definedName name="dcfsept_97_2_DCF_List" localSheetId="3">#REF!</definedName>
    <definedName name="dcfsept_97_2_DCF_List">#REF!</definedName>
    <definedName name="DLCoverlay" localSheetId="2">[3]Quantity!$L$166:$Z$166</definedName>
    <definedName name="DLCoverlay" localSheetId="5">#REF!</definedName>
    <definedName name="DLCoverlay" localSheetId="3">#REF!</definedName>
    <definedName name="DLCoverlay">#REF!</definedName>
    <definedName name="dlr" localSheetId="2">'[6]Control sheet'!$E$9</definedName>
    <definedName name="dlr" localSheetId="5">#REF!</definedName>
    <definedName name="dlr" localSheetId="3">#REF!</definedName>
    <definedName name="dlr">#REF!</definedName>
    <definedName name="DLRS" localSheetId="2">'[6]Control sheet'!$B$9</definedName>
    <definedName name="DLRS" localSheetId="5">#REF!</definedName>
    <definedName name="DLRS" localSheetId="3">#REF!</definedName>
    <definedName name="DLRS">#REF!</definedName>
    <definedName name="Dollarexchange" localSheetId="5">#REF!</definedName>
    <definedName name="Dollarexchange" localSheetId="3">#REF!</definedName>
    <definedName name="Dollarexchange">#REF!</definedName>
    <definedName name="EIF" localSheetId="5">#REF!</definedName>
    <definedName name="EIF" localSheetId="3">#REF!</definedName>
    <definedName name="EIF">#REF!</definedName>
    <definedName name="End_Bal" localSheetId="5">#REF!</definedName>
    <definedName name="End_Bal" localSheetId="3">#REF!</definedName>
    <definedName name="End_Bal">#REF!</definedName>
    <definedName name="er" localSheetId="2">'[6]Control sheet'!$E$8</definedName>
    <definedName name="er" localSheetId="5">#REF!</definedName>
    <definedName name="er" localSheetId="3">#REF!</definedName>
    <definedName name="er">#REF!</definedName>
    <definedName name="euro" localSheetId="2">'[6]Control sheet'!$B$11</definedName>
    <definedName name="euro" localSheetId="5">#REF!</definedName>
    <definedName name="euro" localSheetId="3">#REF!</definedName>
    <definedName name="euro">#REF!</definedName>
    <definedName name="EuroPtasExchange" localSheetId="5">#REF!</definedName>
    <definedName name="EuroPtasExchange" localSheetId="3">#REF!</definedName>
    <definedName name="EuroPtasExchange">#REF!</definedName>
    <definedName name="EuroPtasRate" localSheetId="5">#REF!</definedName>
    <definedName name="EuroPtasRate" localSheetId="3">#REF!</definedName>
    <definedName name="EuroPtasRate">#REF!</definedName>
    <definedName name="EURSWP" localSheetId="5">#REF!</definedName>
    <definedName name="EURSWP" localSheetId="3">#REF!</definedName>
    <definedName name="EURSWP">#REF!</definedName>
    <definedName name="Excel_BuiltIn__FilterDatabase_13" localSheetId="13">#REF!</definedName>
    <definedName name="Excel_BuiltIn__FilterDatabase_13" localSheetId="2">#REF!</definedName>
    <definedName name="Excel_BuiltIn__FilterDatabase_13" localSheetId="15">#REF!</definedName>
    <definedName name="Excel_BuiltIn__FilterDatabase_13" localSheetId="11">#REF!</definedName>
    <definedName name="Excel_BuiltIn__FilterDatabase_13" localSheetId="5">#REF!</definedName>
    <definedName name="Excel_BuiltIn__FilterDatabase_13" localSheetId="3">#REF!</definedName>
    <definedName name="Excel_BuiltIn__FilterDatabase_13" localSheetId="14">#REF!</definedName>
    <definedName name="Excel_BuiltIn__FilterDatabase_13">#REF!</definedName>
    <definedName name="Excel_BuiltIn_Print_Area_4" localSheetId="13">#REF!</definedName>
    <definedName name="Excel_BuiltIn_Print_Area_4" localSheetId="15">#REF!</definedName>
    <definedName name="Excel_BuiltIn_Print_Area_4" localSheetId="11">#REF!</definedName>
    <definedName name="Excel_BuiltIn_Print_Area_4" localSheetId="5">#REF!</definedName>
    <definedName name="Excel_BuiltIn_Print_Area_4" localSheetId="3">#REF!</definedName>
    <definedName name="Excel_BuiltIn_Print_Area_4" localSheetId="14">#REF!</definedName>
    <definedName name="Excel_BuiltIn_Print_Area_4">#REF!</definedName>
    <definedName name="Excel_BuiltIn_Print_Titles_4" localSheetId="13">#REF!</definedName>
    <definedName name="Excel_BuiltIn_Print_Titles_4" localSheetId="15">#REF!</definedName>
    <definedName name="Excel_BuiltIn_Print_Titles_4" localSheetId="11">#REF!</definedName>
    <definedName name="Excel_BuiltIn_Print_Titles_4" localSheetId="5">#REF!</definedName>
    <definedName name="Excel_BuiltIn_Print_Titles_4" localSheetId="3">#REF!</definedName>
    <definedName name="Excel_BuiltIn_Print_Titles_4" localSheetId="14">#REF!</definedName>
    <definedName name="Excel_BuiltIn_Print_Titles_4">#REF!</definedName>
    <definedName name="ExRate" localSheetId="5">#REF!</definedName>
    <definedName name="ExRate" localSheetId="3">#REF!</definedName>
    <definedName name="ExRate">#REF!</definedName>
    <definedName name="Extra_Pay" localSheetId="5">#REF!</definedName>
    <definedName name="Extra_Pay" localSheetId="3">#REF!</definedName>
    <definedName name="Extra_Pay">#REF!</definedName>
    <definedName name="FactorArea" localSheetId="2">[3]Quantity!$L$45</definedName>
    <definedName name="FactorArea" localSheetId="5">#REF!</definedName>
    <definedName name="FactorArea" localSheetId="3">#REF!</definedName>
    <definedName name="FactorArea">#REF!</definedName>
    <definedName name="FactorAreaDensity" localSheetId="2">[3]Quantity!$L$46</definedName>
    <definedName name="FactorAreaDensity" localSheetId="5">#REF!</definedName>
    <definedName name="FactorAreaDensity" localSheetId="3">#REF!</definedName>
    <definedName name="FactorAreaDensity">#REF!</definedName>
    <definedName name="FactorHomesPassed" localSheetId="2">[3]Quantity!$L$48</definedName>
    <definedName name="FactorHomesPassed" localSheetId="5">#REF!</definedName>
    <definedName name="FactorHomesPassed" localSheetId="3">#REF!</definedName>
    <definedName name="FactorHomesPassed">#REF!</definedName>
    <definedName name="FactorLinearDensity" localSheetId="2">[3]Quantity!$L$47</definedName>
    <definedName name="FactorLinearDensity" localSheetId="5">#REF!</definedName>
    <definedName name="FactorLinearDensity" localSheetId="3">#REF!</definedName>
    <definedName name="FactorLinearDensity">#REF!</definedName>
    <definedName name="FactorSubs" localSheetId="2">[3]Quantity!$L$49</definedName>
    <definedName name="FactorSubs" localSheetId="5">#REF!</definedName>
    <definedName name="FactorSubs" localSheetId="3">#REF!</definedName>
    <definedName name="FactorSubs">#REF!</definedName>
    <definedName name="FiberPerCabinet" localSheetId="2">[3]Assump!$L$52</definedName>
    <definedName name="FiberPerCabinet" localSheetId="5">#REF!</definedName>
    <definedName name="FiberPerCabinet" localSheetId="3">#REF!</definedName>
    <definedName name="FiberPerCabinet">#REF!</definedName>
    <definedName name="FloorHeight" localSheetId="2">[3]Assump!$L$49</definedName>
    <definedName name="FloorHeight" localSheetId="5">#REF!</definedName>
    <definedName name="FloorHeight" localSheetId="3">#REF!</definedName>
    <definedName name="FloorHeight">#REF!</definedName>
    <definedName name="Frog" localSheetId="5">#REF!</definedName>
    <definedName name="Frog" localSheetId="3">#REF!</definedName>
    <definedName name="Frog">#REF!</definedName>
    <definedName name="Full_Print" localSheetId="5">#REF!</definedName>
    <definedName name="Full_Print" localSheetId="3">#REF!</definedName>
    <definedName name="Full_Print">#REF!</definedName>
    <definedName name="GBPSWP" localSheetId="5">#REF!</definedName>
    <definedName name="GBPSWP" localSheetId="3">#REF!</definedName>
    <definedName name="GBPSWP">#REF!</definedName>
    <definedName name="HeadendCostperChnl" localSheetId="2">[3]Assump!$O$92</definedName>
    <definedName name="HeadendCostperChnl" localSheetId="5">#REF!</definedName>
    <definedName name="HeadendCostperChnl" localSheetId="3">#REF!</definedName>
    <definedName name="HeadendCostperChnl">#REF!</definedName>
    <definedName name="Header_Row">ROW(#REF!)</definedName>
    <definedName name="HFCnodeCost" localSheetId="2">[3]Assump!$N$110</definedName>
    <definedName name="HFCnodeCost" localSheetId="5">#REF!</definedName>
    <definedName name="HFCnodeCost" localSheetId="3">#REF!</definedName>
    <definedName name="HFCnodeCost">#REF!</definedName>
    <definedName name="HFCnodeSize" localSheetId="2">[3]Assump!$L$110</definedName>
    <definedName name="HFCnodeSize" localSheetId="5">#REF!</definedName>
    <definedName name="HFCnodeSize" localSheetId="3">#REF!</definedName>
    <definedName name="HFCnodeSize">#REF!</definedName>
    <definedName name="HomesPassed" localSheetId="2">'[3]Input-Output'!$L$41:$Z$41</definedName>
    <definedName name="HomesPassed" localSheetId="5">#REF!</definedName>
    <definedName name="HomesPassed" localSheetId="3">#REF!</definedName>
    <definedName name="HomesPassed">#REF!</definedName>
    <definedName name="HomesPerRiser" localSheetId="2">[3]Assump!$L$50</definedName>
    <definedName name="HomesPerRiser" localSheetId="5">#REF!</definedName>
    <definedName name="HomesPerRiser" localSheetId="3">#REF!</definedName>
    <definedName name="HomesPerRiser">#REF!</definedName>
    <definedName name="HubSize" localSheetId="2">[3]Assump!$L$95</definedName>
    <definedName name="HubSize" localSheetId="5">#REF!</definedName>
    <definedName name="HubSize" localSheetId="3">#REF!</definedName>
    <definedName name="HubSize">#REF!</definedName>
    <definedName name="_xlnm.Print_Titles" localSheetId="2">'Calcul VL'!$1:$1</definedName>
    <definedName name="_xlnm.Print_Titles" localSheetId="1">Inventaire!$1:$9</definedName>
    <definedName name="_xlnm.Print_Titles" localSheetId="10">'Liste porteurs selon versement '!$9:$9</definedName>
    <definedName name="_xlnm.Print_Titles" localSheetId="6">PVMV!$11:$12</definedName>
    <definedName name="_xlnm.Print_Titles" localSheetId="9">'Sous rachat'!$18:$18</definedName>
    <definedName name="Int" localSheetId="5">#REF!</definedName>
    <definedName name="Int" localSheetId="3">#REF!</definedName>
    <definedName name="Int">#REF!</definedName>
    <definedName name="Interest_Rate" localSheetId="5">#REF!</definedName>
    <definedName name="Interest_Rate" localSheetId="3">#REF!</definedName>
    <definedName name="Interest_Rate">#REF!</definedName>
    <definedName name="Last_Row" localSheetId="13">IF(Bilan!Values_Entered,Header_Row+Bilan!Number_of_Payments,Header_Row)</definedName>
    <definedName name="Last_Row" localSheetId="2">IF('Calcul VL'!Values_Entered,Header_Row+'Calcul VL'!Number_of_Payments,Header_Row)</definedName>
    <definedName name="Last_Row" localSheetId="15">IF('Capitaux propres'!Values_Entered,Header_Row+'Capitaux propres'!Number_of_Payments,Header_Row)</definedName>
    <definedName name="Last_Row" localSheetId="8">IF(Emprunt!Values_Entered,Header_Row+Emprunt!Number_of_Payments,Header_Row)</definedName>
    <definedName name="Last_Row" localSheetId="5">IF('Hors bilan'!Values_Entered,Header_Row+'Hors bilan'!Number_of_Payments,Header_Row)</definedName>
    <definedName name="Last_Row" localSheetId="3">IF('O.D Rééval'!Values_Entered,Header_Row+'O.D Rééval'!Number_of_Payments,Header_Row)</definedName>
    <definedName name="Last_Row" localSheetId="14">IF(Résultat!Values_Entered,Header_Row+Résultat!Number_of_Payments,Header_Row)</definedName>
    <definedName name="Last_Row">IF(Values_Entered,Header_Row+Number_of_Payments,Header_Row)</definedName>
    <definedName name="LeadTimeBuildings" localSheetId="2">[3]Assump!$L$61</definedName>
    <definedName name="LeadTimeBuildings" localSheetId="5">#REF!</definedName>
    <definedName name="LeadTimeBuildings" localSheetId="3">#REF!</definedName>
    <definedName name="LeadTimeBuildings">#REF!</definedName>
    <definedName name="LeadTimeCable" localSheetId="2">[3]Assump!$L$65</definedName>
    <definedName name="LeadTimeCable" localSheetId="5">#REF!</definedName>
    <definedName name="LeadTimeCable" localSheetId="3">#REF!</definedName>
    <definedName name="LeadTimeCable">#REF!</definedName>
    <definedName name="LeadTimeConduit" localSheetId="2">[3]Assump!$L$64</definedName>
    <definedName name="LeadTimeConduit" localSheetId="5">#REF!</definedName>
    <definedName name="LeadTimeConduit" localSheetId="3">#REF!</definedName>
    <definedName name="LeadTimeConduit">#REF!</definedName>
    <definedName name="LeadTimeNode" localSheetId="2">[3]Assump!$L$63</definedName>
    <definedName name="LeadTimeNode" localSheetId="5">#REF!</definedName>
    <definedName name="LeadTimeNode" localSheetId="3">#REF!</definedName>
    <definedName name="LeadTimeNode">#REF!</definedName>
    <definedName name="LeadTimeSwitch" localSheetId="2">[3]Assump!$L$62</definedName>
    <definedName name="LeadTimeSwitch" localSheetId="5">#REF!</definedName>
    <definedName name="LeadTimeSwitch" localSheetId="3">#REF!</definedName>
    <definedName name="LeadTimeSwitch">#REF!</definedName>
    <definedName name="LineExtCost" localSheetId="2">[3]Assump!$N$114</definedName>
    <definedName name="LineExtCost" localSheetId="5">#REF!</definedName>
    <definedName name="LineExtCost" localSheetId="3">#REF!</definedName>
    <definedName name="LineExtCost">#REF!</definedName>
    <definedName name="LM" localSheetId="5">#REF!</definedName>
    <definedName name="LM" localSheetId="3">#REF!</definedName>
    <definedName name="LM">#REF!</definedName>
    <definedName name="ln_growth" localSheetId="2">'[7]ETV loans'!#REF!</definedName>
    <definedName name="ln_growth" localSheetId="5">#REF!</definedName>
    <definedName name="ln_growth" localSheetId="3">#REF!</definedName>
    <definedName name="ln_growth">#REF!</definedName>
    <definedName name="Loan_Amount" localSheetId="5">#REF!</definedName>
    <definedName name="Loan_Amount" localSheetId="3">#REF!</definedName>
    <definedName name="Loan_Amount">#REF!</definedName>
    <definedName name="Loan_Start" localSheetId="5">#REF!</definedName>
    <definedName name="Loan_Start" localSheetId="3">#REF!</definedName>
    <definedName name="Loan_Start">#REF!</definedName>
    <definedName name="Loan_Years" localSheetId="5">#REF!</definedName>
    <definedName name="Loan_Years" localSheetId="3">#REF!</definedName>
    <definedName name="Loan_Years">#REF!</definedName>
    <definedName name="ls_growth" localSheetId="5">#REF!</definedName>
    <definedName name="ls_growth" localSheetId="3">#REF!</definedName>
    <definedName name="ls_growth">#REF!</definedName>
    <definedName name="LVRG" localSheetId="5">#REF!</definedName>
    <definedName name="LVRG" localSheetId="3">#REF!</definedName>
    <definedName name="LVRG">#REF!</definedName>
    <definedName name="NA">"NA "</definedName>
    <definedName name="NM">"NM  "</definedName>
    <definedName name="NodeCost" localSheetId="2">[3]Assump!$N$98</definedName>
    <definedName name="NodeCost" localSheetId="5">#REF!</definedName>
    <definedName name="NodeCost" localSheetId="3">#REF!</definedName>
    <definedName name="NodeCost">#REF!</definedName>
    <definedName name="NodeHEP" localSheetId="2">[3]Assump!$L$98</definedName>
    <definedName name="NodeHEP" localSheetId="5">#REF!</definedName>
    <definedName name="NodeHEP" localSheetId="3">#REF!</definedName>
    <definedName name="NodeHEP">#REF!</definedName>
    <definedName name="NodeUtil" localSheetId="2">[3]Assump!$M$98</definedName>
    <definedName name="NodeUtil" localSheetId="5">#REF!</definedName>
    <definedName name="NodeUtil" localSheetId="3">#REF!</definedName>
    <definedName name="NodeUtil">#REF!</definedName>
    <definedName name="NOMFCPR">#REF!</definedName>
    <definedName name="Num_Pmt_Per_Year" localSheetId="5">#REF!</definedName>
    <definedName name="Num_Pmt_Per_Year" localSheetId="3">#REF!</definedName>
    <definedName name="Num_Pmt_Per_Year">#REF!</definedName>
    <definedName name="Number_of_Payments" localSheetId="13">MATCH(0.01,End_Bal,-1)+1</definedName>
    <definedName name="Number_of_Payments" localSheetId="2">MATCH(0.01,End_Bal,-1)+1</definedName>
    <definedName name="Number_of_Payments" localSheetId="15">MATCH(0.01,End_Bal,-1)+1</definedName>
    <definedName name="Number_of_Payments" localSheetId="8">MATCH(0.01,End_Bal,-1)+1</definedName>
    <definedName name="Number_of_Payments" localSheetId="5">MATCH(0.01,'Hors bilan'!End_Bal,-1)+1</definedName>
    <definedName name="Number_of_Payments" localSheetId="3">MATCH(0.01,'O.D Rééval'!End_Bal,-1)+1</definedName>
    <definedName name="Number_of_Payments" localSheetId="14">MATCH(0.01,End_Bal,-1)+1</definedName>
    <definedName name="Number_of_Payments">MATCH(0.01,End_Bal,-1)+1</definedName>
    <definedName name="OfficeEquipCost" localSheetId="2">[3]Assump!$L$74</definedName>
    <definedName name="OfficeEquipCost" localSheetId="5">#REF!</definedName>
    <definedName name="OfficeEquipCost" localSheetId="3">#REF!</definedName>
    <definedName name="OfficeEquipCost">#REF!</definedName>
    <definedName name="Pay_Date" localSheetId="5">#REF!</definedName>
    <definedName name="Pay_Date" localSheetId="3">#REF!</definedName>
    <definedName name="Pay_Date">#REF!</definedName>
    <definedName name="Pay_Num" localSheetId="5">#REF!</definedName>
    <definedName name="Pay_Num" localSheetId="3">#REF!</definedName>
    <definedName name="Pay_Num">#REF!</definedName>
    <definedName name="Payment_Date" localSheetId="13">DATE(YEAR(Loan_Start),MONTH(Loan_Start)+Payment_Number,DAY(Loan_Start))</definedName>
    <definedName name="Payment_Date" localSheetId="2">DATE(YEAR(Loan_Start),MONTH(Loan_Start)+Payment_Number,DAY(Loan_Start))</definedName>
    <definedName name="Payment_Date" localSheetId="15">DATE(YEAR(Loan_Start),MONTH(Loan_Start)+Payment_Number,DAY(Loan_Start))</definedName>
    <definedName name="Payment_Date" localSheetId="8">DATE(YEAR(Loan_Start),MONTH(Loan_Start)+Payment_Number,DAY(Loan_Start))</definedName>
    <definedName name="Payment_Date" localSheetId="5">DATE(YEAR('Hors bilan'!Loan_Start),MONTH('Hors bilan'!Loan_Start)+Payment_Number,DAY('Hors bilan'!Loan_Start))</definedName>
    <definedName name="Payment_Date" localSheetId="3">DATE(YEAR(#REF!),MONTH(#REF!)+Payment_Number,DAY(#REF!))</definedName>
    <definedName name="Payment_Date" localSheetId="14">DATE(YEAR(Loan_Start),MONTH(Loan_Start)+Payment_Number,DAY(Loan_Start))</definedName>
    <definedName name="Payment_Date" localSheetId="0">DATE(YEAR([0]!Loan_Start),MONTH([0]!Loan_Start)+Payment_Number,DAY([0]!Loan_Start))</definedName>
    <definedName name="Payment_Date" localSheetId="9">DATE(YEAR([0]!Loan_Start),MONTH([0]!Loan_Start)+Payment_Number,DAY([0]!Loan_Start))</definedName>
    <definedName name="Payment_Date">DATE(YEAR(Loan_Start),MONTH(Loan_Start)+Payment_Number,DAY(Loan_Start))</definedName>
    <definedName name="Personnel" localSheetId="5">#REF!</definedName>
    <definedName name="Personnel" localSheetId="3">#REF!</definedName>
    <definedName name="Personnel">#REF!</definedName>
    <definedName name="PlanPenetrL1" localSheetId="2">[3]Assump!$L$43</definedName>
    <definedName name="PlanPenetrL1" localSheetId="5">#REF!</definedName>
    <definedName name="PlanPenetrL1" localSheetId="3">#REF!</definedName>
    <definedName name="PlanPenetrL1">#REF!</definedName>
    <definedName name="PlanPenetrL2" localSheetId="2">[3]Assump!$L$44</definedName>
    <definedName name="PlanPenetrL2" localSheetId="5">#REF!</definedName>
    <definedName name="PlanPenetrL2" localSheetId="3">#REF!</definedName>
    <definedName name="PlanPenetrL2">#REF!</definedName>
    <definedName name="PlanPenetrL3" localSheetId="2">[3]Assump!$L$45</definedName>
    <definedName name="PlanPenetrL3" localSheetId="5">#REF!</definedName>
    <definedName name="PlanPenetrL3" localSheetId="3">#REF!</definedName>
    <definedName name="PlanPenetrL3">#REF!</definedName>
    <definedName name="PlanPenetrL4" localSheetId="2">[3]Assump!$L$46</definedName>
    <definedName name="PlanPenetrL4" localSheetId="5">#REF!</definedName>
    <definedName name="PlanPenetrL4" localSheetId="3">#REF!</definedName>
    <definedName name="PlanPenetrL4">#REF!</definedName>
    <definedName name="PLPrint" localSheetId="5">#REF!</definedName>
    <definedName name="PLPrint" localSheetId="3">#REF!</definedName>
    <definedName name="PLPrint">#REF!</definedName>
    <definedName name="Princ" localSheetId="5">#REF!</definedName>
    <definedName name="Princ" localSheetId="3">#REF!</definedName>
    <definedName name="Princ">#REF!</definedName>
    <definedName name="Print_Area_Reset" localSheetId="13">OFFSET(Full_Print,0,0,Bilan!Last_Row)</definedName>
    <definedName name="Print_Area_Reset" localSheetId="2">OFFSET(Full_Print,0,0,'Calcul VL'!Last_Row)</definedName>
    <definedName name="Print_Area_Reset" localSheetId="15">OFFSET(Full_Print,0,0,'Capitaux propres'!Last_Row)</definedName>
    <definedName name="Print_Area_Reset" localSheetId="8">OFFSET(Full_Print,0,0,Emprunt!Last_Row)</definedName>
    <definedName name="Print_Area_Reset" localSheetId="5">OFFSET('Hors bilan'!Full_Print,0,0,'Hors bilan'!Last_Row)</definedName>
    <definedName name="Print_Area_Reset" localSheetId="3">OFFSET('O.D Rééval'!Full_Print,0,0,'O.D Rééval'!Last_Row)</definedName>
    <definedName name="Print_Area_Reset" localSheetId="14">OFFSET(Full_Print,0,0,Résultat!Last_Row)</definedName>
    <definedName name="Print_Area_Reset">OFFSET(Full_Print,0,0,Last_Row)</definedName>
    <definedName name="ProFormas" localSheetId="5">#REF!,#REF!</definedName>
    <definedName name="ProFormas" localSheetId="3">#REF!,#REF!</definedName>
    <definedName name="ProFormas">#REF!,#REF!</definedName>
    <definedName name="Prsnl_1" localSheetId="5">#REF!</definedName>
    <definedName name="Prsnl_1" localSheetId="3">#REF!</definedName>
    <definedName name="Prsnl_1">#REF!</definedName>
    <definedName name="Prsnl_2" localSheetId="5">#REF!</definedName>
    <definedName name="Prsnl_2" localSheetId="3">#REF!</definedName>
    <definedName name="Prsnl_2">#REF!</definedName>
    <definedName name="Prsnl_3" localSheetId="5">#REF!</definedName>
    <definedName name="Prsnl_3" localSheetId="3">#REF!</definedName>
    <definedName name="Prsnl_3">#REF!</definedName>
    <definedName name="Prsnl_4" localSheetId="5">#REF!</definedName>
    <definedName name="Prsnl_4" localSheetId="3">#REF!</definedName>
    <definedName name="Prsnl_4">#REF!</definedName>
    <definedName name="Prsnl_5" localSheetId="5">#REF!</definedName>
    <definedName name="Prsnl_5" localSheetId="3">#REF!</definedName>
    <definedName name="Prsnl_5">#REF!</definedName>
    <definedName name="Prsnl_6" localSheetId="5">#REF!</definedName>
    <definedName name="Prsnl_6" localSheetId="3">#REF!</definedName>
    <definedName name="Prsnl_6">#REF!</definedName>
    <definedName name="Prsnl_7" localSheetId="5">#REF!</definedName>
    <definedName name="Prsnl_7" localSheetId="3">#REF!</definedName>
    <definedName name="Prsnl_7">#REF!</definedName>
    <definedName name="radiobutton" localSheetId="2">[3]Quantity!$Q$36</definedName>
    <definedName name="radiobutton" localSheetId="5">#REF!</definedName>
    <definedName name="radiobutton" localSheetId="3">#REF!</definedName>
    <definedName name="radiobutton">#REF!</definedName>
    <definedName name="RATE" localSheetId="5">#REF!</definedName>
    <definedName name="RATE" localSheetId="3">#REF!</definedName>
    <definedName name="RATE">#REF!</definedName>
    <definedName name="Reinvest" localSheetId="2">[3]Assump!$L$54</definedName>
    <definedName name="Reinvest" localSheetId="5">#REF!</definedName>
    <definedName name="Reinvest" localSheetId="3">#REF!</definedName>
    <definedName name="Reinvest">#REF!</definedName>
    <definedName name="ReinvestBox" localSheetId="2">[3]Assump!$L$55</definedName>
    <definedName name="ReinvestBox" localSheetId="5">#REF!</definedName>
    <definedName name="ReinvestBox" localSheetId="3">#REF!</definedName>
    <definedName name="ReinvestBox">#REF!</definedName>
    <definedName name="ReinvestCar" localSheetId="2">[3]Assump!$B$58</definedName>
    <definedName name="ReinvestCar" localSheetId="5">#REF!</definedName>
    <definedName name="ReinvestCar" localSheetId="3">#REF!</definedName>
    <definedName name="ReinvestCar">#REF!</definedName>
    <definedName name="ReinvestComputer" localSheetId="2">[3]Assump!$L$56</definedName>
    <definedName name="ReinvestComputer" localSheetId="5">#REF!</definedName>
    <definedName name="ReinvestComputer" localSheetId="3">#REF!</definedName>
    <definedName name="ReinvestComputer">#REF!</definedName>
    <definedName name="ReinvestSchedule" localSheetId="5">#REF!</definedName>
    <definedName name="ReinvestSchedule" localSheetId="3">#REF!</definedName>
    <definedName name="ReinvestSchedule">#REF!</definedName>
    <definedName name="ResidentialLines" localSheetId="2">'[3]Input-Output'!$L$47:$Z$47</definedName>
    <definedName name="ResidentialLines" localSheetId="5">#REF!</definedName>
    <definedName name="ResidentialLines" localSheetId="3">#REF!</definedName>
    <definedName name="ResidentialLines">#REF!</definedName>
    <definedName name="ResidentialPassed" localSheetId="2">'[3]Input-Output'!$L$42:$Z$42</definedName>
    <definedName name="ResidentialPassed" localSheetId="5">#REF!</definedName>
    <definedName name="ResidentialPassed" localSheetId="3">#REF!</definedName>
    <definedName name="ResidentialPassed">#REF!</definedName>
    <definedName name="Resultatcumulev2" localSheetId="2">'[8]Liste porteurs'!#REF!</definedName>
    <definedName name="Resultatcumulev2" localSheetId="5">#REF!</definedName>
    <definedName name="Resultatcumulev2" localSheetId="3">#REF!</definedName>
    <definedName name="Resultatcumulev2">#REF!</definedName>
    <definedName name="RiserCoaxLabor" localSheetId="2">[3]Assump!$M$138</definedName>
    <definedName name="RiserCoaxLabor" localSheetId="5">#REF!</definedName>
    <definedName name="RiserCoaxLabor" localSheetId="3">#REF!</definedName>
    <definedName name="RiserCoaxLabor">#REF!</definedName>
    <definedName name="RiserCoaxMaterial" localSheetId="2">[3]Assump!$L$138</definedName>
    <definedName name="RiserCoaxMaterial" localSheetId="5">#REF!</definedName>
    <definedName name="RiserCoaxMaterial" localSheetId="3">#REF!</definedName>
    <definedName name="RiserCoaxMaterial">#REF!</definedName>
    <definedName name="saisie" localSheetId="14">#REF!,#REF!,#REF!,#REF!,#REF!,#REF!,#REF!,#REF!,#REF!</definedName>
    <definedName name="saisie">[9]Sommaire!$D$1,[9]Sommaire!$B$4,[9]Sommaire!$B$6,[9]Sommaire!$B$9:$B$9,[9]Sommaire!$B$12:$B$12,[9]Sommaire!#REF!,[9]Sommaire!#REF!,[9]Sommaire!$B$17,[9]Sommaire!$A$19</definedName>
    <definedName name="Salary_change" localSheetId="5">#REF!</definedName>
    <definedName name="Salary_change" localSheetId="3">#REF!</definedName>
    <definedName name="Salary_change">#REF!</definedName>
    <definedName name="Sched_Pay" localSheetId="5">#REF!</definedName>
    <definedName name="Sched_Pay" localSheetId="3">#REF!</definedName>
    <definedName name="Sched_Pay">#REF!</definedName>
    <definedName name="Scheduled_Extra_Payments" localSheetId="5">#REF!</definedName>
    <definedName name="Scheduled_Extra_Payments" localSheetId="3">#REF!</definedName>
    <definedName name="Scheduled_Extra_Payments">#REF!</definedName>
    <definedName name="Scheduled_Interest_Rate" localSheetId="5">#REF!</definedName>
    <definedName name="Scheduled_Interest_Rate" localSheetId="3">#REF!</definedName>
    <definedName name="Scheduled_Interest_Rate">#REF!</definedName>
    <definedName name="Scheduled_Monthly_Payment" localSheetId="5">#REF!</definedName>
    <definedName name="Scheduled_Monthly_Payment" localSheetId="3">#REF!</definedName>
    <definedName name="Scheduled_Monthly_Payment">#REF!</definedName>
    <definedName name="SDHcostPerHub" localSheetId="2">[3]Assump!$O$87</definedName>
    <definedName name="SDHcostPerHub" localSheetId="5">#REF!</definedName>
    <definedName name="SDHcostPerHub" localSheetId="3">#REF!</definedName>
    <definedName name="SDHcostPerHub">#REF!</definedName>
    <definedName name="SDHcostPerSystem" localSheetId="2">[3]Assump!$O$89</definedName>
    <definedName name="SDHcostPerSystem" localSheetId="5">#REF!</definedName>
    <definedName name="SDHcostPerSystem" localSheetId="3">#REF!</definedName>
    <definedName name="SDHcostPerSystem">#REF!</definedName>
    <definedName name="SEK" localSheetId="2">'[6]Control sheet'!$B$10</definedName>
    <definedName name="SEK" localSheetId="5">#REF!</definedName>
    <definedName name="SEK" localSheetId="3">#REF!</definedName>
    <definedName name="SEK">#REF!</definedName>
    <definedName name="sek€" localSheetId="2">'[6]Control sheet'!$E$10</definedName>
    <definedName name="sek€" localSheetId="5">#REF!</definedName>
    <definedName name="sek€" localSheetId="3">#REF!</definedName>
    <definedName name="sek€">#REF!</definedName>
    <definedName name="SEKSWP" localSheetId="5">#REF!</definedName>
    <definedName name="SEKSWP" localSheetId="3">#REF!</definedName>
    <definedName name="SEKSWP">#REF!</definedName>
    <definedName name="SQMcost" localSheetId="2">[3]Assump!$L$72</definedName>
    <definedName name="SQMcost" localSheetId="5">#REF!</definedName>
    <definedName name="SQMcost" localSheetId="3">#REF!</definedName>
    <definedName name="SQMcost">#REF!</definedName>
    <definedName name="stg" localSheetId="2">'[6]Control sheet'!$E$8</definedName>
    <definedName name="stg" localSheetId="5">#REF!</definedName>
    <definedName name="stg" localSheetId="3">#REF!</definedName>
    <definedName name="stg">#REF!</definedName>
    <definedName name="SwitchCostPerLine" localSheetId="2">[3]Assump!$O$84</definedName>
    <definedName name="SwitchCostPerLine" localSheetId="5">#REF!</definedName>
    <definedName name="SwitchCostPerLine" localSheetId="3">#REF!</definedName>
    <definedName name="SwitchCostPerLine">#REF!</definedName>
    <definedName name="SwitchLinesMax" localSheetId="2">[3]Assump!$L$84</definedName>
    <definedName name="SwitchLinesMax" localSheetId="5">#REF!</definedName>
    <definedName name="SwitchLinesMax" localSheetId="3">#REF!</definedName>
    <definedName name="SwitchLinesMax">#REF!</definedName>
    <definedName name="SwitchLinesMin" localSheetId="2">[3]Assump!$M$84</definedName>
    <definedName name="SwitchLinesMin" localSheetId="5">#REF!</definedName>
    <definedName name="SwitchLinesMin" localSheetId="3">#REF!</definedName>
    <definedName name="SwitchLinesMin">#REF!</definedName>
    <definedName name="SwitchUtil" localSheetId="2">[3]Assump!$N$84</definedName>
    <definedName name="SwitchUtil" localSheetId="5">#REF!</definedName>
    <definedName name="SwitchUtil" localSheetId="3">#REF!</definedName>
    <definedName name="SwitchUtil">#REF!</definedName>
    <definedName name="TAUX1" localSheetId="11">'Frais de gestion'!$G$148</definedName>
    <definedName name="TAUX2" localSheetId="11">'Frais de gestion'!$G$149</definedName>
    <definedName name="TAUX3" localSheetId="11">'Frais de gestion'!#REF!</definedName>
    <definedName name="TAUX4" localSheetId="11">'Frais de gestion'!$G$150</definedName>
    <definedName name="TCPdropLabor" localSheetId="2">[3]Assump!$M$144</definedName>
    <definedName name="TCPdropLabor" localSheetId="5">#REF!</definedName>
    <definedName name="TCPdropLabor" localSheetId="3">#REF!</definedName>
    <definedName name="TCPdropLabor">#REF!</definedName>
    <definedName name="TCPdropMaterial" localSheetId="2">[3]Assump!$L$144</definedName>
    <definedName name="TCPdropMaterial" localSheetId="5">#REF!</definedName>
    <definedName name="TCPdropMaterial" localSheetId="3">#REF!</definedName>
    <definedName name="TCPdropMaterial">#REF!</definedName>
    <definedName name="TelcoChurnRate" localSheetId="2">'[3]Input-Output'!$L$48:$Z$48</definedName>
    <definedName name="TelcoChurnRate" localSheetId="5">#REF!</definedName>
    <definedName name="TelcoChurnRate" localSheetId="3">#REF!</definedName>
    <definedName name="TelcoChurnRate">#REF!</definedName>
    <definedName name="TelcoSubscribers" localSheetId="2">'[3]Input-Output'!$L$45:$Z$45</definedName>
    <definedName name="TelcoSubscribers" localSheetId="5">#REF!</definedName>
    <definedName name="TelcoSubscribers" localSheetId="3">#REF!</definedName>
    <definedName name="TelcoSubscribers">#REF!</definedName>
    <definedName name="TelcoWithCATV" localSheetId="2">'[3]Input-Output'!$L$54:$Z$54</definedName>
    <definedName name="TelcoWithCATV" localSheetId="5">#REF!</definedName>
    <definedName name="TelcoWithCATV" localSheetId="3">#REF!</definedName>
    <definedName name="TelcoWithCATV">#REF!</definedName>
    <definedName name="Total_Interest" localSheetId="5">#REF!</definedName>
    <definedName name="Total_Interest" localSheetId="3">#REF!</definedName>
    <definedName name="Total_Interest">#REF!</definedName>
    <definedName name="Total_Pay" localSheetId="5">#REF!</definedName>
    <definedName name="Total_Pay" localSheetId="3">#REF!</definedName>
    <definedName name="Total_Pay">#REF!</definedName>
    <definedName name="Total_Payment" localSheetId="13">Scheduled_Payment+Extra_Payment</definedName>
    <definedName name="Total_Payment" localSheetId="2">Scheduled_Payment+Extra_Payment</definedName>
    <definedName name="Total_Payment" localSheetId="15">Scheduled_Payment+Extra_Payment</definedName>
    <definedName name="Total_Payment" localSheetId="8">Scheduled_Payment+Extra_Payment</definedName>
    <definedName name="Total_Payment" localSheetId="5">Scheduled_Payment+Extra_Payment</definedName>
    <definedName name="Total_Payment" localSheetId="3">Scheduled_Payment+Extra_Payment</definedName>
    <definedName name="Total_Payment" localSheetId="14">Scheduled_Payment+Extra_Payment</definedName>
    <definedName name="Total_Payment" localSheetId="0">Scheduled_Payment+Extra_Payment</definedName>
    <definedName name="Total_Payment" localSheetId="9">Scheduled_Payment+Extra_Payment</definedName>
    <definedName name="Total_Payment">Scheduled_Payment+Extra_Payment</definedName>
    <definedName name="TotalStaff" localSheetId="2">'[3]Input-Output'!$L$56:$Z$56</definedName>
    <definedName name="TotalStaff" localSheetId="5">#REF!</definedName>
    <definedName name="TotalStaff" localSheetId="3">#REF!</definedName>
    <definedName name="TotalStaff">#REF!</definedName>
    <definedName name="TRANCHE1" localSheetId="11">'Frais de gestion'!$H$148</definedName>
    <definedName name="TRANCHE2" localSheetId="11">'Frais de gestion'!$H$149</definedName>
    <definedName name="TRANCHE3" localSheetId="11">'Frais de gestion'!#REF!</definedName>
    <definedName name="TRANCHE4" localSheetId="11">'Frais de gestion'!$H$150</definedName>
    <definedName name="TwistedPairLabor" localSheetId="2">[3]Assump!$M$142</definedName>
    <definedName name="TwistedPairLabor" localSheetId="5">#REF!</definedName>
    <definedName name="TwistedPairLabor" localSheetId="3">#REF!</definedName>
    <definedName name="TwistedPairLabor">#REF!</definedName>
    <definedName name="TwistedPairMaterial" localSheetId="2">[3]Assump!$L$142</definedName>
    <definedName name="TwistedPairMaterial" localSheetId="5">#REF!</definedName>
    <definedName name="TwistedPairMaterial" localSheetId="3">#REF!</definedName>
    <definedName name="TwistedPairMaterial">#REF!</definedName>
    <definedName name="TXBIS" localSheetId="11">'Frais de gestion'!$C$153</definedName>
    <definedName name="UnderCoaxLabor" localSheetId="2">[3]Assump!$M$136</definedName>
    <definedName name="UnderCoaxLabor" localSheetId="5">#REF!</definedName>
    <definedName name="UnderCoaxLabor" localSheetId="3">#REF!</definedName>
    <definedName name="UnderCoaxLabor">#REF!</definedName>
    <definedName name="UnderCoaxMaterial" localSheetId="2">[3]Assump!$L$136</definedName>
    <definedName name="UnderCoaxMaterial" localSheetId="5">#REF!</definedName>
    <definedName name="UnderCoaxMaterial" localSheetId="3">#REF!</definedName>
    <definedName name="UnderCoaxMaterial">#REF!</definedName>
    <definedName name="UnderFiberLabor" localSheetId="2">[3]Assump!$M$131</definedName>
    <definedName name="UnderFiberLabor" localSheetId="5">#REF!</definedName>
    <definedName name="UnderFiberLabor" localSheetId="3">#REF!</definedName>
    <definedName name="UnderFiberLabor">#REF!</definedName>
    <definedName name="UnderFiberMaterial" localSheetId="2">[3]Assump!$L$131</definedName>
    <definedName name="UnderFiberMaterial" localSheetId="5">#REF!</definedName>
    <definedName name="UnderFiberMaterial" localSheetId="3">#REF!</definedName>
    <definedName name="UnderFiberMaterial">#REF!</definedName>
    <definedName name="USDSWP" localSheetId="5">#REF!</definedName>
    <definedName name="USDSWP" localSheetId="3">#REF!</definedName>
    <definedName name="USDSWP">#REF!</definedName>
    <definedName name="Values_Entered" localSheetId="13">IF(Loan_Amount*Interest_Rate*Loan_Years*Loan_Start&gt;0,1,0)</definedName>
    <definedName name="Values_Entered" localSheetId="2">IF(Loan_Amount*Interest_Rate*Loan_Years*Loan_Start&gt;0,1,0)</definedName>
    <definedName name="Values_Entered" localSheetId="15">IF(Loan_Amount*Interest_Rate*Loan_Years*Loan_Start&gt;0,1,0)</definedName>
    <definedName name="Values_Entered" localSheetId="8">IF(Loan_Amount*Interest_Rate*Loan_Years*Loan_Start&gt;0,1,0)</definedName>
    <definedName name="Values_Entered" localSheetId="5">IF('Hors bilan'!Loan_Amount*'Hors bilan'!Interest_Rate*'Hors bilan'!Loan_Years*'Hors bilan'!Loan_Start&gt;0,1,0)</definedName>
    <definedName name="Values_Entered" localSheetId="3">IF('O.D Rééval'!Loan_Amount*'O.D Rééval'!Interest_Rate*'O.D Rééval'!Loan_Years*'O.D Rééval'!Loan_Start&gt;0,1,0)</definedName>
    <definedName name="Values_Entered" localSheetId="14">IF(Loan_Amount*Interest_Rate*Loan_Years*Loan_Start&gt;0,1,0)</definedName>
    <definedName name="Values_Entered">IF(Loan_Amount*Interest_Rate*Loan_Years*Loan_Start&gt;0,1,0)</definedName>
    <definedName name="VehicleCost" localSheetId="2">[3]Assump!$L$73</definedName>
    <definedName name="VehicleCost" localSheetId="5">#REF!</definedName>
    <definedName name="VehicleCost" localSheetId="3">#REF!</definedName>
    <definedName name="VehicleCost">#REF!</definedName>
    <definedName name="VehicleStaff" localSheetId="2">'[3]Input-Output'!$L$58:$Z$58</definedName>
    <definedName name="VehicleStaff" localSheetId="5">#REF!</definedName>
    <definedName name="VehicleStaff" localSheetId="3">#REF!</definedName>
    <definedName name="VehicleStaff">#REF!</definedName>
    <definedName name="VendorInstall" localSheetId="2">[3]Assump!$L$59</definedName>
    <definedName name="VendorInstall" localSheetId="5">#REF!</definedName>
    <definedName name="VendorInstall" localSheetId="3">#REF!</definedName>
    <definedName name="VendorInstall">#REF!</definedName>
    <definedName name="WACC" localSheetId="2">[10]Operations!#REF!</definedName>
    <definedName name="WACC" localSheetId="5">#REF!</definedName>
    <definedName name="WACC" localSheetId="3">#REF!</definedName>
    <definedName name="WACC">#REF!</definedName>
    <definedName name="wrn.BUILD." localSheetId="13" hidden="1">{"BUILD",#N/A,TRUE,"NI";"BUILD",#N/A,TRUE,"Surrey";"BUILD",#N/A,TRUE,"Herts &amp; Beds";"BUILD",#N/A,TRUE,"Glasgow";"BUILD",#N/A,TRUE,"Kirklees";"BUILD",#N/A,TRUE,"S Wales";"BUILD",#N/A,TRUE,"UK"}</definedName>
    <definedName name="wrn.BUILD." localSheetId="2" hidden="1">{"BUILD",#N/A,TRUE,"NI";"BUILD",#N/A,TRUE,"Surrey";"BUILD",#N/A,TRUE,"Herts &amp; Beds";"BUILD",#N/A,TRUE,"Glasgow";"BUILD",#N/A,TRUE,"Kirklees";"BUILD",#N/A,TRUE,"S Wales";"BUILD",#N/A,TRUE,"UK"}</definedName>
    <definedName name="wrn.BUILD." localSheetId="15" hidden="1">{"BUILD",#N/A,TRUE,"NI";"BUILD",#N/A,TRUE,"Surrey";"BUILD",#N/A,TRUE,"Herts &amp; Beds";"BUILD",#N/A,TRUE,"Glasgow";"BUILD",#N/A,TRUE,"Kirklees";"BUILD",#N/A,TRUE,"S Wales";"BUILD",#N/A,TRUE,"UK"}</definedName>
    <definedName name="wrn.BUILD." localSheetId="8" hidden="1">{"BUILD",#N/A,TRUE,"NI";"BUILD",#N/A,TRUE,"Surrey";"BUILD",#N/A,TRUE,"Herts &amp; Beds";"BUILD",#N/A,TRUE,"Glasgow";"BUILD",#N/A,TRUE,"Kirklees";"BUILD",#N/A,TRUE,"S Wales";"BUILD",#N/A,TRUE,"UK"}</definedName>
    <definedName name="wrn.BUILD." localSheetId="5" hidden="1">{"BUILD",#N/A,TRUE,"NI";"BUILD",#N/A,TRUE,"Surrey";"BUILD",#N/A,TRUE,"Herts &amp; Beds";"BUILD",#N/A,TRUE,"Glasgow";"BUILD",#N/A,TRUE,"Kirklees";"BUILD",#N/A,TRUE,"S Wales";"BUILD",#N/A,TRUE,"UK"}</definedName>
    <definedName name="wrn.BUILD." localSheetId="3" hidden="1">{"BUILD",#N/A,TRUE,"NI";"BUILD",#N/A,TRUE,"Surrey";"BUILD",#N/A,TRUE,"Herts &amp; Beds";"BUILD",#N/A,TRUE,"Glasgow";"BUILD",#N/A,TRUE,"Kirklees";"BUILD",#N/A,TRUE,"S Wales";"BUILD",#N/A,TRUE,"UK"}</definedName>
    <definedName name="wrn.BUILD." localSheetId="14" hidden="1">{"BUILD",#N/A,TRUE,"NI";"BUILD",#N/A,TRUE,"Surrey";"BUILD",#N/A,TRUE,"Herts &amp; Beds";"BUILD",#N/A,TRUE,"Glasgow";"BUILD",#N/A,TRUE,"Kirklees";"BUILD",#N/A,TRUE,"S Wales";"BUILD",#N/A,TRUE,"UK"}</definedName>
    <definedName name="wrn.BUILD." hidden="1">{"BUILD",#N/A,TRUE,"NI";"BUILD",#N/A,TRUE,"Surrey";"BUILD",#N/A,TRUE,"Herts &amp; Beds";"BUILD",#N/A,TRUE,"Glasgow";"BUILD",#N/A,TRUE,"Kirklees";"BUILD",#N/A,TRUE,"S Wales";"BUILD",#N/A,TRUE,"UK"}</definedName>
    <definedName name="wrn.Complete." localSheetId="13" hidden="1">{#N/A,#N/A,TRUE,"DCF Summary";#N/A,#N/A,TRUE,"Casema";#N/A,#N/A,TRUE,"UK";#N/A,#N/A,TRUE,"RCF";#N/A,#N/A,TRUE,"Intercable CZ";#N/A,#N/A,TRUE,"Interkabel P";#N/A,#N/A,TRUE,"LBO-Total";#N/A,#N/A,TRUE,"LBO-Casema"}</definedName>
    <definedName name="wrn.Complete." localSheetId="2" hidden="1">{#N/A,#N/A,TRUE,"DCF Summary";#N/A,#N/A,TRUE,"Casema";#N/A,#N/A,TRUE,"UK";#N/A,#N/A,TRUE,"RCF";#N/A,#N/A,TRUE,"Intercable CZ";#N/A,#N/A,TRUE,"Interkabel P";#N/A,#N/A,TRUE,"LBO-Total";#N/A,#N/A,TRUE,"LBO-Casema"}</definedName>
    <definedName name="wrn.Complete." localSheetId="15" hidden="1">{#N/A,#N/A,TRUE,"DCF Summary";#N/A,#N/A,TRUE,"Casema";#N/A,#N/A,TRUE,"UK";#N/A,#N/A,TRUE,"RCF";#N/A,#N/A,TRUE,"Intercable CZ";#N/A,#N/A,TRUE,"Interkabel P";#N/A,#N/A,TRUE,"LBO-Total";#N/A,#N/A,TRUE,"LBO-Casema"}</definedName>
    <definedName name="wrn.Complete." localSheetId="8" hidden="1">{#N/A,#N/A,TRUE,"DCF Summary";#N/A,#N/A,TRUE,"Casema";#N/A,#N/A,TRUE,"UK";#N/A,#N/A,TRUE,"RCF";#N/A,#N/A,TRUE,"Intercable CZ";#N/A,#N/A,TRUE,"Interkabel P";#N/A,#N/A,TRUE,"LBO-Total";#N/A,#N/A,TRUE,"LBO-Casema"}</definedName>
    <definedName name="wrn.Complete." localSheetId="5" hidden="1">{#N/A,#N/A,TRUE,"DCF Summary";#N/A,#N/A,TRUE,"Casema";#N/A,#N/A,TRUE,"UK";#N/A,#N/A,TRUE,"RCF";#N/A,#N/A,TRUE,"Intercable CZ";#N/A,#N/A,TRUE,"Interkabel P";#N/A,#N/A,TRUE,"LBO-Total";#N/A,#N/A,TRUE,"LBO-Casema"}</definedName>
    <definedName name="wrn.Complete." localSheetId="3" hidden="1">{#N/A,#N/A,TRUE,"DCF Summary";#N/A,#N/A,TRUE,"Casema";#N/A,#N/A,TRUE,"UK";#N/A,#N/A,TRUE,"RCF";#N/A,#N/A,TRUE,"Intercable CZ";#N/A,#N/A,TRUE,"Interkabel P";#N/A,#N/A,TRUE,"LBO-Total";#N/A,#N/A,TRUE,"LBO-Casema"}</definedName>
    <definedName name="wrn.Complete." localSheetId="14"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DCF._.Only." localSheetId="13" hidden="1">{#N/A,#N/A,FALSE,"DCF Summary";#N/A,#N/A,FALSE,"Casema";#N/A,#N/A,FALSE,"Casema NoTel";#N/A,#N/A,FALSE,"UK";#N/A,#N/A,FALSE,"RCF";#N/A,#N/A,FALSE,"Intercable CZ";#N/A,#N/A,FALSE,"Interkabel P"}</definedName>
    <definedName name="wrn.DCF._.Only." localSheetId="2" hidden="1">{#N/A,#N/A,FALSE,"DCF Summary";#N/A,#N/A,FALSE,"Casema";#N/A,#N/A,FALSE,"Casema NoTel";#N/A,#N/A,FALSE,"UK";#N/A,#N/A,FALSE,"RCF";#N/A,#N/A,FALSE,"Intercable CZ";#N/A,#N/A,FALSE,"Interkabel P"}</definedName>
    <definedName name="wrn.DCF._.Only." localSheetId="15" hidden="1">{#N/A,#N/A,FALSE,"DCF Summary";#N/A,#N/A,FALSE,"Casema";#N/A,#N/A,FALSE,"Casema NoTel";#N/A,#N/A,FALSE,"UK";#N/A,#N/A,FALSE,"RCF";#N/A,#N/A,FALSE,"Intercable CZ";#N/A,#N/A,FALSE,"Interkabel P"}</definedName>
    <definedName name="wrn.DCF._.Only." localSheetId="8" hidden="1">{#N/A,#N/A,FALSE,"DCF Summary";#N/A,#N/A,FALSE,"Casema";#N/A,#N/A,FALSE,"Casema NoTel";#N/A,#N/A,FALSE,"UK";#N/A,#N/A,FALSE,"RCF";#N/A,#N/A,FALSE,"Intercable CZ";#N/A,#N/A,FALSE,"Interkabel P"}</definedName>
    <definedName name="wrn.DCF._.Only." localSheetId="5" hidden="1">{#N/A,#N/A,FALSE,"DCF Summary";#N/A,#N/A,FALSE,"Casema";#N/A,#N/A,FALSE,"Casema NoTel";#N/A,#N/A,FALSE,"UK";#N/A,#N/A,FALSE,"RCF";#N/A,#N/A,FALSE,"Intercable CZ";#N/A,#N/A,FALSE,"Interkabel P"}</definedName>
    <definedName name="wrn.DCF._.Only." localSheetId="3" hidden="1">{#N/A,#N/A,FALSE,"DCF Summary";#N/A,#N/A,FALSE,"Casema";#N/A,#N/A,FALSE,"Casema NoTel";#N/A,#N/A,FALSE,"UK";#N/A,#N/A,FALSE,"RCF";#N/A,#N/A,FALSE,"Intercable CZ";#N/A,#N/A,FALSE,"Interkabel P"}</definedName>
    <definedName name="wrn.DCF._.Only." localSheetId="14"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sum1." localSheetId="13" hidden="1">{"sum1",#N/A,FALSE,"Grand Total";"sum1",#N/A,FALSE,"CAs";"sum1",#N/A,FALSE,"HWSCo1T";"sum1",#N/A,FALSE,"WSCo";"sum1",#N/A,FALSE,"FL";"sum1",#N/A,FALSE,"DTT";"sum1",#N/A,FALSE,"DAB";"sum1",#N/A,FALSE,"HSCo"}</definedName>
    <definedName name="wrn.sum1." localSheetId="2" hidden="1">{"sum1",#N/A,FALSE,"Grand Total";"sum1",#N/A,FALSE,"CAs";"sum1",#N/A,FALSE,"HWSCo1T";"sum1",#N/A,FALSE,"WSCo";"sum1",#N/A,FALSE,"FL";"sum1",#N/A,FALSE,"DTT";"sum1",#N/A,FALSE,"DAB";"sum1",#N/A,FALSE,"HSCo"}</definedName>
    <definedName name="wrn.sum1." localSheetId="15" hidden="1">{"sum1",#N/A,FALSE,"Grand Total";"sum1",#N/A,FALSE,"CAs";"sum1",#N/A,FALSE,"HWSCo1T";"sum1",#N/A,FALSE,"WSCo";"sum1",#N/A,FALSE,"FL";"sum1",#N/A,FALSE,"DTT";"sum1",#N/A,FALSE,"DAB";"sum1",#N/A,FALSE,"HSCo"}</definedName>
    <definedName name="wrn.sum1." localSheetId="8" hidden="1">{"sum1",#N/A,FALSE,"Grand Total";"sum1",#N/A,FALSE,"CAs";"sum1",#N/A,FALSE,"HWSCo1T";"sum1",#N/A,FALSE,"WSCo";"sum1",#N/A,FALSE,"FL";"sum1",#N/A,FALSE,"DTT";"sum1",#N/A,FALSE,"DAB";"sum1",#N/A,FALSE,"HSCo"}</definedName>
    <definedName name="wrn.sum1." localSheetId="5" hidden="1">{"sum1",#N/A,FALSE,"Grand Total";"sum1",#N/A,FALSE,"CAs";"sum1",#N/A,FALSE,"HWSCo1T";"sum1",#N/A,FALSE,"WSCo";"sum1",#N/A,FALSE,"FL";"sum1",#N/A,FALSE,"DTT";"sum1",#N/A,FALSE,"DAB";"sum1",#N/A,FALSE,"HSCo"}</definedName>
    <definedName name="wrn.sum1." localSheetId="3" hidden="1">{"sum1",#N/A,FALSE,"Grand Total";"sum1",#N/A,FALSE,"CAs";"sum1",#N/A,FALSE,"HWSCo1T";"sum1",#N/A,FALSE,"WSCo";"sum1",#N/A,FALSE,"FL";"sum1",#N/A,FALSE,"DTT";"sum1",#N/A,FALSE,"DAB";"sum1",#N/A,FALSE,"HSCo"}</definedName>
    <definedName name="wrn.sum1." localSheetId="14" hidden="1">{"sum1",#N/A,FALSE,"Grand Total";"sum1",#N/A,FALSE,"CAs";"sum1",#N/A,FALSE,"HWSCo1T";"sum1",#N/A,FALSE,"WSCo";"sum1",#N/A,FALSE,"FL";"sum1",#N/A,FALSE,"DTT";"sum1",#N/A,FALSE,"DAB";"sum1",#N/A,FALSE,"HSCo"}</definedName>
    <definedName name="wrn.sum1." hidden="1">{"sum1",#N/A,FALSE,"Grand Total";"sum1",#N/A,FALSE,"CAs";"sum1",#N/A,FALSE,"HWSCo1T";"sum1",#N/A,FALSE,"WSCo";"sum1",#N/A,FALSE,"FL";"sum1",#N/A,FALSE,"DTT";"sum1",#N/A,FALSE,"DAB";"sum1",#N/A,FALSE,"HSCo"}</definedName>
    <definedName name="wrn.summary." localSheetId="13" hidden="1">{"Key Stats",#N/A,TRUE,"Key Stats";"RES REVENUES",#N/A,TRUE,"Residential Revenue";"capex",#N/A,TRUE,"CableTel";"p and l",#N/A,TRUE,"CableTel"}</definedName>
    <definedName name="wrn.summary." localSheetId="2" hidden="1">{"Key Stats",#N/A,TRUE,"Key Stats";"RES REVENUES",#N/A,TRUE,"Residential Revenue";"capex",#N/A,TRUE,"CableTel";"p and l",#N/A,TRUE,"CableTel"}</definedName>
    <definedName name="wrn.summary." localSheetId="15" hidden="1">{"Key Stats",#N/A,TRUE,"Key Stats";"RES REVENUES",#N/A,TRUE,"Residential Revenue";"capex",#N/A,TRUE,"CableTel";"p and l",#N/A,TRUE,"CableTel"}</definedName>
    <definedName name="wrn.summary." localSheetId="8" hidden="1">{"Key Stats",#N/A,TRUE,"Key Stats";"RES REVENUES",#N/A,TRUE,"Residential Revenue";"capex",#N/A,TRUE,"CableTel";"p and l",#N/A,TRUE,"CableTel"}</definedName>
    <definedName name="wrn.summary." localSheetId="5" hidden="1">{"Key Stats",#N/A,TRUE,"Key Stats";"RES REVENUES",#N/A,TRUE,"Residential Revenue";"capex",#N/A,TRUE,"CableTel";"p and l",#N/A,TRUE,"CableTel"}</definedName>
    <definedName name="wrn.summary." localSheetId="3" hidden="1">{"Key Stats",#N/A,TRUE,"Key Stats";"RES REVENUES",#N/A,TRUE,"Residential Revenue";"capex",#N/A,TRUE,"CableTel";"p and l",#N/A,TRUE,"CableTel"}</definedName>
    <definedName name="wrn.summary." localSheetId="14" hidden="1">{"Key Stats",#N/A,TRUE,"Key Stats";"RES REVENUES",#N/A,TRUE,"Residential Revenue";"capex",#N/A,TRUE,"CableTel";"p and l",#N/A,TRUE,"CableTel"}</definedName>
    <definedName name="wrn.summary." hidden="1">{"Key Stats",#N/A,TRUE,"Key Stats";"RES REVENUES",#N/A,TRUE,"Residential Revenue";"capex",#N/A,TRUE,"CableTel";"p and l",#N/A,TRUE,"CableTel"}</definedName>
    <definedName name="WRNT" localSheetId="2">'[6]Control sheet'!$C$28</definedName>
    <definedName name="WRNT" localSheetId="5">#REF!</definedName>
    <definedName name="WRNT" localSheetId="3">#REF!</definedName>
    <definedName name="WRNT">#REF!</definedName>
    <definedName name="WTNG" localSheetId="5">#REF!</definedName>
    <definedName name="WTNG" localSheetId="3">#REF!</definedName>
    <definedName name="WTNG">#REF!</definedName>
    <definedName name="_xlnm.Print_Area" localSheetId="13">Bilan!$A$1:$K$102</definedName>
    <definedName name="_xlnm.Print_Area" localSheetId="2">'Calcul VL'!$A$1:$I$13</definedName>
    <definedName name="_xlnm.Print_Area" localSheetId="15">'Capitaux propres'!$A$1:$G$42</definedName>
    <definedName name="_xlnm.Print_Area" localSheetId="12">'Créances_&amp;_dettes'!$A$1:$H$109</definedName>
    <definedName name="_xlnm.Print_Area" localSheetId="8">Emprunt!$B$1:$Q$189</definedName>
    <definedName name="_xlnm.Print_Area" localSheetId="11">'Frais de gestion'!$B$1:$K$126</definedName>
    <definedName name="_xlnm.Print_Area" localSheetId="5">'Hors bilan'!$A$1:$F$44</definedName>
    <definedName name="_xlnm.Print_Area" localSheetId="7">'Intérêts Obligations'!$A$1:$M$107</definedName>
    <definedName name="_xlnm.Print_Area" localSheetId="1">Inventaire!$B$1:$P$58</definedName>
    <definedName name="_xlnm.Print_Area" localSheetId="10">'Liste porteurs selon versement '!$A$1:$G$25</definedName>
    <definedName name="_xlnm.Print_Area" localSheetId="3">'O.D Rééval'!$A$1:$H$110</definedName>
    <definedName name="_xlnm.Print_Area" localSheetId="6">PVMV!$A$1:$P$174</definedName>
    <definedName name="_xlnm.Print_Area" localSheetId="17">'Rappro Balance'!$A$1:$H$33</definedName>
    <definedName name="_xlnm.Print_Area" localSheetId="16">'Rappro Banque'!$A$1:$H$31</definedName>
    <definedName name="_xlnm.Print_Area" localSheetId="4">'Rappro Titres &amp; Parts'!$A$1:$K$37</definedName>
    <definedName name="_xlnm.Print_Area" localSheetId="14">Résultat!$A$1:$J$206</definedName>
    <definedName name="_xlnm.Print_Area" localSheetId="0">Sommaire!$A$1:$C$71</definedName>
    <definedName name="_xlnm.Print_Area" localSheetId="9">'Sous rachat'!$A$1:$Q$64</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4" i="119" l="1"/>
  <c r="I16" i="60" l="1"/>
  <c r="H81" i="119"/>
  <c r="I17" i="60"/>
  <c r="J17" i="60" s="1"/>
  <c r="C19" i="60"/>
  <c r="H155" i="119"/>
  <c r="H78" i="119"/>
  <c r="H77" i="119"/>
  <c r="H76" i="119"/>
  <c r="H75" i="119"/>
  <c r="H71" i="119"/>
  <c r="H70" i="119"/>
  <c r="H69" i="119"/>
  <c r="H68" i="119"/>
  <c r="H58" i="119"/>
  <c r="H17" i="119"/>
  <c r="D30" i="101"/>
  <c r="D77" i="60"/>
  <c r="G77" i="60" s="1"/>
  <c r="C23" i="60" l="1"/>
  <c r="I23" i="60" s="1"/>
  <c r="J23" i="60" s="1"/>
  <c r="G77" i="40"/>
  <c r="D14" i="69"/>
  <c r="D12" i="69"/>
  <c r="D11" i="69"/>
  <c r="D10" i="69"/>
  <c r="D5" i="101"/>
  <c r="R25" i="2"/>
  <c r="I22" i="2"/>
  <c r="I18" i="2"/>
  <c r="B48" i="42"/>
  <c r="B49" i="42" s="1"/>
  <c r="B50" i="42" s="1"/>
  <c r="B43" i="42"/>
  <c r="B44" i="42" s="1"/>
  <c r="B38" i="42"/>
  <c r="B39" i="42"/>
  <c r="D84" i="84"/>
  <c r="F98" i="84"/>
  <c r="G98" i="84"/>
  <c r="H84" i="84"/>
  <c r="D70" i="84"/>
  <c r="F75" i="84"/>
  <c r="G75" i="84"/>
  <c r="I20" i="2" s="1"/>
  <c r="H70" i="84"/>
  <c r="F60" i="84"/>
  <c r="G60" i="84"/>
  <c r="I19" i="2" s="1"/>
  <c r="D55" i="84"/>
  <c r="H55" i="84"/>
  <c r="F44" i="84"/>
  <c r="G44" i="84"/>
  <c r="D30" i="84"/>
  <c r="H30" i="84"/>
  <c r="H7" i="84"/>
  <c r="K70" i="84" l="1"/>
  <c r="K30" i="84"/>
  <c r="L30" i="84" s="1"/>
  <c r="L44" i="84" s="1"/>
  <c r="K84" i="84"/>
  <c r="K55" i="84"/>
  <c r="K75" i="84"/>
  <c r="L70" i="84"/>
  <c r="L75" i="84" s="1"/>
  <c r="L45" i="84"/>
  <c r="L46" i="84" s="1"/>
  <c r="M18" i="2" s="1"/>
  <c r="L84" i="84"/>
  <c r="L98" i="84" s="1"/>
  <c r="K98" i="84"/>
  <c r="K60" i="84"/>
  <c r="L55" i="84"/>
  <c r="L60" i="84" s="1"/>
  <c r="K44" i="84"/>
  <c r="D70" i="112"/>
  <c r="D21" i="112"/>
  <c r="H41" i="117"/>
  <c r="H27" i="117"/>
  <c r="G45" i="117"/>
  <c r="H45" i="117"/>
  <c r="G27" i="117"/>
  <c r="G47" i="117" s="1"/>
  <c r="E23" i="117"/>
  <c r="H37" i="117"/>
  <c r="J21" i="117"/>
  <c r="G64" i="40"/>
  <c r="K176" i="112"/>
  <c r="H176" i="112"/>
  <c r="G176" i="112"/>
  <c r="D163" i="112"/>
  <c r="G154" i="112"/>
  <c r="G163" i="112" s="1"/>
  <c r="H163" i="112" s="1"/>
  <c r="H144" i="112"/>
  <c r="D144" i="112"/>
  <c r="K144" i="112" s="1"/>
  <c r="K135" i="112"/>
  <c r="H135" i="112"/>
  <c r="G135" i="112"/>
  <c r="D122" i="112"/>
  <c r="G113" i="112"/>
  <c r="G122" i="112" s="1"/>
  <c r="H122" i="112" s="1"/>
  <c r="H103" i="112"/>
  <c r="D103" i="112"/>
  <c r="F9" i="118"/>
  <c r="K92" i="112"/>
  <c r="H92" i="112"/>
  <c r="G92" i="112"/>
  <c r="D74" i="112"/>
  <c r="G65" i="112"/>
  <c r="H55" i="112"/>
  <c r="D55" i="112"/>
  <c r="K43" i="112"/>
  <c r="H43" i="112"/>
  <c r="G43" i="112"/>
  <c r="L61" i="84" l="1"/>
  <c r="L62" i="84" s="1"/>
  <c r="M19" i="2" s="1"/>
  <c r="L99" i="84"/>
  <c r="L100" i="84"/>
  <c r="M22" i="2" s="1"/>
  <c r="L76" i="84"/>
  <c r="L77" i="84" s="1"/>
  <c r="M20" i="2" s="1"/>
  <c r="G74" i="112"/>
  <c r="H74" i="112" s="1"/>
  <c r="J74" i="112" s="1"/>
  <c r="H47" i="117"/>
  <c r="K154" i="112"/>
  <c r="M144" i="112"/>
  <c r="M154" i="112" s="1"/>
  <c r="J163" i="112"/>
  <c r="J176" i="112" s="1"/>
  <c r="K103" i="112"/>
  <c r="K113" i="112" s="1"/>
  <c r="J122" i="112"/>
  <c r="J135" i="112" s="1"/>
  <c r="K55" i="112"/>
  <c r="M55" i="112" s="1"/>
  <c r="B56" i="102"/>
  <c r="H181" i="119"/>
  <c r="H180" i="119"/>
  <c r="H179" i="119"/>
  <c r="H174" i="119"/>
  <c r="H170" i="119"/>
  <c r="H169" i="119"/>
  <c r="H168" i="119"/>
  <c r="H167" i="119"/>
  <c r="H166" i="119"/>
  <c r="H165" i="119"/>
  <c r="H164" i="119"/>
  <c r="H163" i="119"/>
  <c r="H162" i="119"/>
  <c r="H161" i="119"/>
  <c r="H160" i="119"/>
  <c r="H159" i="119"/>
  <c r="H158" i="119"/>
  <c r="H157" i="119"/>
  <c r="H156" i="119"/>
  <c r="H152" i="119"/>
  <c r="H151" i="119"/>
  <c r="H144" i="119"/>
  <c r="H139" i="119"/>
  <c r="H138" i="119"/>
  <c r="H136" i="119"/>
  <c r="H135" i="119"/>
  <c r="H132" i="119"/>
  <c r="H131" i="119"/>
  <c r="H130" i="119"/>
  <c r="H129" i="119"/>
  <c r="H128" i="119"/>
  <c r="H127" i="119"/>
  <c r="H126" i="119"/>
  <c r="H125" i="119"/>
  <c r="H124" i="119"/>
  <c r="H123" i="119"/>
  <c r="H122" i="119"/>
  <c r="H121" i="119"/>
  <c r="H120" i="119"/>
  <c r="H119" i="119"/>
  <c r="H116" i="119"/>
  <c r="H115" i="119"/>
  <c r="H114" i="119"/>
  <c r="H113" i="119"/>
  <c r="H112" i="119"/>
  <c r="H111" i="119"/>
  <c r="H110" i="119"/>
  <c r="H109" i="119"/>
  <c r="H108" i="119"/>
  <c r="H107" i="119"/>
  <c r="H106" i="119"/>
  <c r="H105" i="119"/>
  <c r="H97" i="119"/>
  <c r="H91" i="119"/>
  <c r="H90" i="119"/>
  <c r="H89" i="119"/>
  <c r="J124" i="60" s="1"/>
  <c r="H88" i="119"/>
  <c r="J113" i="60" s="1"/>
  <c r="H87" i="119"/>
  <c r="J110" i="60" s="1"/>
  <c r="H86" i="119"/>
  <c r="J119" i="60" s="1"/>
  <c r="H85" i="119"/>
  <c r="H84" i="119"/>
  <c r="J117" i="60" s="1"/>
  <c r="H80" i="119"/>
  <c r="J116" i="60" s="1"/>
  <c r="H79" i="119"/>
  <c r="H60" i="119"/>
  <c r="J111" i="60" s="1"/>
  <c r="J115" i="60"/>
  <c r="H55" i="119"/>
  <c r="H54" i="119"/>
  <c r="H45" i="119"/>
  <c r="H42" i="119"/>
  <c r="H41" i="119"/>
  <c r="H40" i="119"/>
  <c r="H37" i="119"/>
  <c r="H34" i="119"/>
  <c r="H31" i="119"/>
  <c r="H30" i="119"/>
  <c r="H27" i="119"/>
  <c r="H24" i="119"/>
  <c r="H23" i="119"/>
  <c r="H22" i="119"/>
  <c r="H19" i="119"/>
  <c r="H18" i="119"/>
  <c r="F9" i="119"/>
  <c r="I172" i="119"/>
  <c r="G1" i="119"/>
  <c r="B1" i="119"/>
  <c r="I186" i="119"/>
  <c r="H186" i="119"/>
  <c r="I183" i="119"/>
  <c r="I176" i="119"/>
  <c r="I142" i="119"/>
  <c r="I146" i="119" s="1"/>
  <c r="I103" i="119"/>
  <c r="I73" i="119"/>
  <c r="I93" i="119" s="1"/>
  <c r="I67" i="119"/>
  <c r="I62" i="119"/>
  <c r="I49" i="119"/>
  <c r="I64" i="119" s="1"/>
  <c r="H9" i="119"/>
  <c r="I36" i="100"/>
  <c r="I40" i="100"/>
  <c r="J16" i="60"/>
  <c r="B26" i="112"/>
  <c r="D26" i="112" s="1"/>
  <c r="B7" i="112"/>
  <c r="D7" i="112" s="1"/>
  <c r="H8" i="84"/>
  <c r="B8" i="84"/>
  <c r="D8" i="84" s="1"/>
  <c r="K8" i="84" l="1"/>
  <c r="L8" i="84" s="1"/>
  <c r="M103" i="112"/>
  <c r="M113" i="112" s="1"/>
  <c r="H183" i="119"/>
  <c r="H172" i="119"/>
  <c r="H176" i="119" s="1"/>
  <c r="D16" i="101" s="1"/>
  <c r="H73" i="119"/>
  <c r="G203" i="119" s="1"/>
  <c r="J92" i="112"/>
  <c r="M65" i="112"/>
  <c r="K65" i="112"/>
  <c r="H49" i="119"/>
  <c r="H62" i="119"/>
  <c r="H67" i="119"/>
  <c r="H103" i="119"/>
  <c r="I95" i="119"/>
  <c r="I99" i="119" s="1"/>
  <c r="I189" i="119" s="1"/>
  <c r="I193" i="119" s="1"/>
  <c r="I194" i="119" s="1"/>
  <c r="H142" i="119"/>
  <c r="H146" i="119" s="1"/>
  <c r="D13" i="101" s="1"/>
  <c r="H93" i="119" l="1"/>
  <c r="H64" i="119"/>
  <c r="H95" i="119" l="1"/>
  <c r="H99" i="119" s="1"/>
  <c r="D10" i="101" s="1"/>
  <c r="H189" i="119" l="1"/>
  <c r="I75" i="100" s="1"/>
  <c r="F23" i="117"/>
  <c r="E21" i="117" l="1"/>
  <c r="C53" i="114" l="1"/>
  <c r="C52" i="114"/>
  <c r="C50" i="114"/>
  <c r="C49" i="114"/>
  <c r="C47" i="114"/>
  <c r="C46" i="114"/>
  <c r="C44" i="114"/>
  <c r="F21" i="84" l="1"/>
  <c r="B35" i="42"/>
  <c r="B24" i="42"/>
  <c r="B25" i="42" s="1"/>
  <c r="B26" i="42" s="1"/>
  <c r="B27" i="42" s="1"/>
  <c r="B28" i="42" s="1"/>
  <c r="B29" i="42" s="1"/>
  <c r="B30" i="42" s="1"/>
  <c r="B31" i="42" s="1"/>
  <c r="B32" i="42" s="1"/>
  <c r="B33" i="42" s="1"/>
  <c r="B34" i="42" s="1"/>
  <c r="B23" i="42"/>
  <c r="K29" i="42"/>
  <c r="L29" i="42"/>
  <c r="M29" i="42"/>
  <c r="M30" i="42" s="1"/>
  <c r="N29" i="42"/>
  <c r="O29" i="42"/>
  <c r="P29" i="42"/>
  <c r="Q29" i="42"/>
  <c r="K30" i="42"/>
  <c r="O30" i="42" s="1"/>
  <c r="L30" i="42"/>
  <c r="Q30" i="42"/>
  <c r="L31" i="42"/>
  <c r="D25" i="112"/>
  <c r="B20" i="42"/>
  <c r="C16" i="2" s="1"/>
  <c r="B8" i="47" s="1"/>
  <c r="B10" i="69"/>
  <c r="M31" i="42" l="1"/>
  <c r="N31" i="42" s="1"/>
  <c r="K32" i="42" s="1"/>
  <c r="N30" i="42"/>
  <c r="K31" i="42" s="1"/>
  <c r="L32" i="42"/>
  <c r="P30" i="42"/>
  <c r="K21" i="117"/>
  <c r="B1" i="42"/>
  <c r="G75" i="114"/>
  <c r="F74" i="114"/>
  <c r="O32" i="42" l="1"/>
  <c r="Q32" i="42"/>
  <c r="P32" i="42"/>
  <c r="M32" i="42"/>
  <c r="P31" i="42"/>
  <c r="O31" i="42"/>
  <c r="Q31" i="42"/>
  <c r="N32" i="42"/>
  <c r="K33" i="42" s="1"/>
  <c r="L33" i="42"/>
  <c r="C3" i="2"/>
  <c r="C4" i="2"/>
  <c r="C2" i="2"/>
  <c r="C28" i="43"/>
  <c r="L34" i="42" l="1"/>
  <c r="N33" i="42"/>
  <c r="K34" i="42" s="1"/>
  <c r="O33" i="42"/>
  <c r="P33" i="42"/>
  <c r="Q33" i="42"/>
  <c r="M33" i="42"/>
  <c r="H8" i="2"/>
  <c r="C33" i="47" s="1"/>
  <c r="B1" i="84"/>
  <c r="G102" i="114"/>
  <c r="F103" i="114"/>
  <c r="B102" i="114"/>
  <c r="E102" i="114"/>
  <c r="B103" i="114"/>
  <c r="E103" i="114"/>
  <c r="H103" i="114"/>
  <c r="C74" i="114"/>
  <c r="C102" i="114" s="1"/>
  <c r="H74" i="114"/>
  <c r="H102" i="114" s="1"/>
  <c r="I74" i="114"/>
  <c r="I102" i="114" s="1"/>
  <c r="C75" i="114"/>
  <c r="C103" i="114" s="1"/>
  <c r="H75" i="114"/>
  <c r="I75" i="114"/>
  <c r="I103" i="114" s="1"/>
  <c r="A33" i="114"/>
  <c r="A74" i="114" s="1"/>
  <c r="A102" i="114" s="1"/>
  <c r="A34" i="114"/>
  <c r="A75" i="114" s="1"/>
  <c r="A103" i="114" s="1"/>
  <c r="E34" i="114"/>
  <c r="E75" i="114" s="1"/>
  <c r="E33" i="114"/>
  <c r="E74" i="114" s="1"/>
  <c r="D6" i="112"/>
  <c r="H6" i="112"/>
  <c r="H7" i="112" s="1"/>
  <c r="K7" i="112" s="1"/>
  <c r="M7" i="112" s="1"/>
  <c r="F1" i="117"/>
  <c r="J17" i="117" s="1"/>
  <c r="J41" i="117"/>
  <c r="P41" i="117" s="1"/>
  <c r="K41" i="117"/>
  <c r="N41" i="117"/>
  <c r="K31" i="117"/>
  <c r="J32" i="117"/>
  <c r="P32" i="117" s="1"/>
  <c r="K32" i="117"/>
  <c r="N32" i="117"/>
  <c r="J33" i="117"/>
  <c r="P33" i="117" s="1"/>
  <c r="K33" i="117"/>
  <c r="N33" i="117"/>
  <c r="J34" i="117"/>
  <c r="P34" i="117" s="1"/>
  <c r="K34" i="117"/>
  <c r="N34" i="117"/>
  <c r="N31" i="117"/>
  <c r="J31" i="117"/>
  <c r="P31" i="117" s="1"/>
  <c r="J22" i="117"/>
  <c r="P22" i="117" s="1"/>
  <c r="K22" i="117"/>
  <c r="N22" i="117"/>
  <c r="O22" i="117" s="1"/>
  <c r="J23" i="117"/>
  <c r="P23" i="117" s="1"/>
  <c r="K23" i="117"/>
  <c r="N23" i="117"/>
  <c r="N21" i="117"/>
  <c r="P21" i="117"/>
  <c r="L21" i="117" s="1"/>
  <c r="F45" i="117"/>
  <c r="F37" i="117"/>
  <c r="F27" i="117"/>
  <c r="F47" i="117" s="1"/>
  <c r="E27" i="117"/>
  <c r="B1" i="117"/>
  <c r="F1" i="118"/>
  <c r="B1" i="118"/>
  <c r="G8" i="2"/>
  <c r="C32" i="47" s="1"/>
  <c r="F8" i="2"/>
  <c r="C31" i="47" s="1"/>
  <c r="D5" i="69"/>
  <c r="D4" i="69"/>
  <c r="D12" i="118"/>
  <c r="E8" i="2" l="1"/>
  <c r="L22" i="117"/>
  <c r="M34" i="117"/>
  <c r="O33" i="117"/>
  <c r="L33" i="117"/>
  <c r="K6" i="112"/>
  <c r="M6" i="112" s="1"/>
  <c r="O32" i="117"/>
  <c r="L32" i="117"/>
  <c r="L23" i="117"/>
  <c r="N34" i="42"/>
  <c r="P34" i="42"/>
  <c r="Q34" i="42"/>
  <c r="O34" i="42"/>
  <c r="M34" i="42"/>
  <c r="M33" i="117"/>
  <c r="O34" i="117"/>
  <c r="L34" i="117"/>
  <c r="M22" i="117"/>
  <c r="M32" i="117"/>
  <c r="C12" i="118"/>
  <c r="D6" i="69"/>
  <c r="M41" i="117"/>
  <c r="O23" i="117"/>
  <c r="M23" i="117"/>
  <c r="L41" i="117"/>
  <c r="O41" i="117"/>
  <c r="L31" i="117"/>
  <c r="M31" i="117"/>
  <c r="O31" i="117"/>
  <c r="G8" i="114"/>
  <c r="F8" i="114"/>
  <c r="G9" i="114"/>
  <c r="G6" i="114" l="1"/>
  <c r="G5" i="114"/>
  <c r="F5" i="114"/>
  <c r="F74" i="2"/>
  <c r="I51" i="100"/>
  <c r="I1" i="84" l="1"/>
  <c r="H21" i="84" l="1"/>
  <c r="H44" i="84"/>
  <c r="H60" i="84"/>
  <c r="H98" i="84"/>
  <c r="H75" i="84"/>
  <c r="B14" i="69"/>
  <c r="B11" i="69"/>
  <c r="B12" i="69"/>
  <c r="D7" i="69"/>
  <c r="C14" i="69" l="1"/>
  <c r="C10" i="69"/>
  <c r="C12" i="69"/>
  <c r="C11" i="69"/>
  <c r="E74" i="2"/>
  <c r="B2" i="117" l="1"/>
  <c r="M21" i="117"/>
  <c r="G102" i="40"/>
  <c r="G45" i="40"/>
  <c r="N45" i="117" l="1"/>
  <c r="N47" i="117" s="1"/>
  <c r="O21" i="117" l="1"/>
  <c r="E45" i="117"/>
  <c r="W43" i="117"/>
  <c r="U43" i="117"/>
  <c r="W42" i="117"/>
  <c r="U42" i="117"/>
  <c r="W41" i="117"/>
  <c r="U41" i="117"/>
  <c r="E37" i="117"/>
  <c r="W34" i="117"/>
  <c r="U34" i="117"/>
  <c r="W33" i="117"/>
  <c r="U33" i="117"/>
  <c r="W32" i="117"/>
  <c r="U32" i="117"/>
  <c r="W31" i="117"/>
  <c r="U31" i="117"/>
  <c r="W23" i="117"/>
  <c r="U23" i="117"/>
  <c r="W22" i="117"/>
  <c r="U22" i="117"/>
  <c r="W21" i="117"/>
  <c r="U21" i="117"/>
  <c r="E47" i="117" l="1"/>
  <c r="X43" i="117"/>
  <c r="X42" i="117"/>
  <c r="X34" i="117"/>
  <c r="D7" i="84"/>
  <c r="K7" i="84" s="1"/>
  <c r="L7" i="84" l="1"/>
  <c r="X33" i="117"/>
  <c r="X23" i="117"/>
  <c r="X22" i="117"/>
  <c r="X31" i="117"/>
  <c r="X41" i="117" l="1"/>
  <c r="X21" i="117"/>
  <c r="X32" i="117"/>
  <c r="O45" i="117" l="1"/>
  <c r="O47" i="117" s="1"/>
  <c r="J45" i="117"/>
  <c r="J37" i="117"/>
  <c r="K45" i="117" l="1"/>
  <c r="P27" i="117"/>
  <c r="P45" i="117"/>
  <c r="P37" i="117"/>
  <c r="K37" i="117"/>
  <c r="J27" i="117"/>
  <c r="J47" i="117" s="1"/>
  <c r="P47" i="117" l="1"/>
  <c r="K27" i="117"/>
  <c r="K47" i="117" s="1"/>
  <c r="M37" i="117"/>
  <c r="M27" i="117"/>
  <c r="L37" i="117"/>
  <c r="M45" i="117"/>
  <c r="L45" i="117"/>
  <c r="M47" i="117" l="1"/>
  <c r="L27" i="117"/>
  <c r="L47" i="117"/>
  <c r="I49" i="100" l="1"/>
  <c r="F24" i="114"/>
  <c r="G23" i="114"/>
  <c r="G24" i="114"/>
  <c r="F23" i="114"/>
  <c r="G64" i="114" l="1"/>
  <c r="F92" i="114" s="1"/>
  <c r="F65" i="114"/>
  <c r="G93" i="114" s="1"/>
  <c r="G65" i="114"/>
  <c r="F93" i="114" s="1"/>
  <c r="F64" i="114"/>
  <c r="G92" i="114" s="1"/>
  <c r="A3" i="114"/>
  <c r="A44" i="114" s="1"/>
  <c r="A5" i="114"/>
  <c r="A46" i="114" s="1"/>
  <c r="A6" i="114"/>
  <c r="A47" i="114" s="1"/>
  <c r="A8" i="114"/>
  <c r="A49" i="114" s="1"/>
  <c r="A9" i="114"/>
  <c r="A50" i="114" s="1"/>
  <c r="A11" i="114"/>
  <c r="A52" i="114" s="1"/>
  <c r="A12" i="114"/>
  <c r="A53" i="114" s="1"/>
  <c r="A14" i="114"/>
  <c r="A55" i="114" s="1"/>
  <c r="A83" i="114" s="1"/>
  <c r="A15" i="114"/>
  <c r="A56" i="114" s="1"/>
  <c r="A84" i="114" s="1"/>
  <c r="A17" i="114"/>
  <c r="A58" i="114" s="1"/>
  <c r="A86" i="114" s="1"/>
  <c r="A18" i="114"/>
  <c r="A59" i="114" s="1"/>
  <c r="A87" i="114" s="1"/>
  <c r="A20" i="114"/>
  <c r="A61" i="114" s="1"/>
  <c r="A89" i="114" s="1"/>
  <c r="A21" i="114"/>
  <c r="A62" i="114" s="1"/>
  <c r="A90" i="114" s="1"/>
  <c r="A23" i="114"/>
  <c r="A64" i="114" s="1"/>
  <c r="A92" i="114" s="1"/>
  <c r="A24" i="114"/>
  <c r="A65" i="114" s="1"/>
  <c r="A93" i="114" s="1"/>
  <c r="A26" i="114"/>
  <c r="A67" i="114" s="1"/>
  <c r="A95" i="114" s="1"/>
  <c r="A27" i="114"/>
  <c r="A68" i="114" s="1"/>
  <c r="A96" i="114" s="1"/>
  <c r="A30" i="114"/>
  <c r="A71" i="114" s="1"/>
  <c r="A99" i="114" s="1"/>
  <c r="A31" i="114"/>
  <c r="A72" i="114" s="1"/>
  <c r="A100" i="114" s="1"/>
  <c r="A2" i="114"/>
  <c r="A43" i="114" s="1"/>
  <c r="G49" i="114"/>
  <c r="G50" i="114"/>
  <c r="F49" i="114"/>
  <c r="G47" i="114"/>
  <c r="G46" i="114"/>
  <c r="E100" i="114"/>
  <c r="E99" i="114"/>
  <c r="E96" i="114"/>
  <c r="E95" i="114"/>
  <c r="E93" i="114"/>
  <c r="E92" i="114"/>
  <c r="E90" i="114"/>
  <c r="E89" i="114"/>
  <c r="E87" i="114"/>
  <c r="E86" i="114"/>
  <c r="E84" i="114"/>
  <c r="E83" i="114"/>
  <c r="E31" i="114"/>
  <c r="E72" i="114" s="1"/>
  <c r="E30" i="114"/>
  <c r="E71" i="114" s="1"/>
  <c r="E27" i="114"/>
  <c r="E68" i="114" s="1"/>
  <c r="E26" i="114"/>
  <c r="E67" i="114" s="1"/>
  <c r="E24" i="114"/>
  <c r="E65" i="114" s="1"/>
  <c r="E23" i="114"/>
  <c r="E64" i="114" s="1"/>
  <c r="E21" i="114"/>
  <c r="E62" i="114" s="1"/>
  <c r="E20" i="114"/>
  <c r="E61" i="114" s="1"/>
  <c r="E18" i="114"/>
  <c r="E59" i="114" s="1"/>
  <c r="E17" i="114"/>
  <c r="E58" i="114" s="1"/>
  <c r="E15" i="114"/>
  <c r="E56" i="114" s="1"/>
  <c r="E14" i="114"/>
  <c r="E55" i="114" s="1"/>
  <c r="E12" i="114"/>
  <c r="E53" i="114" s="1"/>
  <c r="E11" i="114"/>
  <c r="E52" i="114" s="1"/>
  <c r="E9" i="114"/>
  <c r="E50" i="114" s="1"/>
  <c r="E8" i="114"/>
  <c r="E49" i="114" s="1"/>
  <c r="E6" i="114"/>
  <c r="E47" i="114" s="1"/>
  <c r="E5" i="114"/>
  <c r="E46" i="114" s="1"/>
  <c r="E3" i="114"/>
  <c r="E44" i="114" s="1"/>
  <c r="E2" i="114"/>
  <c r="E43" i="114" s="1"/>
  <c r="B100" i="114"/>
  <c r="B99" i="114"/>
  <c r="B96" i="114"/>
  <c r="B95" i="114"/>
  <c r="B93" i="114"/>
  <c r="B92" i="114"/>
  <c r="B90" i="114"/>
  <c r="B89" i="114"/>
  <c r="B87" i="114"/>
  <c r="B86" i="114"/>
  <c r="B84" i="114"/>
  <c r="B83" i="114"/>
  <c r="H79" i="114"/>
  <c r="H106" i="114" s="1"/>
  <c r="E79" i="114"/>
  <c r="E106" i="114" s="1"/>
  <c r="E78" i="114"/>
  <c r="E105" i="114" s="1"/>
  <c r="G77" i="114"/>
  <c r="F77" i="114"/>
  <c r="H72" i="114"/>
  <c r="H100" i="114" s="1"/>
  <c r="F72" i="114"/>
  <c r="G100" i="114" s="1"/>
  <c r="C72" i="114"/>
  <c r="C100" i="114" s="1"/>
  <c r="I71" i="114"/>
  <c r="I99" i="114" s="1"/>
  <c r="H71" i="114"/>
  <c r="H99" i="114" s="1"/>
  <c r="G71" i="114"/>
  <c r="F99" i="114" s="1"/>
  <c r="C71" i="114"/>
  <c r="C99" i="114" s="1"/>
  <c r="I68" i="114"/>
  <c r="I96" i="114" s="1"/>
  <c r="H68" i="114"/>
  <c r="H96" i="114" s="1"/>
  <c r="C68" i="114"/>
  <c r="I67" i="114"/>
  <c r="I95" i="114" s="1"/>
  <c r="H67" i="114"/>
  <c r="H95" i="114" s="1"/>
  <c r="C67" i="114"/>
  <c r="C95" i="114" s="1"/>
  <c r="I65" i="114"/>
  <c r="I93" i="114" s="1"/>
  <c r="H65" i="114"/>
  <c r="H93" i="114" s="1"/>
  <c r="C65" i="114"/>
  <c r="I64" i="114"/>
  <c r="I92" i="114" s="1"/>
  <c r="H64" i="114"/>
  <c r="H92" i="114" s="1"/>
  <c r="C64" i="114"/>
  <c r="C92" i="114" s="1"/>
  <c r="I62" i="114"/>
  <c r="I90" i="114" s="1"/>
  <c r="H62" i="114"/>
  <c r="H90" i="114" s="1"/>
  <c r="C62" i="114"/>
  <c r="I61" i="114"/>
  <c r="I89" i="114" s="1"/>
  <c r="H61" i="114"/>
  <c r="H89" i="114" s="1"/>
  <c r="C61" i="114"/>
  <c r="C89" i="114" s="1"/>
  <c r="I59" i="114"/>
  <c r="I87" i="114" s="1"/>
  <c r="H59" i="114"/>
  <c r="H87" i="114" s="1"/>
  <c r="C59" i="114"/>
  <c r="I58" i="114"/>
  <c r="I86" i="114" s="1"/>
  <c r="H58" i="114"/>
  <c r="H86" i="114" s="1"/>
  <c r="C58" i="114"/>
  <c r="C86" i="114" s="1"/>
  <c r="I56" i="114"/>
  <c r="I84" i="114" s="1"/>
  <c r="H56" i="114"/>
  <c r="H84" i="114" s="1"/>
  <c r="C56" i="114"/>
  <c r="I55" i="114"/>
  <c r="I83" i="114" s="1"/>
  <c r="H55" i="114"/>
  <c r="H83" i="114" s="1"/>
  <c r="C55" i="114"/>
  <c r="C83" i="114" s="1"/>
  <c r="I53" i="114"/>
  <c r="H53" i="114"/>
  <c r="I52" i="114"/>
  <c r="H52" i="114"/>
  <c r="I50" i="114"/>
  <c r="H50" i="114"/>
  <c r="F50" i="114"/>
  <c r="I49" i="114"/>
  <c r="H49" i="114"/>
  <c r="I47" i="114"/>
  <c r="H47" i="114"/>
  <c r="F47" i="114"/>
  <c r="I46" i="114"/>
  <c r="H46" i="114"/>
  <c r="I44" i="114"/>
  <c r="H44" i="114"/>
  <c r="F44" i="114"/>
  <c r="I43" i="114"/>
  <c r="H43" i="114"/>
  <c r="C43" i="114"/>
  <c r="I31" i="114"/>
  <c r="I72" i="114" s="1"/>
  <c r="I100" i="114" s="1"/>
  <c r="F46" i="114" l="1"/>
  <c r="D27" i="37" l="1"/>
  <c r="D26" i="37"/>
  <c r="D24" i="37"/>
  <c r="D23" i="37"/>
  <c r="D21" i="37"/>
  <c r="D20" i="37"/>
  <c r="D13" i="37"/>
  <c r="D12" i="37"/>
  <c r="D10" i="37"/>
  <c r="D9" i="37"/>
  <c r="D7" i="37"/>
  <c r="D6" i="37"/>
  <c r="E28" i="37" l="1"/>
  <c r="L21" i="84"/>
  <c r="G21" i="84"/>
  <c r="G105" i="84" l="1"/>
  <c r="I16" i="2"/>
  <c r="L22" i="84"/>
  <c r="L23" i="84" s="1"/>
  <c r="G106" i="84" s="1"/>
  <c r="I25" i="2" l="1"/>
  <c r="M16" i="2"/>
  <c r="B1" i="112"/>
  <c r="I1" i="112"/>
  <c r="G16" i="112"/>
  <c r="K187" i="112" s="1"/>
  <c r="M25" i="2" l="1"/>
  <c r="H106" i="84"/>
  <c r="G25" i="112"/>
  <c r="H25" i="112" s="1"/>
  <c r="K16" i="112"/>
  <c r="M16" i="112"/>
  <c r="K186" i="112" s="1"/>
  <c r="J25" i="112" l="1"/>
  <c r="H26" i="112"/>
  <c r="J26" i="112" s="1"/>
  <c r="J43" i="112" l="1"/>
  <c r="H40" i="101" l="1"/>
  <c r="D49" i="2"/>
  <c r="I84" i="100" s="1"/>
  <c r="I25" i="37"/>
  <c r="G33" i="114"/>
  <c r="K21" i="84"/>
  <c r="D72" i="2" l="1"/>
  <c r="G72" i="2" s="1"/>
  <c r="F34" i="114"/>
  <c r="F75" i="114" s="1"/>
  <c r="G103" i="114" s="1"/>
  <c r="G74" i="114"/>
  <c r="F102" i="114" s="1"/>
  <c r="G17" i="47"/>
  <c r="F16" i="47"/>
  <c r="I16" i="47" l="1"/>
  <c r="E43" i="110" l="1"/>
  <c r="G43" i="110" s="1"/>
  <c r="I98" i="42" l="1"/>
  <c r="I95" i="42"/>
  <c r="I96" i="42"/>
  <c r="I97" i="42"/>
  <c r="F95" i="42"/>
  <c r="F96" i="42"/>
  <c r="F97" i="42"/>
  <c r="F98" i="42"/>
  <c r="I87" i="42"/>
  <c r="I88" i="42"/>
  <c r="I89" i="42"/>
  <c r="I90" i="42"/>
  <c r="F87" i="42"/>
  <c r="F88" i="42"/>
  <c r="F89" i="42"/>
  <c r="F90" i="42"/>
  <c r="I79" i="42"/>
  <c r="I80" i="42"/>
  <c r="I81" i="42"/>
  <c r="I82" i="42"/>
  <c r="F79" i="42"/>
  <c r="F80" i="42"/>
  <c r="F81" i="42"/>
  <c r="F82" i="42"/>
  <c r="G72" i="40" l="1"/>
  <c r="G56" i="40"/>
  <c r="D11" i="101"/>
  <c r="D14" i="101"/>
  <c r="D17" i="101"/>
  <c r="E9" i="101"/>
  <c r="E12" i="101"/>
  <c r="E15" i="101"/>
  <c r="G34" i="40" l="1"/>
  <c r="E145" i="42"/>
  <c r="G145" i="42"/>
  <c r="H145" i="42"/>
  <c r="J145" i="42"/>
  <c r="F140" i="42"/>
  <c r="I140" i="42"/>
  <c r="F141" i="42"/>
  <c r="I141" i="42"/>
  <c r="F142" i="42"/>
  <c r="I142" i="42"/>
  <c r="F143" i="42"/>
  <c r="I143" i="42"/>
  <c r="F144" i="42"/>
  <c r="I144" i="42"/>
  <c r="F145" i="42" l="1"/>
  <c r="I145" i="42"/>
  <c r="G90" i="40" l="1"/>
  <c r="I36" i="60" l="1"/>
  <c r="J36" i="60" s="1"/>
  <c r="J99" i="42" l="1"/>
  <c r="H99" i="42"/>
  <c r="G99" i="42"/>
  <c r="E99" i="42"/>
  <c r="I94" i="42"/>
  <c r="F94" i="42"/>
  <c r="B99" i="42"/>
  <c r="L93" i="42"/>
  <c r="L94" i="42" s="1"/>
  <c r="L95" i="42" s="1"/>
  <c r="K93" i="42"/>
  <c r="Q93" i="42" s="1"/>
  <c r="I93" i="42"/>
  <c r="F93" i="42"/>
  <c r="R92" i="42"/>
  <c r="Q92" i="42"/>
  <c r="J91" i="42"/>
  <c r="H91" i="42"/>
  <c r="G91" i="42"/>
  <c r="E91" i="42"/>
  <c r="I86" i="42"/>
  <c r="F86" i="42"/>
  <c r="L85" i="42"/>
  <c r="L86" i="42" s="1"/>
  <c r="L87" i="42" s="1"/>
  <c r="K85" i="42"/>
  <c r="P85" i="42" s="1"/>
  <c r="I85" i="42"/>
  <c r="F85" i="42"/>
  <c r="R84" i="42"/>
  <c r="Q84" i="42"/>
  <c r="J83" i="42"/>
  <c r="H83" i="42"/>
  <c r="G83" i="42"/>
  <c r="E83" i="42"/>
  <c r="L78" i="42"/>
  <c r="L79" i="42" s="1"/>
  <c r="L80" i="42" s="1"/>
  <c r="L81" i="42" s="1"/>
  <c r="L82" i="42" s="1"/>
  <c r="K78" i="42"/>
  <c r="Q78" i="42" s="1"/>
  <c r="I78" i="42"/>
  <c r="F78" i="42"/>
  <c r="R77" i="42"/>
  <c r="Q77" i="42"/>
  <c r="I91" i="42" l="1"/>
  <c r="I99" i="42"/>
  <c r="L96" i="42"/>
  <c r="B91" i="42"/>
  <c r="L88" i="42"/>
  <c r="B83" i="42"/>
  <c r="I83" i="42"/>
  <c r="S92" i="42"/>
  <c r="S77" i="42"/>
  <c r="F99" i="42"/>
  <c r="M93" i="42"/>
  <c r="N93" i="42" s="1"/>
  <c r="K94" i="42" s="1"/>
  <c r="O93" i="42"/>
  <c r="P93" i="42"/>
  <c r="P78" i="42"/>
  <c r="M78" i="42"/>
  <c r="M85" i="42"/>
  <c r="N85" i="42" s="1"/>
  <c r="K86" i="42" s="1"/>
  <c r="M86" i="42" s="1"/>
  <c r="O85" i="42"/>
  <c r="R85" i="42" s="1"/>
  <c r="S84" i="42"/>
  <c r="F91" i="42"/>
  <c r="Q85" i="42"/>
  <c r="F83" i="42"/>
  <c r="O78" i="42"/>
  <c r="L83" i="42"/>
  <c r="L97" i="42" l="1"/>
  <c r="L89" i="42"/>
  <c r="N78" i="42"/>
  <c r="K79" i="42" s="1"/>
  <c r="M79" i="42" s="1"/>
  <c r="N79" i="42" s="1"/>
  <c r="S85" i="42"/>
  <c r="R78" i="42"/>
  <c r="S78" i="42" s="1"/>
  <c r="M94" i="42"/>
  <c r="R93" i="42"/>
  <c r="S93" i="42" s="1"/>
  <c r="P94" i="42"/>
  <c r="Q94" i="42"/>
  <c r="O94" i="42"/>
  <c r="N86" i="42"/>
  <c r="P86" i="42"/>
  <c r="O86" i="42"/>
  <c r="Q86" i="42"/>
  <c r="D33" i="101"/>
  <c r="D25" i="101" s="1"/>
  <c r="N94" i="42" l="1"/>
  <c r="L98" i="42"/>
  <c r="L99" i="42" s="1"/>
  <c r="K87" i="42"/>
  <c r="L90" i="42"/>
  <c r="O79" i="42"/>
  <c r="Q79" i="42"/>
  <c r="P79" i="42"/>
  <c r="K80" i="42"/>
  <c r="R94" i="42"/>
  <c r="S94" i="42" s="1"/>
  <c r="R86" i="42"/>
  <c r="S86" i="42" s="1"/>
  <c r="K95" i="42" l="1"/>
  <c r="L91" i="42"/>
  <c r="O87" i="42"/>
  <c r="P87" i="42"/>
  <c r="Q87" i="42"/>
  <c r="M87" i="42"/>
  <c r="R79" i="42"/>
  <c r="S79" i="42"/>
  <c r="O80" i="42"/>
  <c r="P80" i="42"/>
  <c r="Q80" i="42"/>
  <c r="M80" i="42"/>
  <c r="O95" i="42" l="1"/>
  <c r="P95" i="42"/>
  <c r="Q95" i="42"/>
  <c r="M95" i="42"/>
  <c r="N87" i="42"/>
  <c r="K88" i="42" s="1"/>
  <c r="R87" i="42"/>
  <c r="N80" i="42"/>
  <c r="K81" i="42" s="1"/>
  <c r="M81" i="42" s="1"/>
  <c r="R80" i="42"/>
  <c r="S80" i="42" s="1"/>
  <c r="N95" i="42" l="1"/>
  <c r="K96" i="42" s="1"/>
  <c r="R95" i="42"/>
  <c r="S95" i="42" s="1"/>
  <c r="Q88" i="42"/>
  <c r="O88" i="42"/>
  <c r="P88" i="42"/>
  <c r="M88" i="42"/>
  <c r="N81" i="42"/>
  <c r="K82" i="42" s="1"/>
  <c r="M82" i="42" s="1"/>
  <c r="O81" i="42"/>
  <c r="P81" i="42"/>
  <c r="Q81" i="42"/>
  <c r="Q96" i="42" l="1"/>
  <c r="O96" i="42"/>
  <c r="P96" i="42"/>
  <c r="M96" i="42"/>
  <c r="K83" i="42"/>
  <c r="Q83" i="42" s="1"/>
  <c r="N88" i="42"/>
  <c r="K89" i="42" s="1"/>
  <c r="R88" i="42"/>
  <c r="R81" i="42"/>
  <c r="S81" i="42" s="1"/>
  <c r="M83" i="42"/>
  <c r="N82" i="42"/>
  <c r="O82" i="42"/>
  <c r="P82" i="42"/>
  <c r="P83" i="42" s="1"/>
  <c r="Q82" i="42"/>
  <c r="N96" i="42" l="1"/>
  <c r="K97" i="42" s="1"/>
  <c r="R96" i="42"/>
  <c r="S96" i="42" s="1"/>
  <c r="O89" i="42"/>
  <c r="P89" i="42"/>
  <c r="Q89" i="42"/>
  <c r="M89" i="42"/>
  <c r="N83" i="42"/>
  <c r="R82" i="42"/>
  <c r="S82" i="42" s="1"/>
  <c r="O83" i="42"/>
  <c r="R83" i="42" s="1"/>
  <c r="S83" i="42" s="1"/>
  <c r="O97" i="42" l="1"/>
  <c r="P97" i="42"/>
  <c r="Q97" i="42"/>
  <c r="M97" i="42"/>
  <c r="N89" i="42"/>
  <c r="K90" i="42" s="1"/>
  <c r="R89" i="42"/>
  <c r="N97" i="42" l="1"/>
  <c r="K98" i="42" s="1"/>
  <c r="R97" i="42"/>
  <c r="S97" i="42" s="1"/>
  <c r="P90" i="42"/>
  <c r="P91" i="42" s="1"/>
  <c r="Q90" i="42"/>
  <c r="O90" i="42"/>
  <c r="K91" i="42"/>
  <c r="Q91" i="42" s="1"/>
  <c r="M90" i="42"/>
  <c r="P98" i="42" l="1"/>
  <c r="P99" i="42" s="1"/>
  <c r="Q98" i="42"/>
  <c r="O98" i="42"/>
  <c r="K99" i="42"/>
  <c r="Q99" i="42" s="1"/>
  <c r="M98" i="42"/>
  <c r="M91" i="42"/>
  <c r="N90" i="42"/>
  <c r="R90" i="42"/>
  <c r="S90" i="42" s="1"/>
  <c r="O91" i="42"/>
  <c r="R91" i="42" s="1"/>
  <c r="S91" i="42" s="1"/>
  <c r="E1" i="110"/>
  <c r="E25" i="110" s="1"/>
  <c r="B1" i="110"/>
  <c r="B25" i="110" s="1"/>
  <c r="D20" i="110"/>
  <c r="D43" i="110"/>
  <c r="D19" i="110" s="1"/>
  <c r="E38" i="110"/>
  <c r="D14" i="110" s="1"/>
  <c r="D38" i="110"/>
  <c r="D16" i="110" s="1"/>
  <c r="E34" i="110"/>
  <c r="D8" i="110" s="1"/>
  <c r="D34" i="110"/>
  <c r="D11" i="110" s="1"/>
  <c r="N98" i="42" l="1"/>
  <c r="M99" i="42"/>
  <c r="R98" i="42"/>
  <c r="S98" i="42" s="1"/>
  <c r="O99" i="42"/>
  <c r="R99" i="42" s="1"/>
  <c r="S99" i="42" s="1"/>
  <c r="N91" i="42"/>
  <c r="D6" i="110"/>
  <c r="N99" i="42" l="1"/>
  <c r="J76" i="42"/>
  <c r="H76" i="42"/>
  <c r="I76" i="42" s="1"/>
  <c r="G76" i="42"/>
  <c r="E76" i="42"/>
  <c r="I75" i="42"/>
  <c r="F75" i="42"/>
  <c r="I74" i="42"/>
  <c r="F74" i="42"/>
  <c r="B76" i="42"/>
  <c r="L73" i="42"/>
  <c r="L74" i="42" s="1"/>
  <c r="K73" i="42"/>
  <c r="Q73" i="42" s="1"/>
  <c r="I73" i="42"/>
  <c r="F73" i="42"/>
  <c r="R72" i="42"/>
  <c r="Q72" i="42"/>
  <c r="I12" i="100"/>
  <c r="S72" i="42" l="1"/>
  <c r="M73" i="42"/>
  <c r="N73" i="42" s="1"/>
  <c r="K74" i="42" s="1"/>
  <c r="F76" i="42"/>
  <c r="L75" i="42"/>
  <c r="O73" i="42"/>
  <c r="P73" i="42"/>
  <c r="R73" i="42" l="1"/>
  <c r="S73" i="42" s="1"/>
  <c r="M74" i="42"/>
  <c r="P74" i="42"/>
  <c r="Q74" i="42"/>
  <c r="O74" i="42"/>
  <c r="L76" i="42"/>
  <c r="R74" i="42" l="1"/>
  <c r="S74" i="42" s="1"/>
  <c r="N74" i="42"/>
  <c r="K75" i="42" s="1"/>
  <c r="Q75" i="42" l="1"/>
  <c r="P75" i="42"/>
  <c r="P76" i="42" s="1"/>
  <c r="O75" i="42"/>
  <c r="K76" i="42"/>
  <c r="Q76" i="42" s="1"/>
  <c r="M75" i="42"/>
  <c r="R75" i="42" l="1"/>
  <c r="S75" i="42" s="1"/>
  <c r="O76" i="42"/>
  <c r="R76" i="42" s="1"/>
  <c r="S76" i="42" s="1"/>
  <c r="M76" i="42"/>
  <c r="N75" i="42"/>
  <c r="N76" i="42" l="1"/>
  <c r="D15" i="69"/>
  <c r="D18" i="69" s="1"/>
  <c r="J67" i="100"/>
  <c r="B1" i="2"/>
  <c r="B1" i="37"/>
  <c r="G1" i="37" l="1"/>
  <c r="F1" i="43"/>
  <c r="I1" i="100"/>
  <c r="I6" i="100" s="1"/>
  <c r="I64" i="100" s="1"/>
  <c r="B1" i="100"/>
  <c r="F1" i="101"/>
  <c r="D4" i="101" s="1"/>
  <c r="B1" i="101"/>
  <c r="G1" i="40"/>
  <c r="J1" i="60"/>
  <c r="F1" i="69"/>
  <c r="K1" i="42"/>
  <c r="D145" i="42" s="1"/>
  <c r="H1" i="2"/>
  <c r="G16" i="2" s="1"/>
  <c r="F25" i="101"/>
  <c r="F24" i="101"/>
  <c r="F23" i="101"/>
  <c r="F22" i="101"/>
  <c r="F21" i="101"/>
  <c r="F20" i="101"/>
  <c r="E19" i="101"/>
  <c r="F19" i="101" s="1"/>
  <c r="D19" i="101"/>
  <c r="F18" i="101"/>
  <c r="F17" i="101"/>
  <c r="F14" i="101"/>
  <c r="F11" i="101"/>
  <c r="F7" i="101"/>
  <c r="F6" i="101"/>
  <c r="E5" i="101"/>
  <c r="J96" i="100"/>
  <c r="J88" i="100"/>
  <c r="I88" i="100"/>
  <c r="J59" i="100"/>
  <c r="J30" i="100"/>
  <c r="J20" i="100"/>
  <c r="J15" i="100"/>
  <c r="J10" i="100"/>
  <c r="G15" i="2" l="1"/>
  <c r="G18" i="2"/>
  <c r="G19" i="2" s="1"/>
  <c r="G20" i="2" s="1"/>
  <c r="G22" i="2" s="1"/>
  <c r="E35" i="101"/>
  <c r="E26" i="101"/>
  <c r="E36" i="101" s="1"/>
  <c r="E37" i="101" s="1"/>
  <c r="B60" i="102" s="1"/>
  <c r="D91" i="42"/>
  <c r="D99" i="42"/>
  <c r="D76" i="42"/>
  <c r="D83" i="42"/>
  <c r="J1" i="47"/>
  <c r="J98" i="100"/>
  <c r="J53" i="100"/>
  <c r="J61" i="100" s="1"/>
  <c r="J101" i="100" s="1"/>
  <c r="J8" i="100"/>
  <c r="F5" i="101"/>
  <c r="C24" i="47" l="1"/>
  <c r="J100" i="100"/>
  <c r="F16" i="101" l="1"/>
  <c r="D12" i="101"/>
  <c r="F12" i="101" s="1"/>
  <c r="F13" i="101"/>
  <c r="D15" i="101"/>
  <c r="F15" i="101" s="1"/>
  <c r="B58" i="102"/>
  <c r="J103" i="60" l="1"/>
  <c r="I41" i="60" l="1"/>
  <c r="J41" i="60" s="1"/>
  <c r="G21" i="40"/>
  <c r="I139" i="42"/>
  <c r="F139" i="42"/>
  <c r="I138" i="42"/>
  <c r="F138" i="42"/>
  <c r="I137" i="42"/>
  <c r="F137" i="42"/>
  <c r="I136" i="42"/>
  <c r="F136" i="42"/>
  <c r="I135" i="42"/>
  <c r="F135" i="42"/>
  <c r="I134" i="42"/>
  <c r="F134" i="42"/>
  <c r="I133" i="42"/>
  <c r="F133" i="42"/>
  <c r="I132" i="42"/>
  <c r="F132" i="42"/>
  <c r="I131" i="42"/>
  <c r="F131" i="42"/>
  <c r="I130" i="42"/>
  <c r="F130" i="42"/>
  <c r="I129" i="42"/>
  <c r="F129" i="42"/>
  <c r="I128" i="42"/>
  <c r="I40" i="60" l="1"/>
  <c r="J40" i="60" s="1"/>
  <c r="I39" i="60"/>
  <c r="J39" i="60" s="1"/>
  <c r="I38" i="60"/>
  <c r="J38" i="60" s="1"/>
  <c r="J66" i="42"/>
  <c r="H66" i="42"/>
  <c r="I66" i="42" s="1"/>
  <c r="G66" i="42"/>
  <c r="E66" i="42"/>
  <c r="I65" i="42"/>
  <c r="F65" i="42"/>
  <c r="I64" i="42"/>
  <c r="F64" i="42"/>
  <c r="B66" i="42"/>
  <c r="L63" i="42"/>
  <c r="L64" i="42" s="1"/>
  <c r="K63" i="42"/>
  <c r="Q63" i="42" s="1"/>
  <c r="I63" i="42"/>
  <c r="F63" i="42"/>
  <c r="R62" i="42"/>
  <c r="Q62" i="42"/>
  <c r="M63" i="42" l="1"/>
  <c r="N63" i="42" s="1"/>
  <c r="K64" i="42" s="1"/>
  <c r="M64" i="42" s="1"/>
  <c r="O63" i="42"/>
  <c r="P63" i="42"/>
  <c r="S62" i="42"/>
  <c r="F66" i="42"/>
  <c r="L65" i="42"/>
  <c r="L66" i="42" s="1"/>
  <c r="J35" i="42"/>
  <c r="H35" i="42"/>
  <c r="G35" i="42"/>
  <c r="E35" i="42"/>
  <c r="I34" i="42"/>
  <c r="F34" i="42"/>
  <c r="I33" i="42"/>
  <c r="F33" i="42"/>
  <c r="I32" i="42"/>
  <c r="F32" i="42"/>
  <c r="I31" i="42"/>
  <c r="F31" i="42"/>
  <c r="I30" i="42"/>
  <c r="F30" i="42"/>
  <c r="I29" i="42"/>
  <c r="F29" i="42"/>
  <c r="R63" i="42" l="1"/>
  <c r="S63" i="42" s="1"/>
  <c r="N64" i="42"/>
  <c r="K65" i="42" s="1"/>
  <c r="K66" i="42" s="1"/>
  <c r="Q66" i="42" s="1"/>
  <c r="P64" i="42"/>
  <c r="O64" i="42"/>
  <c r="Q64" i="42"/>
  <c r="R64" i="42" l="1"/>
  <c r="S64" i="42" s="1"/>
  <c r="Q65" i="42"/>
  <c r="O65" i="42"/>
  <c r="P65" i="42"/>
  <c r="P66" i="42" s="1"/>
  <c r="M65" i="42"/>
  <c r="R65" i="42" l="1"/>
  <c r="S65" i="42" s="1"/>
  <c r="M66" i="42"/>
  <c r="N65" i="42"/>
  <c r="O66" i="42"/>
  <c r="R66" i="42" s="1"/>
  <c r="S66" i="42" s="1"/>
  <c r="N66" i="42" l="1"/>
  <c r="I35" i="60"/>
  <c r="J35" i="60" s="1"/>
  <c r="I34" i="60"/>
  <c r="J34" i="60" s="1"/>
  <c r="I33" i="60"/>
  <c r="J33" i="60" s="1"/>
  <c r="I22" i="60"/>
  <c r="J22" i="60" s="1"/>
  <c r="E8" i="37"/>
  <c r="E11" i="37"/>
  <c r="J108" i="60" s="1"/>
  <c r="E14" i="37"/>
  <c r="E22" i="37"/>
  <c r="G27" i="40"/>
  <c r="G95" i="40"/>
  <c r="F32" i="47"/>
  <c r="F33" i="47"/>
  <c r="F34" i="47"/>
  <c r="F31" i="47"/>
  <c r="D36" i="47"/>
  <c r="J92" i="60"/>
  <c r="G83" i="40"/>
  <c r="G16" i="40"/>
  <c r="G12" i="40"/>
  <c r="B71" i="42"/>
  <c r="J71" i="42"/>
  <c r="H71" i="42"/>
  <c r="G71" i="42"/>
  <c r="E71" i="42"/>
  <c r="I70" i="42"/>
  <c r="F70" i="42"/>
  <c r="I69" i="42"/>
  <c r="F69" i="42"/>
  <c r="L68" i="42"/>
  <c r="L69" i="42" s="1"/>
  <c r="K68" i="42"/>
  <c r="Q68" i="42" s="1"/>
  <c r="I68" i="42"/>
  <c r="F68" i="42"/>
  <c r="R67" i="42"/>
  <c r="Q67" i="42"/>
  <c r="I124" i="42"/>
  <c r="I125" i="42"/>
  <c r="I126" i="42"/>
  <c r="F124" i="42"/>
  <c r="F125" i="42"/>
  <c r="F126" i="42"/>
  <c r="F123" i="42"/>
  <c r="I123" i="42"/>
  <c r="J20" i="42"/>
  <c r="H20" i="42"/>
  <c r="G20" i="42"/>
  <c r="F17" i="42"/>
  <c r="F18" i="42"/>
  <c r="F19" i="42"/>
  <c r="E20" i="42"/>
  <c r="F28" i="42"/>
  <c r="F27" i="42"/>
  <c r="I27" i="42"/>
  <c r="I28" i="42"/>
  <c r="I24" i="42"/>
  <c r="I25" i="42"/>
  <c r="I26" i="42"/>
  <c r="F24" i="42"/>
  <c r="F25" i="42"/>
  <c r="F26" i="42"/>
  <c r="E25" i="37"/>
  <c r="I19" i="42"/>
  <c r="I17" i="42"/>
  <c r="I18" i="42"/>
  <c r="I49" i="42"/>
  <c r="F49" i="42"/>
  <c r="B155" i="42"/>
  <c r="B150" i="42"/>
  <c r="B119" i="42"/>
  <c r="B114" i="42"/>
  <c r="B109" i="42"/>
  <c r="B104" i="42"/>
  <c r="B61" i="42"/>
  <c r="B56" i="42"/>
  <c r="C22" i="2" s="1"/>
  <c r="B14" i="47" s="1"/>
  <c r="J119" i="42"/>
  <c r="H119" i="42"/>
  <c r="I119" i="42" s="1"/>
  <c r="G119" i="42"/>
  <c r="E119" i="42"/>
  <c r="I118" i="42"/>
  <c r="F118" i="42"/>
  <c r="I117" i="42"/>
  <c r="F117" i="42"/>
  <c r="L116" i="42"/>
  <c r="L117" i="42" s="1"/>
  <c r="L118" i="42" s="1"/>
  <c r="K116" i="42"/>
  <c r="P116" i="42" s="1"/>
  <c r="I116" i="42"/>
  <c r="F116" i="42"/>
  <c r="R115" i="42"/>
  <c r="Q115" i="42"/>
  <c r="J114" i="42"/>
  <c r="H114" i="42"/>
  <c r="I114" i="42" s="1"/>
  <c r="G114" i="42"/>
  <c r="E114" i="42"/>
  <c r="I113" i="42"/>
  <c r="F113" i="42"/>
  <c r="I112" i="42"/>
  <c r="F112" i="42"/>
  <c r="L111" i="42"/>
  <c r="L112" i="42" s="1"/>
  <c r="L113" i="42" s="1"/>
  <c r="L114" i="42" s="1"/>
  <c r="K111" i="42"/>
  <c r="O111" i="42" s="1"/>
  <c r="I111" i="42"/>
  <c r="F111" i="42"/>
  <c r="R110" i="42"/>
  <c r="Q110" i="42"/>
  <c r="J109" i="42"/>
  <c r="H109" i="42"/>
  <c r="G109" i="42"/>
  <c r="E109" i="42"/>
  <c r="I108" i="42"/>
  <c r="F108" i="42"/>
  <c r="I107" i="42"/>
  <c r="F107" i="42"/>
  <c r="L106" i="42"/>
  <c r="L107" i="42" s="1"/>
  <c r="K106" i="42"/>
  <c r="Q106" i="42" s="1"/>
  <c r="I106" i="42"/>
  <c r="F106" i="42"/>
  <c r="R105" i="42"/>
  <c r="Q105" i="42"/>
  <c r="J104" i="42"/>
  <c r="H104" i="42"/>
  <c r="I104" i="42" s="1"/>
  <c r="G104" i="42"/>
  <c r="E104" i="42"/>
  <c r="I103" i="42"/>
  <c r="F103" i="42"/>
  <c r="I102" i="42"/>
  <c r="F102" i="42"/>
  <c r="L101" i="42"/>
  <c r="L102" i="42" s="1"/>
  <c r="L103" i="42" s="1"/>
  <c r="L104" i="42" s="1"/>
  <c r="K101" i="42"/>
  <c r="P101" i="42" s="1"/>
  <c r="I101" i="42"/>
  <c r="F101" i="42"/>
  <c r="R100" i="42"/>
  <c r="Q100" i="42"/>
  <c r="J61" i="42"/>
  <c r="H61" i="42"/>
  <c r="I61" i="42" s="1"/>
  <c r="G61" i="42"/>
  <c r="E61" i="42"/>
  <c r="I60" i="42"/>
  <c r="F60" i="42"/>
  <c r="I59" i="42"/>
  <c r="F59" i="42"/>
  <c r="L58" i="42"/>
  <c r="L59" i="42" s="1"/>
  <c r="K58" i="42"/>
  <c r="M58" i="42" s="1"/>
  <c r="I58" i="42"/>
  <c r="F58" i="42"/>
  <c r="R57" i="42"/>
  <c r="Q57" i="42"/>
  <c r="J56" i="42"/>
  <c r="H56" i="42"/>
  <c r="G56" i="42"/>
  <c r="E56" i="42"/>
  <c r="I55" i="42"/>
  <c r="F55" i="42"/>
  <c r="I54" i="42"/>
  <c r="F54" i="42"/>
  <c r="L53" i="42"/>
  <c r="L54" i="42" s="1"/>
  <c r="K53" i="42"/>
  <c r="Q53" i="42" s="1"/>
  <c r="I53" i="42"/>
  <c r="F53" i="42"/>
  <c r="R52" i="42"/>
  <c r="Q52" i="42"/>
  <c r="AI67" i="2"/>
  <c r="K9" i="60"/>
  <c r="J45" i="42"/>
  <c r="H45" i="42"/>
  <c r="I45" i="42" s="1"/>
  <c r="G45" i="42"/>
  <c r="E45" i="42"/>
  <c r="Q44" i="42"/>
  <c r="P44" i="42"/>
  <c r="O44" i="42"/>
  <c r="I44" i="42"/>
  <c r="F44" i="42"/>
  <c r="I43" i="42"/>
  <c r="F43" i="42"/>
  <c r="B45" i="42"/>
  <c r="C19" i="2" s="1"/>
  <c r="B11" i="47" s="1"/>
  <c r="L42" i="42"/>
  <c r="K42" i="42"/>
  <c r="Q42" i="42" s="1"/>
  <c r="I42" i="42"/>
  <c r="F42" i="42"/>
  <c r="R41" i="42"/>
  <c r="Q41" i="42"/>
  <c r="J40" i="42"/>
  <c r="H40" i="42"/>
  <c r="I40" i="42" s="1"/>
  <c r="G40" i="42"/>
  <c r="E40" i="42"/>
  <c r="Q39" i="42"/>
  <c r="P39" i="42"/>
  <c r="O39" i="42"/>
  <c r="I39" i="42"/>
  <c r="F39" i="42"/>
  <c r="I38" i="42"/>
  <c r="F38" i="42"/>
  <c r="B40" i="42"/>
  <c r="L37" i="42"/>
  <c r="L38" i="42" s="1"/>
  <c r="K37" i="42"/>
  <c r="M37" i="42" s="1"/>
  <c r="I37" i="42"/>
  <c r="F37" i="42"/>
  <c r="R36" i="42"/>
  <c r="Q36" i="42"/>
  <c r="F15" i="42"/>
  <c r="I15" i="42"/>
  <c r="D61" i="60"/>
  <c r="I65" i="60"/>
  <c r="I66" i="60"/>
  <c r="I67" i="60"/>
  <c r="I69" i="60"/>
  <c r="I70" i="60"/>
  <c r="I73" i="60"/>
  <c r="I74" i="60"/>
  <c r="I75" i="60"/>
  <c r="G50" i="60"/>
  <c r="I62" i="60"/>
  <c r="K22" i="42"/>
  <c r="P22" i="42" s="1"/>
  <c r="L22" i="42"/>
  <c r="L23" i="42" s="1"/>
  <c r="L24" i="42" s="1"/>
  <c r="L25" i="42" s="1"/>
  <c r="L26" i="42" s="1"/>
  <c r="G51" i="42"/>
  <c r="G51" i="60"/>
  <c r="L29" i="2"/>
  <c r="L157" i="42"/>
  <c r="L158" i="42" s="1"/>
  <c r="L159" i="42" s="1"/>
  <c r="L160" i="42" s="1"/>
  <c r="N160" i="42" s="1"/>
  <c r="J51" i="42"/>
  <c r="H51" i="42"/>
  <c r="E51" i="42"/>
  <c r="I50" i="42"/>
  <c r="F50" i="42"/>
  <c r="I48" i="42"/>
  <c r="F48" i="42"/>
  <c r="K47" i="42"/>
  <c r="M47" i="42" s="1"/>
  <c r="L47" i="42"/>
  <c r="I47" i="42"/>
  <c r="F47" i="42"/>
  <c r="R46" i="42"/>
  <c r="Q46" i="42"/>
  <c r="L152" i="42"/>
  <c r="L153" i="42" s="1"/>
  <c r="L154" i="42" s="1"/>
  <c r="L155" i="42" s="1"/>
  <c r="I63" i="60"/>
  <c r="F21" i="43"/>
  <c r="C21" i="43"/>
  <c r="F10" i="43"/>
  <c r="C10" i="43"/>
  <c r="G4" i="40"/>
  <c r="J160" i="42"/>
  <c r="H160" i="42"/>
  <c r="I160" i="42" s="1"/>
  <c r="G160" i="42"/>
  <c r="E160" i="42"/>
  <c r="F160" i="42" s="1"/>
  <c r="I159" i="42"/>
  <c r="F159" i="42"/>
  <c r="I158" i="42"/>
  <c r="F158" i="42"/>
  <c r="I157" i="42"/>
  <c r="F157" i="42"/>
  <c r="Q156" i="42"/>
  <c r="P156" i="42"/>
  <c r="O156" i="42"/>
  <c r="N156" i="42"/>
  <c r="K157" i="42" s="1"/>
  <c r="J155" i="42"/>
  <c r="H155" i="42"/>
  <c r="I155" i="42" s="1"/>
  <c r="G155" i="42"/>
  <c r="E155" i="42"/>
  <c r="I154" i="42"/>
  <c r="F154" i="42"/>
  <c r="I153" i="42"/>
  <c r="F153" i="42"/>
  <c r="I152" i="42"/>
  <c r="F152" i="42"/>
  <c r="Q151" i="42"/>
  <c r="P151" i="42"/>
  <c r="O151" i="42"/>
  <c r="N151" i="42"/>
  <c r="K152" i="42" s="1"/>
  <c r="J150" i="42"/>
  <c r="H150" i="42"/>
  <c r="I150" i="42" s="1"/>
  <c r="G150" i="42"/>
  <c r="E150" i="42"/>
  <c r="I149" i="42"/>
  <c r="F149" i="42"/>
  <c r="I148" i="42"/>
  <c r="F148" i="42"/>
  <c r="L147" i="42"/>
  <c r="L148" i="42" s="1"/>
  <c r="I147" i="42"/>
  <c r="F147" i="42"/>
  <c r="Q146" i="42"/>
  <c r="P146" i="42"/>
  <c r="O146" i="42"/>
  <c r="N146" i="42"/>
  <c r="K147" i="42" s="1"/>
  <c r="M147" i="42" s="1"/>
  <c r="I127" i="42"/>
  <c r="I122" i="42"/>
  <c r="F122" i="42"/>
  <c r="L121" i="42"/>
  <c r="I121" i="42"/>
  <c r="F121" i="42"/>
  <c r="Q120" i="42"/>
  <c r="P120" i="42"/>
  <c r="O120" i="42"/>
  <c r="N120" i="42"/>
  <c r="K121" i="42" s="1"/>
  <c r="M121" i="42" s="1"/>
  <c r="I35" i="42"/>
  <c r="F35" i="42"/>
  <c r="E15" i="2" s="1"/>
  <c r="I23" i="42"/>
  <c r="F23" i="42"/>
  <c r="I22" i="42"/>
  <c r="F22" i="42"/>
  <c r="R21" i="42"/>
  <c r="Q21" i="42"/>
  <c r="I16" i="42"/>
  <c r="F16" i="42"/>
  <c r="L14" i="42"/>
  <c r="L15" i="42" s="1"/>
  <c r="I14" i="42"/>
  <c r="F14" i="42"/>
  <c r="Q13" i="42"/>
  <c r="P13" i="42"/>
  <c r="O13" i="42"/>
  <c r="N13" i="42"/>
  <c r="K14" i="42" s="1"/>
  <c r="Q14" i="42" s="1"/>
  <c r="D56" i="42"/>
  <c r="D17" i="47"/>
  <c r="O29" i="2"/>
  <c r="N29" i="2"/>
  <c r="M29" i="2"/>
  <c r="K29" i="2"/>
  <c r="I29" i="2"/>
  <c r="B1" i="43"/>
  <c r="C18" i="2" l="1"/>
  <c r="B10" i="47" s="1"/>
  <c r="J46" i="60"/>
  <c r="C30" i="43"/>
  <c r="D43" i="2" s="1"/>
  <c r="G103" i="40"/>
  <c r="G108" i="40" s="1"/>
  <c r="C11" i="43"/>
  <c r="C12" i="43" s="1"/>
  <c r="F30" i="114"/>
  <c r="Q111" i="42"/>
  <c r="J19" i="60"/>
  <c r="O14" i="42"/>
  <c r="N37" i="42"/>
  <c r="K38" i="42" s="1"/>
  <c r="M38" i="42" s="1"/>
  <c r="M39" i="42" s="1"/>
  <c r="M40" i="42" s="1"/>
  <c r="N58" i="42"/>
  <c r="K59" i="42" s="1"/>
  <c r="P59" i="42" s="1"/>
  <c r="S105" i="42"/>
  <c r="F114" i="42"/>
  <c r="S100" i="42"/>
  <c r="F20" i="42"/>
  <c r="E16" i="2" s="1"/>
  <c r="S57" i="42"/>
  <c r="I109" i="42"/>
  <c r="O106" i="42"/>
  <c r="P53" i="42"/>
  <c r="F56" i="42"/>
  <c r="E22" i="2" s="1"/>
  <c r="I56" i="42"/>
  <c r="D150" i="42"/>
  <c r="B1" i="60"/>
  <c r="B1" i="69"/>
  <c r="B1" i="47"/>
  <c r="B1" i="40"/>
  <c r="G8" i="40"/>
  <c r="G35" i="40" s="1"/>
  <c r="D45" i="2" s="1"/>
  <c r="D68" i="2" s="1"/>
  <c r="Q116" i="42"/>
  <c r="M106" i="42"/>
  <c r="N106" i="42" s="1"/>
  <c r="K107" i="42" s="1"/>
  <c r="Q107" i="42" s="1"/>
  <c r="R13" i="42"/>
  <c r="S13" i="42" s="1"/>
  <c r="M157" i="42"/>
  <c r="P157" i="42"/>
  <c r="O157" i="42"/>
  <c r="Q157" i="42"/>
  <c r="F40" i="42"/>
  <c r="E18" i="2" s="1"/>
  <c r="S52" i="42"/>
  <c r="I71" i="42"/>
  <c r="F51" i="42"/>
  <c r="E20" i="2" s="1"/>
  <c r="F45" i="42"/>
  <c r="E19" i="2" s="1"/>
  <c r="R120" i="42"/>
  <c r="S120" i="42" s="1"/>
  <c r="F61" i="42"/>
  <c r="P106" i="42"/>
  <c r="S1" i="42"/>
  <c r="R4" i="42" s="1"/>
  <c r="D66" i="42"/>
  <c r="F119" i="42"/>
  <c r="N159" i="42"/>
  <c r="N157" i="42"/>
  <c r="K158" i="42" s="1"/>
  <c r="O158" i="42" s="1"/>
  <c r="F104" i="42"/>
  <c r="N158" i="42"/>
  <c r="K159" i="42" s="1"/>
  <c r="P159" i="42" s="1"/>
  <c r="P42" i="42"/>
  <c r="D155" i="42"/>
  <c r="O42" i="42"/>
  <c r="B51" i="42"/>
  <c r="C20" i="2" s="1"/>
  <c r="B12" i="47" s="1"/>
  <c r="D35" i="42"/>
  <c r="D20" i="42"/>
  <c r="S21" i="42"/>
  <c r="R146" i="42"/>
  <c r="S146" i="42" s="1"/>
  <c r="R151" i="42"/>
  <c r="S151" i="42" s="1"/>
  <c r="M42" i="42"/>
  <c r="N42" i="42" s="1"/>
  <c r="K43" i="42" s="1"/>
  <c r="M43" i="42" s="1"/>
  <c r="M44" i="42" s="1"/>
  <c r="M45" i="42" s="1"/>
  <c r="H19" i="2" s="1"/>
  <c r="J19" i="2" s="1"/>
  <c r="S41" i="42"/>
  <c r="O53" i="42"/>
  <c r="S67" i="42"/>
  <c r="F36" i="47"/>
  <c r="C36" i="47"/>
  <c r="D15" i="37"/>
  <c r="H192" i="119" s="1"/>
  <c r="H193" i="119" s="1"/>
  <c r="H194" i="119" s="1"/>
  <c r="B55" i="102" s="1"/>
  <c r="P47" i="42"/>
  <c r="S36" i="42"/>
  <c r="I20" i="42"/>
  <c r="O47" i="42"/>
  <c r="O116" i="42"/>
  <c r="R116" i="42" s="1"/>
  <c r="D160" i="42"/>
  <c r="D61" i="42"/>
  <c r="S46" i="42"/>
  <c r="D161" i="42"/>
  <c r="D45" i="42"/>
  <c r="D109" i="42"/>
  <c r="F155" i="42"/>
  <c r="R156" i="42"/>
  <c r="S156" i="42" s="1"/>
  <c r="F71" i="42"/>
  <c r="D51" i="42"/>
  <c r="P121" i="42"/>
  <c r="D40" i="42"/>
  <c r="D114" i="42"/>
  <c r="F150" i="42"/>
  <c r="C15" i="2"/>
  <c r="B7" i="47" s="1"/>
  <c r="O37" i="42"/>
  <c r="M116" i="42"/>
  <c r="N116" i="42" s="1"/>
  <c r="K117" i="42" s="1"/>
  <c r="S115" i="42"/>
  <c r="S110" i="42"/>
  <c r="L55" i="42"/>
  <c r="Q47" i="42"/>
  <c r="Q58" i="42"/>
  <c r="P111" i="42"/>
  <c r="R111" i="42" s="1"/>
  <c r="P58" i="42"/>
  <c r="D119" i="42"/>
  <c r="O58" i="42"/>
  <c r="F109" i="42"/>
  <c r="M111" i="42"/>
  <c r="N111" i="42" s="1"/>
  <c r="K112" i="42" s="1"/>
  <c r="G161" i="42"/>
  <c r="Q37" i="42"/>
  <c r="R44" i="42"/>
  <c r="S44" i="42" s="1"/>
  <c r="P37" i="42"/>
  <c r="O101" i="42"/>
  <c r="R101" i="42" s="1"/>
  <c r="L27" i="42"/>
  <c r="L39" i="42"/>
  <c r="L149" i="42"/>
  <c r="Q147" i="42"/>
  <c r="P147" i="42"/>
  <c r="O147" i="42"/>
  <c r="P152" i="42"/>
  <c r="O152" i="42"/>
  <c r="Q152" i="42"/>
  <c r="M152" i="42"/>
  <c r="J161" i="42"/>
  <c r="L16" i="42"/>
  <c r="O121" i="42"/>
  <c r="Q121" i="42"/>
  <c r="L108" i="42"/>
  <c r="L70" i="42"/>
  <c r="N147" i="42"/>
  <c r="K148" i="42" s="1"/>
  <c r="L122" i="42"/>
  <c r="N121" i="42"/>
  <c r="K122" i="42" s="1"/>
  <c r="R39" i="42"/>
  <c r="S39" i="42" s="1"/>
  <c r="P14" i="42"/>
  <c r="M14" i="42"/>
  <c r="L48" i="42"/>
  <c r="N47" i="42"/>
  <c r="K48" i="42" s="1"/>
  <c r="I51" i="42"/>
  <c r="Q22" i="42"/>
  <c r="O22" i="42"/>
  <c r="M22" i="42"/>
  <c r="L43" i="42"/>
  <c r="L119" i="42"/>
  <c r="O68" i="42"/>
  <c r="M101" i="42"/>
  <c r="D104" i="42"/>
  <c r="D71" i="42"/>
  <c r="M53" i="42"/>
  <c r="L60" i="42"/>
  <c r="P68" i="42"/>
  <c r="Q101" i="42"/>
  <c r="M68" i="42"/>
  <c r="E19" i="43"/>
  <c r="B19" i="43"/>
  <c r="C22" i="43"/>
  <c r="C23" i="43" s="1"/>
  <c r="G38" i="40"/>
  <c r="J26" i="60"/>
  <c r="J9" i="60"/>
  <c r="E30" i="37"/>
  <c r="E16" i="37"/>
  <c r="H18" i="2" l="1"/>
  <c r="J18" i="2" s="1"/>
  <c r="D66" i="2"/>
  <c r="D47" i="2"/>
  <c r="D70" i="2" s="1"/>
  <c r="G68" i="2"/>
  <c r="G31" i="114"/>
  <c r="G72" i="114" s="1"/>
  <c r="F100" i="114" s="1"/>
  <c r="F71" i="114"/>
  <c r="G99" i="114" s="1"/>
  <c r="S111" i="42"/>
  <c r="Q38" i="42"/>
  <c r="O38" i="42"/>
  <c r="O40" i="42" s="1"/>
  <c r="K40" i="42"/>
  <c r="Q40" i="42" s="1"/>
  <c r="P38" i="42"/>
  <c r="P40" i="42" s="1"/>
  <c r="M59" i="42"/>
  <c r="N59" i="42" s="1"/>
  <c r="K60" i="42" s="1"/>
  <c r="K61" i="42" s="1"/>
  <c r="Q61" i="42" s="1"/>
  <c r="R47" i="42"/>
  <c r="S47" i="42" s="1"/>
  <c r="O59" i="42"/>
  <c r="R59" i="42" s="1"/>
  <c r="R53" i="42"/>
  <c r="S53" i="42" s="1"/>
  <c r="S116" i="42"/>
  <c r="R106" i="42"/>
  <c r="S106" i="42" s="1"/>
  <c r="Q59" i="42"/>
  <c r="B62" i="102"/>
  <c r="R157" i="42"/>
  <c r="S157" i="42" s="1"/>
  <c r="B145" i="42"/>
  <c r="M107" i="42"/>
  <c r="O107" i="42"/>
  <c r="P107" i="42"/>
  <c r="M112" i="42"/>
  <c r="N112" i="42" s="1"/>
  <c r="K113" i="42" s="1"/>
  <c r="M113" i="42" s="1"/>
  <c r="R37" i="42"/>
  <c r="S37" i="42" s="1"/>
  <c r="R42" i="42"/>
  <c r="S42" i="42" s="1"/>
  <c r="K160" i="42"/>
  <c r="Q160" i="42" s="1"/>
  <c r="Q158" i="42"/>
  <c r="R3" i="42"/>
  <c r="P158" i="42"/>
  <c r="R158" i="42" s="1"/>
  <c r="R58" i="42"/>
  <c r="S58" i="42" s="1"/>
  <c r="R5" i="42"/>
  <c r="M158" i="42"/>
  <c r="M159" i="42" s="1"/>
  <c r="M160" i="42" s="1"/>
  <c r="O159" i="42"/>
  <c r="O160" i="42" s="1"/>
  <c r="Q159" i="42"/>
  <c r="R2" i="42"/>
  <c r="R6" i="42"/>
  <c r="P117" i="42"/>
  <c r="O117" i="42"/>
  <c r="S101" i="42"/>
  <c r="O112" i="42"/>
  <c r="Q112" i="42"/>
  <c r="P112" i="42"/>
  <c r="Q117" i="42"/>
  <c r="M117" i="42"/>
  <c r="N117" i="42" s="1"/>
  <c r="K118" i="42" s="1"/>
  <c r="P118" i="42" s="1"/>
  <c r="L56" i="42"/>
  <c r="D22" i="2" s="1"/>
  <c r="N68" i="42"/>
  <c r="K69" i="42" s="1"/>
  <c r="M69" i="42" s="1"/>
  <c r="L44" i="42"/>
  <c r="N43" i="42"/>
  <c r="O48" i="42"/>
  <c r="Q48" i="42"/>
  <c r="P48" i="42"/>
  <c r="L17" i="42"/>
  <c r="N101" i="42"/>
  <c r="K102" i="42" s="1"/>
  <c r="L49" i="42"/>
  <c r="N14" i="42"/>
  <c r="K15" i="42" s="1"/>
  <c r="R147" i="42"/>
  <c r="S147" i="42" s="1"/>
  <c r="L61" i="42"/>
  <c r="R68" i="42"/>
  <c r="S68" i="42" s="1"/>
  <c r="N22" i="42"/>
  <c r="K23" i="42" s="1"/>
  <c r="M23" i="42" s="1"/>
  <c r="R14" i="42"/>
  <c r="S14" i="42" s="1"/>
  <c r="Q148" i="42"/>
  <c r="O148" i="42"/>
  <c r="P148" i="42"/>
  <c r="L109" i="42"/>
  <c r="L150" i="42"/>
  <c r="N53" i="42"/>
  <c r="K54" i="42" s="1"/>
  <c r="M48" i="42"/>
  <c r="N48" i="42" s="1"/>
  <c r="R22" i="42"/>
  <c r="S22" i="42" s="1"/>
  <c r="O122" i="42"/>
  <c r="P122" i="42"/>
  <c r="Q122" i="42"/>
  <c r="L71" i="42"/>
  <c r="L40" i="42"/>
  <c r="D18" i="2" s="1"/>
  <c r="N39" i="42"/>
  <c r="M148" i="42"/>
  <c r="L28" i="42"/>
  <c r="R152" i="42"/>
  <c r="S152" i="42" s="1"/>
  <c r="L123" i="42"/>
  <c r="R121" i="42"/>
  <c r="S121" i="42" s="1"/>
  <c r="N38" i="42"/>
  <c r="N152" i="42"/>
  <c r="K153" i="42" s="1"/>
  <c r="M122" i="42"/>
  <c r="N122" i="42" s="1"/>
  <c r="K123" i="42" s="1"/>
  <c r="P43" i="42"/>
  <c r="P45" i="42" s="1"/>
  <c r="Q43" i="42"/>
  <c r="K45" i="42"/>
  <c r="Q45" i="42" s="1"/>
  <c r="O43" i="42"/>
  <c r="E32" i="37"/>
  <c r="E33" i="37" s="1"/>
  <c r="C10" i="47" l="1"/>
  <c r="T18" i="2"/>
  <c r="C14" i="47"/>
  <c r="T22" i="2"/>
  <c r="F10" i="47"/>
  <c r="I10" i="47"/>
  <c r="K22" i="2"/>
  <c r="K18" i="2"/>
  <c r="I14" i="47"/>
  <c r="F14" i="47"/>
  <c r="F28" i="37"/>
  <c r="G28" i="37" s="1"/>
  <c r="G66" i="2"/>
  <c r="I57" i="100"/>
  <c r="G70" i="2"/>
  <c r="N107" i="42"/>
  <c r="K108" i="42" s="1"/>
  <c r="R38" i="42"/>
  <c r="S38" i="42" s="1"/>
  <c r="M60" i="42"/>
  <c r="M61" i="42" s="1"/>
  <c r="O60" i="42"/>
  <c r="O61" i="42" s="1"/>
  <c r="P60" i="42"/>
  <c r="P61" i="42" s="1"/>
  <c r="Q60" i="42"/>
  <c r="R107" i="42"/>
  <c r="S107" i="42" s="1"/>
  <c r="S59" i="42"/>
  <c r="I55" i="100"/>
  <c r="B66" i="102"/>
  <c r="R117" i="42"/>
  <c r="S117" i="42" s="1"/>
  <c r="P160" i="42"/>
  <c r="R160" i="42" s="1"/>
  <c r="S160" i="42" s="1"/>
  <c r="R159" i="42"/>
  <c r="S159" i="42" s="1"/>
  <c r="P119" i="42"/>
  <c r="S158" i="42"/>
  <c r="M118" i="42"/>
  <c r="N118" i="42" s="1"/>
  <c r="R40" i="42"/>
  <c r="S40" i="42" s="1"/>
  <c r="K119" i="42"/>
  <c r="Q119" i="42" s="1"/>
  <c r="O118" i="42"/>
  <c r="O119" i="42" s="1"/>
  <c r="Q118" i="42"/>
  <c r="R122" i="42"/>
  <c r="S122" i="42" s="1"/>
  <c r="R112" i="42"/>
  <c r="S112" i="42" s="1"/>
  <c r="M123" i="42"/>
  <c r="N123" i="42" s="1"/>
  <c r="K124" i="42" s="1"/>
  <c r="P54" i="42"/>
  <c r="Q54" i="42"/>
  <c r="O54" i="42"/>
  <c r="M54" i="42"/>
  <c r="O23" i="42"/>
  <c r="Q23" i="42"/>
  <c r="P23" i="42"/>
  <c r="N23" i="42"/>
  <c r="K24" i="42" s="1"/>
  <c r="M24" i="42" s="1"/>
  <c r="Q153" i="42"/>
  <c r="O153" i="42"/>
  <c r="P153" i="42"/>
  <c r="P113" i="42"/>
  <c r="P114" i="42" s="1"/>
  <c r="O113" i="42"/>
  <c r="K114" i="42"/>
  <c r="Q114" i="42" s="1"/>
  <c r="Q113" i="42"/>
  <c r="L50" i="42"/>
  <c r="L45" i="42"/>
  <c r="D19" i="2" s="1"/>
  <c r="T19" i="2" s="1"/>
  <c r="N44" i="42"/>
  <c r="N113" i="42"/>
  <c r="M114" i="42"/>
  <c r="K50" i="42"/>
  <c r="K49" i="42"/>
  <c r="M49" i="42" s="1"/>
  <c r="N49" i="42" s="1"/>
  <c r="R48" i="42"/>
  <c r="S48" i="42" s="1"/>
  <c r="N69" i="42"/>
  <c r="K70" i="42" s="1"/>
  <c r="P102" i="42"/>
  <c r="O102" i="42"/>
  <c r="Q102" i="42"/>
  <c r="P69" i="42"/>
  <c r="O69" i="42"/>
  <c r="Q69" i="42"/>
  <c r="R43" i="42"/>
  <c r="S43" i="42" s="1"/>
  <c r="O45" i="42"/>
  <c r="R45" i="42" s="1"/>
  <c r="S45" i="42" s="1"/>
  <c r="N148" i="42"/>
  <c r="K149" i="42" s="1"/>
  <c r="M149" i="42" s="1"/>
  <c r="R148" i="42"/>
  <c r="S148" i="42" s="1"/>
  <c r="M102" i="42"/>
  <c r="M153" i="42"/>
  <c r="N61" i="42"/>
  <c r="P15" i="42"/>
  <c r="Q15" i="42"/>
  <c r="O15" i="42"/>
  <c r="L124" i="42"/>
  <c r="N40" i="42"/>
  <c r="N60" i="42"/>
  <c r="M15" i="42"/>
  <c r="L18" i="42"/>
  <c r="C11" i="47" l="1"/>
  <c r="K19" i="2"/>
  <c r="L18" i="2"/>
  <c r="N18" i="2"/>
  <c r="N22" i="2"/>
  <c r="K109" i="42"/>
  <c r="Q109" i="42" s="1"/>
  <c r="Q108" i="42"/>
  <c r="P108" i="42"/>
  <c r="P109" i="42" s="1"/>
  <c r="O108" i="42"/>
  <c r="M108" i="42"/>
  <c r="R61" i="42"/>
  <c r="S61" i="42" s="1"/>
  <c r="N54" i="42"/>
  <c r="K55" i="42" s="1"/>
  <c r="R60" i="42"/>
  <c r="S60" i="42" s="1"/>
  <c r="F23" i="69"/>
  <c r="I59" i="100"/>
  <c r="R119" i="42"/>
  <c r="S119" i="42" s="1"/>
  <c r="M119" i="42"/>
  <c r="N119" i="42" s="1"/>
  <c r="R118" i="42"/>
  <c r="S118" i="42" s="1"/>
  <c r="L51" i="42"/>
  <c r="D20" i="2" s="1"/>
  <c r="T20" i="2" s="1"/>
  <c r="R69" i="42"/>
  <c r="S69" i="42" s="1"/>
  <c r="P124" i="42"/>
  <c r="O124" i="42"/>
  <c r="Q124" i="42"/>
  <c r="R153" i="42"/>
  <c r="S153" i="42" s="1"/>
  <c r="R54" i="42"/>
  <c r="S54" i="42" s="1"/>
  <c r="M50" i="42"/>
  <c r="M51" i="42" s="1"/>
  <c r="R15" i="42"/>
  <c r="S15" i="42" s="1"/>
  <c r="O149" i="42"/>
  <c r="P149" i="42"/>
  <c r="P150" i="42" s="1"/>
  <c r="Q149" i="42"/>
  <c r="K150" i="42"/>
  <c r="Q150" i="42" s="1"/>
  <c r="O49" i="42"/>
  <c r="Q49" i="42"/>
  <c r="P49" i="42"/>
  <c r="K51" i="42"/>
  <c r="Q51" i="42" s="1"/>
  <c r="N153" i="42"/>
  <c r="K154" i="42" s="1"/>
  <c r="M154" i="42" s="1"/>
  <c r="N102" i="42"/>
  <c r="K103" i="42" s="1"/>
  <c r="M103" i="42" s="1"/>
  <c r="N114" i="42"/>
  <c r="R113" i="42"/>
  <c r="S113" i="42" s="1"/>
  <c r="O114" i="42"/>
  <c r="R114" i="42" s="1"/>
  <c r="S114" i="42" s="1"/>
  <c r="R23" i="42"/>
  <c r="S23" i="42" s="1"/>
  <c r="P123" i="42"/>
  <c r="O123" i="42"/>
  <c r="Q123" i="42"/>
  <c r="L19" i="42"/>
  <c r="P24" i="42"/>
  <c r="O24" i="42"/>
  <c r="Q24" i="42"/>
  <c r="M150" i="42"/>
  <c r="N149" i="42"/>
  <c r="O50" i="42"/>
  <c r="P50" i="42"/>
  <c r="Q50" i="42"/>
  <c r="Q70" i="42"/>
  <c r="P70" i="42"/>
  <c r="P71" i="42" s="1"/>
  <c r="O70" i="42"/>
  <c r="O71" i="42" s="1"/>
  <c r="N24" i="42"/>
  <c r="K25" i="42" s="1"/>
  <c r="M25" i="42" s="1"/>
  <c r="M124" i="42"/>
  <c r="N124" i="42" s="1"/>
  <c r="K125" i="42" s="1"/>
  <c r="N15" i="42"/>
  <c r="K16" i="42" s="1"/>
  <c r="M16" i="42" s="1"/>
  <c r="L125" i="42"/>
  <c r="K71" i="42"/>
  <c r="Q71" i="42" s="1"/>
  <c r="R102" i="42"/>
  <c r="S102" i="42" s="1"/>
  <c r="M70" i="42"/>
  <c r="N45" i="42"/>
  <c r="H20" i="2" l="1"/>
  <c r="J20" i="2" s="1"/>
  <c r="C12" i="47"/>
  <c r="K20" i="2"/>
  <c r="Q22" i="2"/>
  <c r="S22" i="2" s="1"/>
  <c r="Q18" i="2"/>
  <c r="S18" i="2" s="1"/>
  <c r="L19" i="2"/>
  <c r="N19" i="2"/>
  <c r="F11" i="47"/>
  <c r="I11" i="47"/>
  <c r="O109" i="42"/>
  <c r="R109" i="42" s="1"/>
  <c r="S109" i="42" s="1"/>
  <c r="R108" i="42"/>
  <c r="S108" i="42" s="1"/>
  <c r="M109" i="42"/>
  <c r="N109" i="42" s="1"/>
  <c r="N108" i="42"/>
  <c r="Q55" i="42"/>
  <c r="P55" i="42"/>
  <c r="P56" i="42" s="1"/>
  <c r="O55" i="42"/>
  <c r="K56" i="42"/>
  <c r="Q56" i="42" s="1"/>
  <c r="M55" i="42"/>
  <c r="E18" i="69"/>
  <c r="B53" i="102" s="1"/>
  <c r="R71" i="42"/>
  <c r="S71" i="42" s="1"/>
  <c r="R70" i="42"/>
  <c r="S70" i="42" s="1"/>
  <c r="M155" i="42"/>
  <c r="N154" i="42"/>
  <c r="Q25" i="42"/>
  <c r="P25" i="42"/>
  <c r="O25" i="42"/>
  <c r="R123" i="42"/>
  <c r="S123" i="42" s="1"/>
  <c r="O154" i="42"/>
  <c r="Q154" i="42"/>
  <c r="P154" i="42"/>
  <c r="P155" i="42" s="1"/>
  <c r="K155" i="42"/>
  <c r="Q155" i="42" s="1"/>
  <c r="N25" i="42"/>
  <c r="K26" i="42" s="1"/>
  <c r="M26" i="42" s="1"/>
  <c r="L126" i="42"/>
  <c r="P125" i="42"/>
  <c r="O125" i="42"/>
  <c r="Q125" i="42"/>
  <c r="R50" i="42"/>
  <c r="S50" i="42" s="1"/>
  <c r="R149" i="42"/>
  <c r="S149" i="42" s="1"/>
  <c r="O150" i="42"/>
  <c r="R150" i="42" s="1"/>
  <c r="S150" i="42" s="1"/>
  <c r="Q16" i="42"/>
  <c r="P16" i="42"/>
  <c r="O16" i="42"/>
  <c r="R24" i="42"/>
  <c r="S24" i="42" s="1"/>
  <c r="L20" i="42"/>
  <c r="D16" i="2" s="1"/>
  <c r="O103" i="42"/>
  <c r="Q103" i="42"/>
  <c r="P103" i="42"/>
  <c r="P104" i="42" s="1"/>
  <c r="K104" i="42"/>
  <c r="Q104" i="42" s="1"/>
  <c r="P51" i="42"/>
  <c r="N50" i="42"/>
  <c r="N16" i="42"/>
  <c r="K17" i="42" s="1"/>
  <c r="N150" i="42"/>
  <c r="M104" i="42"/>
  <c r="N103" i="42"/>
  <c r="N51" i="42"/>
  <c r="M71" i="42"/>
  <c r="N70" i="42"/>
  <c r="M125" i="42"/>
  <c r="N125" i="42" s="1"/>
  <c r="K126" i="42" s="1"/>
  <c r="R49" i="42"/>
  <c r="S49" i="42" s="1"/>
  <c r="O51" i="42"/>
  <c r="R124" i="42"/>
  <c r="S124" i="42" s="1"/>
  <c r="C8" i="47" l="1"/>
  <c r="T16" i="2"/>
  <c r="Q19" i="2"/>
  <c r="S19" i="2" s="1"/>
  <c r="I8" i="47"/>
  <c r="F8" i="47"/>
  <c r="L20" i="2"/>
  <c r="N20" i="2"/>
  <c r="I12" i="47"/>
  <c r="F12" i="47"/>
  <c r="K16" i="2"/>
  <c r="M56" i="42"/>
  <c r="N55" i="42"/>
  <c r="R55" i="42"/>
  <c r="S55" i="42" s="1"/>
  <c r="O56" i="42"/>
  <c r="R56" i="42" s="1"/>
  <c r="S56" i="42" s="1"/>
  <c r="R125" i="42"/>
  <c r="S125" i="42" s="1"/>
  <c r="N26" i="42"/>
  <c r="K27" i="42" s="1"/>
  <c r="Q17" i="42"/>
  <c r="P17" i="42"/>
  <c r="O17" i="42"/>
  <c r="P126" i="42"/>
  <c r="Q126" i="42"/>
  <c r="O126" i="42"/>
  <c r="M17" i="42"/>
  <c r="R154" i="42"/>
  <c r="S154" i="42" s="1"/>
  <c r="O155" i="42"/>
  <c r="R155" i="42" s="1"/>
  <c r="S155" i="42" s="1"/>
  <c r="M126" i="42"/>
  <c r="N104" i="42"/>
  <c r="P20" i="42"/>
  <c r="R16" i="42"/>
  <c r="S16" i="42" s="1"/>
  <c r="O20" i="42"/>
  <c r="R25" i="42"/>
  <c r="S25" i="42" s="1"/>
  <c r="N71" i="42"/>
  <c r="R103" i="42"/>
  <c r="S103" i="42" s="1"/>
  <c r="O104" i="42"/>
  <c r="R104" i="42" s="1"/>
  <c r="S104" i="42" s="1"/>
  <c r="O26" i="42"/>
  <c r="Q26" i="42"/>
  <c r="P26" i="42"/>
  <c r="R51" i="42"/>
  <c r="S51" i="42" s="1"/>
  <c r="L127" i="42"/>
  <c r="L128" i="42" s="1"/>
  <c r="N155" i="42"/>
  <c r="N56" i="42" l="1"/>
  <c r="H22" i="2"/>
  <c r="J22" i="2" s="1"/>
  <c r="L22" i="2" s="1"/>
  <c r="M161" i="42"/>
  <c r="Q20" i="2"/>
  <c r="S20" i="2" s="1"/>
  <c r="N16" i="2"/>
  <c r="Q16" i="2" s="1"/>
  <c r="S16" i="2" s="1"/>
  <c r="L129" i="42"/>
  <c r="R20" i="42"/>
  <c r="R126" i="42"/>
  <c r="S126" i="42" s="1"/>
  <c r="N126" i="42"/>
  <c r="K127" i="42" s="1"/>
  <c r="M127" i="42" s="1"/>
  <c r="N17" i="42"/>
  <c r="K18" i="42" s="1"/>
  <c r="R26" i="42"/>
  <c r="S26" i="42" s="1"/>
  <c r="Q27" i="42"/>
  <c r="O27" i="42"/>
  <c r="P27" i="42"/>
  <c r="M27" i="42"/>
  <c r="R17" i="42"/>
  <c r="S17" i="42" s="1"/>
  <c r="N127" i="42" l="1"/>
  <c r="K128" i="42" s="1"/>
  <c r="P127" i="42"/>
  <c r="O127" i="42"/>
  <c r="Q127" i="42"/>
  <c r="L130" i="42"/>
  <c r="R27" i="42"/>
  <c r="S27" i="42" s="1"/>
  <c r="Q18" i="42"/>
  <c r="P18" i="42"/>
  <c r="O18" i="42"/>
  <c r="N27" i="42"/>
  <c r="K28" i="42" s="1"/>
  <c r="M18" i="42"/>
  <c r="R127" i="42" l="1"/>
  <c r="S127" i="42" s="1"/>
  <c r="P128" i="42"/>
  <c r="Q128" i="42"/>
  <c r="O128" i="42"/>
  <c r="M128" i="42"/>
  <c r="L131" i="42"/>
  <c r="N18" i="42"/>
  <c r="K19" i="42" s="1"/>
  <c r="R18" i="42"/>
  <c r="S18" i="42" s="1"/>
  <c r="O28" i="42"/>
  <c r="Q28" i="42"/>
  <c r="P28" i="42"/>
  <c r="M28" i="42"/>
  <c r="R128" i="42" l="1"/>
  <c r="S128" i="42" s="1"/>
  <c r="N128" i="42"/>
  <c r="L132" i="42"/>
  <c r="N28" i="42"/>
  <c r="R28" i="42"/>
  <c r="S28" i="42" s="1"/>
  <c r="O19" i="42"/>
  <c r="P19" i="42"/>
  <c r="Q19" i="42"/>
  <c r="K20" i="42"/>
  <c r="Q20" i="42" s="1"/>
  <c r="S20" i="42" s="1"/>
  <c r="M19" i="42"/>
  <c r="M20" i="42" l="1"/>
  <c r="N19" i="42"/>
  <c r="K129" i="42"/>
  <c r="L133" i="42"/>
  <c r="R19" i="42"/>
  <c r="S19" i="42" s="1"/>
  <c r="N20" i="42" l="1"/>
  <c r="H16" i="2"/>
  <c r="J16" i="2" s="1"/>
  <c r="Q129" i="42"/>
  <c r="O129" i="42"/>
  <c r="P129" i="42"/>
  <c r="M129" i="42"/>
  <c r="L134" i="42"/>
  <c r="R129" i="42" l="1"/>
  <c r="S129" i="42" s="1"/>
  <c r="N129" i="42"/>
  <c r="K130" i="42" s="1"/>
  <c r="L135" i="42"/>
  <c r="L16" i="2" l="1"/>
  <c r="O130" i="42"/>
  <c r="Q130" i="42"/>
  <c r="P130" i="42"/>
  <c r="M130" i="42"/>
  <c r="L136" i="42"/>
  <c r="N130" i="42" l="1"/>
  <c r="K131" i="42" s="1"/>
  <c r="R130" i="42"/>
  <c r="S130" i="42" s="1"/>
  <c r="L137" i="42"/>
  <c r="P131" i="42" l="1"/>
  <c r="Q131" i="42"/>
  <c r="O131" i="42"/>
  <c r="M131" i="42"/>
  <c r="L138" i="42"/>
  <c r="L139" i="42" s="1"/>
  <c r="L140" i="42" s="1"/>
  <c r="L141" i="42" l="1"/>
  <c r="R131" i="42"/>
  <c r="S131" i="42" s="1"/>
  <c r="N131" i="42"/>
  <c r="K132" i="42" s="1"/>
  <c r="L142" i="42" l="1"/>
  <c r="Q132" i="42"/>
  <c r="P132" i="42"/>
  <c r="O132" i="42"/>
  <c r="M132" i="42"/>
  <c r="G11" i="114" l="1"/>
  <c r="G52" i="114" s="1"/>
  <c r="F11" i="114"/>
  <c r="F52" i="114" s="1"/>
  <c r="F12" i="114"/>
  <c r="F53" i="114" s="1"/>
  <c r="G12" i="114"/>
  <c r="G53" i="114" s="1"/>
  <c r="L143" i="42"/>
  <c r="N132" i="42"/>
  <c r="R132" i="42"/>
  <c r="S132" i="42" s="1"/>
  <c r="L144" i="42" l="1"/>
  <c r="K137" i="42"/>
  <c r="K133" i="42"/>
  <c r="L145" i="42" l="1"/>
  <c r="O133" i="42"/>
  <c r="Q133" i="42"/>
  <c r="P133" i="42"/>
  <c r="M133" i="42"/>
  <c r="P137" i="42"/>
  <c r="Q137" i="42"/>
  <c r="O137" i="42"/>
  <c r="R29" i="42" l="1"/>
  <c r="S29" i="42" s="1"/>
  <c r="R137" i="42"/>
  <c r="S137" i="42" s="1"/>
  <c r="R133" i="42"/>
  <c r="S133" i="42" s="1"/>
  <c r="N133" i="42"/>
  <c r="K138" i="42" l="1"/>
  <c r="K134" i="42"/>
  <c r="R30" i="42"/>
  <c r="S30" i="42" s="1"/>
  <c r="H105" i="84" l="1"/>
  <c r="O134" i="42"/>
  <c r="Q134" i="42"/>
  <c r="P134" i="42"/>
  <c r="M134" i="42"/>
  <c r="O138" i="42"/>
  <c r="P138" i="42"/>
  <c r="Q138" i="42"/>
  <c r="R31" i="42"/>
  <c r="S31" i="42" s="1"/>
  <c r="I105" i="84" l="1"/>
  <c r="J105" i="84" s="1"/>
  <c r="B45" i="102" s="1"/>
  <c r="R138" i="42"/>
  <c r="S138" i="42" s="1"/>
  <c r="N134" i="42"/>
  <c r="K139" i="42" s="1"/>
  <c r="R134" i="42"/>
  <c r="S134" i="42" s="1"/>
  <c r="L35" i="42"/>
  <c r="D15" i="2" s="1"/>
  <c r="T15" i="2" s="1"/>
  <c r="R32" i="42"/>
  <c r="S32" i="42" s="1"/>
  <c r="C7" i="47" l="1"/>
  <c r="K15" i="2"/>
  <c r="K135" i="42"/>
  <c r="R33" i="42"/>
  <c r="S33" i="42" s="1"/>
  <c r="K25" i="2" l="1"/>
  <c r="N15" i="2"/>
  <c r="I7" i="47"/>
  <c r="F7" i="47"/>
  <c r="R34" i="42"/>
  <c r="S34" i="42" s="1"/>
  <c r="P135" i="42"/>
  <c r="Q135" i="42"/>
  <c r="O135" i="42"/>
  <c r="M135" i="42"/>
  <c r="P139" i="42"/>
  <c r="O139" i="42"/>
  <c r="Q139" i="42"/>
  <c r="K35" i="42"/>
  <c r="N25" i="2" l="1"/>
  <c r="N31" i="2" s="1"/>
  <c r="Q15" i="2"/>
  <c r="I23" i="100"/>
  <c r="I20" i="100" s="1"/>
  <c r="G17" i="114"/>
  <c r="G58" i="114" s="1"/>
  <c r="F86" i="114" s="1"/>
  <c r="G18" i="114"/>
  <c r="G59" i="114" s="1"/>
  <c r="F87" i="114" s="1"/>
  <c r="F18" i="114"/>
  <c r="F59" i="114" s="1"/>
  <c r="G87" i="114" s="1"/>
  <c r="F17" i="114"/>
  <c r="F58" i="114" s="1"/>
  <c r="G86" i="114" s="1"/>
  <c r="R139" i="42"/>
  <c r="S139" i="42" s="1"/>
  <c r="N135" i="42"/>
  <c r="K140" i="42" s="1"/>
  <c r="R135" i="42"/>
  <c r="S135" i="42" s="1"/>
  <c r="M35" i="42"/>
  <c r="P35" i="42"/>
  <c r="Q35" i="42"/>
  <c r="Q25" i="2" l="1"/>
  <c r="S15" i="2"/>
  <c r="S25" i="2" s="1"/>
  <c r="N35" i="42"/>
  <c r="H15" i="2"/>
  <c r="H25" i="2" s="1"/>
  <c r="H31" i="2" s="1"/>
  <c r="H34" i="2" s="1"/>
  <c r="O140" i="42"/>
  <c r="Q140" i="42"/>
  <c r="P140" i="42"/>
  <c r="K136" i="42"/>
  <c r="O35" i="42"/>
  <c r="J15" i="2" l="1"/>
  <c r="R140" i="42"/>
  <c r="S140" i="42" s="1"/>
  <c r="Q136" i="42"/>
  <c r="O136" i="42"/>
  <c r="P136" i="42"/>
  <c r="M136" i="42"/>
  <c r="R35" i="42"/>
  <c r="S35" i="42" s="1"/>
  <c r="J25" i="2" l="1"/>
  <c r="L15" i="2"/>
  <c r="L25" i="2" s="1"/>
  <c r="M137" i="42"/>
  <c r="N136" i="42"/>
  <c r="K141" i="42" s="1"/>
  <c r="R136" i="42"/>
  <c r="S136" i="42" s="1"/>
  <c r="F21" i="114" l="1"/>
  <c r="F62" i="114" s="1"/>
  <c r="G90" i="114" s="1"/>
  <c r="G20" i="114"/>
  <c r="G61" i="114" s="1"/>
  <c r="F89" i="114" s="1"/>
  <c r="G21" i="114"/>
  <c r="G62" i="114" s="1"/>
  <c r="F90" i="114" s="1"/>
  <c r="F20" i="114"/>
  <c r="F61" i="114" s="1"/>
  <c r="G89" i="114" s="1"/>
  <c r="Q141" i="42"/>
  <c r="P141" i="42"/>
  <c r="O141" i="42"/>
  <c r="R141" i="42" s="1"/>
  <c r="N137" i="42"/>
  <c r="K142" i="42" s="1"/>
  <c r="M138" i="42"/>
  <c r="M139" i="42" s="1"/>
  <c r="M140" i="42" s="1"/>
  <c r="S141" i="42" l="1"/>
  <c r="O142" i="42"/>
  <c r="P142" i="42"/>
  <c r="Q142" i="42"/>
  <c r="M141" i="42"/>
  <c r="N140" i="42"/>
  <c r="N139" i="42"/>
  <c r="K144" i="42" s="1"/>
  <c r="N138" i="42"/>
  <c r="K143" i="42" s="1"/>
  <c r="R142" i="42" l="1"/>
  <c r="S142" i="42" s="1"/>
  <c r="Q143" i="42"/>
  <c r="P143" i="42"/>
  <c r="O143" i="42"/>
  <c r="K145" i="42"/>
  <c r="O144" i="42"/>
  <c r="P144" i="42"/>
  <c r="Q144" i="42"/>
  <c r="M142" i="42"/>
  <c r="N141" i="42"/>
  <c r="M143" i="42" l="1"/>
  <c r="N142" i="42"/>
  <c r="R144" i="42"/>
  <c r="S144" i="42" s="1"/>
  <c r="R143" i="42"/>
  <c r="S143" i="42" s="1"/>
  <c r="O145" i="42"/>
  <c r="P145" i="42"/>
  <c r="C23" i="47" l="1"/>
  <c r="C25" i="47" s="1"/>
  <c r="B42" i="102" s="1"/>
  <c r="C17" i="47"/>
  <c r="M144" i="42"/>
  <c r="N143" i="42"/>
  <c r="K31" i="2"/>
  <c r="K34" i="2" s="1"/>
  <c r="I17" i="47"/>
  <c r="F17" i="47"/>
  <c r="I13" i="100" l="1"/>
  <c r="I10" i="100" s="1"/>
  <c r="M145" i="42"/>
  <c r="N144" i="42"/>
  <c r="N145" i="42" s="1"/>
  <c r="I19" i="47"/>
  <c r="F19" i="47"/>
  <c r="F20" i="47" s="1"/>
  <c r="F21" i="47" s="1"/>
  <c r="B43" i="102" s="1"/>
  <c r="I20" i="47" l="1"/>
  <c r="I21" i="47" s="1"/>
  <c r="B44" i="102" s="1"/>
  <c r="Q145" i="42" l="1"/>
  <c r="K161" i="42"/>
  <c r="M163" i="42" s="1"/>
  <c r="O161" i="42"/>
  <c r="O164" i="42" s="1"/>
  <c r="O165" i="42" s="1"/>
  <c r="P161" i="42"/>
  <c r="P164" i="42" s="1"/>
  <c r="P165" i="42" l="1"/>
  <c r="B49" i="102" s="1"/>
  <c r="B48" i="102"/>
  <c r="O172" i="42"/>
  <c r="O173" i="42" s="1"/>
  <c r="B51" i="102" s="1"/>
  <c r="R145" i="42"/>
  <c r="S145" i="42" s="1"/>
  <c r="S161" i="42" s="1"/>
  <c r="S163" i="42" l="1"/>
  <c r="B50" i="102" s="1"/>
  <c r="M164" i="42"/>
  <c r="M165" i="42" l="1"/>
  <c r="M169" i="42" s="1"/>
  <c r="G14" i="114" l="1"/>
  <c r="G55" i="114" s="1"/>
  <c r="F83" i="114" s="1"/>
  <c r="G15" i="114"/>
  <c r="G56" i="114" s="1"/>
  <c r="F84" i="114" s="1"/>
  <c r="F15" i="114"/>
  <c r="F56" i="114" s="1"/>
  <c r="G84" i="114" s="1"/>
  <c r="F14" i="114"/>
  <c r="F55" i="114" s="1"/>
  <c r="G83" i="114" s="1"/>
  <c r="J31" i="2"/>
  <c r="J34" i="2" s="1"/>
  <c r="I31" i="2"/>
  <c r="I34" i="2" s="1"/>
  <c r="M166" i="42" s="1"/>
  <c r="M167" i="42" s="1"/>
  <c r="B47" i="102" s="1"/>
  <c r="L31" i="2" l="1"/>
  <c r="L34" i="2" s="1"/>
  <c r="I92" i="100" l="1"/>
  <c r="I96" i="100" s="1"/>
  <c r="F25" i="37"/>
  <c r="G25" i="37" s="1"/>
  <c r="G3" i="114" l="1"/>
  <c r="I106" i="84" l="1"/>
  <c r="J106" i="84" s="1"/>
  <c r="F2" i="114"/>
  <c r="F43" i="114" s="1"/>
  <c r="G2" i="114"/>
  <c r="G43" i="114" s="1"/>
  <c r="G44" i="114"/>
  <c r="B46" i="102" l="1"/>
  <c r="N34" i="2"/>
  <c r="D41" i="2" s="1"/>
  <c r="D51" i="2" s="1"/>
  <c r="I18" i="100"/>
  <c r="I15" i="100" s="1"/>
  <c r="AI64" i="2"/>
  <c r="M31" i="2"/>
  <c r="M34" i="2" s="1"/>
  <c r="I22" i="37" s="1"/>
  <c r="AH69" i="2" l="1"/>
  <c r="D64" i="2"/>
  <c r="AH68" i="2"/>
  <c r="I33" i="100"/>
  <c r="F26" i="114"/>
  <c r="F27" i="114"/>
  <c r="F68" i="114" s="1"/>
  <c r="G96" i="114" s="1"/>
  <c r="G26" i="114"/>
  <c r="H36" i="101"/>
  <c r="F22" i="37" l="1"/>
  <c r="F30" i="37" s="1"/>
  <c r="G30" i="37" s="1"/>
  <c r="H30" i="37" s="1"/>
  <c r="D74" i="2"/>
  <c r="AH70" i="2"/>
  <c r="AH71" i="2" s="1"/>
  <c r="G64" i="2"/>
  <c r="G74" i="2" s="1"/>
  <c r="I32" i="100"/>
  <c r="I30" i="100" s="1"/>
  <c r="I53" i="100" s="1"/>
  <c r="G27" i="114"/>
  <c r="G68" i="114" s="1"/>
  <c r="F96" i="114" s="1"/>
  <c r="G67" i="114"/>
  <c r="F67" i="114"/>
  <c r="F36" i="114"/>
  <c r="AI65" i="2"/>
  <c r="AI66" i="2" s="1"/>
  <c r="O22" i="2" l="1"/>
  <c r="O18" i="2"/>
  <c r="O19" i="2"/>
  <c r="O20" i="2"/>
  <c r="O16" i="2"/>
  <c r="O15" i="2"/>
  <c r="F16" i="37"/>
  <c r="G16" i="37" s="1"/>
  <c r="H16" i="37" s="1"/>
  <c r="E45" i="2"/>
  <c r="E43" i="2"/>
  <c r="E41" i="2"/>
  <c r="E49" i="2"/>
  <c r="C7" i="2"/>
  <c r="D35" i="101" s="1"/>
  <c r="G22" i="37"/>
  <c r="E47" i="2"/>
  <c r="C8" i="2"/>
  <c r="F20" i="69" s="1"/>
  <c r="H61" i="60"/>
  <c r="C61" i="60" s="1"/>
  <c r="I61" i="100"/>
  <c r="I8" i="100"/>
  <c r="F82" i="2"/>
  <c r="G95" i="114"/>
  <c r="G105" i="114" s="1"/>
  <c r="F78" i="114"/>
  <c r="G36" i="114"/>
  <c r="G37" i="114" s="1"/>
  <c r="G38" i="114" s="1"/>
  <c r="F95" i="114"/>
  <c r="F105" i="114" s="1"/>
  <c r="G78" i="114"/>
  <c r="O25" i="2" l="1"/>
  <c r="O31" i="2" s="1"/>
  <c r="O34" i="2" s="1"/>
  <c r="J22" i="37"/>
  <c r="K22" i="37" s="1"/>
  <c r="F12" i="2"/>
  <c r="B39" i="102" s="1"/>
  <c r="B63" i="102" s="1"/>
  <c r="L47" i="60"/>
  <c r="C78" i="60" s="1"/>
  <c r="G78" i="60" s="1"/>
  <c r="I78" i="100"/>
  <c r="F4" i="118"/>
  <c r="E51" i="2"/>
  <c r="G32" i="37"/>
  <c r="G33" i="37" s="1"/>
  <c r="B67" i="102" s="1"/>
  <c r="D52" i="60"/>
  <c r="D53" i="60" s="1"/>
  <c r="D54" i="60" s="1"/>
  <c r="H64" i="2"/>
  <c r="B70" i="102"/>
  <c r="H66" i="2"/>
  <c r="H70" i="2"/>
  <c r="H72" i="2"/>
  <c r="H68" i="2"/>
  <c r="F106" i="114"/>
  <c r="G107" i="114" s="1"/>
  <c r="G79" i="114"/>
  <c r="G80" i="114" s="1"/>
  <c r="E10" i="118" l="1"/>
  <c r="F10" i="118" s="1"/>
  <c r="E8" i="118"/>
  <c r="F8" i="118" s="1"/>
  <c r="C79" i="60"/>
  <c r="G79" i="60" s="1"/>
  <c r="B65" i="102"/>
  <c r="C80" i="60"/>
  <c r="G80" i="60" s="1"/>
  <c r="B64" i="102"/>
  <c r="I98" i="100"/>
  <c r="I101" i="100" s="1"/>
  <c r="B57" i="102" s="1"/>
  <c r="E9" i="118"/>
  <c r="G52" i="60"/>
  <c r="G53" i="60" s="1"/>
  <c r="B41" i="102"/>
  <c r="H74" i="2"/>
  <c r="G81" i="60" l="1"/>
  <c r="J86" i="60"/>
  <c r="I100" i="100"/>
  <c r="E12" i="118"/>
  <c r="G7" i="118" l="1"/>
  <c r="G6" i="118" s="1"/>
  <c r="B40" i="102" s="1"/>
  <c r="G9" i="2"/>
  <c r="J9" i="118"/>
  <c r="K9" i="118" s="1"/>
  <c r="J10" i="118"/>
  <c r="K10" i="118" s="1"/>
  <c r="L10" i="118" s="1"/>
  <c r="M10" i="118" s="1"/>
  <c r="H9" i="2"/>
  <c r="E6" i="69" s="1"/>
  <c r="E14" i="69" s="1"/>
  <c r="J8" i="118"/>
  <c r="F9" i="2"/>
  <c r="E4" i="69" s="1"/>
  <c r="L9" i="118" l="1"/>
  <c r="M9" i="118" s="1"/>
  <c r="J12" i="118"/>
  <c r="K8" i="118"/>
  <c r="L8" i="118" s="1"/>
  <c r="M8" i="118" s="1"/>
  <c r="F14" i="69"/>
  <c r="J105" i="60"/>
  <c r="J106" i="60" s="1"/>
  <c r="J125" i="60" s="1"/>
  <c r="J126" i="60" s="1"/>
  <c r="B54" i="102" s="1"/>
  <c r="K12" i="118" l="1"/>
  <c r="L12" i="118" s="1"/>
  <c r="M12" i="118" s="1"/>
  <c r="E5" i="69" l="1"/>
  <c r="F10" i="101" l="1"/>
  <c r="D9" i="101"/>
  <c r="F9" i="101" s="1"/>
  <c r="F35" i="101" s="1"/>
  <c r="I67" i="100"/>
  <c r="E12" i="69" l="1"/>
  <c r="F12" i="69" s="1"/>
  <c r="E10" i="69"/>
  <c r="F10" i="69" s="1"/>
  <c r="E11" i="69"/>
  <c r="F11" i="69" s="1"/>
  <c r="D26" i="101"/>
  <c r="G200" i="119" s="1"/>
  <c r="G201" i="119" l="1"/>
  <c r="D36" i="101"/>
  <c r="H37" i="101" s="1"/>
  <c r="A10" i="69"/>
  <c r="H27" i="101"/>
  <c r="F26" i="101"/>
  <c r="F36" i="101" s="1"/>
  <c r="F37" i="101" s="1"/>
  <c r="F16" i="69"/>
  <c r="F22" i="69"/>
  <c r="F24" i="69" s="1"/>
  <c r="F25" i="69" s="1"/>
  <c r="B52" i="102" s="1"/>
  <c r="A12" i="69"/>
  <c r="A11" i="69"/>
  <c r="A14" i="69"/>
  <c r="D39" i="101" l="1"/>
  <c r="D37" i="101"/>
  <c r="H2" i="69"/>
  <c r="D40" i="101" l="1"/>
  <c r="B61" i="102" s="1"/>
  <c r="B59"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Tobi OKAMBAWA</author>
  </authors>
  <commentList>
    <comment ref="B5" authorId="0" shapeId="0" xr:uid="{F0146629-09C3-418D-AD64-AF5857FB7283}">
      <text>
        <r>
          <rPr>
            <b/>
            <sz val="9"/>
            <color indexed="81"/>
            <rFont val="Tahoma"/>
            <family val="2"/>
          </rPr>
          <t>Tobi OKAMBAWA:</t>
        </r>
        <r>
          <rPr>
            <sz val="9"/>
            <color indexed="81"/>
            <rFont val="Tahoma"/>
            <family val="2"/>
          </rPr>
          <t xml:space="preserve">
ou Coupon couru</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Bruno DECHANCE</author>
    <author>Eric BELLOCHE</author>
  </authors>
  <commentList>
    <comment ref="A11" authorId="0" shapeId="0" xr:uid="{00000000-0006-0000-0100-000001000000}">
      <text>
        <r>
          <rPr>
            <sz val="9"/>
            <color indexed="81"/>
            <rFont val="Tahoma"/>
            <family val="2"/>
          </rPr>
          <t xml:space="preserve">Déclaration à la Banque de France :
G : code générique
I : code ISIN
</t>
        </r>
      </text>
    </comment>
    <comment ref="C15" authorId="1" shapeId="0" xr:uid="{0FBA70B7-1C47-429D-98BB-ED829AB9DAAE}">
      <text>
        <r>
          <rPr>
            <b/>
            <sz val="9"/>
            <color indexed="81"/>
            <rFont val="Tahoma"/>
            <family val="2"/>
          </rPr>
          <t>Eric BELLOCHE:</t>
        </r>
        <r>
          <rPr>
            <sz val="9"/>
            <color indexed="81"/>
            <rFont val="Tahoma"/>
            <family val="2"/>
          </rPr>
          <t xml:space="preserve">
pas d'intérêts page 104 PV de closing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Eric BELLOCHE</author>
  </authors>
  <commentList>
    <comment ref="C31" authorId="0" shapeId="0" xr:uid="{75F18586-DFBA-43A4-9558-14AE78E22B66}">
      <text>
        <r>
          <rPr>
            <b/>
            <sz val="9"/>
            <color indexed="81"/>
            <rFont val="Tahoma"/>
            <family val="2"/>
          </rPr>
          <t>Eric BELLOCHE:</t>
        </r>
        <r>
          <rPr>
            <sz val="9"/>
            <color indexed="81"/>
            <rFont val="Tahoma"/>
            <family val="2"/>
          </rPr>
          <t xml:space="preserve">
à corriger dans tous les fonds concernés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Eric BELLOCHE</author>
  </authors>
  <commentList>
    <comment ref="B23" authorId="0" shapeId="0" xr:uid="{E029D868-5BE6-496E-A25F-1D12C01189C1}">
      <text>
        <r>
          <rPr>
            <b/>
            <sz val="9"/>
            <color indexed="81"/>
            <rFont val="Tahoma"/>
            <family val="2"/>
          </rPr>
          <t>Eric BELLOCHE:</t>
        </r>
        <r>
          <rPr>
            <sz val="9"/>
            <color indexed="81"/>
            <rFont val="Tahoma"/>
            <family val="2"/>
          </rPr>
          <t xml:space="preserve">
14/10/2025 attente du bulletin de souscription</t>
        </r>
      </text>
    </comment>
    <comment ref="B24" authorId="0" shapeId="0" xr:uid="{0FF1B322-A01B-4F5F-BA6B-5DF9C5B890B6}">
      <text>
        <r>
          <rPr>
            <b/>
            <sz val="9"/>
            <color indexed="81"/>
            <rFont val="Tahoma"/>
            <family val="2"/>
          </rPr>
          <t>Eric BELLOCHE:</t>
        </r>
        <r>
          <rPr>
            <sz val="9"/>
            <color indexed="81"/>
            <rFont val="Tahoma"/>
            <family val="2"/>
          </rPr>
          <t xml:space="preserve">
14/10/2025 attente du bulletin de souscription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Tobi OKAMBAWA</author>
  </authors>
  <commentList>
    <comment ref="F22" authorId="0" shapeId="0" xr:uid="{5AE79924-75B2-4425-B67A-15352933D7AD}">
      <text>
        <r>
          <rPr>
            <b/>
            <sz val="9"/>
            <color indexed="81"/>
            <rFont val="Tahoma"/>
            <family val="2"/>
          </rPr>
          <t>Tobi OKAMBAWA:</t>
        </r>
        <r>
          <rPr>
            <sz val="9"/>
            <color indexed="81"/>
            <rFont val="Tahoma"/>
            <family val="2"/>
          </rPr>
          <t xml:space="preserve">
compte 471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tc={DC80DFE3-EBAE-4B16-A8F1-009FA616436C}</author>
  </authors>
  <commentList>
    <comment ref="C61" authorId="0"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A compléter avec ee tableau ci-dessus "Base de calcul" une fois la compta mis à jour</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Han ZHANG</author>
  </authors>
  <commentList>
    <comment ref="C20" authorId="0" shapeId="0" xr:uid="{1A123125-1676-46CA-8C31-88B0E9EAED52}">
      <text>
        <r>
          <rPr>
            <b/>
            <sz val="9"/>
            <color indexed="81"/>
            <rFont val="Tahoma"/>
            <family val="2"/>
          </rPr>
          <t>Han ZHANG:</t>
        </r>
        <r>
          <rPr>
            <sz val="9"/>
            <color indexed="81"/>
            <rFont val="Tahoma"/>
            <family val="2"/>
          </rPr>
          <t xml:space="preserve">
Autres obligations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Tobi OKAMBAWA</author>
  </authors>
  <commentList>
    <comment ref="G6" authorId="0" shapeId="0" xr:uid="{F31CF6EE-2B91-41D6-A9E0-6ECC95C327B3}">
      <text>
        <r>
          <rPr>
            <b/>
            <sz val="9"/>
            <color indexed="81"/>
            <rFont val="Tahoma"/>
            <family val="2"/>
          </rPr>
          <t>Tobi OKAMBAWA:</t>
        </r>
        <r>
          <rPr>
            <sz val="9"/>
            <color indexed="81"/>
            <rFont val="Tahoma"/>
            <family val="2"/>
          </rPr>
          <t xml:space="preserve">
Remarques:
- Si vous avez des comptes qui n'apparaisent pas sur le fichier test suivant, le rajouter dans la catégorie correspondantes.  Faire attention dans la formule en fonction si c'est un compte de charge ou de produit, le sens de la formule changera. Attention, rajouter le "vrai" 
- Il existe des comptes de charges qui sont dans la catégorie produit, exemple le "65". Ce n'est que dans ce cas qu'il faut rajouter le "-"
- Penser, une fois les formules insérées dans les cellules, à enlever les couleurs. Vu qu'on ne saisit plus manuellement, il ne doit y avoir de couleur quand N-1</t>
        </r>
      </text>
    </comment>
    <comment ref="H151" authorId="0" shapeId="0" xr:uid="{B4DD77CF-86B6-4D89-BEA1-6B3364884B73}">
      <text>
        <r>
          <rPr>
            <b/>
            <sz val="9"/>
            <color indexed="81"/>
            <rFont val="Tahoma"/>
            <family val="2"/>
          </rPr>
          <t>Tobi OKAMBAWA:</t>
        </r>
        <r>
          <rPr>
            <sz val="9"/>
            <color indexed="81"/>
            <rFont val="Tahoma"/>
            <family val="2"/>
          </rPr>
          <t xml:space="preserve">
Attention dans cette cellule, un signe "-" a été inséré
</t>
        </r>
      </text>
    </comment>
  </commentList>
</comments>
</file>

<file path=xl/sharedStrings.xml><?xml version="1.0" encoding="utf-8"?>
<sst xmlns="http://schemas.openxmlformats.org/spreadsheetml/2006/main" count="2023" uniqueCount="953">
  <si>
    <t>BOLZEN - SLP</t>
  </si>
  <si>
    <t>Code AMF</t>
  </si>
  <si>
    <t>FDS104360</t>
  </si>
  <si>
    <t>Méthode de comptabilisation des intérêts</t>
  </si>
  <si>
    <t>Coupon couru</t>
  </si>
  <si>
    <t>Particularités de la SLP</t>
  </si>
  <si>
    <t xml:space="preserve">Fonds investi </t>
  </si>
  <si>
    <t>Le Fonds interviendra dans des opérations conformes à la politique d'investissement d'EMZ 11 et à titre principal au titre de toute opération de financement obligataire ou unitranche, pouvant prendre des formes multiples, dont notamment des obligations à bons de souscription d'actions, des obligations convertibles, des obligations remboursables en actions, des obligations simples, ou tout autre type d'obligations.</t>
  </si>
  <si>
    <t>Article 2.6</t>
  </si>
  <si>
    <t>Périodicité de la VL</t>
  </si>
  <si>
    <t>Trimestrielle, au 31 mars, 30 juin, 30 septembre et 31 décembre.</t>
  </si>
  <si>
    <t>Article 14</t>
  </si>
  <si>
    <t>Date de clôture du premier exercice comptable</t>
  </si>
  <si>
    <t>Article 21</t>
  </si>
  <si>
    <t>Type de parts</t>
  </si>
  <si>
    <t>Parts A1</t>
  </si>
  <si>
    <t>Investisseurs avertis</t>
  </si>
  <si>
    <t>Parts A2</t>
  </si>
  <si>
    <t>Parts de Commandité</t>
  </si>
  <si>
    <t>Parts associés commandités</t>
  </si>
  <si>
    <t>Frais de gestion</t>
  </si>
  <si>
    <t>La société de Gestion ne recevra pas de commission de la part du Fonds</t>
  </si>
  <si>
    <t>Article 20.1.1</t>
  </si>
  <si>
    <t>Dépositaire</t>
  </si>
  <si>
    <t>Caceis</t>
  </si>
  <si>
    <t>CAC</t>
  </si>
  <si>
    <t>Deloitte</t>
  </si>
  <si>
    <t>Evaluation des OPC</t>
  </si>
  <si>
    <t>dernière VL connue</t>
  </si>
  <si>
    <t>Devise de comptabilisation</t>
  </si>
  <si>
    <t>Euro</t>
  </si>
  <si>
    <t>Zone de saisie</t>
  </si>
  <si>
    <t>Onglets</t>
  </si>
  <si>
    <t>Synthèse contrôles</t>
  </si>
  <si>
    <t>Inventaire</t>
  </si>
  <si>
    <t>Calcul VL</t>
  </si>
  <si>
    <t>OD Rééval</t>
  </si>
  <si>
    <t>Rappro titres</t>
  </si>
  <si>
    <t>Intérêts OC</t>
  </si>
  <si>
    <t>PVMV</t>
  </si>
  <si>
    <t>PV</t>
  </si>
  <si>
    <t>MV</t>
  </si>
  <si>
    <t>Liste porteurs selon versement</t>
  </si>
  <si>
    <t>Résultat</t>
  </si>
  <si>
    <t>N-1</t>
  </si>
  <si>
    <t>Bilan</t>
  </si>
  <si>
    <t>Variation actif net après valorisation</t>
  </si>
  <si>
    <t>Variation actif net avant valorisation</t>
  </si>
  <si>
    <t>Rappro banque</t>
  </si>
  <si>
    <t>rapprobalance classe 1-6-7</t>
  </si>
  <si>
    <t>rapprobalance classe 3-4-5</t>
  </si>
  <si>
    <t xml:space="preserve">rapprobalance classe 3 avant valorisation </t>
  </si>
  <si>
    <t>Actif /passif</t>
  </si>
  <si>
    <t>Délaration BDF</t>
  </si>
  <si>
    <t>Inventaire:  BDF : complément Composition de l'actif net</t>
  </si>
  <si>
    <t>Inventaire au :</t>
  </si>
  <si>
    <t>Code ISIN parts A1</t>
  </si>
  <si>
    <t>Code ISIN parts A2</t>
  </si>
  <si>
    <t>Code ISIN parts Commandité</t>
  </si>
  <si>
    <t>Actif net :</t>
  </si>
  <si>
    <t>Type de parts :</t>
  </si>
  <si>
    <t xml:space="preserve">Total </t>
  </si>
  <si>
    <t>A1</t>
  </si>
  <si>
    <t>A2</t>
  </si>
  <si>
    <t>Part de Commandité</t>
  </si>
  <si>
    <t>Actif net fonds général :</t>
  </si>
  <si>
    <t xml:space="preserve">Nbre de parts :   </t>
  </si>
  <si>
    <t>valeur liquidative :</t>
  </si>
  <si>
    <t>G ou I</t>
  </si>
  <si>
    <t>Code Titre</t>
  </si>
  <si>
    <t>Libellé</t>
  </si>
  <si>
    <t>Quantité</t>
  </si>
  <si>
    <t>Prix de revient unitaire</t>
  </si>
  <si>
    <t>Cours</t>
  </si>
  <si>
    <t>Date de valorisation</t>
  </si>
  <si>
    <t xml:space="preserve">Prix de revient </t>
  </si>
  <si>
    <t>Intérêt ou dividendes capitalisés
Prime de non conversion</t>
  </si>
  <si>
    <t>Prix de revient global</t>
  </si>
  <si>
    <t>Valeur d'estimation hors coupons</t>
  </si>
  <si>
    <t xml:space="preserve">+/- value potentielle </t>
  </si>
  <si>
    <t xml:space="preserve">Coupon couru / Dividende </t>
  </si>
  <si>
    <t>Valeur d'estimation coupon inclus</t>
  </si>
  <si>
    <t>% actif net</t>
  </si>
  <si>
    <t>Valo Aplitec au 31/12/2025</t>
  </si>
  <si>
    <t>Valo SG au 31/12/2025</t>
  </si>
  <si>
    <t>écart</t>
  </si>
  <si>
    <t>Cours unitaire de valorisation</t>
  </si>
  <si>
    <t xml:space="preserve">FONDS GENERAL </t>
  </si>
  <si>
    <t>Instruments financiers de capital Investissement</t>
  </si>
  <si>
    <t>G</t>
  </si>
  <si>
    <t>FROREUR02773</t>
  </si>
  <si>
    <t>FROCEUR02774</t>
  </si>
  <si>
    <t>DEADEUR03287</t>
  </si>
  <si>
    <t>DEOCEUR03288</t>
  </si>
  <si>
    <t>DEOCEUR03289</t>
  </si>
  <si>
    <t>FROSEUR03290</t>
  </si>
  <si>
    <t>Total</t>
  </si>
  <si>
    <t>Autres instruments financiers</t>
  </si>
  <si>
    <t xml:space="preserve"> </t>
  </si>
  <si>
    <t>Total fonds général</t>
  </si>
  <si>
    <t>Total inventaire :</t>
  </si>
  <si>
    <t>Composition de l'actif net</t>
  </si>
  <si>
    <t>Fonds général</t>
  </si>
  <si>
    <t>%</t>
  </si>
  <si>
    <t>Disponibilités</t>
  </si>
  <si>
    <t>Créances</t>
  </si>
  <si>
    <t>Dettes</t>
  </si>
  <si>
    <t>Dettes financières</t>
  </si>
  <si>
    <t>Actif net</t>
  </si>
  <si>
    <t>Composition de l'actif net (2)</t>
  </si>
  <si>
    <t>Reemploi/Compte bloqué/Clawback</t>
  </si>
  <si>
    <t xml:space="preserve">Reinvestissement </t>
  </si>
  <si>
    <t>Inventaire BDF</t>
  </si>
  <si>
    <t>Nombre de ligne Portefeuille</t>
  </si>
  <si>
    <t>Nombre de rang AIFM</t>
  </si>
  <si>
    <t>Disponibilité BDF</t>
  </si>
  <si>
    <t>Contrôle</t>
  </si>
  <si>
    <t>Créances BDF</t>
  </si>
  <si>
    <t>Dettes BDF</t>
  </si>
  <si>
    <t>Dettes financières BDF</t>
  </si>
  <si>
    <t>Actif net BDF</t>
  </si>
  <si>
    <t xml:space="preserve">Contrôle: </t>
  </si>
  <si>
    <t xml:space="preserve">  </t>
  </si>
  <si>
    <t>Calcul des valeurs liquidatives :</t>
  </si>
  <si>
    <t>Au prorata des parts pour le 30/09/25</t>
  </si>
  <si>
    <t>nombre de parts</t>
  </si>
  <si>
    <t>Montant libéré</t>
  </si>
  <si>
    <t>Actif net réparti</t>
  </si>
  <si>
    <t>Valeur de la parts</t>
  </si>
  <si>
    <t>Valeur liquidative recalculée</t>
  </si>
  <si>
    <t>Ecart non affectable</t>
  </si>
  <si>
    <t>Vérification</t>
  </si>
  <si>
    <t>SI l'écart divisé par le nombre de parts est inférieur à 0,01= OK</t>
  </si>
  <si>
    <t>FR001400XME8</t>
  </si>
  <si>
    <t>FR001400XMF5</t>
  </si>
  <si>
    <t>FR001400XMG3</t>
  </si>
  <si>
    <t>Article 10</t>
  </si>
  <si>
    <t>Date</t>
  </si>
  <si>
    <t>journal</t>
  </si>
  <si>
    <t>Compte</t>
  </si>
  <si>
    <t>N° Piéces</t>
  </si>
  <si>
    <t>Debit</t>
  </si>
  <si>
    <t>Credit</t>
  </si>
  <si>
    <t>Monnaie</t>
  </si>
  <si>
    <t>ODSITU</t>
  </si>
  <si>
    <t>E</t>
  </si>
  <si>
    <t xml:space="preserve">Intérêts Courus sur OC </t>
  </si>
  <si>
    <t>Intérêts courus sur OC</t>
  </si>
  <si>
    <t>OC</t>
  </si>
  <si>
    <t>Intérêts courus sur autres obligations</t>
  </si>
  <si>
    <t>OS/OR/CN</t>
  </si>
  <si>
    <t>intérêts courus sur Prêt</t>
  </si>
  <si>
    <t>PR/CC/NO</t>
  </si>
  <si>
    <t>Intérêts courus sur actions</t>
  </si>
  <si>
    <t>AC/AD/BS/SA</t>
  </si>
  <si>
    <t xml:space="preserve">PVMV latentes nettes s/actions </t>
  </si>
  <si>
    <t>PVMV latentes nettes s/obligations convertibles en actions</t>
  </si>
  <si>
    <t>PVMV latentes nettes s/autres obligations</t>
  </si>
  <si>
    <t>PVMV latentes nettes s/dépôt et autres investissements financiers</t>
  </si>
  <si>
    <t>75560000</t>
  </si>
  <si>
    <t>PR</t>
  </si>
  <si>
    <t>PVMV latentes nettes s/OPC</t>
  </si>
  <si>
    <t>75530000</t>
  </si>
  <si>
    <t>Sicav/FCP/FPCI/SLP/FIPS</t>
  </si>
  <si>
    <t>Fund reserve</t>
  </si>
  <si>
    <t>Intérêts sur emprunts</t>
  </si>
  <si>
    <t>ce contrôle toujours à zéro</t>
  </si>
  <si>
    <t>Ne pas modifier la présentation de cette OD</t>
  </si>
  <si>
    <t>à la clôture</t>
  </si>
  <si>
    <t>OD</t>
  </si>
  <si>
    <t>Extourne de la clôture</t>
  </si>
  <si>
    <t>Rapprochement Titres</t>
  </si>
  <si>
    <t>Société et nature juridique</t>
  </si>
  <si>
    <t xml:space="preserve">Quantité </t>
  </si>
  <si>
    <t>ECART</t>
  </si>
  <si>
    <t>Commentaires</t>
  </si>
  <si>
    <t>de l'instrument financier</t>
  </si>
  <si>
    <t>inventaire</t>
  </si>
  <si>
    <t>société</t>
  </si>
  <si>
    <t>attestation</t>
  </si>
  <si>
    <t>dépositaire</t>
  </si>
  <si>
    <t>relevé</t>
  </si>
  <si>
    <t>Souscription 25/07/2025</t>
  </si>
  <si>
    <t>Souscription 25/11/2025</t>
  </si>
  <si>
    <t>Souscription 16/12/2025</t>
  </si>
  <si>
    <t>Contrôle avec l'inventaire</t>
  </si>
  <si>
    <t>Nombre de ligne</t>
  </si>
  <si>
    <t>Rapprochement titres</t>
  </si>
  <si>
    <t>Rapprochement Parts</t>
  </si>
  <si>
    <t>Quantité souscription / rachat</t>
  </si>
  <si>
    <t>Quantité dépositaire</t>
  </si>
  <si>
    <t>Date relevé</t>
  </si>
  <si>
    <t>Part commandité</t>
  </si>
  <si>
    <t>HORS BILAN au</t>
  </si>
  <si>
    <t>Exercice</t>
  </si>
  <si>
    <t>Autres engagements (par nature de produit)</t>
  </si>
  <si>
    <t>Garanties reçues</t>
  </si>
  <si>
    <t>dont instruments financiers reçus en garantie et non inscrits au bilan</t>
  </si>
  <si>
    <t>Garanties données</t>
  </si>
  <si>
    <t>dont instruments financiers donnés en garantie et maintenus dans leur poste d'origine</t>
  </si>
  <si>
    <t>Engagements de financement reçu mais non encore tirés</t>
  </si>
  <si>
    <t>Engagements de financement donnés mais non encore tirés</t>
  </si>
  <si>
    <t>Autres engagements hors bilan</t>
  </si>
  <si>
    <t>Donnés</t>
  </si>
  <si>
    <t>reçus</t>
  </si>
  <si>
    <t xml:space="preserve">DETAIL DES ENGAGEMENTS HORS-BILAN au </t>
  </si>
  <si>
    <t>Engagements hors bilan</t>
  </si>
  <si>
    <t>Engagements donnés</t>
  </si>
  <si>
    <t>Engagements reçus</t>
  </si>
  <si>
    <t>Garanties</t>
  </si>
  <si>
    <t>Sous-total</t>
  </si>
  <si>
    <t>Engagements de financement mais non encore tirés</t>
  </si>
  <si>
    <t>Engagement reçus non libérés</t>
  </si>
  <si>
    <t>Ne jamais renseigner le non libéré des parts</t>
  </si>
  <si>
    <t>SUIVI DES ACHATS VENTES SUR TITRES :</t>
  </si>
  <si>
    <t xml:space="preserve">AIFM Turnover (T3B1) </t>
  </si>
  <si>
    <t>Unlisted equities</t>
  </si>
  <si>
    <t>Corporate bonds not issued by financial institutions</t>
  </si>
  <si>
    <t>Loans</t>
  </si>
  <si>
    <t>Collective Investment Undertakings</t>
  </si>
  <si>
    <t>Convertible bonds not issued by financial institutionsNon-investment grade</t>
  </si>
  <si>
    <t>Les instruments financiers sont comptabilisés "frais exclus"; les droits d'enregistrement</t>
  </si>
  <si>
    <t>sont à comptabiliser en charges</t>
  </si>
  <si>
    <t>ACHATS</t>
  </si>
  <si>
    <t>VENTES</t>
  </si>
  <si>
    <t>SOLDES</t>
  </si>
  <si>
    <t>PLUS VALUES REALISEES</t>
  </si>
  <si>
    <t>MOINS VALUES REALISEES</t>
  </si>
  <si>
    <t>Prix de vente- prix de revient (2)</t>
  </si>
  <si>
    <t>Sommes des plus ou moins values (1)</t>
  </si>
  <si>
    <t>Contrôle (2)-(1)</t>
  </si>
  <si>
    <t>TITRE</t>
  </si>
  <si>
    <t>LIBELLE</t>
  </si>
  <si>
    <t>DATE OPE</t>
  </si>
  <si>
    <t>QTE</t>
  </si>
  <si>
    <t>PR UNITAIRE</t>
  </si>
  <si>
    <t>PR OPERATION</t>
  </si>
  <si>
    <t>PV UNITAIRE</t>
  </si>
  <si>
    <t>PV OPERATION</t>
  </si>
  <si>
    <t>QUANTITE</t>
  </si>
  <si>
    <t>PR CUMULE</t>
  </si>
  <si>
    <t>PR UNIT. MOYEN</t>
  </si>
  <si>
    <t>Plus ou moins values nettes</t>
  </si>
  <si>
    <t>Report</t>
  </si>
  <si>
    <t>UE</t>
  </si>
  <si>
    <t>Inflexion BIDCO - OCADP 2</t>
  </si>
  <si>
    <t>Souscription</t>
  </si>
  <si>
    <t>Récap</t>
  </si>
  <si>
    <t>Inflexion BIDCO - ORADP 1</t>
  </si>
  <si>
    <t>Koenig solutions - ADP B</t>
  </si>
  <si>
    <t>Prime d'émission</t>
  </si>
  <si>
    <t>Koenig solutions - OC (SHL)</t>
  </si>
  <si>
    <t>Koenig solutions - OC (Warehouse II - ADP A)</t>
  </si>
  <si>
    <t>SNIC Technologies Group - OBSA</t>
  </si>
  <si>
    <t>TOTAL</t>
  </si>
  <si>
    <t>Contrôle de cohérence</t>
  </si>
  <si>
    <t>Total PR achat - Total PR Vente</t>
  </si>
  <si>
    <t>comptabilité :</t>
  </si>
  <si>
    <t>Ecart</t>
  </si>
  <si>
    <t>Inventaire PR</t>
  </si>
  <si>
    <t>PR + Int PIK</t>
  </si>
  <si>
    <t>Frais de transaction antérieurs:</t>
  </si>
  <si>
    <t>Ecart:</t>
  </si>
  <si>
    <t>Intérêts courus sur obligations convertibles</t>
  </si>
  <si>
    <t>Capitalisation : 29/07</t>
  </si>
  <si>
    <t>Date debut période</t>
  </si>
  <si>
    <t>Date fin période</t>
  </si>
  <si>
    <t>Jours</t>
  </si>
  <si>
    <t>Base</t>
  </si>
  <si>
    <t>Mouvement</t>
  </si>
  <si>
    <t>Capitalisation</t>
  </si>
  <si>
    <t>Base de calcul</t>
  </si>
  <si>
    <t>Taux fixe
 ou marge</t>
  </si>
  <si>
    <r>
      <t xml:space="preserve">Taux variable : 
</t>
    </r>
    <r>
      <rPr>
        <sz val="10"/>
        <color rgb="FFFF0000"/>
        <rFont val="Arial"/>
        <family val="2"/>
      </rPr>
      <t>Euribor X mois</t>
    </r>
  </si>
  <si>
    <t>Dividendes / coupons</t>
  </si>
  <si>
    <t>Intérêts courus</t>
  </si>
  <si>
    <t>échéance 29/01/2033</t>
  </si>
  <si>
    <t>Provision</t>
  </si>
  <si>
    <t>Koenig - ADP B</t>
  </si>
  <si>
    <t>Capitalisation : 27/11</t>
  </si>
  <si>
    <t>Taux variable : 
Euribor X mois</t>
  </si>
  <si>
    <t>Koenig - OC (SHL)</t>
  </si>
  <si>
    <t>Capitalisation : 25/11</t>
  </si>
  <si>
    <t>Pas de calcul d'intérêts</t>
  </si>
  <si>
    <t>Taux d'intérêts : 0%</t>
  </si>
  <si>
    <t>Koenig - OC (Warehouse II - ADP A)</t>
  </si>
  <si>
    <t>Maturité : 31/12/2038</t>
  </si>
  <si>
    <t>Taux d'intérêts: 0%</t>
  </si>
  <si>
    <t>SNIC - OBSA</t>
  </si>
  <si>
    <t>Capitalisation : 17/12</t>
  </si>
  <si>
    <t>Date de maturité: 16/12/2033</t>
  </si>
  <si>
    <t>Récap intérêt Obligations</t>
  </si>
  <si>
    <t xml:space="preserve">Intérêts Capitalisés </t>
  </si>
  <si>
    <t>Intérêts Courus</t>
  </si>
  <si>
    <t>COMPTE COURANT  AU</t>
  </si>
  <si>
    <t>Emprunt - Facility agrement loan n°1</t>
  </si>
  <si>
    <t>Date de début de période</t>
  </si>
  <si>
    <t>Date de fin de période</t>
  </si>
  <si>
    <t>Durée</t>
  </si>
  <si>
    <t>Intitulé</t>
  </si>
  <si>
    <t>Mouvements</t>
  </si>
  <si>
    <t>Solde progressif</t>
  </si>
  <si>
    <t>marge</t>
  </si>
  <si>
    <t>Taux Euribor</t>
  </si>
  <si>
    <t>Intérêts</t>
  </si>
  <si>
    <t>Intérêt payé</t>
  </si>
  <si>
    <t xml:space="preserve">Intérêts courus </t>
  </si>
  <si>
    <t>Tirage</t>
  </si>
  <si>
    <t>Remboursements</t>
  </si>
  <si>
    <t>Maturité</t>
  </si>
  <si>
    <t>intérêt au 26/01/2026 :</t>
  </si>
  <si>
    <t xml:space="preserve">Mage: </t>
  </si>
  <si>
    <t>Montant emprunté</t>
  </si>
  <si>
    <t>Emprunt - Commiment fee loan n°1</t>
  </si>
  <si>
    <t>Taux appliqué</t>
  </si>
  <si>
    <t>Commission de non utilisation</t>
  </si>
  <si>
    <t>Emprunt - Facility agrement loan n°3</t>
  </si>
  <si>
    <t xml:space="preserve">Remboursement </t>
  </si>
  <si>
    <t>intérêt au 30/03/2026 :</t>
  </si>
  <si>
    <t>Emprunt - Commiment fee loan n°3</t>
  </si>
  <si>
    <t>Emprunt - Facility agrement loan n°5</t>
  </si>
  <si>
    <t>30/06/2026 (197 jours)</t>
  </si>
  <si>
    <t>intérêt au 30/06/2026 :</t>
  </si>
  <si>
    <t>Emprunt - Commiment fee loan n°5</t>
  </si>
  <si>
    <t>Emprunt - Facility agrement loan n°6</t>
  </si>
  <si>
    <t>16/03/2026 (91 jours)</t>
  </si>
  <si>
    <t>intérêt au 16/03/2026 :</t>
  </si>
  <si>
    <t>Emprunt - Commiment fee loan n°6</t>
  </si>
  <si>
    <t>Emprunt</t>
  </si>
  <si>
    <t>Suivi des parts au</t>
  </si>
  <si>
    <t>Nature opération</t>
  </si>
  <si>
    <t>Nominal Parts A1</t>
  </si>
  <si>
    <t>NP</t>
  </si>
  <si>
    <t>Transfert de Parts</t>
  </si>
  <si>
    <t>Nominal Parts A2</t>
  </si>
  <si>
    <t>ADF</t>
  </si>
  <si>
    <t>Appel de fonds</t>
  </si>
  <si>
    <t>Nominal Parts Commandité</t>
  </si>
  <si>
    <t>DD</t>
  </si>
  <si>
    <t>Distribution définitive</t>
  </si>
  <si>
    <t>DB</t>
  </si>
  <si>
    <t>Distribition Bloquée</t>
  </si>
  <si>
    <t>DP</t>
  </si>
  <si>
    <t>Distribution provisoire</t>
  </si>
  <si>
    <t>RD</t>
  </si>
  <si>
    <t>Rappel de distribution</t>
  </si>
  <si>
    <t>ENG</t>
  </si>
  <si>
    <t>Engagement supplémentaire</t>
  </si>
  <si>
    <t>Date opération</t>
  </si>
  <si>
    <t>%ADF</t>
  </si>
  <si>
    <t>Matrice intégration appel de Fonds / Distribution</t>
  </si>
  <si>
    <t>Souscripteurs</t>
  </si>
  <si>
    <t>Nature des Souscripteurs</t>
  </si>
  <si>
    <t>Engagement initial en Euros</t>
  </si>
  <si>
    <t>Nombre de parts</t>
  </si>
  <si>
    <t>ADF Tranche différée</t>
  </si>
  <si>
    <t>Nombre de parts à date de situation</t>
  </si>
  <si>
    <t>Total des versements à date de situation</t>
  </si>
  <si>
    <t>Montant libéré en %</t>
  </si>
  <si>
    <t>Engagement résiduel</t>
  </si>
  <si>
    <t xml:space="preserve">Distribution </t>
  </si>
  <si>
    <t>Distribution en %</t>
  </si>
  <si>
    <t>Engagement à date de situation</t>
  </si>
  <si>
    <t>Nominal 1000 €</t>
  </si>
  <si>
    <t>DATE</t>
  </si>
  <si>
    <t>montant</t>
  </si>
  <si>
    <t>EMZ 11-A SLP</t>
  </si>
  <si>
    <t>EMZ 11 Executive Fund SLP</t>
  </si>
  <si>
    <t>EMZ 11 SLP</t>
  </si>
  <si>
    <t>Total Parts A1</t>
  </si>
  <si>
    <t>Total Parts A2</t>
  </si>
  <si>
    <t>EMZ 11 GP</t>
  </si>
  <si>
    <t>Total Parts Commandité</t>
  </si>
  <si>
    <t>TOTAL FONDS (A1 + A2 + Commandité)</t>
  </si>
  <si>
    <t xml:space="preserve">Liste des porteurs </t>
  </si>
  <si>
    <t>%age investisseurs</t>
  </si>
  <si>
    <t>Nbre de parts</t>
  </si>
  <si>
    <t>VL</t>
  </si>
  <si>
    <t>Nb de parts soucrites</t>
  </si>
  <si>
    <t>Valeur unitaire</t>
  </si>
  <si>
    <t>Evaluation</t>
  </si>
  <si>
    <t>Actif net selon inventaire</t>
  </si>
  <si>
    <t>Actif net non affecté</t>
  </si>
  <si>
    <t>Ecart/part</t>
  </si>
  <si>
    <t>Conclusion</t>
  </si>
  <si>
    <t>Frais de gestion 
de la société de gestion</t>
  </si>
  <si>
    <t>Date de départ</t>
  </si>
  <si>
    <t>Fin de période</t>
  </si>
  <si>
    <t>Prorata</t>
  </si>
  <si>
    <t>Taux de frais de gestion</t>
  </si>
  <si>
    <t>Charges</t>
  </si>
  <si>
    <t>Rémunération de la société de gestion (Article 20.1)</t>
  </si>
  <si>
    <t>Pas de commission de gestion</t>
  </si>
  <si>
    <t>Sous-total frais de gestion de la société de gestion</t>
  </si>
  <si>
    <t>Autres frais de gestion</t>
  </si>
  <si>
    <t>Taux ou montant</t>
  </si>
  <si>
    <t>Taux proratisé</t>
  </si>
  <si>
    <t>TVA</t>
  </si>
  <si>
    <t>Rémunération Associé Commandité</t>
  </si>
  <si>
    <t xml:space="preserve">date départ </t>
  </si>
  <si>
    <t>date fin</t>
  </si>
  <si>
    <t>Budget maximum 20 000€</t>
  </si>
  <si>
    <t>nbre j</t>
  </si>
  <si>
    <t>Provision 2024</t>
  </si>
  <si>
    <t>Provision 2025</t>
  </si>
  <si>
    <t>Honoraires CAC - Deloitte</t>
  </si>
  <si>
    <t>Budget annuel HT (8500€) du budget annuel HT</t>
  </si>
  <si>
    <t>Provision 3T2025</t>
  </si>
  <si>
    <t>Provision 4T2025</t>
  </si>
  <si>
    <t>Régul provision 3T2025</t>
  </si>
  <si>
    <t>Honoraires comptables - Aplitec</t>
  </si>
  <si>
    <t>Frais annuel HT 11 800 €)</t>
  </si>
  <si>
    <t>Facture Frais de démarrage</t>
  </si>
  <si>
    <t>Facture frais de démarrage AIFM</t>
  </si>
  <si>
    <t>Facture EC 3T2025</t>
  </si>
  <si>
    <t>Facture AIFM 3T2025</t>
  </si>
  <si>
    <t>Facture BDF OPC 2 3T2025</t>
  </si>
  <si>
    <t>Facture Dépôt VL (semestriel) Base GECO AMF 3T2025</t>
  </si>
  <si>
    <t>Provision EC 4T2025</t>
  </si>
  <si>
    <t>Provision AIFM 4T2025</t>
  </si>
  <si>
    <t>Provision BDF OPC 2 4T2025</t>
  </si>
  <si>
    <t>Provision Dépôt VL (semestriel) Base GECO AMF 4T2025</t>
  </si>
  <si>
    <t xml:space="preserve">Frais de dépositaire </t>
  </si>
  <si>
    <t>A réutiliser chaque trimestre</t>
  </si>
  <si>
    <t xml:space="preserve">Commission dépositaire barême: </t>
  </si>
  <si>
    <t>Taux</t>
  </si>
  <si>
    <t>Actif Net</t>
  </si>
  <si>
    <t>De 0 à 100M€ d'actif net</t>
  </si>
  <si>
    <t>De 100M€ à 200M€ d'actif net</t>
  </si>
  <si>
    <t>Au-delà de 200M€ d'actif net</t>
  </si>
  <si>
    <t>Minimum annuel de facturation</t>
  </si>
  <si>
    <t>Jusqu'à 50 investisseurs</t>
  </si>
  <si>
    <t>De 51 à 100 investisseurs</t>
  </si>
  <si>
    <t>De 101 à 200 investisseurs</t>
  </si>
  <si>
    <t>Frais 3T2020</t>
  </si>
  <si>
    <t>Actif Net du fonds</t>
  </si>
  <si>
    <t>Forfait annuel minimum</t>
  </si>
  <si>
    <t>Forfait AIFM</t>
  </si>
  <si>
    <t>Frais 4T2020</t>
  </si>
  <si>
    <t>Budget  minimum 20 000 HT par an plafond 170 000€</t>
  </si>
  <si>
    <t>Minimum de facturation</t>
  </si>
  <si>
    <t>Actif net jusqu'à 500M€ 0,012% de l'actif net</t>
  </si>
  <si>
    <t>Actif net entre 500M€ et 1 Milliard€ 0,010% de l'actif net</t>
  </si>
  <si>
    <t>Actif net &gt; 1Milliard€ 0,008% de l'actif net</t>
  </si>
  <si>
    <t>Assistance juridique</t>
  </si>
  <si>
    <t>Frs d'audit, d'études s/acquis de titre</t>
  </si>
  <si>
    <t>Sous-total autres frais de gestion</t>
  </si>
  <si>
    <t>Total frais de gestion</t>
  </si>
  <si>
    <t>Compta</t>
  </si>
  <si>
    <t>Autres charges de gestion courante</t>
  </si>
  <si>
    <t>Agios</t>
  </si>
  <si>
    <t>Compte d'écart</t>
  </si>
  <si>
    <t>Frais bancaires</t>
  </si>
  <si>
    <t>Frais bancaires sur prêts</t>
  </si>
  <si>
    <t>Charges sur emprunt</t>
  </si>
  <si>
    <t xml:space="preserve">Frais d'audit, d'études </t>
  </si>
  <si>
    <t>Droits enregistrement</t>
  </si>
  <si>
    <t>Frais de transactions</t>
  </si>
  <si>
    <t>Autres charges</t>
  </si>
  <si>
    <t>Solde d’ouverture PVMV latentes nettes</t>
  </si>
  <si>
    <t>Moins-values réalisées de l'exercice</t>
  </si>
  <si>
    <t>Primes d'assurance</t>
  </si>
  <si>
    <t>Créances et dettes au :</t>
  </si>
  <si>
    <t>Charges constatées d'avance</t>
  </si>
  <si>
    <t>Solde</t>
  </si>
  <si>
    <t>Ventes à reglement différé</t>
  </si>
  <si>
    <t>Débiteurs divers</t>
  </si>
  <si>
    <t>Porteurs de parts appelé non reçu</t>
  </si>
  <si>
    <t xml:space="preserve">Crédit vendeur </t>
  </si>
  <si>
    <t>Nominal crédit vendeur</t>
  </si>
  <si>
    <t>compte 46220010</t>
  </si>
  <si>
    <t>Intérêt crédit vendeur</t>
  </si>
  <si>
    <t>compte 46220011</t>
  </si>
  <si>
    <t>Compte d'attente</t>
  </si>
  <si>
    <t>Société de Gestion - EMZ</t>
  </si>
  <si>
    <t xml:space="preserve">Commissaires aux comptes </t>
  </si>
  <si>
    <t>Expert Comptable - APLITEC</t>
  </si>
  <si>
    <t xml:space="preserve">Dépositaire </t>
  </si>
  <si>
    <t>Créditeurs divers</t>
  </si>
  <si>
    <t>Provision Frais de constitution (avocats)</t>
  </si>
  <si>
    <t>Bolzen - Break costs loan n°1 et n°3</t>
  </si>
  <si>
    <t>Prime de souscription à reverser</t>
  </si>
  <si>
    <t>Porteurs de Parts appelé non perçu</t>
  </si>
  <si>
    <t>Rémunération GP</t>
  </si>
  <si>
    <t>Sous-total avant réserve</t>
  </si>
  <si>
    <t>Fonds de réserve</t>
  </si>
  <si>
    <t xml:space="preserve">Bilan au </t>
  </si>
  <si>
    <t>en euros</t>
  </si>
  <si>
    <t>Texte de référence :</t>
  </si>
  <si>
    <t>article 421-1 Bilan actif du rglt ANC 2020-07</t>
  </si>
  <si>
    <t>ACTIF</t>
  </si>
  <si>
    <t>article 421-2 Bilan passif du rglt ANC 2020-07</t>
  </si>
  <si>
    <t>Exercice N</t>
  </si>
  <si>
    <t>Exercice N-1</t>
  </si>
  <si>
    <t>annexe n°9 du guide d'implantation</t>
  </si>
  <si>
    <t>article L214-20 du Comofi</t>
  </si>
  <si>
    <t>TITRES FINANCIERS</t>
  </si>
  <si>
    <t>Actions et valeurs assimilées (A)</t>
  </si>
  <si>
    <t>- négociés sur un marché réglementé ou assimilé</t>
  </si>
  <si>
    <t>Actions</t>
  </si>
  <si>
    <t>- non négociés sur un marché réglementé ou assimilé</t>
  </si>
  <si>
    <t>AC/AD/SA/BS</t>
  </si>
  <si>
    <t>Obligations convertibles en actions (B)</t>
  </si>
  <si>
    <t>Obligations et valeurs assimilées (C)</t>
  </si>
  <si>
    <t>Titres de créances (D)</t>
  </si>
  <si>
    <t>Parts d'OPC et de fonds d'investissements (E)</t>
  </si>
  <si>
    <t>- OPCVM</t>
  </si>
  <si>
    <t>FCP/SICAV</t>
  </si>
  <si>
    <t>- FIA et équivalents d'autres Etats membres de l'Union Européenne</t>
  </si>
  <si>
    <t>FCPR/FPCI/FCPI/SLP</t>
  </si>
  <si>
    <t>- Autres OPC et fonds d'investissement</t>
  </si>
  <si>
    <t>Dépôts (F)</t>
  </si>
  <si>
    <t>CT</t>
  </si>
  <si>
    <t>Instruments financiers à terme (G)</t>
  </si>
  <si>
    <t>Opérations temporaires sur titres (H)</t>
  </si>
  <si>
    <t>- Créances représentatives de titres financiers reçus en pension</t>
  </si>
  <si>
    <t>- Créances représentatives de titres donnés en garantie</t>
  </si>
  <si>
    <t>- Créances représentatives de titres financiers prêtés</t>
  </si>
  <si>
    <t>- Titres financiers donnés en pension</t>
  </si>
  <si>
    <t>- Autres opérations temporaires</t>
  </si>
  <si>
    <t>Prêts (I)</t>
  </si>
  <si>
    <t>CC/PR/NO</t>
  </si>
  <si>
    <t>Autres actifs éligibles (J)</t>
  </si>
  <si>
    <t>Sous-total actifs éligibles I = (A + B + C + D + E + F + G + H + I + J)</t>
  </si>
  <si>
    <t>CREANCES ET COMPTES D'AJUSTEMENT ACTIFS</t>
  </si>
  <si>
    <t>COMPTES FINANCIERS</t>
  </si>
  <si>
    <t>Sous-total actifs autres que les actifs éligibles II</t>
  </si>
  <si>
    <t>TOTAL DE L'ACTIF I + II</t>
  </si>
  <si>
    <t xml:space="preserve">PASSIF </t>
  </si>
  <si>
    <t>CAPITAUX PROPRES</t>
  </si>
  <si>
    <t>Capital (1)</t>
  </si>
  <si>
    <t>Report à nouveau sur revenu net</t>
  </si>
  <si>
    <t>Report à nouveau des plus et moins-values latentes nettes</t>
  </si>
  <si>
    <t>Report à nouveau des plus et moins-values réalisées nettes</t>
  </si>
  <si>
    <t>Résultat net de l'exercice</t>
  </si>
  <si>
    <t>Sous-total capitaux propres I</t>
  </si>
  <si>
    <t>( = montant représentatif de l'actif net )</t>
  </si>
  <si>
    <t>PASSIFS ELIGIBLES</t>
  </si>
  <si>
    <t>Instruments financiers</t>
  </si>
  <si>
    <t>Emprunts</t>
  </si>
  <si>
    <t>Autres passifs éligibles</t>
  </si>
  <si>
    <t>Sous-total passifs éligibles II</t>
  </si>
  <si>
    <t>AUTRES PASSIFS</t>
  </si>
  <si>
    <t>Dettes et comptes d'ajustement passifs</t>
  </si>
  <si>
    <t>Concours bancaires</t>
  </si>
  <si>
    <t>Sous-total autres passifs III</t>
  </si>
  <si>
    <t>TOTAL DU PASSIF : I + II + III</t>
  </si>
  <si>
    <t>(1) capital sous déduction du capital souscrit non appelé et des répartitions d'actifs</t>
  </si>
  <si>
    <t xml:space="preserve">Compte de résultat au </t>
  </si>
  <si>
    <t xml:space="preserve">Changements significatifs : </t>
  </si>
  <si>
    <t>Exercice précédent</t>
  </si>
  <si>
    <t xml:space="preserve">Compte de résultat en </t>
  </si>
  <si>
    <t>REVENUS FINANCIERS NETS</t>
  </si>
  <si>
    <t>PRODUITS SUR OPERATIONS FINANCIERES</t>
  </si>
  <si>
    <t>Produits sur instruments financiers de capital investissement</t>
  </si>
  <si>
    <t>sur actions</t>
  </si>
  <si>
    <t>sur des obligations convertibles en actions</t>
  </si>
  <si>
    <t>sur autres obligations</t>
  </si>
  <si>
    <t>Produits sur instruments du marché monétaire</t>
  </si>
  <si>
    <t>Sur titres de créances négociables</t>
  </si>
  <si>
    <t>Sur autres titres de créances négociés sur un marché réglementé</t>
  </si>
  <si>
    <t>Sur titres de créances non négociés sur un marché réglementé</t>
  </si>
  <si>
    <t>Produit sur les parts d'OPC</t>
  </si>
  <si>
    <t>Produits sur parts d'OPC</t>
  </si>
  <si>
    <t>Produits sur instruments financiers à termes</t>
  </si>
  <si>
    <t>sur opérations d'échange de taux</t>
  </si>
  <si>
    <t>sur autres contrats financiers</t>
  </si>
  <si>
    <t>Produits sur opérations temporaires de titres</t>
  </si>
  <si>
    <t>Produits sur opération temporaires de titres</t>
  </si>
  <si>
    <t>Produits sur prêts et créances</t>
  </si>
  <si>
    <t>sur avance en compte courant</t>
  </si>
  <si>
    <t>Produits sur autres actifs et passifs éligibles</t>
  </si>
  <si>
    <t>Sur dépôts</t>
  </si>
  <si>
    <t>Fonds de capital investissement - sur avances en compte-courant</t>
  </si>
  <si>
    <t>Sur autres instruments financiers</t>
  </si>
  <si>
    <t>Autres produits financiers</t>
  </si>
  <si>
    <t>Intérêts comptes bancaires</t>
  </si>
  <si>
    <t>Sous-total produits sur opérations financières</t>
  </si>
  <si>
    <t>CHARGES SUR OPERATIONS FINANCIERES</t>
  </si>
  <si>
    <t>Charges sur instruments finaciers à terme</t>
  </si>
  <si>
    <t>Charges sur emprunts</t>
  </si>
  <si>
    <t>Autres charges financières</t>
  </si>
  <si>
    <t>Sous-total charges sur opérations financières</t>
  </si>
  <si>
    <t>TOTAL REVENUS FINANCIERS NETS (A)</t>
  </si>
  <si>
    <t>AUTRES PRODUITS</t>
  </si>
  <si>
    <t>Rétrocession des frais de gestion au bénéfice de l'OPC</t>
  </si>
  <si>
    <t>Autres Produits</t>
  </si>
  <si>
    <t>Versements en garantie de capital ou de performance</t>
  </si>
  <si>
    <t>Produits sur autres actifs éligibles</t>
  </si>
  <si>
    <t>AUTRES CHARGES</t>
  </si>
  <si>
    <t>Frais de gestion de la société de gestion</t>
  </si>
  <si>
    <t>Frais CAC</t>
  </si>
  <si>
    <t>Frais délégation comptable</t>
  </si>
  <si>
    <t>Frais dépositaire</t>
  </si>
  <si>
    <t>Autres assurances</t>
  </si>
  <si>
    <t>Rémunération General Partner</t>
  </si>
  <si>
    <t xml:space="preserve">Frais d'audit et d'étude </t>
  </si>
  <si>
    <t>Impôts, taxes et versements assimilés</t>
  </si>
  <si>
    <t>Droit d'enregistrement</t>
  </si>
  <si>
    <t>Rétrocessions de frais de gestion</t>
  </si>
  <si>
    <t>Sous-total autres produits et autres charges (B)</t>
  </si>
  <si>
    <t>REVENUS NETS AVANT COMPTE DE REGULARISATION C = A - B</t>
  </si>
  <si>
    <t>Régularisation des revenus nets de l'exercice (D)</t>
  </si>
  <si>
    <t>REVENUS NETS I = C + D</t>
  </si>
  <si>
    <t>PLUS OU MOINS-VALUES REALISEES NETTES AVANT COMPTE DE REGULARISATION</t>
  </si>
  <si>
    <t>Plus-values et Moins-values réalisées</t>
  </si>
  <si>
    <t>Dont Moins-values réalisées:</t>
  </si>
  <si>
    <t>sur obligations convertibles en actions</t>
  </si>
  <si>
    <t>sur titres de créances</t>
  </si>
  <si>
    <t>sur parts d’OPC</t>
  </si>
  <si>
    <t>sur opérations temporaires de titres financiers</t>
  </si>
  <si>
    <t>sur instruments financiers à terme (y compris change à terme)</t>
  </si>
  <si>
    <t>sur dépôts et autres instruments financiers</t>
  </si>
  <si>
    <t>sur autres actifs éligibles</t>
  </si>
  <si>
    <t>sur comptes financiers</t>
  </si>
  <si>
    <t>sur instruments financiers vendus à découvert</t>
  </si>
  <si>
    <t>sur les passifs de financement émis par l’OFS</t>
  </si>
  <si>
    <t>Dont Plus-values réalisées:</t>
  </si>
  <si>
    <t>Différences de change réalisées sur comptes financiers</t>
  </si>
  <si>
    <t>Indemnités d’assurances perçues</t>
  </si>
  <si>
    <t>Versements reçus en garantie de performance</t>
  </si>
  <si>
    <t>Frais de transactions externes</t>
  </si>
  <si>
    <t>Frais de transactions externes - Frais d'achat de titres</t>
  </si>
  <si>
    <t>Frais de transactions externes - Frais de vente de titres</t>
  </si>
  <si>
    <t>Frais de cession</t>
  </si>
  <si>
    <t>Frais de recherche</t>
  </si>
  <si>
    <t>Sous-total plus ou moins-values réalisées nettes avant compte de régularisation (E)</t>
  </si>
  <si>
    <t>Régularisation des plus ou moins-values réalisées nettes (F)</t>
  </si>
  <si>
    <t>PLUS OU MOINS-VALUES REALISEES NETTES II = E + F</t>
  </si>
  <si>
    <t>PLUS OU MOINS-VALUES LATENTES NETTES AVANT COMPTE DE REGULARISATION</t>
  </si>
  <si>
    <t>Plus et moins-values latentes en début d’exercice</t>
  </si>
  <si>
    <t>'</t>
  </si>
  <si>
    <t>Variation des plus ou moins-values latentes, yc les écarts de change sur les actifs éligibles</t>
  </si>
  <si>
    <t>Ecarts de change sur les comptes financiers en devises</t>
  </si>
  <si>
    <t>Plus ou moins-values latentes nettes en fin d’exercice </t>
  </si>
  <si>
    <t>Variation des différences d’estimation sur les passifs de financement émis par l’OFS</t>
  </si>
  <si>
    <t>Versements à recevoir en garantie de performance</t>
  </si>
  <si>
    <t>Versements à recevoir en coupons courus latents</t>
  </si>
  <si>
    <t>Quote-part des plus-values latentes à restituer aux assureurs</t>
  </si>
  <si>
    <t>Sous-total plus ou moins-values latentes nettes avant compte de régularisation (G)</t>
  </si>
  <si>
    <t>Régularisation des plus ou moins-values latentes nettes (H)</t>
  </si>
  <si>
    <t>PLUS OU MOINS-VALUES LATENTES NETTES III = G + H</t>
  </si>
  <si>
    <t>ACOMPTES</t>
  </si>
  <si>
    <t>sur revenus nets versés au titre de l'exercice (J)</t>
  </si>
  <si>
    <t>sur plus ou moins-values réalisées nettes versés au titre de l'exercice (K)</t>
  </si>
  <si>
    <t>sur plus ou moins-values latentes nettes versés au titre de l'exercice (L)</t>
  </si>
  <si>
    <t>TOTAL ACOMPTES VERSES AU TITRE DE L'EXERCICE IV = J + K + L</t>
  </si>
  <si>
    <t>IMPOTS SUR LE RESULTAT V</t>
  </si>
  <si>
    <t>RESULTAT NET</t>
  </si>
  <si>
    <t>( I + II + III - IV - V )</t>
  </si>
  <si>
    <t>contrôle</t>
  </si>
  <si>
    <t>(1) Selon l'affectation fiscale des revenus reçus des OPC</t>
  </si>
  <si>
    <t>à renseigner pour les comptes annuels</t>
  </si>
  <si>
    <t xml:space="preserve">1er semestre </t>
  </si>
  <si>
    <t>Validé 08/01/2026 EB</t>
  </si>
  <si>
    <t xml:space="preserve">2e semestre </t>
  </si>
  <si>
    <t xml:space="preserve">Actif net moyen </t>
  </si>
  <si>
    <t xml:space="preserve">Frais de gestion </t>
  </si>
  <si>
    <t xml:space="preserve">Taux de frais de gestion </t>
  </si>
  <si>
    <t>Evolution des capitaux propres</t>
  </si>
  <si>
    <t>Reconstitution de la ligne des capitaux propres depuis l'origine</t>
  </si>
  <si>
    <t>Variation</t>
  </si>
  <si>
    <t>Texte de référence : article 433-2</t>
  </si>
  <si>
    <t>Apports</t>
  </si>
  <si>
    <t>+</t>
  </si>
  <si>
    <t>Reconstitution de la ligne "capitaux propres" des fonds de capital investissement et autres véhicules</t>
  </si>
  <si>
    <t>Capital souscrit</t>
  </si>
  <si>
    <t>Capital non appelé</t>
  </si>
  <si>
    <t>-</t>
  </si>
  <si>
    <t>Emission de passifs de financement (ne concerne que les OFS)</t>
  </si>
  <si>
    <t>Résultat de gestion</t>
  </si>
  <si>
    <t>+/-</t>
  </si>
  <si>
    <t>Revenus nets de l'exercice</t>
  </si>
  <si>
    <t>Cumul des revenus nets des exercices précédents</t>
  </si>
  <si>
    <t>#10150010</t>
  </si>
  <si>
    <t>Plus ou moins-values réalisées nettes</t>
  </si>
  <si>
    <t>Plus ou moins-values réalisées nettes de l'exercice</t>
  </si>
  <si>
    <t>Cumul plus ou moins-values réalisées nettes des exercices précédents</t>
  </si>
  <si>
    <t>#10150020</t>
  </si>
  <si>
    <t>Variation des plus ou moins-values latentes nettes</t>
  </si>
  <si>
    <t>Plus ou moins-values latentes nettes de l'exercice</t>
  </si>
  <si>
    <t>Cumul plus ou moins-values latentes nettes des exercices précédents</t>
  </si>
  <si>
    <t>#10150030</t>
  </si>
  <si>
    <t>Boni de liquidation</t>
  </si>
  <si>
    <t>Rachats et répartitions d'actifs</t>
  </si>
  <si>
    <t>Rachats</t>
  </si>
  <si>
    <t>Répartition d'actifs</t>
  </si>
  <si>
    <t>Distribution de résultats nets</t>
  </si>
  <si>
    <t>Distribution de plus et moins-values réalisées nettes</t>
  </si>
  <si>
    <t>Remboursement de passifs de financement (ne concerne que les OFS)</t>
  </si>
  <si>
    <t>Autres éléments</t>
  </si>
  <si>
    <t>Comptabilité</t>
  </si>
  <si>
    <t>Capitaux propres en fin d'exercice</t>
  </si>
  <si>
    <t>=</t>
  </si>
  <si>
    <t>Autres éléments :</t>
  </si>
  <si>
    <t>Frais de constitution</t>
  </si>
  <si>
    <t>Prime de souscription</t>
  </si>
  <si>
    <t xml:space="preserve">Provision sur dépréciation </t>
  </si>
  <si>
    <t>Contrôle de l'actif net selon l'inventaire :</t>
  </si>
  <si>
    <t>Conclusion après valorisation</t>
  </si>
  <si>
    <t>Conclusion avant valorisation</t>
  </si>
  <si>
    <t>Rapprochement bancaire au</t>
  </si>
  <si>
    <t xml:space="preserve">ING Bank </t>
  </si>
  <si>
    <t>OPCVM</t>
  </si>
  <si>
    <t>DEPOSITAIRE</t>
  </si>
  <si>
    <t>Montant</t>
  </si>
  <si>
    <t>Date de régularisation</t>
  </si>
  <si>
    <t xml:space="preserve">Solde comptable </t>
  </si>
  <si>
    <t xml:space="preserve">Solde dépositaire </t>
  </si>
  <si>
    <t>Ecart pour contrôle</t>
  </si>
  <si>
    <t>CACEIS Compte principal 00500313674</t>
  </si>
  <si>
    <t>FPCI</t>
  </si>
  <si>
    <t>Solde comptable au</t>
  </si>
  <si>
    <t>Solde bancaire au</t>
  </si>
  <si>
    <t>Intérêts sur emprunt tiré</t>
  </si>
  <si>
    <t>Intérêts sur emprunt non tiré</t>
  </si>
  <si>
    <t>TOTAL DISPONIBILITES</t>
  </si>
  <si>
    <t>Rapprochement Portefeuille/ balance :</t>
  </si>
  <si>
    <t>Classe</t>
  </si>
  <si>
    <t>Comptes débiteurs/créditeurs</t>
  </si>
  <si>
    <t>Soldes balance</t>
  </si>
  <si>
    <t>Solde net</t>
  </si>
  <si>
    <t>Différence</t>
  </si>
  <si>
    <t>Classe 1</t>
  </si>
  <si>
    <t>comptes débiteurs</t>
  </si>
  <si>
    <t>comptes créditeurs</t>
  </si>
  <si>
    <t>Sous total</t>
  </si>
  <si>
    <t>Classe 6</t>
  </si>
  <si>
    <t>Classe 7</t>
  </si>
  <si>
    <t>Ecart = valorisation</t>
  </si>
  <si>
    <t>Classe 3</t>
  </si>
  <si>
    <t>Contrôle efficient avant comptabilisation différence d'estimation</t>
  </si>
  <si>
    <t>Diff. Estim. Inventaire</t>
  </si>
  <si>
    <t>Classe 4</t>
  </si>
  <si>
    <t xml:space="preserve">Intérêts Emprunt </t>
  </si>
  <si>
    <t>Classe 5</t>
  </si>
  <si>
    <t>CONTRÔLE</t>
  </si>
  <si>
    <t>BALANCE GENERALE</t>
  </si>
  <si>
    <t>Période du 01/03/2025 au 31/12/2025</t>
  </si>
  <si>
    <t>Exporté le14/01/2026</t>
  </si>
  <si>
    <t>Débit</t>
  </si>
  <si>
    <t>Crédit</t>
  </si>
  <si>
    <t>Solde Débit</t>
  </si>
  <si>
    <t>Solde Crédit</t>
  </si>
  <si>
    <t>10111000</t>
  </si>
  <si>
    <t>Capital souscrit part A1</t>
  </si>
  <si>
    <t>10113000</t>
  </si>
  <si>
    <t>Capital souscrit parts commandité</t>
  </si>
  <si>
    <t>10191100</t>
  </si>
  <si>
    <t>Parts A1 souscrite non appelées</t>
  </si>
  <si>
    <t>10191300</t>
  </si>
  <si>
    <t>Parts Commandité souscrites non appelées</t>
  </si>
  <si>
    <t>10211000</t>
  </si>
  <si>
    <t>Emission parts A1</t>
  </si>
  <si>
    <t>10213000</t>
  </si>
  <si>
    <t>Emission parts GP</t>
  </si>
  <si>
    <t>13000000</t>
  </si>
  <si>
    <t>Frais de constitut°, de fusion, d'apport</t>
  </si>
  <si>
    <t>30260030</t>
  </si>
  <si>
    <t>31260010</t>
  </si>
  <si>
    <t>31260030</t>
  </si>
  <si>
    <t>31260031</t>
  </si>
  <si>
    <t>31460010</t>
  </si>
  <si>
    <t>31460020</t>
  </si>
  <si>
    <t>31800000</t>
  </si>
  <si>
    <t>37000000</t>
  </si>
  <si>
    <t>Diff d’estim s/actions</t>
  </si>
  <si>
    <t>37100000</t>
  </si>
  <si>
    <t>Diff d’estimation s/obligations</t>
  </si>
  <si>
    <t>39000000</t>
  </si>
  <si>
    <t>39800000</t>
  </si>
  <si>
    <t>46210000</t>
  </si>
  <si>
    <t>46310000</t>
  </si>
  <si>
    <t>Commissaire aux comptes</t>
  </si>
  <si>
    <t>46320000</t>
  </si>
  <si>
    <t>Expert comptable</t>
  </si>
  <si>
    <t>46330000</t>
  </si>
  <si>
    <t>46340100</t>
  </si>
  <si>
    <t>Rémunération Associé commandité</t>
  </si>
  <si>
    <t>51100150</t>
  </si>
  <si>
    <t>Caceis (fonds général)</t>
  </si>
  <si>
    <t>60500000</t>
  </si>
  <si>
    <t>Charges s/emprunts</t>
  </si>
  <si>
    <t>61113000</t>
  </si>
  <si>
    <t>61121000</t>
  </si>
  <si>
    <t>Frais de commissaire aux comptes</t>
  </si>
  <si>
    <t>61122000</t>
  </si>
  <si>
    <t>Frais d'expert comptable</t>
  </si>
  <si>
    <t>61123000</t>
  </si>
  <si>
    <t>Frais de dépositaire</t>
  </si>
  <si>
    <t>61510000</t>
  </si>
  <si>
    <t>70000000</t>
  </si>
  <si>
    <t>Produits s/actions</t>
  </si>
  <si>
    <t>70110000</t>
  </si>
  <si>
    <t>Produits s/OCA Intérêts courus</t>
  </si>
  <si>
    <t>70120000</t>
  </si>
  <si>
    <t>Produits s/autres obligations</t>
  </si>
  <si>
    <t>70830000</t>
  </si>
  <si>
    <t>Intérêts créditeurs</t>
  </si>
  <si>
    <t>75500000</t>
  </si>
  <si>
    <t>PVMV latentes nettes s/actions</t>
  </si>
  <si>
    <t>75512000</t>
  </si>
  <si>
    <t>PVMV latentes nettes s/OCA</t>
  </si>
  <si>
    <t>10111000 Capital souscrit part A1</t>
  </si>
  <si>
    <t>OD --&gt; E</t>
  </si>
  <si>
    <t>CSOUS</t>
  </si>
  <si>
    <t>EMZ 11-A SLP - Engagements Parts A1</t>
  </si>
  <si>
    <t>CSOUS1</t>
  </si>
  <si>
    <t>EMZ 11 Executive - Engagements Parts A1</t>
  </si>
  <si>
    <t>CSOUS2</t>
  </si>
  <si>
    <t>EMZ 11SLP - Engagements Parts A1</t>
  </si>
  <si>
    <t>Engement complémentaire EMZ 11</t>
  </si>
  <si>
    <t>Souscription complémentaire sept 2025</t>
  </si>
  <si>
    <t>Souscription complémentaire decembre 2025</t>
  </si>
  <si>
    <t>Total  10111000</t>
  </si>
  <si>
    <t>10113000 Capital souscrit parts commandité</t>
  </si>
  <si>
    <t>CSOUS3</t>
  </si>
  <si>
    <t>AMZ 11 GP - E,gagements Parts Commandité</t>
  </si>
  <si>
    <t>Total  10113000</t>
  </si>
  <si>
    <t>10191100 Parts A1 souscrite non appelées</t>
  </si>
  <si>
    <t>Total  10191100</t>
  </si>
  <si>
    <t>10191300 Parts Commandité souscrites non appelées</t>
  </si>
  <si>
    <t>Total  10191300</t>
  </si>
  <si>
    <t>10211000 Emission parts A1</t>
  </si>
  <si>
    <t>BQCaceis --&gt; E</t>
  </si>
  <si>
    <t>EMZ 11 SLP - Appel capital social</t>
  </si>
  <si>
    <t>ADFn°1</t>
  </si>
  <si>
    <t>EMZ 11 SLP - ADF n°1 - Parts A</t>
  </si>
  <si>
    <t>EMZ 11 A SLP  - ADF n°1 - Parts A</t>
  </si>
  <si>
    <t>EMZ 11 Executive Fund SLP  - ADF n°1 - Parts A</t>
  </si>
  <si>
    <t>ADFn°1bis</t>
  </si>
  <si>
    <t>Total  10211000</t>
  </si>
  <si>
    <t>10213000 Emission parts GP</t>
  </si>
  <si>
    <t>EMZ GP - Appel capital social</t>
  </si>
  <si>
    <t>EMZ 11 GP  - ADF n°1 - Parts de commandité</t>
  </si>
  <si>
    <t>Total  10213000</t>
  </si>
  <si>
    <t>13000000 Frais de constitut°, de fusion, d'apport</t>
  </si>
  <si>
    <t xml:space="preserve">Extourne Frais de constitution </t>
  </si>
  <si>
    <t>Total  13000000</t>
  </si>
  <si>
    <t>30260030 Koenig solutions - ADP B</t>
  </si>
  <si>
    <t>KOENING</t>
  </si>
  <si>
    <t>Koenig - ADP B - Sous 87 200 titres (nominal)</t>
  </si>
  <si>
    <t>Koenig - ADP B - Sous 87 200 titres (Prime emissi)</t>
  </si>
  <si>
    <t>Total  30260030</t>
  </si>
  <si>
    <t>31260010 Inflexion BIDCO - OCADP 2</t>
  </si>
  <si>
    <t>SOUSBIDCO</t>
  </si>
  <si>
    <t>Inflexion BIDCO - souscription OCADP2</t>
  </si>
  <si>
    <t>Total  31260010</t>
  </si>
  <si>
    <t>31260030 Koenig solutions - OC (SHL)</t>
  </si>
  <si>
    <t>Koenig - OC (SHL)-Sous 26 160 000 titres (nominal)</t>
  </si>
  <si>
    <t>Koenig - OC (SHL)- (Prime emiss)</t>
  </si>
  <si>
    <t>Total  31260030</t>
  </si>
  <si>
    <t>31260031 Koenig solutions - OC (Warehouse II - ADP A)</t>
  </si>
  <si>
    <t xml:space="preserve">Koenig - OC (Warehouse II - ADP A) sousc 500 000 </t>
  </si>
  <si>
    <t>Total  31260031</t>
  </si>
  <si>
    <t>31460010 Inflexion BIDCO - ORADP 1</t>
  </si>
  <si>
    <t>Inflexion BIDCO - souscription ORADP1</t>
  </si>
  <si>
    <t>Total  31460010</t>
  </si>
  <si>
    <t>31460020 SNIC Technologies Group - OBSA</t>
  </si>
  <si>
    <t>SNIC</t>
  </si>
  <si>
    <t>SNIC - OBSA - sous 63 750 000 titres</t>
  </si>
  <si>
    <t>Total  31460020</t>
  </si>
  <si>
    <t>31800000 Intérêts courus sur OC</t>
  </si>
  <si>
    <t>ODSITU --&gt; E</t>
  </si>
  <si>
    <t>Valorisation au 30/09/25</t>
  </si>
  <si>
    <t>EXT Valorisation au 30/09/25</t>
  </si>
  <si>
    <t>Valorisation au 31/12/25</t>
  </si>
  <si>
    <t>Total  31800000</t>
  </si>
  <si>
    <t>37000000 Diff d’estim s/actions</t>
  </si>
  <si>
    <t>Total  37000000</t>
  </si>
  <si>
    <t>37100000 Diff d’estimation s/obligations</t>
  </si>
  <si>
    <t>Total  37100000</t>
  </si>
  <si>
    <t>39000000 Emprunts</t>
  </si>
  <si>
    <t>Emprunt1</t>
  </si>
  <si>
    <t>Emprunt - Tirage 1</t>
  </si>
  <si>
    <t>Emprunt3</t>
  </si>
  <si>
    <t>Emprunt - Tirage 3</t>
  </si>
  <si>
    <t>Emprunt5et6</t>
  </si>
  <si>
    <t>Emprunt Tirage n°5</t>
  </si>
  <si>
    <t>Emprunt Tirage n°6</t>
  </si>
  <si>
    <t>Rembloan1et3</t>
  </si>
  <si>
    <t>Loan 1 - Remboursement nominal</t>
  </si>
  <si>
    <t>Loan 3 - Remboursement nominal</t>
  </si>
  <si>
    <t>Total  39000000</t>
  </si>
  <si>
    <t>39800000 Intérêts sur emprunts</t>
  </si>
  <si>
    <t>Total  39800000</t>
  </si>
  <si>
    <t>46210000 Créditeurs divers</t>
  </si>
  <si>
    <t>A</t>
  </si>
  <si>
    <t>Break1et3</t>
  </si>
  <si>
    <t>Total  46210000</t>
  </si>
  <si>
    <t>46310000 Commissaire aux comptes</t>
  </si>
  <si>
    <t>Deloitte - Provision 3T2025</t>
  </si>
  <si>
    <t>Deloitte - Regul provision 3T2025</t>
  </si>
  <si>
    <t>Deloitte - Provision 4T2025</t>
  </si>
  <si>
    <t>Total  46310000</t>
  </si>
  <si>
    <t>46320000 Expert comptable</t>
  </si>
  <si>
    <t>Aplitec - Provision Frais démarrage</t>
  </si>
  <si>
    <t>Aplitec - Provision 3T2025</t>
  </si>
  <si>
    <t>Aplitec - Provision AIFM 3T2025</t>
  </si>
  <si>
    <t>Aplitec - Provision BDF 3T2025</t>
  </si>
  <si>
    <t>Aplitec - Provision GECO 3T2025</t>
  </si>
  <si>
    <t xml:space="preserve">Aplitec - Provision frais de démarrage AIFM </t>
  </si>
  <si>
    <t>AM90000633</t>
  </si>
  <si>
    <t>Aplitec - Extourne provision 3T2025</t>
  </si>
  <si>
    <t>Aplitec - Provision 4T2025</t>
  </si>
  <si>
    <t>Aplitec - Provision AIFM 4T2025</t>
  </si>
  <si>
    <t>Aplitec - Provision BDF 4T2025</t>
  </si>
  <si>
    <t>Total  46320000</t>
  </si>
  <si>
    <t>46330000 Dépositaire</t>
  </si>
  <si>
    <t>Caceis provision 3T2025</t>
  </si>
  <si>
    <t>Caceis provision 4T2025</t>
  </si>
  <si>
    <t>Total  46330000</t>
  </si>
  <si>
    <t>46340100 Rémunération Associé commandité</t>
  </si>
  <si>
    <t>Total  46340100</t>
  </si>
  <si>
    <t>51100150 Caceis (fonds général)</t>
  </si>
  <si>
    <t>Inflexion BIDCO - souscription ORADP1 - OCADP2</t>
  </si>
  <si>
    <t>Intérêts créditeurs 07/2025</t>
  </si>
  <si>
    <t xml:space="preserve">Koening solutions Holdco </t>
  </si>
  <si>
    <t>Koenig souscription ADP B + OC</t>
  </si>
  <si>
    <t>Intérêts créditeurs 11/2025</t>
  </si>
  <si>
    <t>Aplitec - Facture 3T2025</t>
  </si>
  <si>
    <t>Remboursement Loan 1 et 3</t>
  </si>
  <si>
    <t>Intérêts créditeurs 12/2025</t>
  </si>
  <si>
    <t>Total  51100150</t>
  </si>
  <si>
    <t>60500000 Charges s/emprunts</t>
  </si>
  <si>
    <t>Loan 1 - Remboursement intérêts</t>
  </si>
  <si>
    <t>Loan 3 - Remboursement intérêts</t>
  </si>
  <si>
    <t>Total  60500000</t>
  </si>
  <si>
    <t>61113000 Rémunération General Partner</t>
  </si>
  <si>
    <t>Total  61113000</t>
  </si>
  <si>
    <t>61121000 Frais de commissaire aux comptes</t>
  </si>
  <si>
    <t>Total  61121000</t>
  </si>
  <si>
    <t>61122000 Frais d'expert comptable</t>
  </si>
  <si>
    <t>Total  61122000</t>
  </si>
  <si>
    <t>61123000 Frais de dépositaire</t>
  </si>
  <si>
    <t>Total  61123000</t>
  </si>
  <si>
    <t>61510000 Frais bancaires</t>
  </si>
  <si>
    <t>Bolzen - Break costs loan n°1</t>
  </si>
  <si>
    <t>Bolzen - Break costs loan n°3</t>
  </si>
  <si>
    <t>Total  61510000</t>
  </si>
  <si>
    <t>70000000 Produits s/actions</t>
  </si>
  <si>
    <t>Total  70000000</t>
  </si>
  <si>
    <t>70110000 Produits s/OCA Intérêts courus</t>
  </si>
  <si>
    <t>Total  70110000</t>
  </si>
  <si>
    <t>70120000 Produits s/autres obligations</t>
  </si>
  <si>
    <t>Total  70120000</t>
  </si>
  <si>
    <t>70830000 Intérêts créditeurs</t>
  </si>
  <si>
    <t>Total  70830000</t>
  </si>
  <si>
    <t>75500000 PVMV latentes nettes s/actions</t>
  </si>
  <si>
    <t>Total  75500000</t>
  </si>
  <si>
    <t>75512000 PVMV latentes nettes s/OCA</t>
  </si>
  <si>
    <t>Total  75512000</t>
  </si>
  <si>
    <t xml:space="preserve">Total  général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</si>
</sst>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44" formatCode="_-* #,##0.00\ &quot;€&quot;_-;\-* #,##0.00\ &quot;€&quot;_-;_-* &quot;-&quot;??\ &quot;€&quot;_-;_-@_-"/>
    <numFmt numFmtId="43" formatCode="_-* #,##0.00_-;\-* #,##0.00_-;_-* &quot;-&quot;??_-;_-@_-"/>
    <numFmt numFmtId="164" formatCode="_-* #,##0.00\ _€_-;\-* #,##0.00\ _€_-;_-* &quot;-&quot;??\ _€_-;_-@_-"/>
    <numFmt numFmtId="165" formatCode="_-* #,##0\ _F_-;\-* #,##0\ _F_-;_-* &quot;-&quot;\ _F_-;_-@_-"/>
    <numFmt numFmtId="166" formatCode="_-* #,##0.00\ _F_-;\-* #,##0.00\ _F_-;_-* &quot;-&quot;??\ _F_-;_-@_-"/>
    <numFmt numFmtId="167" formatCode="_-* #,##0\ _F_-;\-* #,##0\ _F_-;_-* &quot;-&quot;??\ _F_-;_-@_-"/>
    <numFmt numFmtId="168" formatCode="_-* #,##0.00\ _F_-;\-* #,##0.00\ _F_-;_-* &quot;-&quot;\ _F_-;_-@_-"/>
    <numFmt numFmtId="169" formatCode="_-* #,##0.000000\ _F_-;\-* #,##0.000000\ _F_-;_-* &quot;-&quot;??\ _F_-;_-@_-"/>
    <numFmt numFmtId="170" formatCode="#,##0.00\ _F"/>
    <numFmt numFmtId="171" formatCode="dd/mm/yy;@"/>
    <numFmt numFmtId="172" formatCode="#,##0.0000"/>
    <numFmt numFmtId="173" formatCode="_-* #,##0.00\ [$€-1]_-;\-* #,##0.00\ [$€-1]_-;_-* &quot;-&quot;??\ [$€-1]_-"/>
    <numFmt numFmtId="174" formatCode="#,##0.0"/>
    <numFmt numFmtId="175" formatCode="_-* #,##0.00\ _F_-;\-* #,##0.00\ _F_-;_-* \-??\ _F_-;_-@_-"/>
    <numFmt numFmtId="176" formatCode="0.0000"/>
    <numFmt numFmtId="177" formatCode="_-* #,##0.000\ _F_-;\-* #,##0.000\ _F_-;_-* &quot;-&quot;??\ _F_-;_-@_-"/>
    <numFmt numFmtId="178" formatCode="0.000%"/>
    <numFmt numFmtId="179" formatCode="_-* #,##0.00\ _ \D\B_-;\-* #,##0.00\ _F_-;_-* &quot;-&quot;??\ _F_-;_-@_-"/>
    <numFmt numFmtId="180" formatCode="0.0"/>
    <numFmt numFmtId="181" formatCode="0.00000"/>
    <numFmt numFmtId="182" formatCode="_-* #,##0.0000\ _F_-;\-* #,##0.0000\ _F_-;_-* &quot;-&quot;??\ _F_-;_-@_-"/>
    <numFmt numFmtId="183" formatCode="[$-40C]d\-mmm\-yy;@"/>
    <numFmt numFmtId="184" formatCode="_-* #,##0.0000000\ _€_-;\-* #,##0.0000000\ _€_-;_-* &quot;-&quot;??\ _€_-;_-@_-"/>
    <numFmt numFmtId="185" formatCode="0.0000000"/>
    <numFmt numFmtId="186" formatCode="#,##0.00000000"/>
    <numFmt numFmtId="187" formatCode="0.0000%"/>
    <numFmt numFmtId="188" formatCode="#,##0.00_ ;\-#,##0.00\ "/>
    <numFmt numFmtId="189" formatCode="_-* #,##0.0000\ _€_-;\-* #,##0.0000\ _€_-;_-* &quot;-&quot;??\ _€_-;_-@_-"/>
    <numFmt numFmtId="190" formatCode="_-* #,##0.00000\ _F_-;\-* #,##0.00000\ _F_-;_-* &quot;-&quot;??\ _F_-;_-@_-"/>
    <numFmt numFmtId="191" formatCode="_-* #,##0.0\ _€_-;\-* #,##0.0\ _€_-;_-* &quot;-&quot;?\ _€_-;_-@_-"/>
    <numFmt numFmtId="192" formatCode="0.0000000000000000"/>
    <numFmt numFmtId="193" formatCode="_-* #,##0.0000000000000000\ _F_-;\-* #,##0.0000000000000000\ _F_-;_-* \-??\ _F_-;_-@_-"/>
    <numFmt numFmtId="194" formatCode="#,##0.00\ &quot;€&quot;"/>
    <numFmt numFmtId="195" formatCode="_-* #,##0.0000\ _€_-;\-* #,##0.0000\ _€_-;_-* &quot;-&quot;????\ _€_-;_-@_-"/>
    <numFmt numFmtId="196" formatCode="0.0000000000"/>
  </numFmts>
  <fonts count="8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b/>
      <sz val="10"/>
      <name val="Times New Roman"/>
      <family val="1"/>
    </font>
    <font>
      <sz val="11"/>
      <name val="Arial"/>
      <family val="2"/>
    </font>
    <font>
      <b/>
      <sz val="11"/>
      <name val="Arial"/>
      <family val="2"/>
    </font>
    <font>
      <sz val="8"/>
      <name val="Arial"/>
      <family val="2"/>
    </font>
    <font>
      <u/>
      <sz val="10"/>
      <color indexed="12"/>
      <name val="Arial"/>
      <family val="2"/>
    </font>
    <font>
      <b/>
      <sz val="8"/>
      <name val="Arial"/>
      <family val="2"/>
    </font>
    <font>
      <b/>
      <sz val="12"/>
      <name val="Arial"/>
      <family val="2"/>
    </font>
    <font>
      <sz val="11"/>
      <color indexed="9"/>
      <name val="Calibri"/>
      <family val="2"/>
    </font>
    <font>
      <sz val="11"/>
      <color indexed="8"/>
      <name val="Calibri"/>
      <family val="2"/>
    </font>
    <font>
      <sz val="11"/>
      <color indexed="10"/>
      <name val="Calibri"/>
      <family val="2"/>
    </font>
    <font>
      <b/>
      <sz val="11"/>
      <color indexed="53"/>
      <name val="Calibri"/>
      <family val="2"/>
    </font>
    <font>
      <sz val="11"/>
      <color indexed="53"/>
      <name val="Calibri"/>
      <family val="2"/>
    </font>
    <font>
      <b/>
      <sz val="11"/>
      <color indexed="8"/>
      <name val="Calibri"/>
      <family val="2"/>
    </font>
    <font>
      <sz val="11"/>
      <color indexed="62"/>
      <name val="Calibri"/>
      <family val="2"/>
    </font>
    <font>
      <sz val="11"/>
      <color indexed="16"/>
      <name val="Calibri"/>
      <family val="2"/>
    </font>
    <font>
      <sz val="11"/>
      <color indexed="60"/>
      <name val="Calibri"/>
      <family val="2"/>
    </font>
    <font>
      <sz val="11"/>
      <color indexed="17"/>
      <name val="Calibri"/>
      <family val="2"/>
    </font>
    <font>
      <b/>
      <sz val="11"/>
      <color indexed="63"/>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b/>
      <sz val="11"/>
      <color indexed="9"/>
      <name val="Calibri"/>
      <family val="2"/>
    </font>
    <font>
      <sz val="9"/>
      <name val="Arial"/>
      <family val="2"/>
    </font>
    <font>
      <u/>
      <sz val="10"/>
      <name val="Arial"/>
      <family val="2"/>
    </font>
    <font>
      <sz val="10"/>
      <color indexed="10"/>
      <name val="Arial"/>
      <family val="2"/>
    </font>
    <font>
      <sz val="10"/>
      <color indexed="10"/>
      <name val="Arial"/>
      <family val="2"/>
    </font>
    <font>
      <b/>
      <u/>
      <sz val="16"/>
      <name val="Arial"/>
      <family val="2"/>
    </font>
    <font>
      <i/>
      <sz val="10"/>
      <name val="Arial"/>
      <family val="2"/>
    </font>
    <font>
      <i/>
      <sz val="8"/>
      <name val="Arial"/>
      <family val="2"/>
    </font>
    <font>
      <b/>
      <sz val="10"/>
      <color indexed="10"/>
      <name val="Arial"/>
      <family val="2"/>
    </font>
    <font>
      <b/>
      <u/>
      <sz val="10"/>
      <name val="Arial"/>
      <family val="2"/>
    </font>
    <font>
      <sz val="10"/>
      <name val="Arial"/>
      <family val="2"/>
    </font>
    <font>
      <b/>
      <sz val="16"/>
      <name val="Arial"/>
      <family val="2"/>
    </font>
    <font>
      <b/>
      <sz val="14"/>
      <name val="Arial"/>
      <family val="2"/>
    </font>
    <font>
      <sz val="12"/>
      <name val="Arial"/>
      <family val="2"/>
    </font>
    <font>
      <b/>
      <sz val="9"/>
      <name val="Arial"/>
      <family val="2"/>
    </font>
    <font>
      <sz val="9"/>
      <color indexed="81"/>
      <name val="Tahoma"/>
      <family val="2"/>
    </font>
    <font>
      <b/>
      <sz val="9"/>
      <color indexed="81"/>
      <name val="Tahoma"/>
      <family val="2"/>
    </font>
    <font>
      <b/>
      <i/>
      <sz val="10"/>
      <name val="Arial"/>
      <family val="2"/>
    </font>
    <font>
      <sz val="10"/>
      <color rgb="FFFF0000"/>
      <name val="Arial"/>
      <family val="2"/>
    </font>
    <font>
      <u/>
      <sz val="11"/>
      <color indexed="12"/>
      <name val="Calibri"/>
      <family val="2"/>
    </font>
    <font>
      <sz val="10"/>
      <name val="Calibri"/>
      <family val="2"/>
    </font>
    <font>
      <b/>
      <sz val="10"/>
      <color indexed="12"/>
      <name val="Times New Roman"/>
      <family val="1"/>
    </font>
    <font>
      <sz val="10"/>
      <name val="Times New Roman"/>
      <family val="1"/>
    </font>
    <font>
      <sz val="10"/>
      <color theme="1"/>
      <name val="Arial"/>
      <family val="2"/>
    </font>
    <font>
      <b/>
      <sz val="10"/>
      <color rgb="FFFF0000"/>
      <name val="Arial"/>
      <family val="2"/>
    </font>
    <font>
      <sz val="10"/>
      <color rgb="FFFF0000"/>
      <name val="Calibri"/>
      <family val="2"/>
      <scheme val="minor"/>
    </font>
    <font>
      <b/>
      <sz val="12"/>
      <name val="Arial"/>
      <family val="2"/>
    </font>
    <font>
      <sz val="8"/>
      <name val="Arial"/>
      <family val="2"/>
    </font>
    <font>
      <b/>
      <sz val="11"/>
      <name val="Arial"/>
      <family val="2"/>
    </font>
    <font>
      <b/>
      <sz val="10"/>
      <name val="Arial"/>
      <family val="2"/>
    </font>
    <font>
      <sz val="10"/>
      <name val="Arial"/>
      <family val="2"/>
    </font>
    <font>
      <sz val="11"/>
      <name val="Arial"/>
      <family val="2"/>
    </font>
    <font>
      <b/>
      <sz val="8"/>
      <color rgb="FFFF0000"/>
      <name val="Arial"/>
      <family val="2"/>
    </font>
    <font>
      <b/>
      <sz val="11"/>
      <color rgb="FFFF0000"/>
      <name val="Arial"/>
      <family val="2"/>
    </font>
    <font>
      <b/>
      <sz val="10"/>
      <color rgb="FFC00000"/>
      <name val="Arial"/>
      <family val="2"/>
    </font>
    <font>
      <sz val="10"/>
      <name val="Arial"/>
      <family val="2"/>
    </font>
    <font>
      <sz val="10"/>
      <name val="Calibri"/>
      <family val="2"/>
      <scheme val="minor"/>
    </font>
    <font>
      <sz val="8"/>
      <color rgb="FFFF0000"/>
      <name val="Arial"/>
      <family val="2"/>
    </font>
    <font>
      <b/>
      <sz val="10"/>
      <color indexed="10"/>
      <name val="Times New Roman"/>
      <family val="1"/>
    </font>
    <font>
      <b/>
      <sz val="10"/>
      <name val="Calibri"/>
      <family val="2"/>
      <scheme val="minor"/>
    </font>
    <font>
      <b/>
      <sz val="10"/>
      <name val="Calibri"/>
      <family val="2"/>
    </font>
    <font>
      <b/>
      <sz val="10"/>
      <color theme="1"/>
      <name val="Arial"/>
      <family val="2"/>
    </font>
    <font>
      <sz val="10"/>
      <color rgb="FF000000"/>
      <name val="Arial"/>
      <family val="2"/>
    </font>
    <font>
      <b/>
      <sz val="10"/>
      <color rgb="FF000000"/>
      <name val="Arial"/>
      <family val="2"/>
    </font>
    <font>
      <b/>
      <sz val="9"/>
      <color rgb="FFFF0000"/>
      <name val="Arial"/>
      <family val="2"/>
    </font>
    <font>
      <b/>
      <sz val="9"/>
      <color indexed="10"/>
      <name val="Arial"/>
      <family val="2"/>
    </font>
    <font>
      <sz val="18"/>
      <name val="Times New Roman"/>
      <family val="1"/>
    </font>
    <font>
      <sz val="8"/>
      <name val="Arial"/>
      <family val="2"/>
    </font>
    <font>
      <i/>
      <sz val="10"/>
      <color rgb="FFFF0000"/>
      <name val="Arial"/>
      <family val="2"/>
    </font>
    <font>
      <sz val="11"/>
      <color rgb="FF000000"/>
      <name val="Aptos Narrow"/>
      <family val="2"/>
    </font>
  </fonts>
  <fills count="46">
    <fill>
      <patternFill patternType="none"/>
    </fill>
    <fill>
      <patternFill patternType="gray125"/>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5"/>
        <bgColor indexed="45"/>
      </patternFill>
    </fill>
    <fill>
      <patternFill patternType="solid">
        <fgColor indexed="43"/>
        <bgColor indexed="43"/>
      </patternFill>
    </fill>
    <fill>
      <patternFill patternType="solid">
        <fgColor indexed="13"/>
        <bgColor indexed="64"/>
      </patternFill>
    </fill>
    <fill>
      <patternFill patternType="solid">
        <fgColor indexed="9"/>
        <bgColor indexed="64"/>
      </patternFill>
    </fill>
    <fill>
      <patternFill patternType="solid">
        <fgColor indexed="42"/>
        <bgColor indexed="64"/>
      </patternFill>
    </fill>
    <fill>
      <patternFill patternType="solid">
        <fgColor indexed="43"/>
        <bgColor indexed="64"/>
      </patternFill>
    </fill>
    <fill>
      <patternFill patternType="solid">
        <fgColor indexed="13"/>
        <bgColor indexed="26"/>
      </patternFill>
    </fill>
    <fill>
      <patternFill patternType="solid">
        <fgColor indexed="26"/>
        <bgColor indexed="64"/>
      </patternFill>
    </fill>
    <fill>
      <patternFill patternType="solid">
        <fgColor indexed="44"/>
        <bgColor indexed="64"/>
      </patternFill>
    </fill>
    <fill>
      <patternFill patternType="solid">
        <fgColor rgb="FFFFFF00"/>
        <bgColor indexed="64"/>
      </patternFill>
    </fill>
    <fill>
      <patternFill patternType="solid">
        <fgColor rgb="FFFFFF99"/>
        <bgColor indexed="64"/>
      </patternFill>
    </fill>
    <fill>
      <patternFill patternType="solid">
        <fgColor rgb="FFFFFFCC"/>
        <bgColor indexed="64"/>
      </patternFill>
    </fill>
    <fill>
      <patternFill patternType="solid">
        <fgColor theme="0"/>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theme="6" tint="0.79998168889431442"/>
        <bgColor indexed="64"/>
      </patternFill>
    </fill>
    <fill>
      <patternFill patternType="solid">
        <fgColor rgb="FF4BACC6"/>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8" tint="-0.499984740745262"/>
        <bgColor indexed="64"/>
      </patternFill>
    </fill>
    <fill>
      <patternFill patternType="solid">
        <fgColor rgb="FFC6E6A2"/>
        <bgColor indexed="64"/>
      </patternFill>
    </fill>
  </fills>
  <borders count="114">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style="thin">
        <color indexed="54"/>
      </top>
      <bottom style="double">
        <color indexed="54"/>
      </bottom>
      <diagonal/>
    </border>
    <border>
      <left style="double">
        <color indexed="63"/>
      </left>
      <right style="double">
        <color indexed="63"/>
      </right>
      <top style="double">
        <color indexed="63"/>
      </top>
      <bottom style="double">
        <color indexed="63"/>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
      <left/>
      <right style="thin">
        <color auto="1"/>
      </right>
      <top/>
      <bottom/>
      <diagonal/>
    </border>
    <border>
      <left/>
      <right style="thin">
        <color indexed="8"/>
      </right>
      <top/>
      <bottom/>
      <diagonal/>
    </border>
    <border>
      <left/>
      <right style="thin">
        <color indexed="64"/>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
      <left style="thin">
        <color rgb="FF000000"/>
      </left>
      <right/>
      <top/>
      <bottom/>
      <diagonal/>
    </border>
    <border>
      <left style="thin">
        <color rgb="FF000000"/>
      </left>
      <right style="thin">
        <color indexed="64"/>
      </right>
      <top/>
      <bottom/>
      <diagonal/>
    </border>
    <border>
      <left/>
      <right style="thin">
        <color rgb="FF000000"/>
      </right>
      <top/>
      <bottom/>
      <diagonal/>
    </border>
    <border>
      <left style="thin">
        <color indexed="64"/>
      </left>
      <right style="thin">
        <color rgb="FF000000"/>
      </right>
      <top/>
      <bottom/>
      <diagonal/>
    </border>
    <border>
      <left style="medium">
        <color indexed="64"/>
      </left>
      <right style="thin">
        <color indexed="64"/>
      </right>
      <top/>
      <bottom style="thin">
        <color indexed="64"/>
      </bottom>
      <diagonal/>
    </border>
    <border>
      <left style="thin">
        <color auto="1"/>
      </left>
      <right style="medium">
        <color indexed="64"/>
      </right>
      <top/>
      <bottom style="thin">
        <color auto="1"/>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style="thin">
        <color indexed="64"/>
      </bottom>
      <diagonal/>
    </border>
    <border>
      <left style="thin">
        <color auto="1"/>
      </left>
      <right/>
      <top/>
      <bottom style="thin">
        <color indexed="64"/>
      </bottom>
      <diagonal/>
    </border>
    <border>
      <left/>
      <right style="thin">
        <color indexed="8"/>
      </right>
      <top/>
      <bottom style="thin">
        <color indexed="64"/>
      </bottom>
      <diagonal/>
    </border>
    <border>
      <left style="thin">
        <color indexed="8"/>
      </left>
      <right/>
      <top/>
      <bottom style="thin">
        <color indexed="8"/>
      </bottom>
      <diagonal/>
    </border>
    <border>
      <left/>
      <right/>
      <top/>
      <bottom style="thin">
        <color indexed="8"/>
      </bottom>
      <diagonal/>
    </border>
    <border>
      <left style="thin">
        <color indexed="8"/>
      </left>
      <right style="thin">
        <color indexed="8"/>
      </right>
      <top/>
      <bottom style="thin">
        <color indexed="8"/>
      </bottom>
      <diagonal/>
    </border>
    <border>
      <left/>
      <right style="thin">
        <color indexed="64"/>
      </right>
      <top style="thin">
        <color auto="1"/>
      </top>
      <bottom/>
      <diagonal/>
    </border>
    <border>
      <left style="thin">
        <color indexed="64"/>
      </left>
      <right/>
      <top/>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style="thin">
        <color rgb="FF000000"/>
      </right>
      <top style="thin">
        <color auto="1"/>
      </top>
      <bottom style="thin">
        <color auto="1"/>
      </bottom>
      <diagonal/>
    </border>
    <border>
      <left style="thin">
        <color indexed="64"/>
      </left>
      <right style="thin">
        <color indexed="8"/>
      </right>
      <top style="thin">
        <color indexed="64"/>
      </top>
      <bottom style="thin">
        <color indexed="64"/>
      </bottom>
      <diagonal/>
    </border>
    <border>
      <left style="thin">
        <color rgb="FF000000"/>
      </left>
      <right/>
      <top/>
      <bottom style="thin">
        <color rgb="FF000000"/>
      </bottom>
      <diagonal/>
    </border>
    <border>
      <left style="thin">
        <color indexed="64"/>
      </left>
      <right style="thin">
        <color indexed="64"/>
      </right>
      <top/>
      <bottom style="thin">
        <color indexed="8"/>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bottom/>
      <diagonal/>
    </border>
    <border>
      <left style="thin">
        <color indexed="64"/>
      </left>
      <right/>
      <top/>
      <bottom/>
      <diagonal/>
    </border>
    <border>
      <left style="thin">
        <color indexed="8"/>
      </left>
      <right style="thin">
        <color indexed="64"/>
      </right>
      <top/>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indexed="8"/>
      </left>
      <right/>
      <top/>
      <bottom/>
      <diagonal/>
    </border>
    <border>
      <left style="thin">
        <color indexed="64"/>
      </left>
      <right style="thin">
        <color indexed="8"/>
      </right>
      <top/>
      <bottom/>
      <diagonal/>
    </border>
    <border>
      <left style="thin">
        <color indexed="8"/>
      </left>
      <right style="thin">
        <color indexed="8"/>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style="thin">
        <color indexed="8"/>
      </left>
      <right/>
      <top style="thin">
        <color indexed="8"/>
      </top>
      <bottom style="thin">
        <color indexed="8"/>
      </bottom>
      <diagonal/>
    </border>
    <border>
      <left style="thin">
        <color indexed="8"/>
      </left>
      <right style="thin">
        <color indexed="8"/>
      </right>
      <top style="thin">
        <color auto="1"/>
      </top>
      <bottom style="thin">
        <color indexed="8"/>
      </bottom>
      <diagonal/>
    </border>
    <border>
      <left style="thin">
        <color indexed="64"/>
      </left>
      <right style="thin">
        <color indexed="64"/>
      </right>
      <top style="thin">
        <color indexed="8"/>
      </top>
      <bottom style="thin">
        <color indexed="64"/>
      </bottom>
      <diagonal/>
    </border>
    <border>
      <left/>
      <right/>
      <top style="thin">
        <color indexed="64"/>
      </top>
      <bottom/>
      <diagonal/>
    </border>
    <border>
      <left/>
      <right style="thin">
        <color indexed="64"/>
      </right>
      <top style="thin">
        <color auto="1"/>
      </top>
      <bottom/>
      <diagonal/>
    </border>
    <border>
      <left style="medium">
        <color indexed="64"/>
      </left>
      <right style="thin">
        <color indexed="64"/>
      </right>
      <top style="thin">
        <color auto="1"/>
      </top>
      <bottom/>
      <diagonal/>
    </border>
    <border>
      <left style="thin">
        <color indexed="64"/>
      </left>
      <right style="medium">
        <color indexed="64"/>
      </right>
      <top style="thin">
        <color indexed="64"/>
      </top>
      <bottom/>
      <diagonal/>
    </border>
    <border>
      <left style="thin">
        <color indexed="8"/>
      </left>
      <right style="thin">
        <color indexed="8"/>
      </right>
      <top style="thin">
        <color indexed="8"/>
      </top>
      <bottom style="thin">
        <color indexed="8"/>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8"/>
      </right>
      <top style="thin">
        <color indexed="64"/>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bottom/>
      <diagonal/>
    </border>
  </borders>
  <cellStyleXfs count="149">
    <xf numFmtId="0" fontId="0" fillId="0" borderId="0"/>
    <xf numFmtId="0" fontId="22" fillId="2"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2" fillId="4" borderId="0" applyNumberFormat="0" applyBorder="0" applyAlignment="0" applyProtection="0"/>
    <xf numFmtId="0" fontId="22" fillId="5"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2" fillId="8" borderId="0" applyNumberFormat="0" applyBorder="0" applyAlignment="0" applyProtection="0"/>
    <xf numFmtId="0" fontId="22" fillId="8" borderId="0" applyNumberFormat="0" applyBorder="0" applyAlignment="0" applyProtection="0"/>
    <xf numFmtId="0" fontId="23" fillId="6" borderId="0" applyNumberFormat="0" applyBorder="0" applyAlignment="0" applyProtection="0"/>
    <xf numFmtId="0" fontId="23" fillId="9" borderId="0" applyNumberFormat="0" applyBorder="0" applyAlignment="0" applyProtection="0"/>
    <xf numFmtId="0" fontId="22" fillId="7" borderId="0" applyNumberFormat="0" applyBorder="0" applyAlignment="0" applyProtection="0"/>
    <xf numFmtId="0" fontId="22" fillId="2" borderId="0" applyNumberFormat="0" applyBorder="0" applyAlignment="0" applyProtection="0"/>
    <xf numFmtId="0" fontId="23" fillId="3" borderId="0" applyNumberFormat="0" applyBorder="0" applyAlignment="0" applyProtection="0"/>
    <xf numFmtId="0" fontId="23" fillId="7" borderId="0" applyNumberFormat="0" applyBorder="0" applyAlignment="0" applyProtection="0"/>
    <xf numFmtId="0" fontId="22" fillId="7" borderId="0" applyNumberFormat="0" applyBorder="0" applyAlignment="0" applyProtection="0"/>
    <xf numFmtId="0" fontId="22" fillId="10" borderId="0" applyNumberFormat="0" applyBorder="0" applyAlignment="0" applyProtection="0"/>
    <xf numFmtId="0" fontId="23" fillId="11" borderId="0" applyNumberFormat="0" applyBorder="0" applyAlignment="0" applyProtection="0"/>
    <xf numFmtId="0" fontId="23" fillId="3" borderId="0" applyNumberFormat="0" applyBorder="0" applyAlignment="0" applyProtection="0"/>
    <xf numFmtId="0" fontId="22" fillId="4" borderId="0" applyNumberFormat="0" applyBorder="0" applyAlignment="0" applyProtection="0"/>
    <xf numFmtId="0" fontId="22" fillId="12" borderId="0" applyNumberFormat="0" applyBorder="0" applyAlignment="0" applyProtection="0"/>
    <xf numFmtId="0" fontId="23" fillId="6" borderId="0" applyNumberFormat="0" applyBorder="0" applyAlignment="0" applyProtection="0"/>
    <xf numFmtId="0" fontId="23" fillId="13" borderId="0" applyNumberFormat="0" applyBorder="0" applyAlignment="0" applyProtection="0"/>
    <xf numFmtId="0" fontId="22" fillId="13" borderId="0" applyNumberFormat="0" applyBorder="0" applyAlignment="0" applyProtection="0"/>
    <xf numFmtId="0" fontId="24" fillId="0" borderId="0" applyNumberFormat="0" applyFill="0" applyBorder="0" applyAlignment="0" applyProtection="0"/>
    <xf numFmtId="0" fontId="25" fillId="14" borderId="1" applyNumberFormat="0" applyAlignment="0" applyProtection="0"/>
    <xf numFmtId="0" fontId="26" fillId="0" borderId="2" applyNumberFormat="0" applyFill="0" applyAlignment="0" applyProtection="0"/>
    <xf numFmtId="0" fontId="12" fillId="6" borderId="3" applyNumberFormat="0" applyFont="0" applyAlignment="0" applyProtection="0"/>
    <xf numFmtId="0" fontId="27" fillId="15"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8" fillId="13" borderId="1" applyNumberFormat="0" applyAlignment="0" applyProtection="0"/>
    <xf numFmtId="173" fontId="12" fillId="0" borderId="0" applyFont="0" applyFill="0" applyBorder="0" applyAlignment="0" applyProtection="0"/>
    <xf numFmtId="0" fontId="29" fillId="18" borderId="0" applyNumberFormat="0" applyBorder="0" applyAlignment="0" applyProtection="0"/>
    <xf numFmtId="0" fontId="19" fillId="0" borderId="0" applyNumberFormat="0" applyFill="0" applyBorder="0" applyAlignment="0" applyProtection="0">
      <alignment vertical="top"/>
      <protection locked="0"/>
    </xf>
    <xf numFmtId="166" fontId="12"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70" fontId="47"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75" fontId="12" fillId="0" borderId="0" applyFill="0" applyBorder="0" applyAlignment="0" applyProtection="0"/>
    <xf numFmtId="175" fontId="12" fillId="0" borderId="0" applyFill="0" applyBorder="0" applyAlignment="0" applyProtection="0"/>
    <xf numFmtId="166" fontId="12" fillId="0" borderId="0" applyFont="0" applyFill="0" applyBorder="0" applyAlignment="0" applyProtection="0"/>
    <xf numFmtId="0" fontId="30" fillId="19" borderId="0" applyNumberFormat="0" applyBorder="0" applyAlignment="0" applyProtection="0"/>
    <xf numFmtId="0" fontId="14" fillId="0" borderId="0"/>
    <xf numFmtId="0" fontId="14" fillId="0" borderId="0"/>
    <xf numFmtId="9" fontId="12" fillId="0" borderId="0" applyFont="0" applyFill="0" applyBorder="0" applyAlignment="0" applyProtection="0"/>
    <xf numFmtId="9" fontId="14" fillId="0" borderId="0" applyFont="0" applyFill="0" applyBorder="0" applyAlignment="0" applyProtection="0"/>
    <xf numFmtId="9" fontId="12" fillId="0" borderId="0" applyFill="0" applyBorder="0" applyAlignment="0" applyProtection="0"/>
    <xf numFmtId="0" fontId="31" fillId="9" borderId="0" applyNumberFormat="0" applyBorder="0" applyAlignment="0" applyProtection="0"/>
    <xf numFmtId="0" fontId="32" fillId="14" borderId="4" applyNumberFormat="0" applyAlignment="0" applyProtection="0"/>
    <xf numFmtId="0" fontId="33" fillId="0" borderId="0" applyNumberFormat="0" applyFill="0" applyBorder="0" applyAlignment="0" applyProtection="0"/>
    <xf numFmtId="0" fontId="34" fillId="0" borderId="5" applyNumberFormat="0" applyFill="0" applyAlignment="0" applyProtection="0"/>
    <xf numFmtId="0" fontId="35" fillId="0" borderId="6" applyNumberFormat="0" applyFill="0" applyAlignment="0" applyProtection="0"/>
    <xf numFmtId="0" fontId="36" fillId="0" borderId="7" applyNumberFormat="0" applyFill="0" applyAlignment="0" applyProtection="0"/>
    <xf numFmtId="0" fontId="36" fillId="0" borderId="0" applyNumberFormat="0" applyFill="0" applyBorder="0" applyAlignment="0" applyProtection="0"/>
    <xf numFmtId="0" fontId="27" fillId="0" borderId="8" applyNumberFormat="0" applyFill="0" applyAlignment="0" applyProtection="0"/>
    <xf numFmtId="0" fontId="37" fillId="8" borderId="9" applyNumberFormat="0" applyAlignment="0" applyProtection="0"/>
    <xf numFmtId="0" fontId="23" fillId="0" borderId="0"/>
    <xf numFmtId="0" fontId="23" fillId="6" borderId="3" applyNumberFormat="0" applyFont="0" applyAlignment="0" applyProtection="0"/>
    <xf numFmtId="0" fontId="56" fillId="0" borderId="0" applyNumberFormat="0" applyFill="0" applyBorder="0" applyAlignment="0" applyProtection="0">
      <alignment vertical="top"/>
      <protection locked="0"/>
    </xf>
    <xf numFmtId="164" fontId="23" fillId="0" borderId="0" applyFont="0" applyFill="0" applyBorder="0" applyAlignment="0" applyProtection="0"/>
    <xf numFmtId="0" fontId="12" fillId="0" borderId="0"/>
    <xf numFmtId="0" fontId="12" fillId="0" borderId="0"/>
    <xf numFmtId="173" fontId="12" fillId="0" borderId="0"/>
    <xf numFmtId="9" fontId="12" fillId="0" borderId="0" applyFont="0" applyFill="0" applyBorder="0" applyAlignment="0" applyProtection="0"/>
    <xf numFmtId="173" fontId="12" fillId="0" borderId="0"/>
    <xf numFmtId="0" fontId="11" fillId="0" borderId="0"/>
    <xf numFmtId="9" fontId="10" fillId="0" borderId="0" applyFont="0" applyFill="0" applyBorder="0" applyAlignment="0" applyProtection="0"/>
    <xf numFmtId="0" fontId="10" fillId="0" borderId="0"/>
    <xf numFmtId="9" fontId="72" fillId="0" borderId="0" applyFont="0" applyFill="0" applyBorder="0" applyAlignment="0" applyProtection="0"/>
    <xf numFmtId="166" fontId="12" fillId="0" borderId="0" applyFont="0" applyFill="0" applyBorder="0" applyAlignment="0" applyProtection="0"/>
    <xf numFmtId="0" fontId="12" fillId="0" borderId="0"/>
    <xf numFmtId="0" fontId="12" fillId="0" borderId="0"/>
    <xf numFmtId="9" fontId="12" fillId="0" borderId="0" applyFill="0" applyBorder="0" applyAlignment="0" applyProtection="0"/>
    <xf numFmtId="166" fontId="12" fillId="0" borderId="0" applyFont="0" applyFill="0" applyBorder="0" applyAlignment="0" applyProtection="0"/>
    <xf numFmtId="0" fontId="9" fillId="0" borderId="0"/>
    <xf numFmtId="9" fontId="12" fillId="0" borderId="0" applyFont="0" applyFill="0" applyBorder="0" applyAlignment="0" applyProtection="0"/>
    <xf numFmtId="175" fontId="12" fillId="0" borderId="0" applyFill="0" applyBorder="0" applyAlignment="0" applyProtection="0"/>
    <xf numFmtId="183" fontId="12" fillId="0" borderId="0"/>
    <xf numFmtId="0" fontId="12" fillId="0" borderId="0"/>
    <xf numFmtId="0" fontId="12" fillId="0" borderId="0"/>
    <xf numFmtId="0" fontId="27" fillId="0" borderId="38" applyNumberFormat="0" applyFill="0" applyAlignment="0" applyProtection="0"/>
    <xf numFmtId="0" fontId="32" fillId="14" borderId="37" applyNumberFormat="0" applyAlignment="0" applyProtection="0"/>
    <xf numFmtId="0" fontId="25" fillId="14" borderId="31" applyNumberFormat="0" applyAlignment="0" applyProtection="0"/>
    <xf numFmtId="0" fontId="12" fillId="6" borderId="32" applyNumberFormat="0" applyFont="0" applyAlignment="0" applyProtection="0"/>
    <xf numFmtId="0" fontId="28" fillId="13" borderId="35" applyNumberFormat="0" applyAlignment="0" applyProtection="0"/>
    <xf numFmtId="0" fontId="28" fillId="13" borderId="31" applyNumberFormat="0" applyAlignment="0" applyProtection="0"/>
    <xf numFmtId="0" fontId="12" fillId="6" borderId="36" applyNumberFormat="0" applyFont="0" applyAlignment="0" applyProtection="0"/>
    <xf numFmtId="166" fontId="12" fillId="0" borderId="0" applyFont="0" applyFill="0" applyBorder="0" applyAlignment="0" applyProtection="0"/>
    <xf numFmtId="170"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0" fontId="12" fillId="0" borderId="0"/>
    <xf numFmtId="9" fontId="12" fillId="0" borderId="0" applyFont="0" applyFill="0" applyBorder="0" applyAlignment="0" applyProtection="0"/>
    <xf numFmtId="0" fontId="32" fillId="14" borderId="33" applyNumberFormat="0" applyAlignment="0" applyProtection="0"/>
    <xf numFmtId="0" fontId="27" fillId="0" borderId="34" applyNumberFormat="0" applyFill="0" applyAlignment="0" applyProtection="0"/>
    <xf numFmtId="0" fontId="23" fillId="6" borderId="32" applyNumberFormat="0" applyFont="0" applyAlignment="0" applyProtection="0"/>
    <xf numFmtId="0" fontId="25" fillId="14" borderId="35" applyNumberFormat="0" applyAlignment="0" applyProtection="0"/>
    <xf numFmtId="0" fontId="8" fillId="0" borderId="0"/>
    <xf numFmtId="9" fontId="8" fillId="0" borderId="0" applyFont="0" applyFill="0" applyBorder="0" applyAlignment="0" applyProtection="0"/>
    <xf numFmtId="0" fontId="8" fillId="0" borderId="0"/>
    <xf numFmtId="9" fontId="12" fillId="0" borderId="0" applyFont="0" applyFill="0" applyBorder="0" applyAlignment="0" applyProtection="0"/>
    <xf numFmtId="44" fontId="12" fillId="0" borderId="0" applyFont="0" applyFill="0" applyBorder="0" applyAlignment="0" applyProtection="0"/>
    <xf numFmtId="0" fontId="12" fillId="0" borderId="0"/>
    <xf numFmtId="183" fontId="12" fillId="0" borderId="0"/>
    <xf numFmtId="0" fontId="23" fillId="6" borderId="36" applyNumberFormat="0" applyFont="0" applyAlignment="0" applyProtection="0"/>
    <xf numFmtId="0" fontId="7" fillId="0" borderId="0"/>
    <xf numFmtId="0" fontId="23" fillId="6" borderId="36" applyNumberFormat="0" applyFont="0" applyAlignment="0" applyProtection="0"/>
    <xf numFmtId="0" fontId="6" fillId="0" borderId="0"/>
    <xf numFmtId="0" fontId="6" fillId="0" borderId="0"/>
    <xf numFmtId="0" fontId="12" fillId="0" borderId="0"/>
    <xf numFmtId="0" fontId="25" fillId="14" borderId="42" applyNumberFormat="0" applyAlignment="0" applyProtection="0"/>
    <xf numFmtId="0" fontId="12" fillId="6" borderId="43" applyNumberFormat="0" applyFont="0" applyAlignment="0" applyProtection="0"/>
    <xf numFmtId="0" fontId="28" fillId="13" borderId="42" applyNumberFormat="0" applyAlignment="0" applyProtection="0"/>
    <xf numFmtId="0" fontId="32" fillId="14" borderId="44" applyNumberFormat="0" applyAlignment="0" applyProtection="0"/>
    <xf numFmtId="0" fontId="27" fillId="0" borderId="45" applyNumberFormat="0" applyFill="0" applyAlignment="0" applyProtection="0"/>
    <xf numFmtId="0" fontId="23" fillId="6" borderId="43" applyNumberFormat="0" applyFont="0" applyAlignment="0" applyProtection="0"/>
    <xf numFmtId="0" fontId="5" fillId="0" borderId="0"/>
    <xf numFmtId="9" fontId="5" fillId="0" borderId="0" applyFont="0" applyFill="0" applyBorder="0" applyAlignment="0" applyProtection="0"/>
    <xf numFmtId="0" fontId="5" fillId="0" borderId="0"/>
    <xf numFmtId="0" fontId="5" fillId="0" borderId="0"/>
    <xf numFmtId="0" fontId="25" fillId="14" borderId="35" applyNumberFormat="0" applyAlignment="0" applyProtection="0"/>
    <xf numFmtId="0" fontId="12" fillId="6" borderId="36" applyNumberFormat="0" applyFont="0" applyAlignment="0" applyProtection="0"/>
    <xf numFmtId="0" fontId="28" fillId="13" borderId="35" applyNumberFormat="0" applyAlignment="0" applyProtection="0"/>
    <xf numFmtId="0" fontId="32" fillId="14" borderId="37" applyNumberFormat="0" applyAlignment="0" applyProtection="0"/>
    <xf numFmtId="0" fontId="27" fillId="0" borderId="38" applyNumberFormat="0" applyFill="0" applyAlignment="0" applyProtection="0"/>
    <xf numFmtId="0" fontId="23" fillId="6" borderId="36" applyNumberFormat="0" applyFont="0" applyAlignment="0" applyProtection="0"/>
    <xf numFmtId="0" fontId="5" fillId="0" borderId="0"/>
    <xf numFmtId="9" fontId="5" fillId="0" borderId="0" applyFont="0" applyFill="0" applyBorder="0" applyAlignment="0" applyProtection="0"/>
    <xf numFmtId="0" fontId="5" fillId="0" borderId="0"/>
    <xf numFmtId="44" fontId="12" fillId="0" borderId="0" applyFont="0" applyFill="0" applyBorder="0" applyAlignment="0" applyProtection="0"/>
    <xf numFmtId="0" fontId="12" fillId="0" borderId="0"/>
    <xf numFmtId="166" fontId="12"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166" fontId="12"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0" fontId="2" fillId="0" borderId="0"/>
    <xf numFmtId="0" fontId="12" fillId="0" borderId="0"/>
    <xf numFmtId="0" fontId="1" fillId="0" borderId="0"/>
    <xf numFmtId="43" fontId="1" fillId="0" borderId="0" applyFont="0" applyFill="0" applyBorder="0" applyAlignment="0" applyProtection="0"/>
    <xf numFmtId="0" fontId="12" fillId="0" borderId="0"/>
    <xf numFmtId="183" fontId="12" fillId="0" borderId="0"/>
    <xf numFmtId="166" fontId="12" fillId="0" borderId="0" applyFont="0" applyFill="0" applyBorder="0" applyAlignment="0" applyProtection="0"/>
    <xf numFmtId="0" fontId="12" fillId="0" borderId="0"/>
  </cellStyleXfs>
  <cellXfs count="1484">
    <xf numFmtId="0" fontId="0" fillId="0" borderId="0" xfId="0"/>
    <xf numFmtId="0" fontId="13" fillId="0" borderId="0" xfId="0" applyFont="1"/>
    <xf numFmtId="166" fontId="0" fillId="0" borderId="0" xfId="0" applyNumberFormat="1"/>
    <xf numFmtId="0" fontId="14" fillId="0" borderId="0" xfId="0" applyFont="1"/>
    <xf numFmtId="0" fontId="13" fillId="0" borderId="0" xfId="0" applyFont="1" applyAlignment="1">
      <alignment horizontal="center" vertical="center" wrapText="1"/>
    </xf>
    <xf numFmtId="4" fontId="0" fillId="0" borderId="0" xfId="0" applyNumberFormat="1"/>
    <xf numFmtId="14" fontId="13" fillId="0" borderId="0" xfId="0" applyNumberFormat="1" applyFont="1" applyAlignment="1">
      <alignment horizontal="left"/>
    </xf>
    <xf numFmtId="0" fontId="13" fillId="0" borderId="0" xfId="0" applyFont="1" applyAlignment="1">
      <alignment vertical="center"/>
    </xf>
    <xf numFmtId="0" fontId="0" fillId="0" borderId="0" xfId="0" applyAlignment="1">
      <alignment horizontal="center"/>
    </xf>
    <xf numFmtId="0" fontId="0" fillId="0" borderId="0" xfId="0" applyAlignment="1">
      <alignment horizontal="right"/>
    </xf>
    <xf numFmtId="0" fontId="13" fillId="0" borderId="0" xfId="0" applyFont="1" applyAlignment="1">
      <alignment horizontal="center"/>
    </xf>
    <xf numFmtId="0" fontId="16" fillId="0" borderId="0" xfId="0" applyFont="1" applyAlignment="1">
      <alignment vertical="center"/>
    </xf>
    <xf numFmtId="0" fontId="13" fillId="0" borderId="0" xfId="0" applyFont="1" applyAlignment="1">
      <alignment horizontal="left" vertical="center"/>
    </xf>
    <xf numFmtId="9" fontId="0" fillId="0" borderId="0" xfId="0" applyNumberFormat="1" applyAlignment="1">
      <alignment horizontal="center"/>
    </xf>
    <xf numFmtId="166" fontId="12" fillId="0" borderId="0" xfId="36"/>
    <xf numFmtId="0" fontId="16" fillId="0" borderId="0" xfId="0" applyFont="1"/>
    <xf numFmtId="0" fontId="13" fillId="0" borderId="0" xfId="0" quotePrefix="1" applyFont="1" applyAlignment="1">
      <alignment horizontal="center" vertical="center" wrapText="1"/>
    </xf>
    <xf numFmtId="0" fontId="16" fillId="0" borderId="0" xfId="0" applyFont="1" applyAlignment="1">
      <alignment horizontal="center" vertical="center"/>
    </xf>
    <xf numFmtId="0" fontId="17" fillId="0" borderId="0" xfId="0" applyFont="1" applyAlignment="1">
      <alignment horizontal="center" vertical="center"/>
    </xf>
    <xf numFmtId="0" fontId="17" fillId="0" borderId="0" xfId="0" applyFont="1"/>
    <xf numFmtId="0" fontId="20" fillId="0" borderId="0" xfId="0" applyFont="1" applyAlignment="1">
      <alignment horizontal="center" vertical="center"/>
    </xf>
    <xf numFmtId="0" fontId="20" fillId="0" borderId="0" xfId="0" applyFont="1" applyAlignment="1">
      <alignment vertical="center"/>
    </xf>
    <xf numFmtId="0" fontId="14" fillId="0" borderId="0" xfId="0" applyFont="1" applyAlignment="1">
      <alignment vertical="center"/>
    </xf>
    <xf numFmtId="0" fontId="0" fillId="0" borderId="0" xfId="0" applyAlignment="1">
      <alignment vertical="center"/>
    </xf>
    <xf numFmtId="0" fontId="16" fillId="0" borderId="0" xfId="0" applyFont="1" applyAlignment="1">
      <alignment horizontal="left" vertical="center"/>
    </xf>
    <xf numFmtId="0" fontId="0" fillId="0" borderId="0" xfId="0" applyAlignment="1">
      <alignment horizontal="center" wrapText="1"/>
    </xf>
    <xf numFmtId="0" fontId="13" fillId="0" borderId="0" xfId="0" applyFont="1" applyAlignment="1">
      <alignment horizontal="center" vertical="center"/>
    </xf>
    <xf numFmtId="4" fontId="13" fillId="0" borderId="0" xfId="0" applyNumberFormat="1" applyFont="1" applyAlignment="1">
      <alignment horizontal="center" vertical="center" wrapText="1"/>
    </xf>
    <xf numFmtId="166" fontId="0" fillId="0" borderId="0" xfId="36" applyFont="1"/>
    <xf numFmtId="14" fontId="17" fillId="0" borderId="0" xfId="0" applyNumberFormat="1" applyFont="1" applyAlignment="1">
      <alignment horizontal="center" vertical="center"/>
    </xf>
    <xf numFmtId="3" fontId="0" fillId="0" borderId="0" xfId="0" applyNumberFormat="1"/>
    <xf numFmtId="0" fontId="17" fillId="0" borderId="0" xfId="0" applyFont="1" applyAlignment="1">
      <alignment horizontal="left" vertical="center"/>
    </xf>
    <xf numFmtId="14" fontId="17" fillId="0" borderId="0" xfId="0" applyNumberFormat="1" applyFont="1" applyAlignment="1">
      <alignment horizontal="left" vertical="center"/>
    </xf>
    <xf numFmtId="0" fontId="17" fillId="0" borderId="0" xfId="0" applyFont="1" applyAlignment="1">
      <alignment vertical="center" wrapText="1"/>
    </xf>
    <xf numFmtId="0" fontId="17" fillId="0" borderId="0" xfId="0" applyFont="1" applyAlignment="1">
      <alignment horizontal="center" vertical="center" wrapText="1"/>
    </xf>
    <xf numFmtId="0" fontId="16" fillId="0" borderId="0" xfId="0" applyFont="1" applyAlignment="1">
      <alignment vertical="center" wrapText="1"/>
    </xf>
    <xf numFmtId="14" fontId="16" fillId="0" borderId="0" xfId="0" applyNumberFormat="1" applyFont="1" applyAlignment="1">
      <alignment horizontal="center" vertical="center" wrapText="1"/>
    </xf>
    <xf numFmtId="2" fontId="0" fillId="0" borderId="0" xfId="0" applyNumberFormat="1"/>
    <xf numFmtId="14" fontId="17" fillId="0" borderId="0" xfId="0" applyNumberFormat="1" applyFont="1" applyAlignment="1">
      <alignment horizontal="center"/>
    </xf>
    <xf numFmtId="14" fontId="17" fillId="0" borderId="0" xfId="0" applyNumberFormat="1" applyFont="1" applyAlignment="1">
      <alignment horizontal="left"/>
    </xf>
    <xf numFmtId="0" fontId="17" fillId="0" borderId="0" xfId="0" applyFont="1" applyAlignment="1">
      <alignment horizontal="center"/>
    </xf>
    <xf numFmtId="166" fontId="13" fillId="0" borderId="0" xfId="36" applyFont="1"/>
    <xf numFmtId="0" fontId="0" fillId="0" borderId="0" xfId="0" applyAlignment="1">
      <alignment horizontal="center" vertical="center"/>
    </xf>
    <xf numFmtId="0" fontId="20" fillId="0" borderId="0" xfId="0" applyFont="1" applyAlignment="1">
      <alignment horizontal="left" vertical="center"/>
    </xf>
    <xf numFmtId="175" fontId="16" fillId="0" borderId="0" xfId="42" applyFont="1" applyAlignment="1">
      <alignment horizontal="left" vertical="center"/>
    </xf>
    <xf numFmtId="0" fontId="0" fillId="0" borderId="0" xfId="0" applyAlignment="1">
      <alignment horizontal="center" vertical="center" wrapText="1"/>
    </xf>
    <xf numFmtId="14" fontId="0" fillId="0" borderId="0" xfId="0" applyNumberFormat="1" applyAlignment="1">
      <alignment horizontal="center" vertical="center" wrapText="1"/>
    </xf>
    <xf numFmtId="2" fontId="0" fillId="0" borderId="0" xfId="0" applyNumberFormat="1" applyAlignment="1">
      <alignment horizontal="center"/>
    </xf>
    <xf numFmtId="176" fontId="0" fillId="0" borderId="0" xfId="0" applyNumberFormat="1" applyAlignment="1">
      <alignment horizontal="center"/>
    </xf>
    <xf numFmtId="175" fontId="13" fillId="0" borderId="0" xfId="42" applyFont="1"/>
    <xf numFmtId="2" fontId="13" fillId="0" borderId="0" xfId="0" applyNumberFormat="1" applyFont="1" applyAlignment="1">
      <alignment horizontal="center"/>
    </xf>
    <xf numFmtId="10" fontId="0" fillId="0" borderId="0" xfId="48" applyNumberFormat="1" applyFont="1" applyAlignment="1">
      <alignment horizontal="center"/>
    </xf>
    <xf numFmtId="0" fontId="13" fillId="0" borderId="0" xfId="0" applyFont="1" applyAlignment="1">
      <alignment horizontal="left"/>
    </xf>
    <xf numFmtId="0" fontId="0" fillId="0" borderId="0" xfId="0" applyAlignment="1">
      <alignment horizontal="left"/>
    </xf>
    <xf numFmtId="0" fontId="18" fillId="0" borderId="0" xfId="0" applyFont="1" applyAlignment="1">
      <alignment horizontal="center" vertical="center" wrapText="1"/>
    </xf>
    <xf numFmtId="166" fontId="18" fillId="0" borderId="0" xfId="0" applyNumberFormat="1" applyFont="1" applyAlignment="1">
      <alignment vertical="center"/>
    </xf>
    <xf numFmtId="0" fontId="18" fillId="0" borderId="0" xfId="0" applyFont="1" applyAlignment="1">
      <alignment vertical="center"/>
    </xf>
    <xf numFmtId="0" fontId="13" fillId="0" borderId="0" xfId="0" applyFont="1" applyAlignment="1">
      <alignment horizontal="right"/>
    </xf>
    <xf numFmtId="0" fontId="12" fillId="0" borderId="0" xfId="0" applyFont="1"/>
    <xf numFmtId="0" fontId="40" fillId="0" borderId="0" xfId="0" applyFont="1"/>
    <xf numFmtId="166" fontId="18" fillId="0" borderId="0" xfId="36" applyFont="1" applyAlignment="1">
      <alignment horizontal="center"/>
    </xf>
    <xf numFmtId="0" fontId="41" fillId="0" borderId="0" xfId="0" applyFont="1" applyAlignment="1">
      <alignment vertical="center"/>
    </xf>
    <xf numFmtId="0" fontId="41" fillId="0" borderId="0" xfId="0" applyFont="1"/>
    <xf numFmtId="0" fontId="39" fillId="0" borderId="0" xfId="35" applyFont="1" applyAlignment="1" applyProtection="1"/>
    <xf numFmtId="166" fontId="16" fillId="0" borderId="0" xfId="36" applyFont="1" applyAlignment="1">
      <alignment horizontal="left" vertical="center"/>
    </xf>
    <xf numFmtId="166" fontId="16" fillId="0" borderId="0" xfId="0" applyNumberFormat="1" applyFont="1" applyAlignment="1">
      <alignment horizontal="left" vertical="center"/>
    </xf>
    <xf numFmtId="0" fontId="20" fillId="0" borderId="0" xfId="0" applyFont="1" applyAlignment="1">
      <alignment vertical="center" wrapText="1"/>
    </xf>
    <xf numFmtId="0" fontId="18" fillId="0" borderId="0" xfId="0" applyFont="1" applyAlignment="1">
      <alignment horizontal="center" vertical="center"/>
    </xf>
    <xf numFmtId="165" fontId="18" fillId="0" borderId="0" xfId="36" applyNumberFormat="1" applyFont="1" applyAlignment="1">
      <alignment horizontal="center" vertical="center"/>
    </xf>
    <xf numFmtId="168" fontId="18" fillId="0" borderId="0" xfId="36" applyNumberFormat="1" applyFont="1" applyAlignment="1">
      <alignment horizontal="center" vertical="center"/>
    </xf>
    <xf numFmtId="168" fontId="18" fillId="0" borderId="0" xfId="36" applyNumberFormat="1" applyFont="1" applyAlignment="1">
      <alignment horizontal="left" vertical="center"/>
    </xf>
    <xf numFmtId="166" fontId="18" fillId="0" borderId="0" xfId="36" applyFont="1" applyAlignment="1">
      <alignment horizontal="center" vertical="center"/>
    </xf>
    <xf numFmtId="0" fontId="18" fillId="0" borderId="0" xfId="0" applyFont="1" applyAlignment="1">
      <alignment horizontal="left" vertical="center"/>
    </xf>
    <xf numFmtId="166" fontId="18" fillId="0" borderId="0" xfId="36" applyFont="1" applyAlignment="1">
      <alignment horizontal="left" vertical="center"/>
    </xf>
    <xf numFmtId="166" fontId="18" fillId="0" borderId="0" xfId="0" applyNumberFormat="1" applyFont="1" applyAlignment="1">
      <alignment horizontal="center" vertical="center"/>
    </xf>
    <xf numFmtId="171" fontId="16" fillId="0" borderId="0" xfId="36" applyNumberFormat="1" applyFont="1" applyAlignment="1">
      <alignment horizontal="left" vertical="center"/>
    </xf>
    <xf numFmtId="171" fontId="20" fillId="0" borderId="0" xfId="0" applyNumberFormat="1" applyFont="1" applyAlignment="1">
      <alignment horizontal="center" vertical="center"/>
    </xf>
    <xf numFmtId="171" fontId="18" fillId="0" borderId="0" xfId="0" applyNumberFormat="1" applyFont="1" applyAlignment="1">
      <alignment horizontal="center" vertical="center"/>
    </xf>
    <xf numFmtId="0" fontId="42" fillId="0" borderId="0" xfId="0" applyFont="1"/>
    <xf numFmtId="0" fontId="21" fillId="0" borderId="0" xfId="0" applyFont="1"/>
    <xf numFmtId="3" fontId="0" fillId="0" borderId="0" xfId="0" applyNumberFormat="1" applyAlignment="1">
      <alignment horizontal="center"/>
    </xf>
    <xf numFmtId="3" fontId="43" fillId="0" borderId="0" xfId="0" applyNumberFormat="1" applyFont="1"/>
    <xf numFmtId="174" fontId="0" fillId="0" borderId="0" xfId="0" applyNumberFormat="1"/>
    <xf numFmtId="0" fontId="43" fillId="0" borderId="0" xfId="0" applyFont="1"/>
    <xf numFmtId="3" fontId="44" fillId="0" borderId="0" xfId="0" applyNumberFormat="1" applyFont="1"/>
    <xf numFmtId="0" fontId="43" fillId="0" borderId="0" xfId="0" applyFont="1" applyAlignment="1">
      <alignment horizontal="left"/>
    </xf>
    <xf numFmtId="3" fontId="0" fillId="0" borderId="0" xfId="0" applyNumberFormat="1" applyAlignment="1">
      <alignment horizontal="center" vertical="center" wrapText="1"/>
    </xf>
    <xf numFmtId="166" fontId="0" fillId="0" borderId="0" xfId="36" applyFont="1" applyAlignment="1">
      <alignment horizontal="center" vertical="center"/>
    </xf>
    <xf numFmtId="0" fontId="13" fillId="0" borderId="0" xfId="46" applyFont="1" applyAlignment="1">
      <alignment vertical="center" wrapText="1"/>
    </xf>
    <xf numFmtId="167" fontId="15" fillId="0" borderId="0" xfId="36" applyNumberFormat="1" applyFont="1"/>
    <xf numFmtId="166" fontId="14" fillId="0" borderId="0" xfId="40"/>
    <xf numFmtId="171" fontId="18" fillId="23" borderId="0" xfId="0" applyNumberFormat="1" applyFont="1" applyFill="1" applyAlignment="1">
      <alignment horizontal="center" vertical="center"/>
    </xf>
    <xf numFmtId="164" fontId="0" fillId="0" borderId="0" xfId="0" applyNumberFormat="1"/>
    <xf numFmtId="0" fontId="48" fillId="0" borderId="0" xfId="0" applyFont="1" applyAlignment="1">
      <alignment vertical="center"/>
    </xf>
    <xf numFmtId="0" fontId="17" fillId="0" borderId="0" xfId="0" applyFont="1" applyAlignment="1">
      <alignment vertical="center"/>
    </xf>
    <xf numFmtId="166" fontId="17" fillId="0" borderId="0" xfId="0" applyNumberFormat="1" applyFont="1" applyAlignment="1">
      <alignment horizontal="center" vertical="center"/>
    </xf>
    <xf numFmtId="171" fontId="13" fillId="0" borderId="0" xfId="0" applyNumberFormat="1" applyFont="1" applyAlignment="1">
      <alignment horizontal="center" vertical="center" wrapText="1"/>
    </xf>
    <xf numFmtId="0" fontId="50" fillId="0" borderId="0" xfId="0" applyFont="1"/>
    <xf numFmtId="0" fontId="50" fillId="0" borderId="0" xfId="0" applyFont="1" applyAlignment="1">
      <alignment horizontal="center"/>
    </xf>
    <xf numFmtId="14" fontId="50" fillId="0" borderId="0" xfId="0" applyNumberFormat="1" applyFont="1"/>
    <xf numFmtId="0" fontId="16" fillId="0" borderId="0" xfId="0" applyFont="1" applyAlignment="1">
      <alignment horizontal="left"/>
    </xf>
    <xf numFmtId="0" fontId="13" fillId="0" borderId="0" xfId="46" applyFont="1" applyAlignment="1">
      <alignment vertical="center"/>
    </xf>
    <xf numFmtId="14" fontId="16" fillId="0" borderId="0" xfId="0" applyNumberFormat="1" applyFont="1" applyAlignment="1">
      <alignment horizontal="right" vertical="center"/>
    </xf>
    <xf numFmtId="14" fontId="16" fillId="0" borderId="0" xfId="0" applyNumberFormat="1" applyFont="1" applyAlignment="1">
      <alignment horizontal="center" vertical="center"/>
    </xf>
    <xf numFmtId="2" fontId="45" fillId="0" borderId="0" xfId="36" applyNumberFormat="1" applyFont="1" applyAlignment="1">
      <alignment horizontal="left" vertical="center"/>
    </xf>
    <xf numFmtId="166" fontId="45" fillId="0" borderId="0" xfId="36" applyFont="1" applyAlignment="1">
      <alignment horizontal="left" vertical="center"/>
    </xf>
    <xf numFmtId="14" fontId="13" fillId="0" borderId="0" xfId="0" applyNumberFormat="1" applyFont="1" applyAlignment="1">
      <alignment horizontal="center" vertical="center"/>
    </xf>
    <xf numFmtId="0" fontId="38" fillId="0" borderId="0" xfId="0" applyFont="1" applyAlignment="1">
      <alignment horizontal="left"/>
    </xf>
    <xf numFmtId="0" fontId="17" fillId="0" borderId="12" xfId="0" applyFont="1" applyBorder="1" applyAlignment="1">
      <alignment horizontal="left"/>
    </xf>
    <xf numFmtId="0" fontId="17" fillId="0" borderId="12" xfId="0" applyFont="1" applyBorder="1"/>
    <xf numFmtId="167" fontId="0" fillId="0" borderId="0" xfId="36" applyNumberFormat="1" applyFont="1"/>
    <xf numFmtId="0" fontId="38" fillId="0" borderId="0" xfId="0" applyFont="1" applyAlignment="1">
      <alignment horizontal="center" vertical="center"/>
    </xf>
    <xf numFmtId="0" fontId="17" fillId="0" borderId="12" xfId="0" applyFont="1" applyBorder="1" applyAlignment="1">
      <alignment horizontal="center" vertical="center"/>
    </xf>
    <xf numFmtId="0" fontId="43" fillId="0" borderId="0" xfId="0" applyFont="1" applyAlignment="1">
      <alignment horizontal="center" vertical="center"/>
    </xf>
    <xf numFmtId="0" fontId="14" fillId="0" borderId="0" xfId="46" applyAlignment="1">
      <alignment vertical="center" wrapText="1"/>
    </xf>
    <xf numFmtId="0" fontId="13" fillId="0" borderId="0" xfId="46" applyFont="1" applyAlignment="1">
      <alignment horizontal="center" vertical="center" wrapText="1"/>
    </xf>
    <xf numFmtId="14" fontId="13" fillId="0" borderId="0" xfId="46" applyNumberFormat="1" applyFont="1" applyAlignment="1">
      <alignment horizontal="center" vertical="center" wrapText="1"/>
    </xf>
    <xf numFmtId="166" fontId="17" fillId="0" borderId="0" xfId="36" applyFont="1" applyAlignment="1">
      <alignment vertical="center" wrapText="1"/>
    </xf>
    <xf numFmtId="180" fontId="13" fillId="0" borderId="0" xfId="0" applyNumberFormat="1" applyFont="1" applyAlignment="1">
      <alignment horizontal="center" vertical="center" wrapText="1"/>
    </xf>
    <xf numFmtId="0" fontId="49" fillId="0" borderId="0" xfId="0" applyFont="1" applyAlignment="1">
      <alignment horizontal="left"/>
    </xf>
    <xf numFmtId="166" fontId="17" fillId="0" borderId="0" xfId="36" applyFont="1" applyAlignment="1">
      <alignment vertical="center"/>
    </xf>
    <xf numFmtId="0" fontId="21" fillId="0" borderId="0" xfId="0" applyFont="1" applyAlignment="1">
      <alignment horizontal="center"/>
    </xf>
    <xf numFmtId="0" fontId="21" fillId="0" borderId="0" xfId="0" applyFont="1" applyAlignment="1">
      <alignment horizontal="center" vertical="center"/>
    </xf>
    <xf numFmtId="0" fontId="21" fillId="0" borderId="0" xfId="0" applyFont="1" applyAlignment="1">
      <alignment horizontal="left" vertical="center"/>
    </xf>
    <xf numFmtId="2" fontId="50" fillId="0" borderId="0" xfId="0" applyNumberFormat="1" applyFont="1" applyAlignment="1">
      <alignment horizontal="center"/>
    </xf>
    <xf numFmtId="14" fontId="21" fillId="0" borderId="0" xfId="0" applyNumberFormat="1" applyFont="1" applyAlignment="1">
      <alignment horizontal="center" vertical="center"/>
    </xf>
    <xf numFmtId="166" fontId="45" fillId="0" borderId="0" xfId="36" applyFont="1" applyAlignment="1">
      <alignment horizontal="center"/>
    </xf>
    <xf numFmtId="0" fontId="20" fillId="0" borderId="0" xfId="0" applyFont="1" applyAlignment="1">
      <alignment horizontal="center" vertical="center" wrapText="1"/>
    </xf>
    <xf numFmtId="0" fontId="21" fillId="0" borderId="0" xfId="0" applyFont="1" applyAlignment="1">
      <alignment horizontal="center" vertical="center" wrapText="1"/>
    </xf>
    <xf numFmtId="0" fontId="21" fillId="0" borderId="0" xfId="0" applyFont="1" applyAlignment="1">
      <alignment vertical="center" wrapText="1"/>
    </xf>
    <xf numFmtId="166" fontId="21" fillId="0" borderId="0" xfId="36" applyFont="1" applyAlignment="1">
      <alignment vertical="center" wrapText="1"/>
    </xf>
    <xf numFmtId="14" fontId="21" fillId="0" borderId="0" xfId="0" applyNumberFormat="1" applyFont="1" applyAlignment="1">
      <alignment horizontal="left" vertical="center"/>
    </xf>
    <xf numFmtId="0" fontId="18" fillId="0" borderId="0" xfId="0" applyFont="1" applyAlignment="1">
      <alignment horizontal="center" vertical="center" textRotation="90" wrapText="1"/>
    </xf>
    <xf numFmtId="4" fontId="12" fillId="0" borderId="0" xfId="0" applyNumberFormat="1" applyFont="1" applyAlignment="1">
      <alignment horizontal="right" vertical="center" wrapText="1"/>
    </xf>
    <xf numFmtId="0" fontId="12" fillId="0" borderId="0" xfId="0" applyFont="1" applyAlignment="1">
      <alignment horizontal="left"/>
    </xf>
    <xf numFmtId="14" fontId="57" fillId="23" borderId="0" xfId="0" applyNumberFormat="1" applyFont="1" applyFill="1"/>
    <xf numFmtId="14" fontId="0" fillId="0" borderId="0" xfId="0" applyNumberFormat="1"/>
    <xf numFmtId="0" fontId="12" fillId="0" borderId="0" xfId="0" applyFont="1" applyAlignment="1">
      <alignment horizontal="center" vertical="center"/>
    </xf>
    <xf numFmtId="166" fontId="12" fillId="0" borderId="0" xfId="36" applyAlignment="1">
      <alignment horizontal="center" vertical="center"/>
    </xf>
    <xf numFmtId="166" fontId="12" fillId="0" borderId="0" xfId="0" applyNumberFormat="1" applyFont="1"/>
    <xf numFmtId="0" fontId="12" fillId="0" borderId="0" xfId="0" applyFont="1" applyAlignment="1">
      <alignment horizontal="left" vertical="center"/>
    </xf>
    <xf numFmtId="164" fontId="0" fillId="0" borderId="0" xfId="0" applyNumberFormat="1" applyAlignment="1">
      <alignment vertical="center"/>
    </xf>
    <xf numFmtId="0" fontId="12" fillId="0" borderId="0" xfId="0" applyFont="1" applyAlignment="1">
      <alignment vertical="center"/>
    </xf>
    <xf numFmtId="0" fontId="55" fillId="0" borderId="0" xfId="0" applyFont="1"/>
    <xf numFmtId="166" fontId="0" fillId="0" borderId="0" xfId="36" applyFont="1" applyAlignment="1">
      <alignment horizontal="center"/>
    </xf>
    <xf numFmtId="166" fontId="20" fillId="0" borderId="0" xfId="0" applyNumberFormat="1" applyFont="1" applyAlignment="1">
      <alignment vertical="center"/>
    </xf>
    <xf numFmtId="0" fontId="12" fillId="0" borderId="0" xfId="0" applyFont="1" applyAlignment="1">
      <alignment horizontal="right"/>
    </xf>
    <xf numFmtId="0" fontId="45" fillId="0" borderId="0" xfId="0" applyFont="1" applyAlignment="1">
      <alignment horizontal="center"/>
    </xf>
    <xf numFmtId="182" fontId="0" fillId="0" borderId="0" xfId="0" applyNumberFormat="1" applyAlignment="1">
      <alignment horizontal="center" vertical="center"/>
    </xf>
    <xf numFmtId="166" fontId="0" fillId="0" borderId="0" xfId="0" applyNumberFormat="1" applyAlignment="1">
      <alignment horizontal="center" vertical="center"/>
    </xf>
    <xf numFmtId="9" fontId="12" fillId="23" borderId="0" xfId="36" applyNumberFormat="1" applyFill="1" applyAlignment="1">
      <alignment horizontal="center"/>
    </xf>
    <xf numFmtId="176" fontId="12" fillId="0" borderId="0" xfId="0" applyNumberFormat="1" applyFont="1" applyAlignment="1">
      <alignment horizontal="center"/>
    </xf>
    <xf numFmtId="2" fontId="12" fillId="0" borderId="0" xfId="0" applyNumberFormat="1" applyFont="1" applyAlignment="1">
      <alignment horizontal="center"/>
    </xf>
    <xf numFmtId="14" fontId="18" fillId="0" borderId="0" xfId="0" applyNumberFormat="1" applyFont="1" applyAlignment="1">
      <alignment horizontal="left" vertical="center" wrapText="1"/>
    </xf>
    <xf numFmtId="0" fontId="12" fillId="0" borderId="0" xfId="65"/>
    <xf numFmtId="167" fontId="12" fillId="23" borderId="0" xfId="36" applyNumberFormat="1" applyFill="1" applyAlignment="1">
      <alignment horizontal="center" vertical="center"/>
    </xf>
    <xf numFmtId="166" fontId="12" fillId="0" borderId="0" xfId="36" applyAlignment="1">
      <alignment horizontal="center"/>
    </xf>
    <xf numFmtId="14" fontId="16" fillId="0" borderId="0" xfId="0" applyNumberFormat="1" applyFont="1" applyAlignment="1">
      <alignment horizontal="left" vertical="center"/>
    </xf>
    <xf numFmtId="3" fontId="12" fillId="0" borderId="0" xfId="0" applyNumberFormat="1" applyFont="1"/>
    <xf numFmtId="3" fontId="12" fillId="0" borderId="0" xfId="0" applyNumberFormat="1" applyFont="1" applyAlignment="1">
      <alignment horizontal="center" vertical="center"/>
    </xf>
    <xf numFmtId="164" fontId="12" fillId="0" borderId="0" xfId="0" applyNumberFormat="1" applyFont="1"/>
    <xf numFmtId="11" fontId="20" fillId="0" borderId="0" xfId="0" applyNumberFormat="1" applyFont="1" applyAlignment="1">
      <alignment horizontal="center" vertical="center"/>
    </xf>
    <xf numFmtId="11" fontId="20" fillId="0" borderId="0" xfId="0" applyNumberFormat="1" applyFont="1" applyAlignment="1">
      <alignment vertical="center"/>
    </xf>
    <xf numFmtId="11" fontId="18" fillId="0" borderId="0" xfId="0" applyNumberFormat="1" applyFont="1" applyAlignment="1">
      <alignment vertical="center"/>
    </xf>
    <xf numFmtId="11" fontId="18" fillId="23" borderId="0" xfId="0" applyNumberFormat="1" applyFont="1" applyFill="1" applyAlignment="1">
      <alignment horizontal="center" vertical="center"/>
    </xf>
    <xf numFmtId="166" fontId="18" fillId="23" borderId="0" xfId="36" applyFont="1" applyFill="1" applyAlignment="1">
      <alignment horizontal="center" vertical="center"/>
    </xf>
    <xf numFmtId="166" fontId="18" fillId="0" borderId="0" xfId="36" applyFont="1" applyAlignment="1">
      <alignment vertical="center"/>
    </xf>
    <xf numFmtId="176" fontId="12" fillId="0" borderId="0" xfId="0" applyNumberFormat="1" applyFont="1" applyAlignment="1">
      <alignment horizontal="center" vertical="center" wrapText="1"/>
    </xf>
    <xf numFmtId="0" fontId="61" fillId="0" borderId="0" xfId="0" applyFont="1"/>
    <xf numFmtId="0" fontId="12" fillId="0" borderId="0" xfId="0" applyFont="1" applyAlignment="1">
      <alignment horizontal="center" vertical="center" wrapText="1"/>
    </xf>
    <xf numFmtId="3" fontId="12" fillId="0" borderId="0" xfId="0" applyNumberFormat="1" applyFont="1" applyAlignment="1">
      <alignment horizontal="center"/>
    </xf>
    <xf numFmtId="4" fontId="12" fillId="0" borderId="0" xfId="0" applyNumberFormat="1" applyFont="1"/>
    <xf numFmtId="9" fontId="12" fillId="0" borderId="0" xfId="36" applyNumberFormat="1" applyAlignment="1">
      <alignment horizontal="center"/>
    </xf>
    <xf numFmtId="0" fontId="63" fillId="0" borderId="0" xfId="0" applyFont="1" applyAlignment="1">
      <alignment vertical="center" wrapText="1"/>
    </xf>
    <xf numFmtId="0" fontId="65" fillId="0" borderId="0" xfId="0" applyFont="1" applyAlignment="1">
      <alignment vertical="center" wrapText="1"/>
    </xf>
    <xf numFmtId="0" fontId="65" fillId="0" borderId="0" xfId="0" applyFont="1" applyAlignment="1">
      <alignment vertical="center"/>
    </xf>
    <xf numFmtId="0" fontId="67" fillId="0" borderId="0" xfId="0" applyFont="1" applyAlignment="1">
      <alignment horizontal="center" vertical="center" wrapText="1"/>
    </xf>
    <xf numFmtId="0" fontId="67" fillId="0" borderId="0" xfId="0" applyFont="1" applyAlignment="1">
      <alignment horizontal="center" vertical="center"/>
    </xf>
    <xf numFmtId="0" fontId="68" fillId="0" borderId="0" xfId="0" applyFont="1" applyAlignment="1">
      <alignment horizontal="center" vertical="center"/>
    </xf>
    <xf numFmtId="166" fontId="0" fillId="0" borderId="0" xfId="0" applyNumberFormat="1" applyAlignment="1">
      <alignment horizontal="center"/>
    </xf>
    <xf numFmtId="9" fontId="0" fillId="0" borderId="0" xfId="48" applyFont="1" applyAlignment="1">
      <alignment horizontal="center"/>
    </xf>
    <xf numFmtId="170" fontId="12" fillId="0" borderId="0" xfId="0" applyNumberFormat="1" applyFont="1" applyAlignment="1">
      <alignment vertical="center"/>
    </xf>
    <xf numFmtId="14" fontId="12" fillId="0" borderId="0" xfId="0" applyNumberFormat="1" applyFont="1" applyAlignment="1">
      <alignment horizontal="center" vertical="center"/>
    </xf>
    <xf numFmtId="0" fontId="45" fillId="0" borderId="0" xfId="64" applyFont="1"/>
    <xf numFmtId="16" fontId="62" fillId="0" borderId="0" xfId="0" applyNumberFormat="1" applyFont="1" applyAlignment="1">
      <alignment horizontal="left"/>
    </xf>
    <xf numFmtId="0" fontId="12" fillId="0" borderId="0" xfId="64"/>
    <xf numFmtId="164" fontId="12" fillId="0" borderId="0" xfId="64" applyNumberFormat="1"/>
    <xf numFmtId="179" fontId="13" fillId="0" borderId="0" xfId="41" applyNumberFormat="1" applyFont="1" applyAlignment="1">
      <alignment vertical="center"/>
    </xf>
    <xf numFmtId="0" fontId="58" fillId="0" borderId="0" xfId="65" applyFont="1"/>
    <xf numFmtId="14" fontId="12" fillId="0" borderId="0" xfId="0" applyNumberFormat="1" applyFont="1" applyAlignment="1">
      <alignment horizontal="left"/>
    </xf>
    <xf numFmtId="0" fontId="55" fillId="0" borderId="0" xfId="64" applyFont="1"/>
    <xf numFmtId="164" fontId="13" fillId="0" borderId="0" xfId="0" applyNumberFormat="1" applyFont="1"/>
    <xf numFmtId="49" fontId="13" fillId="0" borderId="0" xfId="64" applyNumberFormat="1" applyFont="1" applyAlignment="1">
      <alignment horizontal="left" vertical="center"/>
    </xf>
    <xf numFmtId="164" fontId="12" fillId="0" borderId="0" xfId="64" applyNumberFormat="1" applyAlignment="1">
      <alignment vertical="center"/>
    </xf>
    <xf numFmtId="0" fontId="57" fillId="0" borderId="0" xfId="0" applyFont="1"/>
    <xf numFmtId="0" fontId="57" fillId="23" borderId="0" xfId="0" applyFont="1" applyFill="1"/>
    <xf numFmtId="166" fontId="12" fillId="0" borderId="0" xfId="36" applyFont="1"/>
    <xf numFmtId="166" fontId="0" fillId="0" borderId="0" xfId="36" applyFont="1" applyFill="1"/>
    <xf numFmtId="4" fontId="0" fillId="0" borderId="0" xfId="0" applyNumberFormat="1" applyAlignment="1">
      <alignment horizontal="center" vertical="center" wrapText="1"/>
    </xf>
    <xf numFmtId="166" fontId="0" fillId="0" borderId="23" xfId="36" applyFont="1" applyBorder="1"/>
    <xf numFmtId="166" fontId="12" fillId="0" borderId="0" xfId="36" applyFont="1" applyFill="1" applyAlignment="1">
      <alignment horizontal="center" vertical="center"/>
    </xf>
    <xf numFmtId="4" fontId="12" fillId="0" borderId="0" xfId="42" applyNumberFormat="1" applyFill="1"/>
    <xf numFmtId="0" fontId="13" fillId="30" borderId="0" xfId="0" applyFont="1" applyFill="1" applyAlignment="1">
      <alignment vertical="center"/>
    </xf>
    <xf numFmtId="0" fontId="12" fillId="30" borderId="0" xfId="0" applyFont="1" applyFill="1" applyAlignment="1">
      <alignment vertical="center"/>
    </xf>
    <xf numFmtId="0" fontId="55" fillId="30" borderId="0" xfId="0" applyFont="1" applyFill="1" applyAlignment="1">
      <alignment vertical="center"/>
    </xf>
    <xf numFmtId="0" fontId="43" fillId="30" borderId="0" xfId="0" applyFont="1" applyFill="1" applyAlignment="1">
      <alignment horizontal="center" vertical="center"/>
    </xf>
    <xf numFmtId="2" fontId="55" fillId="30" borderId="0" xfId="0" applyNumberFormat="1" applyFont="1" applyFill="1" applyAlignment="1">
      <alignment vertical="center"/>
    </xf>
    <xf numFmtId="2" fontId="40" fillId="30" borderId="0" xfId="0" applyNumberFormat="1" applyFont="1" applyFill="1" applyAlignment="1">
      <alignment vertical="center"/>
    </xf>
    <xf numFmtId="0" fontId="40" fillId="30" borderId="0" xfId="0" applyFont="1" applyFill="1" applyAlignment="1">
      <alignment vertical="center"/>
    </xf>
    <xf numFmtId="4" fontId="55" fillId="0" borderId="0" xfId="0" applyNumberFormat="1" applyFont="1" applyAlignment="1">
      <alignment vertical="center"/>
    </xf>
    <xf numFmtId="4" fontId="61" fillId="0" borderId="0" xfId="0" applyNumberFormat="1" applyFont="1" applyAlignment="1">
      <alignment horizontal="center" vertical="center"/>
    </xf>
    <xf numFmtId="0" fontId="55" fillId="30" borderId="0" xfId="0" applyFont="1" applyFill="1" applyAlignment="1">
      <alignment horizontal="left" vertical="center"/>
    </xf>
    <xf numFmtId="3" fontId="55" fillId="30" borderId="0" xfId="0" applyNumberFormat="1" applyFont="1" applyFill="1" applyAlignment="1">
      <alignment vertical="center"/>
    </xf>
    <xf numFmtId="0" fontId="69" fillId="0" borderId="0" xfId="0" applyFont="1" applyAlignment="1">
      <alignment horizontal="center" vertical="center"/>
    </xf>
    <xf numFmtId="2" fontId="61" fillId="0" borderId="0" xfId="0" applyNumberFormat="1" applyFont="1" applyAlignment="1">
      <alignment horizontal="center"/>
    </xf>
    <xf numFmtId="0" fontId="70" fillId="0" borderId="0" xfId="0" applyFont="1" applyAlignment="1">
      <alignment horizontal="center" vertical="center"/>
    </xf>
    <xf numFmtId="0" fontId="13" fillId="30" borderId="15" xfId="0" applyFont="1" applyFill="1" applyBorder="1" applyAlignment="1">
      <alignment horizontal="center" vertical="center"/>
    </xf>
    <xf numFmtId="175" fontId="12" fillId="30" borderId="17" xfId="42" applyFill="1" applyBorder="1" applyAlignment="1">
      <alignment horizontal="center" vertical="center"/>
    </xf>
    <xf numFmtId="175" fontId="12" fillId="0" borderId="24" xfId="42" applyBorder="1"/>
    <xf numFmtId="4" fontId="0" fillId="30" borderId="16" xfId="0" applyNumberFormat="1" applyFill="1" applyBorder="1" applyAlignment="1">
      <alignment horizontal="left" vertical="center"/>
    </xf>
    <xf numFmtId="4" fontId="13" fillId="31" borderId="18" xfId="0" applyNumberFormat="1" applyFont="1" applyFill="1" applyBorder="1" applyAlignment="1">
      <alignment horizontal="left" vertical="center"/>
    </xf>
    <xf numFmtId="4" fontId="0" fillId="30" borderId="18" xfId="0" applyNumberFormat="1" applyFill="1" applyBorder="1" applyAlignment="1">
      <alignment horizontal="left" vertical="center"/>
    </xf>
    <xf numFmtId="2" fontId="13" fillId="30" borderId="11" xfId="0" applyNumberFormat="1" applyFont="1" applyFill="1" applyBorder="1" applyAlignment="1">
      <alignment horizontal="left" vertical="center"/>
    </xf>
    <xf numFmtId="2" fontId="0" fillId="30" borderId="10" xfId="0" applyNumberFormat="1" applyFill="1" applyBorder="1" applyAlignment="1">
      <alignment horizontal="center"/>
    </xf>
    <xf numFmtId="14" fontId="21" fillId="0" borderId="0" xfId="36" applyNumberFormat="1" applyFont="1" applyFill="1" applyAlignment="1">
      <alignment horizontal="center" vertical="center"/>
    </xf>
    <xf numFmtId="10" fontId="0" fillId="0" borderId="0" xfId="48" applyNumberFormat="1" applyFont="1" applyFill="1" applyAlignment="1">
      <alignment horizontal="center"/>
    </xf>
    <xf numFmtId="4" fontId="12" fillId="0" borderId="0" xfId="50" applyNumberFormat="1" applyFill="1" applyBorder="1" applyAlignment="1">
      <alignment horizontal="center"/>
    </xf>
    <xf numFmtId="166" fontId="12" fillId="0" borderId="0" xfId="36" applyFill="1" applyAlignment="1">
      <alignment horizontal="center"/>
    </xf>
    <xf numFmtId="166" fontId="12" fillId="0" borderId="0" xfId="36" applyFill="1"/>
    <xf numFmtId="166" fontId="13" fillId="0" borderId="0" xfId="36" applyFont="1" applyFill="1"/>
    <xf numFmtId="166" fontId="13" fillId="0" borderId="0" xfId="0" applyNumberFormat="1" applyFont="1" applyAlignment="1">
      <alignment vertical="center"/>
    </xf>
    <xf numFmtId="166" fontId="12" fillId="0" borderId="0" xfId="36" applyFill="1" applyBorder="1" applyAlignment="1">
      <alignment horizontal="center"/>
    </xf>
    <xf numFmtId="166" fontId="12" fillId="0" borderId="0" xfId="36" applyFont="1" applyFill="1"/>
    <xf numFmtId="166" fontId="12" fillId="23" borderId="0" xfId="36" applyFill="1" applyAlignment="1">
      <alignment horizontal="center" vertical="center"/>
    </xf>
    <xf numFmtId="164" fontId="16" fillId="0" borderId="0" xfId="0" applyNumberFormat="1" applyFont="1" applyAlignment="1">
      <alignment horizontal="left" vertical="center"/>
    </xf>
    <xf numFmtId="4" fontId="12" fillId="0" borderId="0" xfId="36" applyNumberFormat="1" applyFill="1" applyAlignment="1">
      <alignment horizontal="center" vertical="center"/>
    </xf>
    <xf numFmtId="178" fontId="0" fillId="30" borderId="13" xfId="0" applyNumberFormat="1" applyFill="1" applyBorder="1" applyAlignment="1">
      <alignment horizontal="center" vertical="center"/>
    </xf>
    <xf numFmtId="178" fontId="0" fillId="30" borderId="17" xfId="0" applyNumberFormat="1" applyFill="1" applyBorder="1" applyAlignment="1">
      <alignment horizontal="center" vertical="center"/>
    </xf>
    <xf numFmtId="164" fontId="0" fillId="0" borderId="0" xfId="36" applyNumberFormat="1" applyFont="1"/>
    <xf numFmtId="0" fontId="12" fillId="0" borderId="0" xfId="0" applyFont="1" applyAlignment="1">
      <alignment vertical="top"/>
    </xf>
    <xf numFmtId="0" fontId="55" fillId="0" borderId="0" xfId="0" applyFont="1" applyAlignment="1">
      <alignment wrapText="1"/>
    </xf>
    <xf numFmtId="0" fontId="12" fillId="0" borderId="0" xfId="75"/>
    <xf numFmtId="0" fontId="12" fillId="0" borderId="0" xfId="75" applyAlignment="1">
      <alignment vertical="center"/>
    </xf>
    <xf numFmtId="175" fontId="12" fillId="0" borderId="0" xfId="43"/>
    <xf numFmtId="166" fontId="12" fillId="0" borderId="0" xfId="77"/>
    <xf numFmtId="175" fontId="12" fillId="0" borderId="0" xfId="43" applyAlignment="1">
      <alignment vertical="center"/>
    </xf>
    <xf numFmtId="175" fontId="17" fillId="0" borderId="0" xfId="43" applyFont="1" applyAlignment="1">
      <alignment vertical="center"/>
    </xf>
    <xf numFmtId="0" fontId="17" fillId="0" borderId="0" xfId="75" applyFont="1" applyAlignment="1">
      <alignment vertical="center"/>
    </xf>
    <xf numFmtId="166" fontId="12" fillId="0" borderId="0" xfId="75" applyNumberFormat="1"/>
    <xf numFmtId="0" fontId="13" fillId="0" borderId="0" xfId="75" applyFont="1"/>
    <xf numFmtId="0" fontId="50" fillId="0" borderId="0" xfId="75" applyFont="1" applyAlignment="1">
      <alignment vertical="center"/>
    </xf>
    <xf numFmtId="14" fontId="21" fillId="0" borderId="0" xfId="75" applyNumberFormat="1" applyFont="1" applyAlignment="1">
      <alignment vertical="center"/>
    </xf>
    <xf numFmtId="14" fontId="21" fillId="0" borderId="0" xfId="75" applyNumberFormat="1" applyFont="1" applyAlignment="1">
      <alignment horizontal="center" vertical="center"/>
    </xf>
    <xf numFmtId="0" fontId="21" fillId="0" borderId="0" xfId="75" applyFont="1" applyAlignment="1">
      <alignment horizontal="left" vertical="center"/>
    </xf>
    <xf numFmtId="0" fontId="21" fillId="0" borderId="0" xfId="75" applyFont="1" applyAlignment="1">
      <alignment horizontal="center" vertical="center"/>
    </xf>
    <xf numFmtId="181" fontId="0" fillId="0" borderId="0" xfId="0" applyNumberFormat="1"/>
    <xf numFmtId="166" fontId="13" fillId="0" borderId="0" xfId="36" applyFont="1" applyFill="1" applyBorder="1" applyAlignment="1">
      <alignment horizontal="center"/>
    </xf>
    <xf numFmtId="167" fontId="12" fillId="0" borderId="0" xfId="36" applyNumberFormat="1" applyFill="1" applyAlignment="1">
      <alignment horizontal="center" vertical="center"/>
    </xf>
    <xf numFmtId="9" fontId="12" fillId="0" borderId="0" xfId="36" applyNumberFormat="1" applyFont="1" applyFill="1" applyBorder="1" applyAlignment="1">
      <alignment horizontal="center"/>
    </xf>
    <xf numFmtId="9" fontId="61" fillId="0" borderId="27" xfId="50" applyFont="1" applyBorder="1" applyAlignment="1">
      <alignment horizontal="center"/>
    </xf>
    <xf numFmtId="9" fontId="13" fillId="30" borderId="28" xfId="50" applyFont="1" applyFill="1" applyBorder="1" applyAlignment="1">
      <alignment horizontal="center" vertical="center"/>
    </xf>
    <xf numFmtId="4" fontId="12" fillId="29" borderId="29" xfId="50" applyNumberFormat="1" applyFill="1" applyBorder="1" applyAlignment="1">
      <alignment horizontal="center" vertical="center"/>
    </xf>
    <xf numFmtId="4" fontId="12" fillId="29" borderId="30" xfId="50" applyNumberFormat="1" applyFill="1" applyBorder="1" applyAlignment="1">
      <alignment horizontal="center" vertical="center"/>
    </xf>
    <xf numFmtId="4" fontId="13" fillId="30" borderId="30" xfId="50" applyNumberFormat="1" applyFont="1" applyFill="1" applyBorder="1" applyAlignment="1">
      <alignment horizontal="center" vertical="center"/>
    </xf>
    <xf numFmtId="9" fontId="0" fillId="0" borderId="0" xfId="48" applyFont="1" applyBorder="1" applyAlignment="1">
      <alignment horizontal="center" vertical="center" wrapText="1"/>
    </xf>
    <xf numFmtId="0" fontId="50" fillId="32" borderId="0" xfId="0" applyFont="1" applyFill="1" applyAlignment="1">
      <alignment vertical="center" wrapText="1"/>
    </xf>
    <xf numFmtId="0" fontId="16" fillId="32" borderId="0" xfId="0" applyFont="1" applyFill="1" applyAlignment="1">
      <alignment vertical="center" wrapText="1"/>
    </xf>
    <xf numFmtId="0" fontId="12" fillId="33" borderId="0" xfId="0" applyFont="1" applyFill="1" applyAlignment="1">
      <alignment horizontal="center" vertical="center" wrapText="1"/>
    </xf>
    <xf numFmtId="0" fontId="13" fillId="33" borderId="0" xfId="0" applyFont="1" applyFill="1" applyAlignment="1">
      <alignment horizontal="center" vertical="center" wrapText="1"/>
    </xf>
    <xf numFmtId="166" fontId="50" fillId="33" borderId="0" xfId="36" applyFont="1" applyFill="1" applyAlignment="1">
      <alignment vertical="center" wrapText="1"/>
    </xf>
    <xf numFmtId="0" fontId="50" fillId="33" borderId="0" xfId="0" applyFont="1" applyFill="1" applyAlignment="1">
      <alignment vertical="center" wrapText="1"/>
    </xf>
    <xf numFmtId="0" fontId="12" fillId="33" borderId="0" xfId="0" applyFont="1" applyFill="1" applyAlignment="1">
      <alignment horizontal="center" vertical="center"/>
    </xf>
    <xf numFmtId="166" fontId="12" fillId="33" borderId="0" xfId="36" applyFill="1" applyAlignment="1">
      <alignment horizontal="center" vertical="center"/>
    </xf>
    <xf numFmtId="166" fontId="50" fillId="33" borderId="23" xfId="36" applyFont="1" applyFill="1" applyBorder="1" applyAlignment="1">
      <alignment vertical="center" wrapText="1"/>
    </xf>
    <xf numFmtId="166" fontId="50" fillId="33" borderId="0" xfId="36" applyFont="1" applyFill="1" applyAlignment="1">
      <alignment horizontal="center" vertical="center" wrapText="1"/>
    </xf>
    <xf numFmtId="0" fontId="16" fillId="33" borderId="0" xfId="0" applyFont="1" applyFill="1" applyAlignment="1">
      <alignment horizontal="center" vertical="center"/>
    </xf>
    <xf numFmtId="0" fontId="12" fillId="32" borderId="0" xfId="0" applyFont="1" applyFill="1" applyAlignment="1">
      <alignment vertical="center"/>
    </xf>
    <xf numFmtId="0" fontId="73" fillId="0" borderId="0" xfId="0" applyFont="1"/>
    <xf numFmtId="14" fontId="12" fillId="0" borderId="0" xfId="0" applyNumberFormat="1" applyFont="1"/>
    <xf numFmtId="186" fontId="0" fillId="0" borderId="0" xfId="0" applyNumberFormat="1"/>
    <xf numFmtId="164" fontId="0" fillId="0" borderId="0" xfId="0" applyNumberFormat="1" applyAlignment="1">
      <alignment horizontal="center" vertical="center"/>
    </xf>
    <xf numFmtId="0" fontId="12" fillId="0" borderId="0" xfId="0" applyFont="1" applyAlignment="1">
      <alignment horizontal="center" wrapText="1"/>
    </xf>
    <xf numFmtId="164" fontId="12" fillId="0" borderId="0" xfId="0" applyNumberFormat="1" applyFont="1" applyAlignment="1">
      <alignment horizontal="right" vertical="center"/>
    </xf>
    <xf numFmtId="44" fontId="12" fillId="0" borderId="0" xfId="0" applyNumberFormat="1" applyFont="1"/>
    <xf numFmtId="166" fontId="12" fillId="0" borderId="0" xfId="36" applyFont="1" applyAlignment="1">
      <alignment horizontal="center" vertical="center"/>
    </xf>
    <xf numFmtId="166" fontId="12" fillId="0" borderId="0" xfId="36" applyFont="1" applyAlignment="1">
      <alignment vertical="center"/>
    </xf>
    <xf numFmtId="179" fontId="13" fillId="0" borderId="0" xfId="94" applyNumberFormat="1" applyFont="1" applyAlignment="1">
      <alignment vertical="center"/>
    </xf>
    <xf numFmtId="9" fontId="12" fillId="0" borderId="0" xfId="36" applyNumberFormat="1" applyFill="1" applyAlignment="1">
      <alignment horizontal="center"/>
    </xf>
    <xf numFmtId="166" fontId="12" fillId="0" borderId="0" xfId="36" applyFont="1" applyFill="1" applyBorder="1" applyAlignment="1">
      <alignment horizontal="center" vertical="center" wrapText="1"/>
    </xf>
    <xf numFmtId="170" fontId="17" fillId="0" borderId="0" xfId="0" applyNumberFormat="1" applyFont="1" applyAlignment="1">
      <alignment horizontal="center" vertical="center"/>
    </xf>
    <xf numFmtId="14" fontId="20" fillId="0" borderId="0" xfId="0" applyNumberFormat="1" applyFont="1" applyAlignment="1">
      <alignment vertical="center"/>
    </xf>
    <xf numFmtId="14" fontId="20" fillId="0" borderId="0" xfId="0" applyNumberFormat="1" applyFont="1" applyAlignment="1">
      <alignment horizontal="right" vertical="center"/>
    </xf>
    <xf numFmtId="167" fontId="20" fillId="0" borderId="0" xfId="36" applyNumberFormat="1" applyFont="1" applyFill="1" applyBorder="1" applyAlignment="1">
      <alignment vertical="center"/>
    </xf>
    <xf numFmtId="166" fontId="20" fillId="0" borderId="0" xfId="36" applyFont="1" applyFill="1" applyBorder="1" applyAlignment="1">
      <alignment vertical="center"/>
    </xf>
    <xf numFmtId="170" fontId="17" fillId="0" borderId="0" xfId="0" applyNumberFormat="1" applyFont="1" applyAlignment="1">
      <alignment vertical="center"/>
    </xf>
    <xf numFmtId="174" fontId="12" fillId="0" borderId="0" xfId="0" applyNumberFormat="1" applyFont="1"/>
    <xf numFmtId="4" fontId="12" fillId="0" borderId="0" xfId="48" applyNumberFormat="1" applyFont="1"/>
    <xf numFmtId="0" fontId="40" fillId="0" borderId="0" xfId="0" applyFont="1" applyAlignment="1">
      <alignment vertical="center"/>
    </xf>
    <xf numFmtId="166" fontId="40" fillId="0" borderId="0" xfId="0" applyNumberFormat="1" applyFont="1" applyAlignment="1">
      <alignment vertical="center"/>
    </xf>
    <xf numFmtId="0" fontId="40" fillId="23" borderId="0" xfId="0" applyFont="1" applyFill="1"/>
    <xf numFmtId="0" fontId="12" fillId="0" borderId="0" xfId="35" applyFont="1" applyAlignment="1" applyProtection="1"/>
    <xf numFmtId="166" fontId="40" fillId="0" borderId="0" xfId="36" applyFont="1"/>
    <xf numFmtId="0" fontId="21" fillId="0" borderId="0" xfId="0" applyFont="1" applyAlignment="1">
      <alignment vertical="center"/>
    </xf>
    <xf numFmtId="4" fontId="21" fillId="0" borderId="0" xfId="0" applyNumberFormat="1" applyFont="1" applyAlignment="1">
      <alignment vertical="center" wrapText="1"/>
    </xf>
    <xf numFmtId="166" fontId="17" fillId="0" borderId="0" xfId="36" applyFont="1" applyAlignment="1">
      <alignment horizontal="center" vertical="center" wrapText="1"/>
    </xf>
    <xf numFmtId="164" fontId="21" fillId="0" borderId="0" xfId="0" applyNumberFormat="1" applyFont="1" applyAlignment="1">
      <alignment vertical="center" wrapText="1"/>
    </xf>
    <xf numFmtId="0" fontId="13" fillId="0" borderId="23" xfId="0" applyFont="1" applyBorder="1" applyAlignment="1">
      <alignment horizontal="center" vertical="center" wrapText="1"/>
    </xf>
    <xf numFmtId="171" fontId="13" fillId="0" borderId="23" xfId="0" applyNumberFormat="1" applyFont="1" applyBorder="1" applyAlignment="1">
      <alignment horizontal="center" vertical="center" wrapText="1"/>
    </xf>
    <xf numFmtId="0" fontId="13" fillId="0" borderId="23" xfId="0" quotePrefix="1" applyFont="1" applyBorder="1" applyAlignment="1">
      <alignment horizontal="center" vertical="center" wrapText="1"/>
    </xf>
    <xf numFmtId="166" fontId="12" fillId="0" borderId="0" xfId="0" applyNumberFormat="1" applyFont="1" applyAlignment="1">
      <alignment horizontal="right" vertical="center" wrapText="1"/>
    </xf>
    <xf numFmtId="172" fontId="12" fillId="0" borderId="0" xfId="0" applyNumberFormat="1" applyFont="1" applyAlignment="1">
      <alignment horizontal="right" vertical="center" wrapText="1"/>
    </xf>
    <xf numFmtId="166" fontId="12" fillId="0" borderId="0" xfId="0" applyNumberFormat="1" applyFont="1" applyAlignment="1">
      <alignment vertical="center"/>
    </xf>
    <xf numFmtId="166" fontId="12" fillId="23" borderId="0" xfId="0" applyNumberFormat="1" applyFont="1" applyFill="1" applyAlignment="1">
      <alignment vertical="center"/>
    </xf>
    <xf numFmtId="166" fontId="12" fillId="0" borderId="0" xfId="36" applyFont="1" applyFill="1" applyAlignment="1">
      <alignment vertical="center"/>
    </xf>
    <xf numFmtId="166" fontId="12" fillId="0" borderId="0" xfId="36" applyFont="1" applyAlignment="1">
      <alignment horizontal="right" vertical="center" wrapText="1"/>
    </xf>
    <xf numFmtId="9" fontId="12" fillId="23" borderId="0" xfId="36" applyNumberFormat="1" applyFont="1" applyFill="1" applyAlignment="1">
      <alignment horizontal="center"/>
    </xf>
    <xf numFmtId="166" fontId="0" fillId="0" borderId="23" xfId="36" applyFont="1" applyFill="1" applyBorder="1"/>
    <xf numFmtId="166" fontId="45" fillId="0" borderId="0" xfId="0" applyNumberFormat="1" applyFont="1" applyAlignment="1">
      <alignment horizontal="center"/>
    </xf>
    <xf numFmtId="166" fontId="12" fillId="0" borderId="0" xfId="0" applyNumberFormat="1" applyFont="1" applyAlignment="1">
      <alignment horizontal="center"/>
    </xf>
    <xf numFmtId="173" fontId="18" fillId="0" borderId="0" xfId="33" applyFont="1"/>
    <xf numFmtId="0" fontId="13" fillId="0" borderId="23" xfId="0" applyFont="1" applyBorder="1" applyAlignment="1">
      <alignment horizontal="center" vertical="center"/>
    </xf>
    <xf numFmtId="166" fontId="45" fillId="0" borderId="0" xfId="36" applyFont="1" applyFill="1" applyAlignment="1">
      <alignment horizontal="center"/>
    </xf>
    <xf numFmtId="0" fontId="0" fillId="0" borderId="39" xfId="0" applyBorder="1"/>
    <xf numFmtId="166" fontId="12" fillId="0" borderId="39" xfId="36" applyFill="1" applyBorder="1" applyAlignment="1">
      <alignment horizontal="center"/>
    </xf>
    <xf numFmtId="0" fontId="12" fillId="0" borderId="40" xfId="0" applyFont="1" applyBorder="1" applyAlignment="1">
      <alignment horizontal="center"/>
    </xf>
    <xf numFmtId="9" fontId="0" fillId="0" borderId="40" xfId="0" applyNumberFormat="1" applyBorder="1" applyAlignment="1">
      <alignment horizontal="center"/>
    </xf>
    <xf numFmtId="9" fontId="12" fillId="0" borderId="40" xfId="50" applyBorder="1" applyAlignment="1">
      <alignment horizontal="center"/>
    </xf>
    <xf numFmtId="175" fontId="12" fillId="0" borderId="41" xfId="42" applyBorder="1"/>
    <xf numFmtId="9" fontId="12" fillId="0" borderId="41" xfId="50" applyBorder="1" applyAlignment="1">
      <alignment horizontal="center"/>
    </xf>
    <xf numFmtId="2" fontId="12" fillId="0" borderId="41" xfId="0" applyNumberFormat="1" applyFont="1" applyBorder="1" applyAlignment="1">
      <alignment horizontal="center"/>
    </xf>
    <xf numFmtId="4" fontId="55" fillId="0" borderId="41" xfId="50" applyNumberFormat="1" applyFont="1" applyBorder="1" applyAlignment="1">
      <alignment horizontal="center"/>
    </xf>
    <xf numFmtId="166" fontId="12" fillId="0" borderId="41" xfId="37" applyFont="1" applyBorder="1"/>
    <xf numFmtId="9" fontId="12" fillId="0" borderId="41" xfId="36" applyNumberFormat="1" applyFill="1" applyBorder="1" applyAlignment="1">
      <alignment horizontal="center" vertical="center"/>
    </xf>
    <xf numFmtId="0" fontId="12" fillId="0" borderId="41" xfId="0" applyFont="1" applyBorder="1" applyAlignment="1">
      <alignment horizontal="center"/>
    </xf>
    <xf numFmtId="0" fontId="0" fillId="0" borderId="41" xfId="0" applyBorder="1"/>
    <xf numFmtId="166" fontId="12" fillId="0" borderId="41" xfId="36" applyBorder="1"/>
    <xf numFmtId="0" fontId="0" fillId="0" borderId="41" xfId="0" applyBorder="1" applyAlignment="1">
      <alignment horizontal="center"/>
    </xf>
    <xf numFmtId="166" fontId="12" fillId="0" borderId="41" xfId="36" applyBorder="1" applyAlignment="1">
      <alignment horizontal="left"/>
    </xf>
    <xf numFmtId="166" fontId="0" fillId="0" borderId="41" xfId="36" applyFont="1" applyBorder="1"/>
    <xf numFmtId="3" fontId="12" fillId="0" borderId="41" xfId="0" applyNumberFormat="1" applyFont="1" applyBorder="1" applyAlignment="1">
      <alignment horizontal="center" vertical="center"/>
    </xf>
    <xf numFmtId="0" fontId="12" fillId="32" borderId="0" xfId="36" applyNumberFormat="1" applyFill="1" applyAlignment="1">
      <alignment vertical="center"/>
    </xf>
    <xf numFmtId="166" fontId="12" fillId="32" borderId="0" xfId="36" applyFill="1" applyAlignment="1">
      <alignment vertical="center"/>
    </xf>
    <xf numFmtId="0" fontId="64" fillId="0" borderId="0" xfId="0" applyFont="1" applyAlignment="1">
      <alignment vertical="center"/>
    </xf>
    <xf numFmtId="0" fontId="67" fillId="0" borderId="0" xfId="0" applyFont="1" applyAlignment="1">
      <alignment vertical="center"/>
    </xf>
    <xf numFmtId="164" fontId="12" fillId="0" borderId="0" xfId="0" applyNumberFormat="1" applyFont="1" applyAlignment="1">
      <alignment horizontal="center" vertical="center"/>
    </xf>
    <xf numFmtId="3" fontId="12" fillId="0" borderId="23" xfId="0" applyNumberFormat="1" applyFont="1" applyBorder="1" applyAlignment="1">
      <alignment horizontal="center" vertical="center"/>
    </xf>
    <xf numFmtId="164" fontId="12" fillId="0" borderId="0" xfId="0" applyNumberFormat="1" applyFont="1" applyAlignment="1">
      <alignment vertical="center"/>
    </xf>
    <xf numFmtId="171" fontId="12" fillId="23" borderId="0" xfId="0" applyNumberFormat="1" applyFont="1" applyFill="1" applyAlignment="1">
      <alignment horizontal="center" vertical="center"/>
    </xf>
    <xf numFmtId="0" fontId="66" fillId="0" borderId="0" xfId="0" applyFont="1" applyAlignment="1">
      <alignment vertical="center"/>
    </xf>
    <xf numFmtId="166" fontId="13" fillId="0" borderId="0" xfId="36" applyFont="1" applyAlignment="1">
      <alignment vertical="center"/>
    </xf>
    <xf numFmtId="0" fontId="54" fillId="0" borderId="0" xfId="0" applyFont="1" applyAlignment="1">
      <alignment vertical="center"/>
    </xf>
    <xf numFmtId="172" fontId="12" fillId="0" borderId="0" xfId="0" applyNumberFormat="1" applyFont="1" applyAlignment="1">
      <alignment horizontal="center" vertical="center"/>
    </xf>
    <xf numFmtId="166" fontId="12" fillId="0" borderId="0" xfId="36" applyFont="1" applyAlignment="1">
      <alignment horizontal="right" vertical="center"/>
    </xf>
    <xf numFmtId="171" fontId="12" fillId="0" borderId="0" xfId="0" applyNumberFormat="1" applyFont="1" applyAlignment="1">
      <alignment horizontal="center" vertical="center" wrapText="1"/>
    </xf>
    <xf numFmtId="166" fontId="12" fillId="0" borderId="0" xfId="36" applyFont="1" applyAlignment="1">
      <alignment horizontal="center" vertical="center" wrapText="1"/>
    </xf>
    <xf numFmtId="165" fontId="13" fillId="0" borderId="0" xfId="0" applyNumberFormat="1" applyFont="1" applyAlignment="1">
      <alignment horizontal="center" vertical="center"/>
    </xf>
    <xf numFmtId="171" fontId="12" fillId="0" borderId="0" xfId="0" applyNumberFormat="1" applyFont="1" applyAlignment="1">
      <alignment vertical="center"/>
    </xf>
    <xf numFmtId="0" fontId="18" fillId="21" borderId="0" xfId="0" applyFont="1" applyFill="1" applyAlignment="1">
      <alignment horizontal="center" vertical="center"/>
    </xf>
    <xf numFmtId="0" fontId="12" fillId="21" borderId="23" xfId="0" applyFont="1" applyFill="1" applyBorder="1" applyAlignment="1">
      <alignment vertical="center"/>
    </xf>
    <xf numFmtId="171" fontId="12" fillId="21" borderId="23" xfId="0" applyNumberFormat="1" applyFont="1" applyFill="1" applyBorder="1" applyAlignment="1">
      <alignment vertical="center"/>
    </xf>
    <xf numFmtId="166" fontId="12" fillId="21" borderId="23" xfId="36" applyFont="1" applyFill="1" applyBorder="1" applyAlignment="1">
      <alignment vertical="center"/>
    </xf>
    <xf numFmtId="0" fontId="12" fillId="21" borderId="0" xfId="0" applyFont="1" applyFill="1" applyAlignment="1">
      <alignment vertical="center"/>
    </xf>
    <xf numFmtId="166" fontId="12" fillId="21" borderId="0" xfId="36" applyFont="1" applyFill="1" applyAlignment="1">
      <alignment vertical="center"/>
    </xf>
    <xf numFmtId="0" fontId="67" fillId="21" borderId="0" xfId="0" applyFont="1" applyFill="1" applyAlignment="1">
      <alignment vertical="center"/>
    </xf>
    <xf numFmtId="4" fontId="12" fillId="0" borderId="0" xfId="0" applyNumberFormat="1" applyFont="1" applyAlignment="1">
      <alignment vertical="center"/>
    </xf>
    <xf numFmtId="4" fontId="40" fillId="0" borderId="0" xfId="0" applyNumberFormat="1" applyFont="1" applyAlignment="1">
      <alignment vertical="center"/>
    </xf>
    <xf numFmtId="0" fontId="13" fillId="33" borderId="0" xfId="0" applyFont="1" applyFill="1" applyAlignment="1">
      <alignment vertical="center"/>
    </xf>
    <xf numFmtId="0" fontId="12" fillId="33" borderId="0" xfId="0" applyFont="1" applyFill="1" applyAlignment="1">
      <alignment vertical="center"/>
    </xf>
    <xf numFmtId="0" fontId="64" fillId="0" borderId="0" xfId="0" applyFont="1" applyAlignment="1">
      <alignment horizontal="center" vertical="center"/>
    </xf>
    <xf numFmtId="166" fontId="67" fillId="0" borderId="0" xfId="36" applyFont="1" applyAlignment="1">
      <alignment vertical="center"/>
    </xf>
    <xf numFmtId="0" fontId="12" fillId="33" borderId="41" xfId="0" applyFont="1" applyFill="1" applyBorder="1" applyAlignment="1">
      <alignment horizontal="center" vertical="center"/>
    </xf>
    <xf numFmtId="0" fontId="0" fillId="0" borderId="39" xfId="0" applyBorder="1" applyAlignment="1">
      <alignment horizontal="center" vertical="center" wrapText="1"/>
    </xf>
    <xf numFmtId="166" fontId="12" fillId="0" borderId="39" xfId="36" applyFont="1" applyFill="1" applyBorder="1" applyAlignment="1">
      <alignment horizontal="center" vertical="center" wrapText="1"/>
    </xf>
    <xf numFmtId="0" fontId="0" fillId="0" borderId="40" xfId="0" applyBorder="1" applyAlignment="1">
      <alignment horizontal="center" vertical="center" wrapText="1"/>
    </xf>
    <xf numFmtId="166" fontId="0" fillId="0" borderId="40" xfId="36" applyFont="1" applyFill="1" applyBorder="1" applyAlignment="1">
      <alignment vertical="center"/>
    </xf>
    <xf numFmtId="2" fontId="0" fillId="0" borderId="0" xfId="36" applyNumberFormat="1" applyFont="1"/>
    <xf numFmtId="166" fontId="13" fillId="0" borderId="0" xfId="37" applyFont="1" applyFill="1" applyBorder="1"/>
    <xf numFmtId="166" fontId="12" fillId="0" borderId="0" xfId="36" applyFont="1" applyFill="1" applyAlignment="1">
      <alignment horizontal="center"/>
    </xf>
    <xf numFmtId="166" fontId="12" fillId="0" borderId="39" xfId="36" applyFont="1" applyFill="1" applyBorder="1" applyAlignment="1">
      <alignment horizontal="center"/>
    </xf>
    <xf numFmtId="0" fontId="13" fillId="0" borderId="0" xfId="0" applyFont="1" applyAlignment="1">
      <alignment horizontal="right" vertical="center"/>
    </xf>
    <xf numFmtId="3" fontId="0" fillId="0" borderId="0" xfId="0" applyNumberFormat="1" applyAlignment="1">
      <alignment vertical="center"/>
    </xf>
    <xf numFmtId="166" fontId="0" fillId="0" borderId="0" xfId="36" applyFont="1" applyBorder="1" applyAlignment="1">
      <alignment horizontal="center" vertical="center"/>
    </xf>
    <xf numFmtId="14" fontId="13" fillId="0" borderId="0" xfId="0" applyNumberFormat="1" applyFont="1" applyAlignment="1">
      <alignment horizontal="center" vertical="center" wrapText="1"/>
    </xf>
    <xf numFmtId="0" fontId="0" fillId="0" borderId="23" xfId="0" applyBorder="1"/>
    <xf numFmtId="0" fontId="12" fillId="0" borderId="46" xfId="0" applyFont="1" applyBorder="1"/>
    <xf numFmtId="0" fontId="0" fillId="0" borderId="47" xfId="0" applyBorder="1"/>
    <xf numFmtId="0" fontId="13" fillId="0" borderId="47" xfId="0" applyFont="1" applyBorder="1"/>
    <xf numFmtId="0" fontId="13" fillId="0" borderId="46" xfId="0" applyFont="1" applyBorder="1"/>
    <xf numFmtId="0" fontId="12" fillId="0" borderId="47" xfId="0" applyFont="1" applyBorder="1"/>
    <xf numFmtId="0" fontId="61" fillId="0" borderId="47" xfId="0" applyFont="1" applyBorder="1"/>
    <xf numFmtId="0" fontId="12" fillId="0" borderId="47" xfId="0" applyFont="1" applyBorder="1" applyAlignment="1">
      <alignment horizontal="left" vertical="center"/>
    </xf>
    <xf numFmtId="0" fontId="12" fillId="0" borderId="47" xfId="0" applyFont="1" applyBorder="1" applyAlignment="1">
      <alignment horizontal="left"/>
    </xf>
    <xf numFmtId="0" fontId="13" fillId="0" borderId="0" xfId="134" applyFont="1" applyAlignment="1">
      <alignment vertical="center"/>
    </xf>
    <xf numFmtId="14" fontId="17" fillId="0" borderId="0" xfId="134" applyNumberFormat="1" applyFont="1" applyAlignment="1">
      <alignment horizontal="center" vertical="center"/>
    </xf>
    <xf numFmtId="0" fontId="16" fillId="0" borderId="0" xfId="134" applyFont="1" applyAlignment="1">
      <alignment horizontal="left" vertical="center"/>
    </xf>
    <xf numFmtId="0" fontId="12" fillId="0" borderId="0" xfId="134"/>
    <xf numFmtId="0" fontId="59" fillId="0" borderId="0" xfId="134" applyFont="1"/>
    <xf numFmtId="0" fontId="16" fillId="0" borderId="0" xfId="134" applyFont="1" applyAlignment="1">
      <alignment vertical="center"/>
    </xf>
    <xf numFmtId="0" fontId="59" fillId="0" borderId="0" xfId="134" applyFont="1" applyAlignment="1">
      <alignment horizontal="center"/>
    </xf>
    <xf numFmtId="0" fontId="13" fillId="23" borderId="0" xfId="134" applyFont="1" applyFill="1"/>
    <xf numFmtId="0" fontId="13" fillId="0" borderId="0" xfId="134" applyFont="1" applyAlignment="1">
      <alignment horizontal="center"/>
    </xf>
    <xf numFmtId="0" fontId="59" fillId="0" borderId="26" xfId="134" applyFont="1" applyBorder="1"/>
    <xf numFmtId="167" fontId="59" fillId="23" borderId="20" xfId="135" applyNumberFormat="1" applyFont="1" applyFill="1" applyBorder="1"/>
    <xf numFmtId="4" fontId="12" fillId="0" borderId="0" xfId="134" applyNumberFormat="1"/>
    <xf numFmtId="0" fontId="15" fillId="0" borderId="0" xfId="134" applyFont="1"/>
    <xf numFmtId="0" fontId="12" fillId="0" borderId="0" xfId="134" quotePrefix="1"/>
    <xf numFmtId="0" fontId="59" fillId="0" borderId="17" xfId="134" applyFont="1" applyBorder="1"/>
    <xf numFmtId="0" fontId="59" fillId="0" borderId="18" xfId="134" applyFont="1" applyBorder="1"/>
    <xf numFmtId="167" fontId="15" fillId="0" borderId="20" xfId="135" applyNumberFormat="1" applyFont="1" applyBorder="1" applyAlignment="1">
      <alignment vertical="center"/>
    </xf>
    <xf numFmtId="167" fontId="15" fillId="0" borderId="19" xfId="135" applyNumberFormat="1" applyFont="1" applyBorder="1" applyAlignment="1">
      <alignment vertical="center"/>
    </xf>
    <xf numFmtId="166" fontId="59" fillId="0" borderId="0" xfId="135" applyFont="1" applyFill="1"/>
    <xf numFmtId="166" fontId="59" fillId="0" borderId="0" xfId="135" applyFont="1"/>
    <xf numFmtId="166" fontId="75" fillId="0" borderId="0" xfId="135" applyFont="1" applyAlignment="1">
      <alignment horizontal="center"/>
    </xf>
    <xf numFmtId="0" fontId="12" fillId="0" borderId="15" xfId="134" applyBorder="1" applyAlignment="1">
      <alignment vertical="center"/>
    </xf>
    <xf numFmtId="0" fontId="12" fillId="0" borderId="14" xfId="134" applyBorder="1" applyAlignment="1">
      <alignment vertical="center"/>
    </xf>
    <xf numFmtId="0" fontId="12" fillId="0" borderId="11" xfId="134" applyBorder="1"/>
    <xf numFmtId="0" fontId="12" fillId="0" borderId="13" xfId="134" applyBorder="1" applyAlignment="1">
      <alignment vertical="center"/>
    </xf>
    <xf numFmtId="0" fontId="12" fillId="0" borderId="16" xfId="134" applyBorder="1"/>
    <xf numFmtId="166" fontId="12" fillId="0" borderId="23" xfId="134" applyNumberFormat="1" applyBorder="1" applyAlignment="1">
      <alignment vertical="center"/>
    </xf>
    <xf numFmtId="167" fontId="12" fillId="0" borderId="0" xfId="134" applyNumberFormat="1" applyAlignment="1">
      <alignment vertical="center"/>
    </xf>
    <xf numFmtId="10" fontId="12" fillId="0" borderId="0" xfId="134" applyNumberFormat="1" applyAlignment="1">
      <alignment horizontal="center" vertical="center"/>
    </xf>
    <xf numFmtId="0" fontId="12" fillId="0" borderId="17" xfId="134" applyBorder="1" applyAlignment="1">
      <alignment vertical="center"/>
    </xf>
    <xf numFmtId="0" fontId="12" fillId="0" borderId="26" xfId="134" applyBorder="1" applyAlignment="1">
      <alignment vertical="center"/>
    </xf>
    <xf numFmtId="0" fontId="12" fillId="0" borderId="18" xfId="134" applyBorder="1"/>
    <xf numFmtId="3" fontId="21" fillId="0" borderId="0" xfId="64" applyNumberFormat="1" applyFont="1"/>
    <xf numFmtId="3" fontId="13" fillId="0" borderId="0" xfId="64" applyNumberFormat="1" applyFont="1"/>
    <xf numFmtId="14" fontId="13" fillId="0" borderId="0" xfId="64" applyNumberFormat="1" applyFont="1"/>
    <xf numFmtId="0" fontId="12" fillId="0" borderId="0" xfId="64" applyAlignment="1">
      <alignment vertical="center"/>
    </xf>
    <xf numFmtId="0" fontId="12" fillId="0" borderId="0" xfId="64" applyAlignment="1">
      <alignment horizontal="center"/>
    </xf>
    <xf numFmtId="0" fontId="13" fillId="0" borderId="0" xfId="64" applyFont="1" applyAlignment="1">
      <alignment horizontal="center"/>
    </xf>
    <xf numFmtId="0" fontId="13" fillId="0" borderId="23" xfId="64" applyFont="1" applyBorder="1" applyAlignment="1">
      <alignment horizontal="center"/>
    </xf>
    <xf numFmtId="0" fontId="12" fillId="0" borderId="41" xfId="64" applyBorder="1"/>
    <xf numFmtId="0" fontId="43" fillId="0" borderId="0" xfId="64" applyFont="1"/>
    <xf numFmtId="0" fontId="12" fillId="0" borderId="0" xfId="64" quotePrefix="1"/>
    <xf numFmtId="0" fontId="17" fillId="0" borderId="0" xfId="64" applyFont="1" applyAlignment="1">
      <alignment horizontal="center"/>
    </xf>
    <xf numFmtId="0" fontId="12" fillId="0" borderId="23" xfId="64" applyBorder="1"/>
    <xf numFmtId="0" fontId="12" fillId="0" borderId="23" xfId="64" applyBorder="1" applyAlignment="1">
      <alignment horizontal="center"/>
    </xf>
    <xf numFmtId="49" fontId="12" fillId="0" borderId="23" xfId="64" applyNumberFormat="1" applyBorder="1"/>
    <xf numFmtId="164" fontId="12" fillId="0" borderId="0" xfId="137" applyFont="1" applyAlignment="1">
      <alignment horizontal="right" indent="1"/>
    </xf>
    <xf numFmtId="0" fontId="13" fillId="0" borderId="0" xfId="64" applyFont="1"/>
    <xf numFmtId="3" fontId="61" fillId="0" borderId="21" xfId="64" applyNumberFormat="1" applyFont="1" applyBorder="1" applyAlignment="1">
      <alignment horizontal="right" indent="1"/>
    </xf>
    <xf numFmtId="0" fontId="13" fillId="0" borderId="0" xfId="64" applyFont="1" applyAlignment="1">
      <alignment horizontal="left"/>
    </xf>
    <xf numFmtId="0" fontId="61" fillId="0" borderId="0" xfId="64" applyFont="1"/>
    <xf numFmtId="3" fontId="12" fillId="0" borderId="0" xfId="64" applyNumberFormat="1" applyAlignment="1">
      <alignment horizontal="right" indent="1"/>
    </xf>
    <xf numFmtId="0" fontId="21" fillId="0" borderId="0" xfId="64" applyFont="1" applyAlignment="1">
      <alignment horizontal="center"/>
    </xf>
    <xf numFmtId="0" fontId="50" fillId="0" borderId="0" xfId="64" applyFont="1"/>
    <xf numFmtId="0" fontId="21" fillId="0" borderId="0" xfId="64" applyFont="1"/>
    <xf numFmtId="14" fontId="50" fillId="0" borderId="0" xfId="64" applyNumberFormat="1" applyFont="1"/>
    <xf numFmtId="14" fontId="21" fillId="0" borderId="0" xfId="64" applyNumberFormat="1" applyFont="1" applyAlignment="1">
      <alignment horizontal="center"/>
    </xf>
    <xf numFmtId="0" fontId="38" fillId="0" borderId="0" xfId="64" applyFont="1"/>
    <xf numFmtId="37" fontId="12" fillId="0" borderId="0" xfId="64" applyNumberFormat="1"/>
    <xf numFmtId="4" fontId="12" fillId="0" borderId="0" xfId="64" applyNumberFormat="1"/>
    <xf numFmtId="4" fontId="61" fillId="0" borderId="0" xfId="64" applyNumberFormat="1" applyFont="1"/>
    <xf numFmtId="167" fontId="38" fillId="0" borderId="0" xfId="138" applyNumberFormat="1" applyFont="1"/>
    <xf numFmtId="167" fontId="12" fillId="0" borderId="0" xfId="138" applyNumberFormat="1" applyFont="1"/>
    <xf numFmtId="0" fontId="12" fillId="0" borderId="0" xfId="64" applyAlignment="1">
      <alignment horizontal="left" indent="1"/>
    </xf>
    <xf numFmtId="0" fontId="38" fillId="0" borderId="0" xfId="64" applyFont="1" applyAlignment="1">
      <alignment horizontal="right" wrapText="1"/>
    </xf>
    <xf numFmtId="49" fontId="12" fillId="0" borderId="0" xfId="64" applyNumberFormat="1" applyAlignment="1">
      <alignment horizontal="center" wrapText="1"/>
    </xf>
    <xf numFmtId="188" fontId="12" fillId="0" borderId="0" xfId="138" applyNumberFormat="1" applyFont="1" applyAlignment="1">
      <alignment horizontal="center" vertical="center"/>
    </xf>
    <xf numFmtId="167" fontId="12" fillId="0" borderId="0" xfId="138" applyNumberFormat="1" applyFont="1" applyAlignment="1">
      <alignment horizontal="center" vertical="center"/>
    </xf>
    <xf numFmtId="166" fontId="12" fillId="0" borderId="23" xfId="36" applyFont="1" applyBorder="1" applyAlignment="1">
      <alignment horizontal="center" vertical="center"/>
    </xf>
    <xf numFmtId="166" fontId="12" fillId="0" borderId="23" xfId="138" applyFont="1" applyBorder="1" applyAlignment="1">
      <alignment horizontal="center" vertical="center"/>
    </xf>
    <xf numFmtId="0" fontId="45" fillId="0" borderId="0" xfId="64" applyFont="1" applyAlignment="1">
      <alignment horizontal="center" vertical="center"/>
    </xf>
    <xf numFmtId="164" fontId="38" fillId="0" borderId="0" xfId="64" applyNumberFormat="1" applyFont="1"/>
    <xf numFmtId="166" fontId="18" fillId="35" borderId="0" xfId="36" applyFont="1" applyFill="1" applyAlignment="1">
      <alignment horizontal="center" vertical="center"/>
    </xf>
    <xf numFmtId="0" fontId="45" fillId="35" borderId="0" xfId="0" applyFont="1" applyFill="1" applyAlignment="1">
      <alignment horizontal="center"/>
    </xf>
    <xf numFmtId="0" fontId="18" fillId="35" borderId="0" xfId="0" applyFont="1" applyFill="1" applyAlignment="1">
      <alignment horizontal="left" vertical="center"/>
    </xf>
    <xf numFmtId="0" fontId="18" fillId="35" borderId="0" xfId="0" applyFont="1" applyFill="1" applyAlignment="1">
      <alignment vertical="center"/>
    </xf>
    <xf numFmtId="0" fontId="12" fillId="0" borderId="0" xfId="106"/>
    <xf numFmtId="14" fontId="43" fillId="0" borderId="0" xfId="0" applyNumberFormat="1" applyFont="1"/>
    <xf numFmtId="14" fontId="44" fillId="0" borderId="0" xfId="0" applyNumberFormat="1" applyFont="1"/>
    <xf numFmtId="1" fontId="0" fillId="0" borderId="0" xfId="0" applyNumberFormat="1"/>
    <xf numFmtId="4" fontId="44" fillId="0" borderId="0" xfId="0" applyNumberFormat="1" applyFont="1"/>
    <xf numFmtId="183" fontId="12" fillId="0" borderId="0" xfId="107"/>
    <xf numFmtId="183" fontId="13" fillId="0" borderId="0" xfId="107" applyFont="1"/>
    <xf numFmtId="183" fontId="13" fillId="0" borderId="0" xfId="107" applyFont="1" applyAlignment="1">
      <alignment horizontal="left"/>
    </xf>
    <xf numFmtId="164" fontId="50" fillId="0" borderId="0" xfId="0" applyNumberFormat="1" applyFont="1"/>
    <xf numFmtId="183" fontId="21" fillId="0" borderId="0" xfId="107" applyFont="1"/>
    <xf numFmtId="183" fontId="21" fillId="0" borderId="0" xfId="107" applyFont="1" applyAlignment="1">
      <alignment horizontal="left"/>
    </xf>
    <xf numFmtId="14" fontId="21" fillId="0" borderId="0" xfId="107" applyNumberFormat="1" applyFont="1" applyAlignment="1">
      <alignment horizontal="left"/>
    </xf>
    <xf numFmtId="183" fontId="12" fillId="0" borderId="0" xfId="107" applyAlignment="1">
      <alignment horizontal="right"/>
    </xf>
    <xf numFmtId="14" fontId="12" fillId="0" borderId="0" xfId="107" applyNumberFormat="1" applyAlignment="1">
      <alignment horizontal="center"/>
    </xf>
    <xf numFmtId="14" fontId="12" fillId="0" borderId="0" xfId="107" applyNumberFormat="1" applyAlignment="1">
      <alignment horizontal="left"/>
    </xf>
    <xf numFmtId="0" fontId="12" fillId="0" borderId="0" xfId="107" applyNumberFormat="1"/>
    <xf numFmtId="0" fontId="0" fillId="0" borderId="48" xfId="0" applyBorder="1"/>
    <xf numFmtId="184" fontId="0" fillId="0" borderId="0" xfId="36" applyNumberFormat="1" applyFont="1" applyFill="1"/>
    <xf numFmtId="14" fontId="17" fillId="23" borderId="0" xfId="0" applyNumberFormat="1" applyFont="1" applyFill="1" applyAlignment="1">
      <alignment horizontal="center" vertical="center"/>
    </xf>
    <xf numFmtId="14" fontId="12" fillId="0" borderId="41" xfId="0" applyNumberFormat="1" applyFont="1" applyBorder="1" applyAlignment="1">
      <alignment vertical="center" wrapText="1"/>
    </xf>
    <xf numFmtId="164" fontId="12" fillId="0" borderId="0" xfId="0" applyNumberFormat="1" applyFont="1" applyAlignment="1">
      <alignment horizontal="right"/>
    </xf>
    <xf numFmtId="0" fontId="0" fillId="27" borderId="0" xfId="0" applyFill="1" applyAlignment="1">
      <alignment vertical="center"/>
    </xf>
    <xf numFmtId="166" fontId="12" fillId="33" borderId="0" xfId="36" applyFont="1" applyFill="1" applyAlignment="1">
      <alignment horizontal="center" vertical="center"/>
    </xf>
    <xf numFmtId="0" fontId="13" fillId="0" borderId="0" xfId="64" applyFont="1" applyAlignment="1">
      <alignment horizontal="right"/>
    </xf>
    <xf numFmtId="4" fontId="38" fillId="0" borderId="0" xfId="64" applyNumberFormat="1" applyFont="1"/>
    <xf numFmtId="0" fontId="12" fillId="0" borderId="0" xfId="64" applyAlignment="1">
      <alignment horizontal="right"/>
    </xf>
    <xf numFmtId="166" fontId="38" fillId="0" borderId="0" xfId="64" applyNumberFormat="1" applyFont="1"/>
    <xf numFmtId="166" fontId="12" fillId="0" borderId="0" xfId="36" applyFont="1" applyFill="1" applyAlignment="1">
      <alignment horizontal="right"/>
    </xf>
    <xf numFmtId="164" fontId="71" fillId="27" borderId="0" xfId="0" applyNumberFormat="1" applyFont="1" applyFill="1" applyAlignment="1">
      <alignment horizontal="left"/>
    </xf>
    <xf numFmtId="2" fontId="12" fillId="0" borderId="0" xfId="36" applyNumberFormat="1"/>
    <xf numFmtId="189" fontId="12" fillId="0" borderId="0" xfId="0" applyNumberFormat="1" applyFont="1" applyAlignment="1">
      <alignment vertical="center"/>
    </xf>
    <xf numFmtId="172" fontId="0" fillId="0" borderId="0" xfId="0" applyNumberFormat="1" applyAlignment="1">
      <alignment horizontal="center" vertical="center"/>
    </xf>
    <xf numFmtId="166" fontId="13" fillId="0" borderId="0" xfId="36" applyFont="1" applyBorder="1" applyAlignment="1">
      <alignment horizontal="center" vertical="center"/>
    </xf>
    <xf numFmtId="166" fontId="12" fillId="0" borderId="0" xfId="36" applyFont="1" applyBorder="1" applyAlignment="1">
      <alignment horizontal="center" vertical="center"/>
    </xf>
    <xf numFmtId="166" fontId="13" fillId="0" borderId="0" xfId="36" applyFont="1" applyBorder="1" applyAlignment="1">
      <alignment vertical="center"/>
    </xf>
    <xf numFmtId="166" fontId="13" fillId="20" borderId="0" xfId="36" applyFont="1" applyFill="1" applyBorder="1" applyAlignment="1">
      <alignment horizontal="center" vertical="center"/>
    </xf>
    <xf numFmtId="166" fontId="12" fillId="21" borderId="0" xfId="36" applyFont="1" applyFill="1" applyBorder="1" applyAlignment="1">
      <alignment horizontal="center" vertical="center"/>
    </xf>
    <xf numFmtId="166" fontId="12" fillId="0" borderId="0" xfId="36" applyFont="1" applyFill="1" applyBorder="1" applyAlignment="1">
      <alignment horizontal="center" vertical="center"/>
    </xf>
    <xf numFmtId="0" fontId="76" fillId="0" borderId="0" xfId="0" applyFont="1"/>
    <xf numFmtId="0" fontId="62" fillId="0" borderId="0" xfId="0" applyFont="1" applyAlignment="1">
      <alignment horizontal="left"/>
    </xf>
    <xf numFmtId="166" fontId="0" fillId="0" borderId="41" xfId="36" applyFont="1" applyFill="1" applyBorder="1" applyAlignment="1">
      <alignment horizontal="center" vertical="center" wrapText="1"/>
    </xf>
    <xf numFmtId="191" fontId="21" fillId="0" borderId="0" xfId="0" applyNumberFormat="1" applyFont="1" applyAlignment="1">
      <alignment vertical="center" wrapText="1"/>
    </xf>
    <xf numFmtId="192" fontId="17" fillId="0" borderId="0" xfId="0" applyNumberFormat="1" applyFont="1" applyAlignment="1">
      <alignment vertical="center"/>
    </xf>
    <xf numFmtId="0" fontId="13" fillId="0" borderId="41" xfId="0" applyFont="1" applyBorder="1" applyAlignment="1">
      <alignment horizontal="center"/>
    </xf>
    <xf numFmtId="4" fontId="13" fillId="0" borderId="41" xfId="0" applyNumberFormat="1" applyFont="1" applyBorder="1"/>
    <xf numFmtId="9" fontId="12" fillId="0" borderId="0" xfId="36" applyNumberFormat="1" applyFont="1" applyFill="1" applyAlignment="1">
      <alignment horizontal="center"/>
    </xf>
    <xf numFmtId="4" fontId="12" fillId="0" borderId="41" xfId="0" applyNumberFormat="1" applyFont="1" applyBorder="1"/>
    <xf numFmtId="3" fontId="0" fillId="0" borderId="0" xfId="0" applyNumberFormat="1" applyAlignment="1">
      <alignment horizontal="center" vertical="center"/>
    </xf>
    <xf numFmtId="167" fontId="12" fillId="0" borderId="0" xfId="36" applyNumberFormat="1" applyFont="1" applyBorder="1" applyAlignment="1">
      <alignment horizontal="center" vertical="center"/>
    </xf>
    <xf numFmtId="166" fontId="13" fillId="0" borderId="0" xfId="36" applyFont="1" applyBorder="1"/>
    <xf numFmtId="166" fontId="13" fillId="0" borderId="0" xfId="36" applyFont="1" applyBorder="1" applyAlignment="1">
      <alignment horizontal="center"/>
    </xf>
    <xf numFmtId="167" fontId="16" fillId="0" borderId="0" xfId="134" applyNumberFormat="1" applyFont="1" applyAlignment="1">
      <alignment horizontal="left" vertical="center"/>
    </xf>
    <xf numFmtId="167" fontId="59" fillId="0" borderId="0" xfId="134" applyNumberFormat="1" applyFont="1"/>
    <xf numFmtId="167" fontId="59" fillId="0" borderId="0" xfId="134" applyNumberFormat="1" applyFont="1" applyAlignment="1">
      <alignment horizontal="center"/>
    </xf>
    <xf numFmtId="167" fontId="15" fillId="0" borderId="20" xfId="134" applyNumberFormat="1" applyFont="1" applyBorder="1" applyAlignment="1">
      <alignment horizontal="center"/>
    </xf>
    <xf numFmtId="167" fontId="59" fillId="0" borderId="20" xfId="134" applyNumberFormat="1" applyFont="1" applyBorder="1"/>
    <xf numFmtId="167" fontId="59" fillId="28" borderId="0" xfId="135" applyNumberFormat="1" applyFont="1" applyFill="1"/>
    <xf numFmtId="167" fontId="59" fillId="0" borderId="0" xfId="135" applyNumberFormat="1" applyFont="1"/>
    <xf numFmtId="167" fontId="75" fillId="0" borderId="0" xfId="135" applyNumberFormat="1" applyFont="1" applyAlignment="1">
      <alignment horizontal="center"/>
    </xf>
    <xf numFmtId="167" fontId="59" fillId="23" borderId="20" xfId="36" applyNumberFormat="1" applyFont="1" applyFill="1" applyBorder="1"/>
    <xf numFmtId="167" fontId="59" fillId="0" borderId="20" xfId="36" applyNumberFormat="1" applyFont="1" applyBorder="1"/>
    <xf numFmtId="167" fontId="15" fillId="0" borderId="20" xfId="36" applyNumberFormat="1" applyFont="1" applyBorder="1"/>
    <xf numFmtId="167" fontId="15" fillId="0" borderId="21" xfId="36" applyNumberFormat="1" applyFont="1" applyBorder="1"/>
    <xf numFmtId="167" fontId="59" fillId="0" borderId="20" xfId="36" applyNumberFormat="1" applyFont="1" applyFill="1" applyBorder="1"/>
    <xf numFmtId="167" fontId="59" fillId="0" borderId="21" xfId="36" applyNumberFormat="1" applyFont="1" applyBorder="1"/>
    <xf numFmtId="167" fontId="59" fillId="0" borderId="22" xfId="36" applyNumberFormat="1" applyFont="1" applyBorder="1"/>
    <xf numFmtId="167" fontId="15" fillId="0" borderId="20" xfId="36" applyNumberFormat="1" applyFont="1" applyBorder="1" applyAlignment="1">
      <alignment vertical="center"/>
    </xf>
    <xf numFmtId="0" fontId="21" fillId="0" borderId="0" xfId="145" applyFont="1"/>
    <xf numFmtId="0" fontId="21" fillId="0" borderId="0" xfId="145" applyFont="1" applyAlignment="1">
      <alignment horizontal="left"/>
    </xf>
    <xf numFmtId="14" fontId="21" fillId="0" borderId="0" xfId="145" applyNumberFormat="1" applyFont="1"/>
    <xf numFmtId="166" fontId="21" fillId="0" borderId="0" xfId="36" applyFont="1"/>
    <xf numFmtId="49" fontId="13" fillId="0" borderId="0" xfId="145" applyNumberFormat="1" applyFont="1"/>
    <xf numFmtId="0" fontId="12" fillId="0" borderId="0" xfId="145"/>
    <xf numFmtId="0" fontId="40" fillId="0" borderId="0" xfId="106" applyFont="1"/>
    <xf numFmtId="0" fontId="12" fillId="0" borderId="0" xfId="145" applyAlignment="1">
      <alignment vertical="center"/>
    </xf>
    <xf numFmtId="0" fontId="55" fillId="0" borderId="0" xfId="145" applyFont="1"/>
    <xf numFmtId="166" fontId="55" fillId="0" borderId="0" xfId="36" applyFont="1"/>
    <xf numFmtId="0" fontId="55" fillId="0" borderId="0" xfId="145" applyFont="1" applyAlignment="1">
      <alignment vertical="center"/>
    </xf>
    <xf numFmtId="164" fontId="12" fillId="0" borderId="0" xfId="145" applyNumberFormat="1"/>
    <xf numFmtId="166" fontId="12" fillId="0" borderId="0" xfId="65" applyNumberFormat="1" applyAlignment="1">
      <alignment horizontal="center"/>
    </xf>
    <xf numFmtId="0" fontId="13" fillId="0" borderId="0" xfId="106" applyFont="1"/>
    <xf numFmtId="4" fontId="12" fillId="0" borderId="0" xfId="145" applyNumberFormat="1"/>
    <xf numFmtId="164" fontId="12" fillId="0" borderId="0" xfId="145" applyNumberFormat="1" applyAlignment="1">
      <alignment vertical="center"/>
    </xf>
    <xf numFmtId="166" fontId="12" fillId="0" borderId="0" xfId="145" applyNumberFormat="1"/>
    <xf numFmtId="164" fontId="55" fillId="0" borderId="0" xfId="145" applyNumberFormat="1" applyFont="1"/>
    <xf numFmtId="49" fontId="0" fillId="0" borderId="0" xfId="0" quotePrefix="1" applyNumberFormat="1"/>
    <xf numFmtId="49" fontId="0" fillId="0" borderId="0" xfId="0" applyNumberFormat="1"/>
    <xf numFmtId="0" fontId="12" fillId="0" borderId="0" xfId="106" applyAlignment="1">
      <alignment horizontal="center"/>
    </xf>
    <xf numFmtId="49" fontId="12" fillId="0" borderId="0" xfId="106" applyNumberFormat="1" applyAlignment="1">
      <alignment horizontal="center"/>
    </xf>
    <xf numFmtId="171" fontId="12" fillId="0" borderId="0" xfId="106" applyNumberFormat="1" applyAlignment="1">
      <alignment horizontal="center"/>
    </xf>
    <xf numFmtId="1" fontId="12" fillId="23" borderId="0" xfId="106" applyNumberFormat="1" applyFill="1" applyAlignment="1">
      <alignment horizontal="center"/>
    </xf>
    <xf numFmtId="14" fontId="12" fillId="0" borderId="0" xfId="106" applyNumberFormat="1"/>
    <xf numFmtId="0" fontId="12" fillId="28" borderId="0" xfId="106" applyFill="1" applyAlignment="1">
      <alignment horizontal="center"/>
    </xf>
    <xf numFmtId="2" fontId="12" fillId="0" borderId="0" xfId="106" applyNumberFormat="1"/>
    <xf numFmtId="166" fontId="12" fillId="0" borderId="0" xfId="106" applyNumberFormat="1"/>
    <xf numFmtId="14" fontId="13" fillId="34" borderId="0" xfId="106" applyNumberFormat="1" applyFont="1" applyFill="1" applyAlignment="1">
      <alignment horizontal="left" vertical="center" wrapText="1"/>
    </xf>
    <xf numFmtId="171" fontId="13" fillId="0" borderId="0" xfId="106" applyNumberFormat="1" applyFont="1" applyAlignment="1">
      <alignment horizontal="center"/>
    </xf>
    <xf numFmtId="0" fontId="13" fillId="0" borderId="0" xfId="106" applyFont="1" applyAlignment="1">
      <alignment horizontal="center"/>
    </xf>
    <xf numFmtId="2" fontId="13" fillId="0" borderId="0" xfId="106" applyNumberFormat="1" applyFont="1"/>
    <xf numFmtId="14" fontId="13" fillId="0" borderId="0" xfId="106" applyNumberFormat="1" applyFont="1"/>
    <xf numFmtId="166" fontId="13" fillId="0" borderId="0" xfId="106" applyNumberFormat="1" applyFont="1"/>
    <xf numFmtId="14" fontId="13" fillId="0" borderId="0" xfId="106" applyNumberFormat="1" applyFont="1" applyAlignment="1">
      <alignment horizontal="left" vertical="center" wrapText="1"/>
    </xf>
    <xf numFmtId="14" fontId="12" fillId="0" borderId="0" xfId="106" applyNumberFormat="1" applyAlignment="1">
      <alignment horizontal="left" vertical="center" wrapText="1"/>
    </xf>
    <xf numFmtId="14" fontId="13" fillId="38" borderId="0" xfId="106" applyNumberFormat="1" applyFont="1" applyFill="1" applyAlignment="1">
      <alignment horizontal="left" vertical="center" wrapText="1"/>
    </xf>
    <xf numFmtId="0" fontId="12" fillId="39" borderId="0" xfId="106" applyFill="1"/>
    <xf numFmtId="14" fontId="13" fillId="39" borderId="0" xfId="106" applyNumberFormat="1" applyFont="1" applyFill="1" applyAlignment="1">
      <alignment horizontal="left" vertical="center" wrapText="1"/>
    </xf>
    <xf numFmtId="43" fontId="12" fillId="0" borderId="0" xfId="106" applyNumberFormat="1"/>
    <xf numFmtId="43" fontId="13" fillId="0" borderId="0" xfId="106" applyNumberFormat="1" applyFont="1"/>
    <xf numFmtId="193" fontId="79" fillId="0" borderId="0" xfId="106" applyNumberFormat="1" applyFont="1" applyAlignment="1">
      <alignment horizontal="center"/>
    </xf>
    <xf numFmtId="14" fontId="79" fillId="36" borderId="0" xfId="106" applyNumberFormat="1" applyFont="1" applyFill="1" applyAlignment="1">
      <alignment horizontal="left" vertical="center" wrapText="1"/>
    </xf>
    <xf numFmtId="14" fontId="80" fillId="36" borderId="0" xfId="106" applyNumberFormat="1" applyFont="1" applyFill="1" applyAlignment="1">
      <alignment horizontal="left" vertical="center" wrapText="1"/>
    </xf>
    <xf numFmtId="193" fontId="80" fillId="0" borderId="0" xfId="106" applyNumberFormat="1" applyFont="1" applyAlignment="1">
      <alignment horizontal="center"/>
    </xf>
    <xf numFmtId="14" fontId="80" fillId="0" borderId="0" xfId="106" applyNumberFormat="1" applyFont="1" applyAlignment="1">
      <alignment horizontal="left" vertical="center" wrapText="1"/>
    </xf>
    <xf numFmtId="0" fontId="12" fillId="40" borderId="0" xfId="106" applyFill="1"/>
    <xf numFmtId="193" fontId="12" fillId="0" borderId="0" xfId="106" applyNumberFormat="1" applyAlignment="1">
      <alignment horizontal="center"/>
    </xf>
    <xf numFmtId="14" fontId="13" fillId="40" borderId="0" xfId="106" applyNumberFormat="1" applyFont="1" applyFill="1" applyAlignment="1">
      <alignment horizontal="left" vertical="center"/>
    </xf>
    <xf numFmtId="193" fontId="13" fillId="0" borderId="0" xfId="106" applyNumberFormat="1" applyFont="1" applyAlignment="1">
      <alignment horizontal="center"/>
    </xf>
    <xf numFmtId="14" fontId="13" fillId="0" borderId="0" xfId="106" applyNumberFormat="1" applyFont="1" applyAlignment="1">
      <alignment horizontal="left" vertical="center"/>
    </xf>
    <xf numFmtId="14" fontId="12" fillId="41" borderId="0" xfId="106" applyNumberFormat="1" applyFill="1" applyAlignment="1">
      <alignment horizontal="left" vertical="center"/>
    </xf>
    <xf numFmtId="14" fontId="13" fillId="41" borderId="0" xfId="106" applyNumberFormat="1" applyFont="1" applyFill="1" applyAlignment="1">
      <alignment horizontal="left" vertical="center"/>
    </xf>
    <xf numFmtId="14" fontId="12" fillId="0" borderId="0" xfId="106" applyNumberFormat="1" applyAlignment="1">
      <alignment horizontal="left" vertical="center"/>
    </xf>
    <xf numFmtId="0" fontId="12" fillId="42" borderId="0" xfId="106" applyFill="1"/>
    <xf numFmtId="14" fontId="13" fillId="42" borderId="0" xfId="106" applyNumberFormat="1" applyFont="1" applyFill="1" applyAlignment="1">
      <alignment horizontal="left" vertical="center" wrapText="1"/>
    </xf>
    <xf numFmtId="0" fontId="12" fillId="43" borderId="0" xfId="106" applyFill="1"/>
    <xf numFmtId="14" fontId="12" fillId="44" borderId="0" xfId="106" applyNumberFormat="1" applyFill="1"/>
    <xf numFmtId="164" fontId="12" fillId="0" borderId="0" xfId="106" applyNumberFormat="1"/>
    <xf numFmtId="0" fontId="57" fillId="0" borderId="0" xfId="106" applyFont="1"/>
    <xf numFmtId="164" fontId="12" fillId="0" borderId="0" xfId="106" applyNumberFormat="1" applyAlignment="1">
      <alignment horizontal="center"/>
    </xf>
    <xf numFmtId="0" fontId="12" fillId="0" borderId="0" xfId="106" applyAlignment="1">
      <alignment horizontal="right"/>
    </xf>
    <xf numFmtId="166" fontId="61" fillId="0" borderId="0" xfId="36" applyFont="1" applyAlignment="1">
      <alignment horizontal="center"/>
    </xf>
    <xf numFmtId="166" fontId="61" fillId="45" borderId="0" xfId="106" applyNumberFormat="1" applyFont="1" applyFill="1"/>
    <xf numFmtId="171" fontId="12" fillId="0" borderId="0" xfId="106" applyNumberFormat="1"/>
    <xf numFmtId="0" fontId="0" fillId="0" borderId="0" xfId="64" applyFont="1"/>
    <xf numFmtId="164" fontId="0" fillId="0" borderId="0" xfId="64" applyNumberFormat="1" applyFont="1"/>
    <xf numFmtId="0" fontId="0" fillId="0" borderId="0" xfId="46" applyFont="1" applyAlignment="1">
      <alignment vertical="center" wrapText="1"/>
    </xf>
    <xf numFmtId="1" fontId="0" fillId="0" borderId="0" xfId="94" applyNumberFormat="1" applyFont="1" applyAlignment="1">
      <alignment horizontal="center"/>
    </xf>
    <xf numFmtId="0" fontId="38" fillId="0" borderId="0" xfId="0" applyFont="1"/>
    <xf numFmtId="0" fontId="38" fillId="0" borderId="0" xfId="0" applyFont="1" applyAlignment="1">
      <alignment horizontal="center"/>
    </xf>
    <xf numFmtId="166" fontId="38" fillId="0" borderId="0" xfId="36" applyFont="1"/>
    <xf numFmtId="4" fontId="38" fillId="0" borderId="0" xfId="0" applyNumberFormat="1" applyFont="1"/>
    <xf numFmtId="0" fontId="38" fillId="0" borderId="0" xfId="0" applyFont="1" applyAlignment="1">
      <alignment horizontal="right"/>
    </xf>
    <xf numFmtId="166" fontId="51" fillId="0" borderId="0" xfId="36" applyFont="1"/>
    <xf numFmtId="164" fontId="38" fillId="0" borderId="0" xfId="0" applyNumberFormat="1" applyFont="1"/>
    <xf numFmtId="3" fontId="81" fillId="0" borderId="0" xfId="0" applyNumberFormat="1" applyFont="1" applyAlignment="1">
      <alignment horizontal="center"/>
    </xf>
    <xf numFmtId="166" fontId="38" fillId="0" borderId="0" xfId="38" applyFont="1"/>
    <xf numFmtId="166" fontId="38" fillId="0" borderId="0" xfId="0" applyNumberFormat="1" applyFont="1"/>
    <xf numFmtId="167" fontId="38" fillId="0" borderId="0" xfId="38" applyNumberFormat="1" applyFont="1" applyAlignment="1">
      <alignment horizontal="center" vertical="center"/>
    </xf>
    <xf numFmtId="166" fontId="82" fillId="0" borderId="0" xfId="38" applyFont="1" applyAlignment="1">
      <alignment horizontal="center"/>
    </xf>
    <xf numFmtId="0" fontId="51" fillId="0" borderId="0" xfId="0" applyFont="1"/>
    <xf numFmtId="10" fontId="13" fillId="0" borderId="0" xfId="48" applyNumberFormat="1" applyFont="1" applyAlignment="1">
      <alignment horizontal="center" vertical="center" wrapText="1"/>
    </xf>
    <xf numFmtId="194" fontId="12" fillId="0" borderId="0" xfId="36" applyNumberFormat="1" applyFont="1" applyFill="1" applyAlignment="1">
      <alignment horizontal="center" vertical="center"/>
    </xf>
    <xf numFmtId="0" fontId="16" fillId="0" borderId="17" xfId="0" applyFont="1" applyBorder="1"/>
    <xf numFmtId="177" fontId="12" fillId="0" borderId="0" xfId="36" applyNumberFormat="1" applyFont="1" applyAlignment="1">
      <alignment vertical="center"/>
    </xf>
    <xf numFmtId="0" fontId="16" fillId="0" borderId="55" xfId="0" applyFont="1" applyBorder="1"/>
    <xf numFmtId="166" fontId="70" fillId="0" borderId="11" xfId="36" applyFont="1" applyBorder="1" applyAlignment="1">
      <alignment horizontal="center"/>
    </xf>
    <xf numFmtId="166" fontId="16" fillId="0" borderId="54" xfId="36" applyFont="1" applyBorder="1" applyAlignment="1">
      <alignment horizontal="center"/>
    </xf>
    <xf numFmtId="164" fontId="16" fillId="28" borderId="15" xfId="0" applyNumberFormat="1" applyFont="1" applyFill="1" applyBorder="1" applyAlignment="1">
      <alignment horizontal="center"/>
    </xf>
    <xf numFmtId="167" fontId="15" fillId="0" borderId="20" xfId="36" applyNumberFormat="1" applyFont="1" applyFill="1" applyBorder="1"/>
    <xf numFmtId="0" fontId="13" fillId="0" borderId="0" xfId="134" applyFont="1"/>
    <xf numFmtId="0" fontId="12" fillId="0" borderId="41" xfId="0" applyFont="1" applyBorder="1" applyAlignment="1">
      <alignment vertical="center"/>
    </xf>
    <xf numFmtId="166" fontId="0" fillId="0" borderId="0" xfId="36" applyFont="1" applyFill="1" applyAlignment="1">
      <alignment horizontal="center" vertical="center"/>
    </xf>
    <xf numFmtId="4" fontId="12" fillId="0" borderId="0" xfId="48" applyNumberFormat="1" applyFont="1" applyFill="1"/>
    <xf numFmtId="0" fontId="38" fillId="0" borderId="56" xfId="0" applyFont="1" applyBorder="1" applyAlignment="1">
      <alignment horizontal="center"/>
    </xf>
    <xf numFmtId="183" fontId="13" fillId="0" borderId="56" xfId="107" applyFont="1" applyBorder="1"/>
    <xf numFmtId="183" fontId="12" fillId="0" borderId="56" xfId="107" applyBorder="1"/>
    <xf numFmtId="0" fontId="17" fillId="0" borderId="58" xfId="0" applyFont="1" applyBorder="1"/>
    <xf numFmtId="175" fontId="17" fillId="0" borderId="59" xfId="42" applyFont="1" applyBorder="1"/>
    <xf numFmtId="0" fontId="16" fillId="0" borderId="59" xfId="0" applyFont="1" applyBorder="1" applyAlignment="1">
      <alignment horizontal="center"/>
    </xf>
    <xf numFmtId="2" fontId="17" fillId="0" borderId="59" xfId="0" applyNumberFormat="1" applyFont="1" applyBorder="1" applyAlignment="1">
      <alignment horizontal="center"/>
    </xf>
    <xf numFmtId="166" fontId="17" fillId="0" borderId="60" xfId="36" applyFont="1" applyFill="1" applyBorder="1"/>
    <xf numFmtId="0" fontId="13" fillId="0" borderId="41" xfId="0" applyFont="1" applyBorder="1" applyAlignment="1">
      <alignment horizontal="right"/>
    </xf>
    <xf numFmtId="4" fontId="0" fillId="0" borderId="41" xfId="0" applyNumberFormat="1" applyBorder="1"/>
    <xf numFmtId="0" fontId="13" fillId="0" borderId="56" xfId="64" applyFont="1" applyBorder="1"/>
    <xf numFmtId="0" fontId="12" fillId="0" borderId="56" xfId="64" applyBorder="1" applyAlignment="1">
      <alignment horizontal="left" vertical="center" wrapText="1" indent="1" shrinkToFit="1"/>
    </xf>
    <xf numFmtId="0" fontId="13" fillId="0" borderId="56" xfId="64" applyFont="1" applyBorder="1" applyAlignment="1">
      <alignment horizontal="justify" vertical="center" wrapText="1" shrinkToFit="1"/>
    </xf>
    <xf numFmtId="0" fontId="13" fillId="0" borderId="56" xfId="64" applyFont="1" applyBorder="1" applyAlignment="1">
      <alignment wrapText="1"/>
    </xf>
    <xf numFmtId="0" fontId="12" fillId="0" borderId="61" xfId="0" applyFont="1" applyBorder="1" applyAlignment="1">
      <alignment horizontal="left" vertical="center" wrapText="1"/>
    </xf>
    <xf numFmtId="166" fontId="12" fillId="21" borderId="61" xfId="36" applyFont="1" applyFill="1" applyBorder="1" applyAlignment="1">
      <alignment vertical="center"/>
    </xf>
    <xf numFmtId="0" fontId="12" fillId="0" borderId="61" xfId="0" applyFont="1" applyBorder="1" applyAlignment="1">
      <alignment vertical="center"/>
    </xf>
    <xf numFmtId="166" fontId="16" fillId="28" borderId="63" xfId="0" applyNumberFormat="1" applyFont="1" applyFill="1" applyBorder="1" applyAlignment="1">
      <alignment horizontal="center"/>
    </xf>
    <xf numFmtId="166" fontId="16" fillId="0" borderId="64" xfId="36" applyFont="1" applyBorder="1" applyAlignment="1">
      <alignment horizontal="center"/>
    </xf>
    <xf numFmtId="166" fontId="70" fillId="0" borderId="65" xfId="36" applyFont="1" applyBorder="1" applyAlignment="1">
      <alignment horizontal="center"/>
    </xf>
    <xf numFmtId="166" fontId="13" fillId="0" borderId="68" xfId="36" applyFont="1" applyFill="1" applyBorder="1" applyAlignment="1">
      <alignment horizontal="center"/>
    </xf>
    <xf numFmtId="14" fontId="17" fillId="0" borderId="0" xfId="0" applyNumberFormat="1" applyFont="1" applyAlignment="1">
      <alignment vertical="center"/>
    </xf>
    <xf numFmtId="167" fontId="12" fillId="0" borderId="0" xfId="75" applyNumberFormat="1"/>
    <xf numFmtId="175" fontId="13" fillId="0" borderId="69" xfId="43" applyFont="1" applyBorder="1" applyAlignment="1">
      <alignment horizontal="center" vertical="center" wrapText="1"/>
    </xf>
    <xf numFmtId="0" fontId="12" fillId="0" borderId="0" xfId="0" applyFont="1" applyAlignment="1">
      <alignment vertical="center" wrapText="1"/>
    </xf>
    <xf numFmtId="169" fontId="12" fillId="0" borderId="0" xfId="0" applyNumberFormat="1" applyFont="1" applyAlignment="1">
      <alignment vertical="center"/>
    </xf>
    <xf numFmtId="166" fontId="12" fillId="0" borderId="70" xfId="77" applyBorder="1" applyAlignment="1">
      <alignment horizontal="center"/>
    </xf>
    <xf numFmtId="166" fontId="13" fillId="0" borderId="56" xfId="77" applyFont="1" applyBorder="1" applyAlignment="1">
      <alignment vertical="center"/>
    </xf>
    <xf numFmtId="0" fontId="16" fillId="0" borderId="0" xfId="75" applyFont="1" applyAlignment="1">
      <alignment vertical="center"/>
    </xf>
    <xf numFmtId="4" fontId="17" fillId="0" borderId="0" xfId="75" applyNumberFormat="1" applyFont="1" applyAlignment="1">
      <alignment vertical="center"/>
    </xf>
    <xf numFmtId="169" fontId="12" fillId="0" borderId="71" xfId="77" applyNumberFormat="1" applyBorder="1" applyAlignment="1">
      <alignment horizontal="center"/>
    </xf>
    <xf numFmtId="0" fontId="12" fillId="28" borderId="0" xfId="0" applyFont="1" applyFill="1" applyAlignment="1">
      <alignment horizontal="left" vertical="center" wrapText="1"/>
    </xf>
    <xf numFmtId="0" fontId="12" fillId="28" borderId="0" xfId="0" applyFont="1" applyFill="1" applyAlignment="1">
      <alignment wrapText="1"/>
    </xf>
    <xf numFmtId="0" fontId="12" fillId="28" borderId="0" xfId="0" applyFont="1" applyFill="1" applyAlignment="1">
      <alignment horizontal="left"/>
    </xf>
    <xf numFmtId="14" fontId="12" fillId="28" borderId="0" xfId="0" applyNumberFormat="1" applyFont="1" applyFill="1" applyAlignment="1">
      <alignment horizontal="left"/>
    </xf>
    <xf numFmtId="10" fontId="12" fillId="28" borderId="0" xfId="0" applyNumberFormat="1" applyFont="1" applyFill="1" applyAlignment="1">
      <alignment horizontal="left" vertical="top" wrapText="1"/>
    </xf>
    <xf numFmtId="10" fontId="12" fillId="28" borderId="0" xfId="0" applyNumberFormat="1" applyFont="1" applyFill="1" applyAlignment="1">
      <alignment horizontal="left" wrapText="1"/>
    </xf>
    <xf numFmtId="0" fontId="60" fillId="28" borderId="0" xfId="0" applyFont="1" applyFill="1"/>
    <xf numFmtId="14" fontId="55" fillId="0" borderId="0" xfId="75" applyNumberFormat="1" applyFont="1" applyAlignment="1">
      <alignment horizontal="center" vertical="center"/>
    </xf>
    <xf numFmtId="3" fontId="55" fillId="0" borderId="0" xfId="0" applyNumberFormat="1" applyFont="1" applyAlignment="1">
      <alignment vertical="center"/>
    </xf>
    <xf numFmtId="4" fontId="55" fillId="0" borderId="0" xfId="0" applyNumberFormat="1" applyFont="1" applyAlignment="1">
      <alignment horizontal="left" vertical="center"/>
    </xf>
    <xf numFmtId="4" fontId="12" fillId="0" borderId="0" xfId="48" applyNumberFormat="1" applyFont="1" applyFill="1" applyAlignment="1">
      <alignment horizontal="right"/>
    </xf>
    <xf numFmtId="166" fontId="12" fillId="0" borderId="0" xfId="36" applyFont="1" applyFill="1" applyAlignment="1">
      <alignment horizontal="left" vertical="center"/>
    </xf>
    <xf numFmtId="4" fontId="12" fillId="0" borderId="0" xfId="0" applyNumberFormat="1" applyFont="1" applyAlignment="1">
      <alignment horizontal="right"/>
    </xf>
    <xf numFmtId="4" fontId="13" fillId="0" borderId="0" xfId="0" applyNumberFormat="1" applyFont="1" applyAlignment="1">
      <alignment horizontal="center" vertical="center"/>
    </xf>
    <xf numFmtId="10" fontId="12" fillId="0" borderId="0" xfId="0" applyNumberFormat="1" applyFont="1" applyAlignment="1">
      <alignment horizontal="center"/>
    </xf>
    <xf numFmtId="14" fontId="21" fillId="0" borderId="0" xfId="0" applyNumberFormat="1" applyFont="1"/>
    <xf numFmtId="178" fontId="13" fillId="0" borderId="0" xfId="0" applyNumberFormat="1" applyFont="1" applyAlignment="1">
      <alignment horizontal="center" vertical="center"/>
    </xf>
    <xf numFmtId="0" fontId="12" fillId="0" borderId="50" xfId="0" applyFont="1" applyBorder="1" applyAlignment="1">
      <alignment horizontal="center" vertical="center" wrapText="1"/>
    </xf>
    <xf numFmtId="0" fontId="12" fillId="0" borderId="56" xfId="0" applyFont="1" applyBorder="1" applyAlignment="1">
      <alignment horizontal="center" vertical="center" wrapText="1"/>
    </xf>
    <xf numFmtId="0" fontId="12" fillId="0" borderId="51" xfId="0" applyFont="1" applyBorder="1" applyAlignment="1">
      <alignment horizontal="center" vertical="center" wrapText="1"/>
    </xf>
    <xf numFmtId="3" fontId="0" fillId="0" borderId="29" xfId="0" applyNumberFormat="1" applyBorder="1" applyAlignment="1">
      <alignment horizontal="center" vertical="center"/>
    </xf>
    <xf numFmtId="166" fontId="12" fillId="0" borderId="29" xfId="36" applyFont="1" applyFill="1" applyBorder="1" applyAlignment="1">
      <alignment horizontal="center" vertical="center"/>
    </xf>
    <xf numFmtId="166" fontId="13" fillId="0" borderId="66" xfId="36" applyFont="1" applyFill="1" applyBorder="1"/>
    <xf numFmtId="166" fontId="13" fillId="0" borderId="67" xfId="36" applyFont="1" applyFill="1" applyBorder="1"/>
    <xf numFmtId="166" fontId="12" fillId="0" borderId="52" xfId="36" applyFont="1" applyFill="1" applyBorder="1" applyAlignment="1">
      <alignment horizontal="center" vertical="center"/>
    </xf>
    <xf numFmtId="166" fontId="13" fillId="0" borderId="66" xfId="36" applyFont="1" applyFill="1" applyBorder="1" applyAlignment="1">
      <alignment horizontal="center"/>
    </xf>
    <xf numFmtId="166" fontId="13" fillId="0" borderId="67" xfId="36" applyFont="1" applyFill="1" applyBorder="1" applyAlignment="1">
      <alignment horizontal="center"/>
    </xf>
    <xf numFmtId="166" fontId="0" fillId="0" borderId="29" xfId="36" applyFont="1" applyFill="1" applyBorder="1" applyAlignment="1">
      <alignment horizontal="center" vertical="center"/>
    </xf>
    <xf numFmtId="166" fontId="0" fillId="0" borderId="52" xfId="36" applyFont="1" applyFill="1" applyBorder="1" applyAlignment="1">
      <alignment horizontal="center" vertical="center"/>
    </xf>
    <xf numFmtId="167" fontId="17" fillId="0" borderId="53" xfId="36" applyNumberFormat="1" applyFont="1" applyFill="1" applyBorder="1" applyAlignment="1">
      <alignment horizontal="center" vertical="center"/>
    </xf>
    <xf numFmtId="167" fontId="17" fillId="0" borderId="12" xfId="36" applyNumberFormat="1" applyFont="1" applyFill="1" applyBorder="1" applyAlignment="1">
      <alignment horizontal="center" vertical="center"/>
    </xf>
    <xf numFmtId="10" fontId="17" fillId="0" borderId="12" xfId="48" applyNumberFormat="1" applyFont="1" applyFill="1" applyBorder="1" applyAlignment="1">
      <alignment horizontal="center" vertical="center"/>
    </xf>
    <xf numFmtId="167" fontId="17" fillId="0" borderId="27" xfId="36" applyNumberFormat="1" applyFont="1" applyFill="1" applyBorder="1" applyAlignment="1">
      <alignment horizontal="center" vertical="center"/>
    </xf>
    <xf numFmtId="3" fontId="0" fillId="0" borderId="14" xfId="0" applyNumberFormat="1" applyBorder="1" applyAlignment="1">
      <alignment horizontal="right"/>
    </xf>
    <xf numFmtId="14" fontId="21" fillId="0" borderId="0" xfId="0" applyNumberFormat="1" applyFont="1" applyAlignment="1">
      <alignment horizontal="center"/>
    </xf>
    <xf numFmtId="4" fontId="13" fillId="0" borderId="0" xfId="0" applyNumberFormat="1" applyFont="1"/>
    <xf numFmtId="10" fontId="13" fillId="0" borderId="0" xfId="0" applyNumberFormat="1" applyFont="1" applyAlignment="1">
      <alignment horizontal="center"/>
    </xf>
    <xf numFmtId="167" fontId="17" fillId="0" borderId="0" xfId="36" applyNumberFormat="1" applyFont="1" applyFill="1" applyBorder="1" applyAlignment="1">
      <alignment horizontal="center" vertical="center"/>
    </xf>
    <xf numFmtId="4" fontId="77" fillId="0" borderId="0" xfId="146" applyNumberFormat="1" applyFont="1" applyAlignment="1">
      <alignment horizontal="center" vertical="center" wrapText="1"/>
    </xf>
    <xf numFmtId="166" fontId="12" fillId="0" borderId="0" xfId="147" applyFont="1" applyBorder="1" applyAlignment="1">
      <alignment horizontal="center" vertical="center"/>
    </xf>
    <xf numFmtId="166" fontId="13" fillId="0" borderId="0" xfId="36" applyFont="1" applyFill="1" applyBorder="1" applyAlignment="1">
      <alignment horizontal="center" vertical="center"/>
    </xf>
    <xf numFmtId="166" fontId="13" fillId="0" borderId="0" xfId="147" applyFont="1" applyBorder="1" applyAlignment="1">
      <alignment horizontal="center" vertical="center"/>
    </xf>
    <xf numFmtId="9" fontId="12" fillId="23" borderId="41" xfId="36" applyNumberFormat="1" applyFill="1" applyBorder="1" applyAlignment="1">
      <alignment horizontal="center" vertical="center"/>
    </xf>
    <xf numFmtId="0" fontId="85" fillId="0" borderId="47" xfId="0" applyFont="1" applyBorder="1" applyAlignment="1">
      <alignment horizontal="left"/>
    </xf>
    <xf numFmtId="166" fontId="12" fillId="0" borderId="72" xfId="0" applyNumberFormat="1" applyFont="1" applyBorder="1"/>
    <xf numFmtId="187" fontId="12" fillId="0" borderId="41" xfId="48" applyNumberFormat="1" applyFont="1" applyBorder="1" applyAlignment="1">
      <alignment horizontal="center"/>
    </xf>
    <xf numFmtId="0" fontId="59" fillId="0" borderId="0" xfId="134" applyFont="1" applyAlignment="1">
      <alignment horizontal="left"/>
    </xf>
    <xf numFmtId="0" fontId="12" fillId="0" borderId="0" xfId="142"/>
    <xf numFmtId="182" fontId="13" fillId="0" borderId="0" xfId="36" applyNumberFormat="1" applyFont="1" applyAlignment="1">
      <alignment horizontal="center" vertical="center"/>
    </xf>
    <xf numFmtId="195" fontId="0" fillId="0" borderId="0" xfId="0" applyNumberFormat="1"/>
    <xf numFmtId="171" fontId="21" fillId="0" borderId="0" xfId="0" applyNumberFormat="1" applyFont="1" applyAlignment="1">
      <alignment horizontal="center" vertical="center"/>
    </xf>
    <xf numFmtId="166" fontId="12" fillId="0" borderId="0" xfId="135" applyFill="1" applyAlignment="1">
      <alignment horizontal="left" vertical="center"/>
    </xf>
    <xf numFmtId="166" fontId="12" fillId="28" borderId="0" xfId="135" applyFill="1" applyAlignment="1">
      <alignment horizontal="left" vertical="center"/>
    </xf>
    <xf numFmtId="166" fontId="12" fillId="0" borderId="41" xfId="36" applyFill="1" applyBorder="1" applyAlignment="1">
      <alignment horizontal="center"/>
    </xf>
    <xf numFmtId="166" fontId="12" fillId="28" borderId="49" xfId="36" applyFont="1" applyFill="1" applyBorder="1" applyAlignment="1">
      <alignment horizontal="center"/>
    </xf>
    <xf numFmtId="166" fontId="0" fillId="28" borderId="49" xfId="36" applyFont="1" applyFill="1" applyBorder="1" applyAlignment="1">
      <alignment horizontal="center"/>
    </xf>
    <xf numFmtId="166" fontId="12" fillId="28" borderId="0" xfId="36" applyFill="1" applyBorder="1" applyAlignment="1">
      <alignment horizontal="center"/>
    </xf>
    <xf numFmtId="166" fontId="12" fillId="0" borderId="0" xfId="36" applyFont="1" applyAlignment="1">
      <alignment horizontal="center"/>
    </xf>
    <xf numFmtId="166" fontId="12" fillId="23" borderId="41" xfId="36" applyFill="1" applyBorder="1" applyAlignment="1">
      <alignment horizontal="center" vertical="center"/>
    </xf>
    <xf numFmtId="166" fontId="17" fillId="22" borderId="12" xfId="36" applyFont="1" applyFill="1" applyBorder="1" applyAlignment="1">
      <alignment horizontal="center" vertical="center"/>
    </xf>
    <xf numFmtId="166" fontId="17" fillId="0" borderId="27" xfId="36" applyFont="1" applyFill="1" applyBorder="1" applyAlignment="1">
      <alignment horizontal="center" vertical="center"/>
    </xf>
    <xf numFmtId="166" fontId="0" fillId="0" borderId="52" xfId="36" applyFont="1" applyBorder="1" applyAlignment="1">
      <alignment horizontal="center" vertical="center"/>
    </xf>
    <xf numFmtId="166" fontId="17" fillId="0" borderId="10" xfId="36" applyFont="1" applyFill="1" applyBorder="1" applyAlignment="1">
      <alignment horizontal="center" vertical="center"/>
    </xf>
    <xf numFmtId="14" fontId="0" fillId="0" borderId="41" xfId="0" applyNumberFormat="1" applyBorder="1" applyAlignment="1">
      <alignment vertical="center" wrapText="1"/>
    </xf>
    <xf numFmtId="166" fontId="0" fillId="23" borderId="0" xfId="0" applyNumberFormat="1" applyFill="1" applyAlignment="1">
      <alignment vertical="center"/>
    </xf>
    <xf numFmtId="171" fontId="0" fillId="23" borderId="0" xfId="0" applyNumberFormat="1" applyFill="1" applyAlignment="1">
      <alignment horizontal="center" vertical="center"/>
    </xf>
    <xf numFmtId="166" fontId="0" fillId="0" borderId="0" xfId="36" applyFont="1" applyAlignment="1">
      <alignment vertical="center"/>
    </xf>
    <xf numFmtId="166" fontId="0" fillId="0" borderId="0" xfId="0" applyNumberFormat="1" applyAlignment="1">
      <alignment vertical="center"/>
    </xf>
    <xf numFmtId="177" fontId="0" fillId="0" borderId="0" xfId="36" applyNumberFormat="1" applyFont="1" applyAlignment="1">
      <alignment vertical="center"/>
    </xf>
    <xf numFmtId="166" fontId="12" fillId="28" borderId="46" xfId="77" applyFill="1" applyBorder="1" applyAlignment="1">
      <alignment vertical="center"/>
    </xf>
    <xf numFmtId="166" fontId="12" fillId="0" borderId="41" xfId="36" applyFont="1" applyBorder="1" applyAlignment="1">
      <alignment horizontal="center" vertical="center"/>
    </xf>
    <xf numFmtId="164" fontId="38" fillId="0" borderId="0" xfId="0" applyNumberFormat="1" applyFont="1" applyAlignment="1">
      <alignment horizontal="left" vertical="center"/>
    </xf>
    <xf numFmtId="14" fontId="18" fillId="0" borderId="0" xfId="106" applyNumberFormat="1" applyFont="1"/>
    <xf numFmtId="166" fontId="18" fillId="0" borderId="0" xfId="36" applyFont="1"/>
    <xf numFmtId="10" fontId="18" fillId="0" borderId="0" xfId="106" applyNumberFormat="1" applyFont="1"/>
    <xf numFmtId="0" fontId="12" fillId="0" borderId="46" xfId="0" applyFont="1" applyBorder="1" applyAlignment="1">
      <alignment horizontal="left"/>
    </xf>
    <xf numFmtId="183" fontId="61" fillId="0" borderId="0" xfId="107" applyFont="1" applyAlignment="1">
      <alignment horizontal="center"/>
    </xf>
    <xf numFmtId="1" fontId="12" fillId="23" borderId="0" xfId="148" applyNumberFormat="1" applyFill="1" applyAlignment="1">
      <alignment horizontal="center"/>
    </xf>
    <xf numFmtId="0" fontId="12" fillId="28" borderId="0" xfId="148" applyFill="1" applyAlignment="1">
      <alignment horizontal="center"/>
    </xf>
    <xf numFmtId="0" fontId="13" fillId="0" borderId="0" xfId="148" applyFont="1" applyAlignment="1">
      <alignment horizontal="center"/>
    </xf>
    <xf numFmtId="0" fontId="55" fillId="27" borderId="0" xfId="148" applyFont="1" applyFill="1" applyAlignment="1">
      <alignment horizontal="left"/>
    </xf>
    <xf numFmtId="0" fontId="55" fillId="0" borderId="0" xfId="75" applyFont="1"/>
    <xf numFmtId="195" fontId="0" fillId="0" borderId="0" xfId="0" applyNumberFormat="1" applyAlignment="1">
      <alignment horizontal="center" vertical="center"/>
    </xf>
    <xf numFmtId="0" fontId="18" fillId="0" borderId="73" xfId="0" applyFont="1" applyBorder="1" applyAlignment="1">
      <alignment vertical="center"/>
    </xf>
    <xf numFmtId="14" fontId="18" fillId="0" borderId="73" xfId="0" applyNumberFormat="1" applyFont="1" applyBorder="1" applyAlignment="1">
      <alignment horizontal="left" vertical="center" wrapText="1"/>
    </xf>
    <xf numFmtId="166" fontId="12" fillId="0" borderId="73" xfId="0" applyNumberFormat="1" applyFont="1" applyBorder="1" applyAlignment="1">
      <alignment horizontal="center" vertical="center"/>
    </xf>
    <xf numFmtId="0" fontId="12" fillId="0" borderId="72" xfId="0" applyFont="1" applyBorder="1" applyAlignment="1">
      <alignment horizontal="center" vertical="center"/>
    </xf>
    <xf numFmtId="0" fontId="12" fillId="0" borderId="74" xfId="0" applyFont="1" applyBorder="1" applyAlignment="1">
      <alignment horizontal="center" vertical="center"/>
    </xf>
    <xf numFmtId="166" fontId="12" fillId="0" borderId="72" xfId="36" applyFont="1" applyBorder="1" applyAlignment="1">
      <alignment horizontal="center" vertical="center"/>
    </xf>
    <xf numFmtId="0" fontId="13" fillId="0" borderId="73" xfId="0" applyFont="1" applyBorder="1" applyAlignment="1">
      <alignment vertical="center"/>
    </xf>
    <xf numFmtId="165" fontId="12" fillId="0" borderId="73" xfId="0" applyNumberFormat="1" applyFont="1" applyBorder="1" applyAlignment="1">
      <alignment horizontal="center" vertical="center"/>
    </xf>
    <xf numFmtId="166" fontId="12" fillId="0" borderId="73" xfId="0" applyNumberFormat="1" applyFont="1" applyBorder="1" applyAlignment="1">
      <alignment vertical="center"/>
    </xf>
    <xf numFmtId="166" fontId="12" fillId="0" borderId="73" xfId="0" applyNumberFormat="1" applyFont="1" applyBorder="1" applyAlignment="1">
      <alignment horizontal="right" vertical="center"/>
    </xf>
    <xf numFmtId="171" fontId="13" fillId="0" borderId="73" xfId="0" applyNumberFormat="1" applyFont="1" applyBorder="1" applyAlignment="1">
      <alignment vertical="center"/>
    </xf>
    <xf numFmtId="170" fontId="13" fillId="0" borderId="73" xfId="0" applyNumberFormat="1" applyFont="1" applyBorder="1" applyAlignment="1">
      <alignment vertical="center"/>
    </xf>
    <xf numFmtId="166" fontId="13" fillId="0" borderId="73" xfId="0" applyNumberFormat="1" applyFont="1" applyBorder="1" applyAlignment="1">
      <alignment vertical="center"/>
    </xf>
    <xf numFmtId="166" fontId="13" fillId="0" borderId="74" xfId="0" applyNumberFormat="1" applyFont="1" applyBorder="1" applyAlignment="1">
      <alignment vertical="center"/>
    </xf>
    <xf numFmtId="166" fontId="13" fillId="0" borderId="72" xfId="36" applyFont="1" applyBorder="1" applyAlignment="1">
      <alignment horizontal="center" vertical="center"/>
    </xf>
    <xf numFmtId="166" fontId="12" fillId="0" borderId="72" xfId="0" applyNumberFormat="1" applyFont="1" applyBorder="1" applyAlignment="1">
      <alignment vertical="center"/>
    </xf>
    <xf numFmtId="9" fontId="12" fillId="0" borderId="72" xfId="48" applyFont="1" applyFill="1" applyBorder="1" applyAlignment="1">
      <alignment vertical="center"/>
    </xf>
    <xf numFmtId="0" fontId="12" fillId="33" borderId="74" xfId="0" applyFont="1" applyFill="1" applyBorder="1" applyAlignment="1">
      <alignment horizontal="center" vertical="center"/>
    </xf>
    <xf numFmtId="166" fontId="38" fillId="0" borderId="72" xfId="36" applyFont="1" applyBorder="1" applyAlignment="1">
      <alignment horizontal="center"/>
    </xf>
    <xf numFmtId="0" fontId="38" fillId="0" borderId="72" xfId="0" applyFont="1" applyBorder="1" applyAlignment="1">
      <alignment horizontal="center"/>
    </xf>
    <xf numFmtId="0" fontId="38" fillId="0" borderId="72" xfId="0" applyFont="1" applyBorder="1"/>
    <xf numFmtId="171" fontId="13" fillId="0" borderId="72" xfId="107" applyNumberFormat="1" applyFont="1" applyBorder="1" applyAlignment="1">
      <alignment horizontal="center"/>
    </xf>
    <xf numFmtId="183" fontId="12" fillId="0" borderId="72" xfId="107" applyBorder="1"/>
    <xf numFmtId="166" fontId="18" fillId="23" borderId="41" xfId="36" applyFont="1" applyFill="1" applyBorder="1" applyAlignment="1">
      <alignment vertical="center"/>
    </xf>
    <xf numFmtId="166" fontId="18" fillId="0" borderId="41" xfId="0" applyNumberFormat="1" applyFont="1" applyBorder="1"/>
    <xf numFmtId="11" fontId="18" fillId="23" borderId="72" xfId="36" applyNumberFormat="1" applyFont="1" applyFill="1" applyBorder="1" applyAlignment="1">
      <alignment vertical="center"/>
    </xf>
    <xf numFmtId="0" fontId="12" fillId="0" borderId="72" xfId="0" applyFont="1" applyBorder="1"/>
    <xf numFmtId="3" fontId="12" fillId="0" borderId="76" xfId="65" applyNumberFormat="1" applyBorder="1" applyAlignment="1">
      <alignment horizontal="center"/>
    </xf>
    <xf numFmtId="166" fontId="12" fillId="0" borderId="76" xfId="36" applyBorder="1" applyAlignment="1">
      <alignment horizontal="center"/>
    </xf>
    <xf numFmtId="166" fontId="12" fillId="0" borderId="76" xfId="36" applyFont="1" applyFill="1" applyBorder="1" applyAlignment="1">
      <alignment horizontal="center" vertical="center"/>
    </xf>
    <xf numFmtId="3" fontId="55" fillId="0" borderId="76" xfId="65" applyNumberFormat="1" applyFont="1" applyBorder="1" applyAlignment="1">
      <alignment horizontal="center"/>
    </xf>
    <xf numFmtId="166" fontId="55" fillId="0" borderId="76" xfId="36" applyFont="1" applyBorder="1" applyAlignment="1">
      <alignment horizontal="center"/>
    </xf>
    <xf numFmtId="166" fontId="55" fillId="0" borderId="76" xfId="36" applyFont="1" applyFill="1" applyBorder="1" applyAlignment="1">
      <alignment horizontal="center" vertical="center"/>
    </xf>
    <xf numFmtId="14" fontId="12" fillId="0" borderId="72" xfId="65" applyNumberFormat="1" applyBorder="1" applyAlignment="1">
      <alignment horizontal="center"/>
    </xf>
    <xf numFmtId="14" fontId="12" fillId="0" borderId="76" xfId="65" applyNumberFormat="1" applyBorder="1" applyAlignment="1">
      <alignment horizontal="center"/>
    </xf>
    <xf numFmtId="166" fontId="12" fillId="0" borderId="76" xfId="36" applyFont="1" applyBorder="1" applyAlignment="1">
      <alignment horizontal="center" vertical="center"/>
    </xf>
    <xf numFmtId="14" fontId="12" fillId="0" borderId="41" xfId="65" applyNumberFormat="1" applyBorder="1" applyAlignment="1">
      <alignment horizontal="center"/>
    </xf>
    <xf numFmtId="14" fontId="40" fillId="0" borderId="76" xfId="65" applyNumberFormat="1" applyFont="1" applyBorder="1" applyAlignment="1">
      <alignment horizontal="center"/>
    </xf>
    <xf numFmtId="166" fontId="12" fillId="0" borderId="76" xfId="36" applyFont="1" applyBorder="1" applyAlignment="1">
      <alignment horizontal="center"/>
    </xf>
    <xf numFmtId="14" fontId="13" fillId="0" borderId="41" xfId="65" applyNumberFormat="1" applyFont="1" applyBorder="1" applyAlignment="1">
      <alignment horizontal="center"/>
    </xf>
    <xf numFmtId="3" fontId="13" fillId="0" borderId="76" xfId="65" applyNumberFormat="1" applyFont="1" applyBorder="1" applyAlignment="1">
      <alignment horizontal="center"/>
    </xf>
    <xf numFmtId="14" fontId="45" fillId="0" borderId="76" xfId="65" applyNumberFormat="1" applyFont="1" applyBorder="1" applyAlignment="1">
      <alignment horizontal="center"/>
    </xf>
    <xf numFmtId="166" fontId="78" fillId="0" borderId="76" xfId="36" applyFont="1" applyBorder="1" applyAlignment="1">
      <alignment horizontal="center"/>
    </xf>
    <xf numFmtId="166" fontId="13" fillId="0" borderId="76" xfId="36" applyFont="1" applyBorder="1" applyAlignment="1">
      <alignment horizontal="center"/>
    </xf>
    <xf numFmtId="166" fontId="13" fillId="0" borderId="76" xfId="36" applyFont="1" applyBorder="1" applyAlignment="1">
      <alignment horizontal="center" vertical="center"/>
    </xf>
    <xf numFmtId="166" fontId="60" fillId="0" borderId="76" xfId="36" applyFont="1" applyBorder="1" applyAlignment="1">
      <alignment horizontal="center"/>
    </xf>
    <xf numFmtId="166" fontId="60" fillId="0" borderId="76" xfId="36" applyFont="1" applyFill="1" applyBorder="1" applyAlignment="1">
      <alignment horizontal="center"/>
    </xf>
    <xf numFmtId="166" fontId="12" fillId="0" borderId="76" xfId="36" applyFill="1" applyBorder="1" applyAlignment="1">
      <alignment horizontal="center"/>
    </xf>
    <xf numFmtId="166" fontId="78" fillId="0" borderId="76" xfId="36" applyFont="1" applyFill="1" applyBorder="1" applyAlignment="1">
      <alignment horizontal="center"/>
    </xf>
    <xf numFmtId="166" fontId="0" fillId="0" borderId="76" xfId="36" applyFont="1" applyBorder="1" applyAlignment="1">
      <alignment horizontal="center" vertical="center"/>
    </xf>
    <xf numFmtId="0" fontId="12" fillId="0" borderId="72" xfId="0" applyFont="1" applyBorder="1" applyAlignment="1">
      <alignment horizontal="center" vertical="center" wrapText="1"/>
    </xf>
    <xf numFmtId="3" fontId="0" fillId="0" borderId="76" xfId="0" applyNumberFormat="1" applyBorder="1" applyAlignment="1">
      <alignment horizontal="center" vertical="center"/>
    </xf>
    <xf numFmtId="166" fontId="12" fillId="0" borderId="76" xfId="36" applyFont="1" applyFill="1" applyBorder="1" applyAlignment="1">
      <alignment horizontal="right" vertical="center"/>
    </xf>
    <xf numFmtId="3" fontId="12" fillId="0" borderId="76" xfId="36" applyNumberFormat="1" applyFont="1" applyFill="1" applyBorder="1" applyAlignment="1">
      <alignment horizontal="right" vertical="center"/>
    </xf>
    <xf numFmtId="10" fontId="12" fillId="0" borderId="76" xfId="36" applyNumberFormat="1" applyFont="1" applyFill="1" applyBorder="1" applyAlignment="1">
      <alignment horizontal="center" vertical="center"/>
    </xf>
    <xf numFmtId="3" fontId="12" fillId="0" borderId="76" xfId="0" applyNumberFormat="1" applyFont="1" applyBorder="1" applyAlignment="1">
      <alignment horizontal="center" vertical="center"/>
    </xf>
    <xf numFmtId="4" fontId="12" fillId="0" borderId="76" xfId="36" applyNumberFormat="1" applyFont="1" applyFill="1" applyBorder="1" applyAlignment="1">
      <alignment horizontal="right" vertical="center"/>
    </xf>
    <xf numFmtId="10" fontId="12" fillId="0" borderId="77" xfId="42" applyNumberFormat="1" applyBorder="1" applyAlignment="1">
      <alignment horizontal="center" vertical="center"/>
    </xf>
    <xf numFmtId="0" fontId="0" fillId="0" borderId="72" xfId="0" applyBorder="1"/>
    <xf numFmtId="1" fontId="12" fillId="0" borderId="77" xfId="0" applyNumberFormat="1" applyFont="1" applyBorder="1" applyAlignment="1">
      <alignment horizontal="center" vertical="center" wrapText="1"/>
    </xf>
    <xf numFmtId="0" fontId="0" fillId="0" borderId="77" xfId="0" applyBorder="1" applyAlignment="1">
      <alignment horizontal="center" vertical="center" wrapText="1"/>
    </xf>
    <xf numFmtId="2" fontId="12" fillId="0" borderId="77" xfId="0" applyNumberFormat="1" applyFont="1" applyBorder="1" applyAlignment="1">
      <alignment horizontal="center" vertical="center" wrapText="1"/>
    </xf>
    <xf numFmtId="0" fontId="12" fillId="0" borderId="77" xfId="0" applyFont="1" applyBorder="1" applyAlignment="1">
      <alignment horizontal="center"/>
    </xf>
    <xf numFmtId="0" fontId="0" fillId="0" borderId="77" xfId="0" applyBorder="1" applyAlignment="1">
      <alignment horizontal="center"/>
    </xf>
    <xf numFmtId="166" fontId="12" fillId="28" borderId="72" xfId="36" applyFill="1" applyBorder="1" applyAlignment="1">
      <alignment horizontal="center"/>
    </xf>
    <xf numFmtId="14" fontId="13" fillId="0" borderId="72" xfId="64" applyNumberFormat="1" applyFont="1" applyBorder="1" applyAlignment="1">
      <alignment horizontal="center"/>
    </xf>
    <xf numFmtId="167" fontId="12" fillId="0" borderId="72" xfId="137" applyNumberFormat="1" applyFont="1" applyBorder="1"/>
    <xf numFmtId="49" fontId="12" fillId="0" borderId="72" xfId="64" applyNumberFormat="1" applyBorder="1" applyAlignment="1">
      <alignment horizontal="center" vertical="center" wrapText="1" shrinkToFit="1"/>
    </xf>
    <xf numFmtId="167" fontId="38" fillId="28" borderId="72" xfId="36" applyNumberFormat="1" applyFont="1" applyFill="1" applyBorder="1" applyAlignment="1">
      <alignment horizontal="center" vertical="center" shrinkToFit="1"/>
    </xf>
    <xf numFmtId="167" fontId="38" fillId="0" borderId="72" xfId="138" applyNumberFormat="1" applyFont="1" applyBorder="1" applyAlignment="1">
      <alignment horizontal="center" shrinkToFit="1"/>
    </xf>
    <xf numFmtId="167" fontId="38" fillId="27" borderId="72" xfId="138" applyNumberFormat="1" applyFont="1" applyFill="1" applyBorder="1" applyAlignment="1">
      <alignment horizontal="center" shrinkToFit="1"/>
    </xf>
    <xf numFmtId="49" fontId="13" fillId="0" borderId="72" xfId="64" applyNumberFormat="1" applyFont="1" applyBorder="1" applyAlignment="1">
      <alignment horizontal="center" vertical="center" wrapText="1" shrinkToFit="1"/>
    </xf>
    <xf numFmtId="49" fontId="13" fillId="0" borderId="72" xfId="64" applyNumberFormat="1" applyFont="1" applyBorder="1" applyAlignment="1">
      <alignment horizontal="center" wrapText="1"/>
    </xf>
    <xf numFmtId="167" fontId="13" fillId="0" borderId="72" xfId="138" applyNumberFormat="1" applyFont="1" applyBorder="1" applyAlignment="1">
      <alignment horizontal="right" vertical="center" shrinkToFit="1"/>
    </xf>
    <xf numFmtId="166" fontId="12" fillId="0" borderId="72" xfId="36" applyFont="1" applyFill="1" applyBorder="1"/>
    <xf numFmtId="166" fontId="12" fillId="0" borderId="72" xfId="36" applyFont="1" applyFill="1" applyBorder="1" applyAlignment="1">
      <alignment horizontal="right"/>
    </xf>
    <xf numFmtId="166" fontId="0" fillId="0" borderId="72" xfId="36" applyFont="1" applyBorder="1"/>
    <xf numFmtId="166" fontId="12" fillId="0" borderId="72" xfId="36" applyFill="1" applyBorder="1"/>
    <xf numFmtId="167" fontId="12" fillId="0" borderId="78" xfId="137" applyNumberFormat="1" applyFont="1" applyFill="1" applyBorder="1"/>
    <xf numFmtId="49" fontId="12" fillId="0" borderId="0" xfId="64" applyNumberFormat="1"/>
    <xf numFmtId="0" fontId="59" fillId="0" borderId="13" xfId="134" applyFont="1" applyBorder="1"/>
    <xf numFmtId="0" fontId="59" fillId="0" borderId="16" xfId="134" applyFont="1" applyBorder="1"/>
    <xf numFmtId="14" fontId="15" fillId="0" borderId="20" xfId="134" applyNumberFormat="1" applyFont="1" applyBorder="1" applyAlignment="1">
      <alignment horizontal="center"/>
    </xf>
    <xf numFmtId="0" fontId="15" fillId="0" borderId="13" xfId="134" applyFont="1" applyBorder="1"/>
    <xf numFmtId="3" fontId="59" fillId="0" borderId="20" xfId="134" applyNumberFormat="1" applyFont="1" applyBorder="1"/>
    <xf numFmtId="166" fontId="59" fillId="0" borderId="20" xfId="135" applyFont="1" applyFill="1" applyBorder="1"/>
    <xf numFmtId="0" fontId="59" fillId="0" borderId="0" xfId="134" applyFont="1" applyAlignment="1">
      <alignment horizontal="right"/>
    </xf>
    <xf numFmtId="0" fontId="15" fillId="0" borderId="13" xfId="134" applyFont="1" applyBorder="1" applyAlignment="1">
      <alignment horizontal="center"/>
    </xf>
    <xf numFmtId="0" fontId="15" fillId="0" borderId="0" xfId="134" applyFont="1" applyAlignment="1">
      <alignment horizontal="center"/>
    </xf>
    <xf numFmtId="0" fontId="15" fillId="0" borderId="16" xfId="134" applyFont="1" applyBorder="1" applyAlignment="1">
      <alignment horizontal="center"/>
    </xf>
    <xf numFmtId="0" fontId="15" fillId="0" borderId="13" xfId="134" applyFont="1" applyBorder="1" applyAlignment="1">
      <alignment horizontal="left"/>
    </xf>
    <xf numFmtId="0" fontId="15" fillId="0" borderId="0" xfId="134" applyFont="1" applyAlignment="1">
      <alignment horizontal="left"/>
    </xf>
    <xf numFmtId="167" fontId="59" fillId="0" borderId="19" xfId="36" applyNumberFormat="1" applyFont="1" applyFill="1" applyBorder="1"/>
    <xf numFmtId="167" fontId="15" fillId="0" borderId="21" xfId="36" applyNumberFormat="1" applyFont="1" applyFill="1" applyBorder="1"/>
    <xf numFmtId="167" fontId="15" fillId="0" borderId="19" xfId="36" applyNumberFormat="1" applyFont="1" applyFill="1" applyBorder="1"/>
    <xf numFmtId="167" fontId="59" fillId="0" borderId="21" xfId="36" applyNumberFormat="1" applyFont="1" applyFill="1" applyBorder="1"/>
    <xf numFmtId="0" fontId="59" fillId="0" borderId="15" xfId="134" applyFont="1" applyBorder="1"/>
    <xf numFmtId="0" fontId="59" fillId="0" borderId="14" xfId="134" applyFont="1" applyBorder="1"/>
    <xf numFmtId="0" fontId="59" fillId="0" borderId="11" xfId="134" applyFont="1" applyBorder="1"/>
    <xf numFmtId="167" fontId="59" fillId="0" borderId="22" xfId="36" applyNumberFormat="1" applyFont="1" applyFill="1" applyBorder="1"/>
    <xf numFmtId="167" fontId="15" fillId="0" borderId="20" xfId="36" applyNumberFormat="1" applyFont="1" applyFill="1" applyBorder="1" applyAlignment="1">
      <alignment vertical="center"/>
    </xf>
    <xf numFmtId="167" fontId="15" fillId="0" borderId="20" xfId="135" applyNumberFormat="1" applyFont="1" applyFill="1" applyBorder="1" applyAlignment="1">
      <alignment vertical="center"/>
    </xf>
    <xf numFmtId="0" fontId="12" fillId="0" borderId="76" xfId="0" applyFont="1" applyBorder="1"/>
    <xf numFmtId="166" fontId="0" fillId="28" borderId="78" xfId="36" applyFont="1" applyFill="1" applyBorder="1" applyAlignment="1">
      <alignment horizontal="center"/>
    </xf>
    <xf numFmtId="166" fontId="12" fillId="28" borderId="78" xfId="36" applyFont="1" applyFill="1" applyBorder="1" applyAlignment="1">
      <alignment horizontal="center"/>
    </xf>
    <xf numFmtId="169" fontId="12" fillId="0" borderId="72" xfId="36" applyNumberFormat="1" applyFont="1" applyBorder="1" applyAlignment="1">
      <alignment horizontal="center" vertical="center"/>
    </xf>
    <xf numFmtId="14" fontId="13" fillId="0" borderId="0" xfId="0" applyNumberFormat="1" applyFont="1" applyAlignment="1">
      <alignment horizontal="center"/>
    </xf>
    <xf numFmtId="166" fontId="12" fillId="0" borderId="0" xfId="36" applyFont="1" applyAlignment="1">
      <alignment horizontal="right"/>
    </xf>
    <xf numFmtId="166" fontId="13" fillId="0" borderId="0" xfId="36" applyFont="1" applyAlignment="1">
      <alignment horizontal="center" vertical="center" wrapText="1"/>
    </xf>
    <xf numFmtId="0" fontId="16" fillId="0" borderId="28" xfId="0" applyFont="1" applyBorder="1" applyAlignment="1">
      <alignment horizontal="center" wrapText="1"/>
    </xf>
    <xf numFmtId="0" fontId="16" fillId="0" borderId="54" xfId="0" applyFont="1" applyBorder="1" applyAlignment="1">
      <alignment horizontal="center" vertical="center"/>
    </xf>
    <xf numFmtId="0" fontId="16" fillId="0" borderId="11" xfId="0" applyFont="1" applyBorder="1" applyAlignment="1">
      <alignment horizontal="center" vertical="center"/>
    </xf>
    <xf numFmtId="170" fontId="13" fillId="0" borderId="0" xfId="0" applyNumberFormat="1" applyFont="1" applyAlignment="1">
      <alignment vertical="center"/>
    </xf>
    <xf numFmtId="0" fontId="0" fillId="0" borderId="79" xfId="0" applyBorder="1"/>
    <xf numFmtId="0" fontId="0" fillId="0" borderId="78" xfId="0" applyBorder="1"/>
    <xf numFmtId="0" fontId="0" fillId="0" borderId="79" xfId="64" applyFont="1" applyBorder="1" applyAlignment="1">
      <alignment horizontal="center" vertical="center" wrapText="1"/>
    </xf>
    <xf numFmtId="9" fontId="0" fillId="0" borderId="0" xfId="0" applyNumberFormat="1"/>
    <xf numFmtId="0" fontId="0" fillId="0" borderId="0" xfId="65" applyFont="1"/>
    <xf numFmtId="14" fontId="0" fillId="0" borderId="0" xfId="0" applyNumberFormat="1" applyAlignment="1">
      <alignment horizontal="left"/>
    </xf>
    <xf numFmtId="167" fontId="0" fillId="0" borderId="79" xfId="94" applyNumberFormat="1" applyFont="1" applyBorder="1" applyAlignment="1">
      <alignment horizontal="center" vertical="center"/>
    </xf>
    <xf numFmtId="166" fontId="0" fillId="0" borderId="79" xfId="94" applyFont="1" applyBorder="1" applyAlignment="1">
      <alignment horizontal="center" vertical="center"/>
    </xf>
    <xf numFmtId="0" fontId="0" fillId="0" borderId="79" xfId="0" applyBorder="1" applyAlignment="1">
      <alignment horizontal="center" vertical="center" wrapText="1"/>
    </xf>
    <xf numFmtId="164" fontId="0" fillId="0" borderId="79" xfId="94" applyNumberFormat="1" applyFont="1" applyBorder="1" applyAlignment="1">
      <alignment horizontal="center" vertical="center" wrapText="1"/>
    </xf>
    <xf numFmtId="14" fontId="0" fillId="0" borderId="78" xfId="64" applyNumberFormat="1" applyFont="1" applyBorder="1" applyAlignment="1">
      <alignment vertical="center"/>
    </xf>
    <xf numFmtId="14" fontId="0" fillId="0" borderId="78" xfId="64" applyNumberFormat="1" applyFont="1" applyBorder="1" applyAlignment="1">
      <alignment horizontal="center"/>
    </xf>
    <xf numFmtId="167" fontId="0" fillId="0" borderId="78" xfId="36" applyNumberFormat="1" applyFont="1" applyBorder="1" applyAlignment="1">
      <alignment horizontal="center"/>
    </xf>
    <xf numFmtId="166" fontId="0" fillId="28" borderId="78" xfId="36" applyFont="1" applyFill="1" applyBorder="1" applyAlignment="1">
      <alignment horizontal="left" vertical="top"/>
    </xf>
    <xf numFmtId="166" fontId="0" fillId="0" borderId="78" xfId="94" applyFont="1" applyBorder="1"/>
    <xf numFmtId="10" fontId="0" fillId="0" borderId="78" xfId="64" applyNumberFormat="1" applyFont="1" applyBorder="1" applyAlignment="1">
      <alignment horizontal="center"/>
    </xf>
    <xf numFmtId="164" fontId="0" fillId="0" borderId="78" xfId="94" applyNumberFormat="1" applyFont="1" applyBorder="1"/>
    <xf numFmtId="164" fontId="0" fillId="0" borderId="78" xfId="0" applyNumberFormat="1" applyBorder="1"/>
    <xf numFmtId="14" fontId="60" fillId="0" borderId="78" xfId="64" applyNumberFormat="1" applyFont="1" applyBorder="1" applyAlignment="1">
      <alignment horizontal="center"/>
    </xf>
    <xf numFmtId="166" fontId="0" fillId="0" borderId="78" xfId="36" applyFont="1" applyBorder="1" applyAlignment="1">
      <alignment horizontal="left" vertical="center"/>
    </xf>
    <xf numFmtId="14" fontId="55" fillId="0" borderId="78" xfId="64" applyNumberFormat="1" applyFont="1" applyBorder="1" applyAlignment="1">
      <alignment horizontal="center"/>
    </xf>
    <xf numFmtId="49" fontId="13" fillId="0" borderId="79" xfId="64" applyNumberFormat="1" applyFont="1" applyBorder="1" applyAlignment="1">
      <alignment horizontal="left" vertical="center"/>
    </xf>
    <xf numFmtId="179" fontId="13" fillId="0" borderId="79" xfId="94" applyNumberFormat="1" applyFont="1" applyBorder="1" applyAlignment="1">
      <alignment vertical="center"/>
    </xf>
    <xf numFmtId="166" fontId="0" fillId="0" borderId="79" xfId="0" applyNumberFormat="1" applyBorder="1"/>
    <xf numFmtId="166" fontId="0" fillId="0" borderId="79" xfId="36" applyFont="1" applyBorder="1" applyAlignment="1">
      <alignment horizontal="center" vertical="center"/>
    </xf>
    <xf numFmtId="182" fontId="12" fillId="0" borderId="0" xfId="36" applyNumberFormat="1" applyFont="1"/>
    <xf numFmtId="190" fontId="12" fillId="0" borderId="0" xfId="36" applyNumberFormat="1" applyFont="1"/>
    <xf numFmtId="171" fontId="0" fillId="0" borderId="0" xfId="0" applyNumberFormat="1" applyAlignment="1">
      <alignment horizontal="center" vertical="center"/>
    </xf>
    <xf numFmtId="166" fontId="0" fillId="0" borderId="0" xfId="36" applyFont="1" applyFill="1" applyAlignment="1">
      <alignment vertical="center"/>
    </xf>
    <xf numFmtId="177" fontId="0" fillId="0" borderId="0" xfId="36" applyNumberFormat="1" applyFont="1" applyFill="1" applyAlignment="1">
      <alignment vertical="center"/>
    </xf>
    <xf numFmtId="14" fontId="12" fillId="0" borderId="74" xfId="0" applyNumberFormat="1" applyFont="1" applyBorder="1" applyAlignment="1">
      <alignment vertical="center" wrapText="1"/>
    </xf>
    <xf numFmtId="171" fontId="12" fillId="0" borderId="0" xfId="0" applyNumberFormat="1" applyFont="1" applyAlignment="1">
      <alignment horizontal="center" vertical="center"/>
    </xf>
    <xf numFmtId="177" fontId="12" fillId="0" borderId="0" xfId="36" applyNumberFormat="1" applyFont="1" applyFill="1" applyAlignment="1">
      <alignment vertical="center"/>
    </xf>
    <xf numFmtId="4" fontId="12" fillId="0" borderId="0" xfId="36" applyNumberFormat="1" applyFont="1" applyFill="1" applyAlignment="1">
      <alignment vertical="center"/>
    </xf>
    <xf numFmtId="0" fontId="50" fillId="0" borderId="0" xfId="0" applyFont="1" applyAlignment="1">
      <alignment vertical="center" wrapText="1"/>
    </xf>
    <xf numFmtId="0" fontId="86" fillId="0" borderId="0" xfId="0" applyFont="1"/>
    <xf numFmtId="14" fontId="86" fillId="0" borderId="0" xfId="0" applyNumberFormat="1" applyFont="1"/>
    <xf numFmtId="4" fontId="86" fillId="0" borderId="0" xfId="0" applyNumberFormat="1" applyFont="1"/>
    <xf numFmtId="166" fontId="61" fillId="0" borderId="78" xfId="36" applyFont="1" applyBorder="1" applyAlignment="1">
      <alignment horizontal="left" vertical="center"/>
    </xf>
    <xf numFmtId="0" fontId="55" fillId="0" borderId="76" xfId="0" applyFont="1" applyBorder="1" applyAlignment="1">
      <alignment wrapText="1"/>
    </xf>
    <xf numFmtId="14" fontId="0" fillId="0" borderId="78" xfId="0" applyNumberFormat="1" applyBorder="1" applyAlignment="1">
      <alignment horizontal="center" vertical="center" wrapText="1"/>
    </xf>
    <xf numFmtId="183" fontId="61" fillId="0" borderId="0" xfId="107" applyFont="1"/>
    <xf numFmtId="0" fontId="17" fillId="0" borderId="76" xfId="0" applyFont="1" applyBorder="1" applyAlignment="1">
      <alignment vertical="center"/>
    </xf>
    <xf numFmtId="0" fontId="12" fillId="0" borderId="76" xfId="0" applyFont="1" applyBorder="1" applyAlignment="1">
      <alignment vertical="center"/>
    </xf>
    <xf numFmtId="0" fontId="12" fillId="0" borderId="78" xfId="0" applyFont="1" applyBorder="1" applyAlignment="1">
      <alignment horizontal="center" vertical="center"/>
    </xf>
    <xf numFmtId="0" fontId="38" fillId="0" borderId="56" xfId="0" applyFont="1" applyBorder="1" applyAlignment="1">
      <alignment vertical="center"/>
    </xf>
    <xf numFmtId="0" fontId="13" fillId="0" borderId="79" xfId="0" applyFont="1" applyBorder="1" applyAlignment="1">
      <alignment horizontal="center" vertical="center" wrapText="1"/>
    </xf>
    <xf numFmtId="166" fontId="13" fillId="0" borderId="78" xfId="36" applyFont="1" applyBorder="1" applyAlignment="1">
      <alignment horizontal="center" vertical="center"/>
    </xf>
    <xf numFmtId="166" fontId="12" fillId="0" borderId="78" xfId="36" applyFont="1" applyBorder="1" applyAlignment="1">
      <alignment horizontal="center" vertical="center"/>
    </xf>
    <xf numFmtId="0" fontId="12" fillId="0" borderId="76" xfId="0" applyFont="1" applyBorder="1" applyAlignment="1">
      <alignment horizontal="center" vertical="center" wrapText="1"/>
    </xf>
    <xf numFmtId="0" fontId="0" fillId="0" borderId="76" xfId="0" applyBorder="1" applyAlignment="1">
      <alignment horizontal="center" vertical="center" wrapText="1"/>
    </xf>
    <xf numFmtId="166" fontId="0" fillId="0" borderId="78" xfId="36" applyFont="1" applyBorder="1" applyAlignment="1">
      <alignment horizontal="center" vertical="center"/>
    </xf>
    <xf numFmtId="166" fontId="12" fillId="0" borderId="78" xfId="36" applyFont="1" applyFill="1" applyBorder="1" applyAlignment="1">
      <alignment horizontal="center" vertical="center"/>
    </xf>
    <xf numFmtId="166" fontId="12" fillId="0" borderId="56" xfId="36" applyFont="1" applyFill="1" applyBorder="1" applyAlignment="1">
      <alignment horizontal="center" vertical="center"/>
    </xf>
    <xf numFmtId="167" fontId="12" fillId="0" borderId="76" xfId="36" applyNumberFormat="1" applyFont="1" applyBorder="1" applyAlignment="1">
      <alignment vertical="center"/>
    </xf>
    <xf numFmtId="0" fontId="13" fillId="0" borderId="76" xfId="0" applyFont="1" applyBorder="1" applyAlignment="1">
      <alignment vertical="center"/>
    </xf>
    <xf numFmtId="0" fontId="13" fillId="0" borderId="56" xfId="0" applyFont="1" applyBorder="1" applyAlignment="1">
      <alignment vertical="center"/>
    </xf>
    <xf numFmtId="166" fontId="12" fillId="0" borderId="78" xfId="36" applyFont="1" applyBorder="1" applyAlignment="1">
      <alignment vertical="center"/>
    </xf>
    <xf numFmtId="10" fontId="12" fillId="0" borderId="78" xfId="48" applyNumberFormat="1" applyFont="1" applyFill="1" applyBorder="1" applyAlignment="1">
      <alignment horizontal="center" vertical="center"/>
    </xf>
    <xf numFmtId="166" fontId="12" fillId="0" borderId="78" xfId="0" applyNumberFormat="1" applyFont="1" applyBorder="1" applyAlignment="1">
      <alignment vertical="center"/>
    </xf>
    <xf numFmtId="166" fontId="12" fillId="0" borderId="78" xfId="36" applyFont="1" applyFill="1" applyBorder="1" applyAlignment="1">
      <alignment vertical="center"/>
    </xf>
    <xf numFmtId="190" fontId="12" fillId="0" borderId="78" xfId="36" applyNumberFormat="1" applyFont="1" applyFill="1" applyBorder="1" applyAlignment="1">
      <alignment vertical="center"/>
    </xf>
    <xf numFmtId="0" fontId="13" fillId="33" borderId="76" xfId="0" applyFont="1" applyFill="1" applyBorder="1" applyAlignment="1">
      <alignment vertical="center"/>
    </xf>
    <xf numFmtId="0" fontId="13" fillId="33" borderId="56" xfId="0" applyFont="1" applyFill="1" applyBorder="1" applyAlignment="1">
      <alignment vertical="center"/>
    </xf>
    <xf numFmtId="177" fontId="12" fillId="0" borderId="78" xfId="36" applyNumberFormat="1" applyFont="1" applyFill="1" applyBorder="1" applyAlignment="1">
      <alignment vertical="center"/>
    </xf>
    <xf numFmtId="0" fontId="12" fillId="0" borderId="80" xfId="75" applyBorder="1" applyAlignment="1">
      <alignment horizontal="left"/>
    </xf>
    <xf numFmtId="166" fontId="12" fillId="0" borderId="76" xfId="77" applyBorder="1" applyAlignment="1">
      <alignment vertical="center"/>
    </xf>
    <xf numFmtId="169" fontId="12" fillId="0" borderId="78" xfId="77" applyNumberFormat="1" applyBorder="1" applyAlignment="1">
      <alignment vertical="center"/>
    </xf>
    <xf numFmtId="169" fontId="12" fillId="0" borderId="78" xfId="36" applyNumberFormat="1" applyBorder="1" applyAlignment="1">
      <alignment vertical="center"/>
    </xf>
    <xf numFmtId="0" fontId="12" fillId="0" borderId="80" xfId="75" applyBorder="1" applyAlignment="1">
      <alignment horizontal="center"/>
    </xf>
    <xf numFmtId="166" fontId="12" fillId="0" borderId="56" xfId="77" applyBorder="1" applyAlignment="1">
      <alignment horizontal="center"/>
    </xf>
    <xf numFmtId="0" fontId="38" fillId="0" borderId="73" xfId="0" applyFont="1" applyBorder="1" applyAlignment="1">
      <alignment horizontal="center" wrapText="1"/>
    </xf>
    <xf numFmtId="14" fontId="38" fillId="0" borderId="76" xfId="0" applyNumberFormat="1" applyFont="1" applyBorder="1" applyAlignment="1">
      <alignment horizontal="left" vertical="center" wrapText="1"/>
    </xf>
    <xf numFmtId="167" fontId="38" fillId="0" borderId="76" xfId="36" applyNumberFormat="1" applyFont="1" applyBorder="1" applyAlignment="1">
      <alignment horizontal="center" vertical="center" wrapText="1"/>
    </xf>
    <xf numFmtId="167" fontId="38" fillId="25" borderId="76" xfId="36" applyNumberFormat="1" applyFont="1" applyFill="1" applyBorder="1" applyAlignment="1">
      <alignment horizontal="center" vertical="center"/>
    </xf>
    <xf numFmtId="171" fontId="38" fillId="25" borderId="76" xfId="0" applyNumberFormat="1" applyFont="1" applyFill="1" applyBorder="1" applyAlignment="1">
      <alignment horizontal="center" vertical="center"/>
    </xf>
    <xf numFmtId="167" fontId="38" fillId="0" borderId="78" xfId="37" applyNumberFormat="1" applyFont="1" applyBorder="1" applyAlignment="1">
      <alignment horizontal="center" vertical="center"/>
    </xf>
    <xf numFmtId="171" fontId="38" fillId="29" borderId="76" xfId="0" applyNumberFormat="1" applyFont="1" applyFill="1" applyBorder="1" applyAlignment="1">
      <alignment horizontal="center" vertical="center"/>
    </xf>
    <xf numFmtId="0" fontId="38" fillId="25" borderId="78" xfId="0" applyFont="1" applyFill="1" applyBorder="1" applyAlignment="1">
      <alignment vertical="center" wrapText="1"/>
    </xf>
    <xf numFmtId="167" fontId="38" fillId="25" borderId="76" xfId="0" applyNumberFormat="1" applyFont="1" applyFill="1" applyBorder="1" applyAlignment="1">
      <alignment horizontal="center" vertical="center"/>
    </xf>
    <xf numFmtId="171" fontId="38" fillId="25" borderId="78" xfId="0" applyNumberFormat="1" applyFont="1" applyFill="1" applyBorder="1" applyAlignment="1">
      <alignment horizontal="center" vertical="center"/>
    </xf>
    <xf numFmtId="166" fontId="38" fillId="0" borderId="79" xfId="36" applyFont="1" applyBorder="1"/>
    <xf numFmtId="171" fontId="38" fillId="0" borderId="79" xfId="0" applyNumberFormat="1" applyFont="1" applyBorder="1"/>
    <xf numFmtId="171" fontId="38" fillId="0" borderId="79" xfId="0" applyNumberFormat="1" applyFont="1" applyBorder="1" applyAlignment="1">
      <alignment horizontal="center" vertical="center"/>
    </xf>
    <xf numFmtId="0" fontId="38" fillId="0" borderId="79" xfId="0" applyFont="1" applyBorder="1" applyAlignment="1">
      <alignment horizontal="center" vertical="center" wrapText="1"/>
    </xf>
    <xf numFmtId="166" fontId="38" fillId="0" borderId="79" xfId="36" applyFont="1" applyBorder="1" applyAlignment="1">
      <alignment horizontal="center" vertical="center" wrapText="1"/>
    </xf>
    <xf numFmtId="167" fontId="38" fillId="0" borderId="79" xfId="0" applyNumberFormat="1" applyFont="1" applyBorder="1" applyAlignment="1">
      <alignment horizontal="center" vertical="center" wrapText="1"/>
    </xf>
    <xf numFmtId="171" fontId="38" fillId="0" borderId="76" xfId="0" applyNumberFormat="1" applyFont="1" applyBorder="1" applyAlignment="1">
      <alignment horizontal="center" vertical="center"/>
    </xf>
    <xf numFmtId="0" fontId="38" fillId="0" borderId="76" xfId="75" applyFont="1" applyBorder="1" applyAlignment="1">
      <alignment horizontal="left" vertical="center"/>
    </xf>
    <xf numFmtId="166" fontId="38" fillId="0" borderId="76" xfId="36" applyFont="1" applyFill="1" applyBorder="1" applyAlignment="1">
      <alignment horizontal="center" vertical="center"/>
    </xf>
    <xf numFmtId="166" fontId="38" fillId="25" borderId="76" xfId="36" applyFont="1" applyFill="1" applyBorder="1" applyAlignment="1">
      <alignment horizontal="center" vertical="center"/>
    </xf>
    <xf numFmtId="166" fontId="38" fillId="0" borderId="76" xfId="36" applyFont="1" applyBorder="1"/>
    <xf numFmtId="0" fontId="38" fillId="0" borderId="78" xfId="0" applyFont="1" applyBorder="1"/>
    <xf numFmtId="0" fontId="38" fillId="0" borderId="78" xfId="75" applyFont="1" applyBorder="1" applyAlignment="1">
      <alignment horizontal="left" vertical="center"/>
    </xf>
    <xf numFmtId="167" fontId="38" fillId="0" borderId="79" xfId="0" applyNumberFormat="1" applyFont="1" applyBorder="1"/>
    <xf numFmtId="167" fontId="38" fillId="29" borderId="79" xfId="0" applyNumberFormat="1" applyFont="1" applyFill="1" applyBorder="1"/>
    <xf numFmtId="171" fontId="38" fillId="25" borderId="79" xfId="0" applyNumberFormat="1" applyFont="1" applyFill="1" applyBorder="1" applyAlignment="1">
      <alignment horizontal="center" vertical="center"/>
    </xf>
    <xf numFmtId="183" fontId="13" fillId="0" borderId="74" xfId="107" applyFont="1" applyBorder="1"/>
    <xf numFmtId="183" fontId="12" fillId="0" borderId="76" xfId="107" applyBorder="1"/>
    <xf numFmtId="183" fontId="13" fillId="0" borderId="76" xfId="107" applyFont="1" applyBorder="1"/>
    <xf numFmtId="166" fontId="12" fillId="0" borderId="78" xfId="36" applyFont="1" applyFill="1" applyBorder="1"/>
    <xf numFmtId="183" fontId="12" fillId="0" borderId="78" xfId="107" applyBorder="1"/>
    <xf numFmtId="166" fontId="12" fillId="0" borderId="78" xfId="135" applyFill="1" applyBorder="1"/>
    <xf numFmtId="166" fontId="12" fillId="0" borderId="78" xfId="135" applyBorder="1"/>
    <xf numFmtId="183" fontId="13" fillId="0" borderId="76" xfId="107" applyFont="1" applyBorder="1" applyAlignment="1">
      <alignment horizontal="left"/>
    </xf>
    <xf numFmtId="166" fontId="12" fillId="0" borderId="78" xfId="36" applyBorder="1"/>
    <xf numFmtId="183" fontId="12" fillId="0" borderId="73" xfId="107" applyBorder="1"/>
    <xf numFmtId="183" fontId="12" fillId="0" borderId="79" xfId="107" applyBorder="1"/>
    <xf numFmtId="183" fontId="13" fillId="0" borderId="79" xfId="107" applyFont="1" applyBorder="1" applyAlignment="1">
      <alignment horizontal="center" vertical="center" wrapText="1"/>
    </xf>
    <xf numFmtId="183" fontId="12" fillId="0" borderId="79" xfId="107" applyBorder="1" applyAlignment="1">
      <alignment horizontal="center" vertical="center" wrapText="1"/>
    </xf>
    <xf numFmtId="166" fontId="12" fillId="28" borderId="79" xfId="135" applyFill="1" applyBorder="1"/>
    <xf numFmtId="166" fontId="12" fillId="0" borderId="79" xfId="135" applyFill="1" applyBorder="1"/>
    <xf numFmtId="166" fontId="12" fillId="28" borderId="79" xfId="135" applyFill="1" applyBorder="1" applyAlignment="1">
      <alignment vertical="center"/>
    </xf>
    <xf numFmtId="166" fontId="12" fillId="28" borderId="79" xfId="135" applyFont="1" applyFill="1" applyBorder="1" applyAlignment="1">
      <alignment vertical="center"/>
    </xf>
    <xf numFmtId="0" fontId="20" fillId="0" borderId="79" xfId="0" applyFont="1" applyBorder="1" applyAlignment="1">
      <alignment horizontal="center" vertical="center" wrapText="1"/>
    </xf>
    <xf numFmtId="171" fontId="20" fillId="0" borderId="79" xfId="0" applyNumberFormat="1" applyFont="1" applyBorder="1" applyAlignment="1">
      <alignment horizontal="center" vertical="center" wrapText="1"/>
    </xf>
    <xf numFmtId="166" fontId="20" fillId="0" borderId="79" xfId="0" applyNumberFormat="1" applyFont="1" applyBorder="1" applyAlignment="1">
      <alignment horizontal="center" vertical="center" wrapText="1"/>
    </xf>
    <xf numFmtId="0" fontId="18" fillId="0" borderId="78" xfId="0" applyFont="1" applyBorder="1" applyAlignment="1">
      <alignment horizontal="center" vertical="center"/>
    </xf>
    <xf numFmtId="166" fontId="18" fillId="0" borderId="78" xfId="44" applyFont="1" applyBorder="1" applyAlignment="1">
      <alignment horizontal="left" vertical="center"/>
    </xf>
    <xf numFmtId="166" fontId="18" fillId="0" borderId="78" xfId="36" applyFont="1" applyBorder="1" applyAlignment="1">
      <alignment horizontal="center"/>
    </xf>
    <xf numFmtId="0" fontId="18" fillId="0" borderId="78" xfId="0" applyFont="1" applyBorder="1" applyAlignment="1">
      <alignment horizontal="left" vertical="center"/>
    </xf>
    <xf numFmtId="14" fontId="18" fillId="23" borderId="78" xfId="0" applyNumberFormat="1" applyFont="1" applyFill="1" applyBorder="1" applyAlignment="1">
      <alignment horizontal="left" vertical="center"/>
    </xf>
    <xf numFmtId="166" fontId="18" fillId="23" borderId="78" xfId="36" applyFont="1" applyFill="1" applyBorder="1" applyAlignment="1">
      <alignment vertical="center"/>
    </xf>
    <xf numFmtId="166" fontId="18" fillId="0" borderId="78" xfId="0" applyNumberFormat="1" applyFont="1" applyBorder="1"/>
    <xf numFmtId="167" fontId="18" fillId="23" borderId="78" xfId="36" applyNumberFormat="1" applyFont="1" applyFill="1" applyBorder="1" applyAlignment="1">
      <alignment vertical="center"/>
    </xf>
    <xf numFmtId="177" fontId="18" fillId="0" borderId="78" xfId="36" applyNumberFormat="1" applyFont="1" applyBorder="1"/>
    <xf numFmtId="177" fontId="18" fillId="23" borderId="78" xfId="36" applyNumberFormat="1" applyFont="1" applyFill="1" applyBorder="1" applyAlignment="1">
      <alignment vertical="center"/>
    </xf>
    <xf numFmtId="14" fontId="74" fillId="23" borderId="78" xfId="0" applyNumberFormat="1" applyFont="1" applyFill="1" applyBorder="1" applyAlignment="1">
      <alignment horizontal="left" vertical="center"/>
    </xf>
    <xf numFmtId="14" fontId="20" fillId="20" borderId="79" xfId="0" applyNumberFormat="1" applyFont="1" applyFill="1" applyBorder="1" applyAlignment="1">
      <alignment horizontal="left" vertical="center"/>
    </xf>
    <xf numFmtId="14" fontId="20" fillId="20" borderId="79" xfId="0" applyNumberFormat="1" applyFont="1" applyFill="1" applyBorder="1" applyAlignment="1">
      <alignment horizontal="right" vertical="center"/>
    </xf>
    <xf numFmtId="171" fontId="20" fillId="20" borderId="79" xfId="0" applyNumberFormat="1" applyFont="1" applyFill="1" applyBorder="1" applyAlignment="1">
      <alignment horizontal="center" vertical="center"/>
    </xf>
    <xf numFmtId="166" fontId="20" fillId="20" borderId="79" xfId="36" applyFont="1" applyFill="1" applyBorder="1" applyAlignment="1">
      <alignment vertical="center"/>
    </xf>
    <xf numFmtId="167" fontId="20" fillId="20" borderId="79" xfId="36" applyNumberFormat="1" applyFont="1" applyFill="1" applyBorder="1" applyAlignment="1">
      <alignment vertical="center"/>
    </xf>
    <xf numFmtId="166" fontId="20" fillId="20" borderId="79" xfId="0" applyNumberFormat="1" applyFont="1" applyFill="1" applyBorder="1" applyAlignment="1">
      <alignment vertical="center"/>
    </xf>
    <xf numFmtId="166" fontId="18" fillId="0" borderId="78" xfId="36" applyFont="1" applyBorder="1"/>
    <xf numFmtId="166" fontId="20" fillId="24" borderId="79" xfId="36" applyFont="1" applyFill="1" applyBorder="1" applyAlignment="1">
      <alignment horizontal="center" vertical="center"/>
    </xf>
    <xf numFmtId="0" fontId="18" fillId="0" borderId="78" xfId="0" applyFont="1" applyBorder="1" applyAlignment="1">
      <alignment vertical="center"/>
    </xf>
    <xf numFmtId="14" fontId="20" fillId="20" borderId="79" xfId="0" applyNumberFormat="1" applyFont="1" applyFill="1" applyBorder="1" applyAlignment="1">
      <alignment vertical="center"/>
    </xf>
    <xf numFmtId="14" fontId="20" fillId="20" borderId="79" xfId="0" applyNumberFormat="1" applyFont="1" applyFill="1" applyBorder="1" applyAlignment="1">
      <alignment horizontal="center" vertical="center"/>
    </xf>
    <xf numFmtId="11" fontId="18" fillId="23" borderId="78" xfId="36" applyNumberFormat="1" applyFont="1" applyFill="1" applyBorder="1" applyAlignment="1">
      <alignment vertical="center"/>
    </xf>
    <xf numFmtId="11" fontId="18" fillId="23" borderId="78" xfId="0" applyNumberFormat="1" applyFont="1" applyFill="1" applyBorder="1" applyAlignment="1">
      <alignment horizontal="left" vertical="center"/>
    </xf>
    <xf numFmtId="166" fontId="74" fillId="0" borderId="78" xfId="0" applyNumberFormat="1" applyFont="1" applyBorder="1"/>
    <xf numFmtId="11" fontId="20" fillId="20" borderId="79" xfId="0" applyNumberFormat="1" applyFont="1" applyFill="1" applyBorder="1" applyAlignment="1">
      <alignment horizontal="right" vertical="center"/>
    </xf>
    <xf numFmtId="166" fontId="12" fillId="0" borderId="79" xfId="94" applyFont="1" applyBorder="1" applyAlignment="1">
      <alignment horizontal="center" vertical="center"/>
    </xf>
    <xf numFmtId="14" fontId="12" fillId="0" borderId="78" xfId="64" applyNumberFormat="1" applyBorder="1" applyAlignment="1">
      <alignment horizontal="center"/>
    </xf>
    <xf numFmtId="164" fontId="12" fillId="0" borderId="78" xfId="0" applyNumberFormat="1" applyFont="1" applyBorder="1"/>
    <xf numFmtId="164" fontId="0" fillId="0" borderId="78" xfId="94" applyNumberFormat="1" applyFont="1" applyFill="1" applyBorder="1"/>
    <xf numFmtId="0" fontId="12" fillId="0" borderId="78" xfId="0" applyFont="1" applyBorder="1"/>
    <xf numFmtId="14" fontId="12" fillId="0" borderId="78" xfId="65" applyNumberFormat="1" applyBorder="1" applyAlignment="1">
      <alignment horizontal="center"/>
    </xf>
    <xf numFmtId="0" fontId="12" fillId="0" borderId="78" xfId="65" applyBorder="1" applyAlignment="1">
      <alignment horizontal="center"/>
    </xf>
    <xf numFmtId="166" fontId="12" fillId="0" borderId="78" xfId="65" applyNumberFormat="1" applyBorder="1" applyAlignment="1">
      <alignment horizontal="center"/>
    </xf>
    <xf numFmtId="10" fontId="12" fillId="29" borderId="78" xfId="65" applyNumberFormat="1" applyFill="1" applyBorder="1" applyAlignment="1">
      <alignment horizontal="center"/>
    </xf>
    <xf numFmtId="178" fontId="12" fillId="29" borderId="78" xfId="65" applyNumberFormat="1" applyFill="1" applyBorder="1" applyAlignment="1">
      <alignment horizontal="center"/>
    </xf>
    <xf numFmtId="14" fontId="55" fillId="0" borderId="78" xfId="65" applyNumberFormat="1" applyFont="1" applyBorder="1" applyAlignment="1">
      <alignment horizontal="center"/>
    </xf>
    <xf numFmtId="0" fontId="55" fillId="0" borderId="78" xfId="65" applyFont="1" applyBorder="1" applyAlignment="1">
      <alignment horizontal="center"/>
    </xf>
    <xf numFmtId="166" fontId="55" fillId="0" borderId="78" xfId="65" applyNumberFormat="1" applyFont="1" applyBorder="1" applyAlignment="1">
      <alignment horizontal="center"/>
    </xf>
    <xf numFmtId="10" fontId="55" fillId="29" borderId="78" xfId="65" applyNumberFormat="1" applyFont="1" applyFill="1" applyBorder="1" applyAlignment="1">
      <alignment horizontal="center"/>
    </xf>
    <xf numFmtId="178" fontId="55" fillId="29" borderId="78" xfId="65" applyNumberFormat="1" applyFont="1" applyFill="1" applyBorder="1" applyAlignment="1">
      <alignment horizontal="center"/>
    </xf>
    <xf numFmtId="166" fontId="55" fillId="0" borderId="78" xfId="36" applyFont="1" applyFill="1" applyBorder="1" applyAlignment="1">
      <alignment horizontal="center" vertical="center"/>
    </xf>
    <xf numFmtId="166" fontId="12" fillId="0" borderId="78" xfId="36" applyFont="1" applyBorder="1" applyAlignment="1">
      <alignment horizontal="center"/>
    </xf>
    <xf numFmtId="14" fontId="13" fillId="0" borderId="78" xfId="65" applyNumberFormat="1" applyFont="1" applyBorder="1" applyAlignment="1">
      <alignment horizontal="center"/>
    </xf>
    <xf numFmtId="0" fontId="13" fillId="0" borderId="78" xfId="65" applyFont="1" applyBorder="1" applyAlignment="1">
      <alignment horizontal="center"/>
    </xf>
    <xf numFmtId="10" fontId="13" fillId="29" borderId="78" xfId="65" applyNumberFormat="1" applyFont="1" applyFill="1" applyBorder="1" applyAlignment="1">
      <alignment horizontal="center"/>
    </xf>
    <xf numFmtId="166" fontId="13" fillId="0" borderId="78" xfId="36" applyFont="1" applyFill="1" applyBorder="1" applyAlignment="1">
      <alignment horizontal="center" vertical="center"/>
    </xf>
    <xf numFmtId="0" fontId="12" fillId="29" borderId="74" xfId="0" applyFont="1" applyFill="1" applyBorder="1" applyAlignment="1">
      <alignment horizontal="center" vertical="center" wrapText="1"/>
    </xf>
    <xf numFmtId="0" fontId="12" fillId="0" borderId="78" xfId="0" applyFont="1" applyBorder="1" applyAlignment="1">
      <alignment vertical="center"/>
    </xf>
    <xf numFmtId="0" fontId="39" fillId="0" borderId="78" xfId="0" applyFont="1" applyBorder="1" applyAlignment="1">
      <alignment horizontal="center" vertical="center"/>
    </xf>
    <xf numFmtId="0" fontId="46" fillId="0" borderId="78" xfId="0" applyFont="1" applyBorder="1" applyAlignment="1">
      <alignment horizontal="center"/>
    </xf>
    <xf numFmtId="166" fontId="0" fillId="22" borderId="78" xfId="36" applyFont="1" applyFill="1" applyBorder="1" applyAlignment="1">
      <alignment horizontal="center" vertical="center"/>
    </xf>
    <xf numFmtId="167" fontId="12" fillId="29" borderId="78" xfId="36" applyNumberFormat="1" applyFont="1" applyFill="1" applyBorder="1"/>
    <xf numFmtId="3" fontId="0" fillId="0" borderId="78" xfId="0" applyNumberFormat="1" applyBorder="1" applyAlignment="1">
      <alignment horizontal="center" vertical="center"/>
    </xf>
    <xf numFmtId="166" fontId="12" fillId="22" borderId="78" xfId="36" applyFont="1" applyFill="1" applyBorder="1" applyAlignment="1">
      <alignment horizontal="center" vertical="center"/>
    </xf>
    <xf numFmtId="166" fontId="12" fillId="29" borderId="78" xfId="36" applyFont="1" applyFill="1" applyBorder="1"/>
    <xf numFmtId="10" fontId="12" fillId="0" borderId="78" xfId="36" applyNumberFormat="1" applyFont="1" applyFill="1" applyBorder="1" applyAlignment="1">
      <alignment horizontal="center" vertical="center"/>
    </xf>
    <xf numFmtId="166" fontId="12" fillId="0" borderId="78" xfId="36" applyFont="1" applyFill="1" applyBorder="1" applyAlignment="1">
      <alignment horizontal="right" vertical="center"/>
    </xf>
    <xf numFmtId="182" fontId="12" fillId="22" borderId="78" xfId="36" applyNumberFormat="1" applyFont="1" applyFill="1" applyBorder="1" applyAlignment="1">
      <alignment horizontal="center" vertical="center"/>
    </xf>
    <xf numFmtId="0" fontId="12" fillId="0" borderId="78" xfId="0" applyFont="1" applyBorder="1" applyAlignment="1">
      <alignment vertical="top" wrapText="1"/>
    </xf>
    <xf numFmtId="0" fontId="12" fillId="0" borderId="78" xfId="0" applyFont="1" applyBorder="1" applyAlignment="1">
      <alignment horizontal="center"/>
    </xf>
    <xf numFmtId="3" fontId="12" fillId="0" borderId="78" xfId="0" applyNumberFormat="1" applyFont="1" applyBorder="1" applyAlignment="1">
      <alignment horizontal="center" vertical="center"/>
    </xf>
    <xf numFmtId="0" fontId="12" fillId="0" borderId="78" xfId="0" applyFont="1" applyBorder="1" applyAlignment="1">
      <alignment horizontal="left"/>
    </xf>
    <xf numFmtId="0" fontId="39" fillId="0" borderId="78" xfId="0" applyFont="1" applyBorder="1"/>
    <xf numFmtId="0" fontId="12" fillId="0" borderId="78" xfId="0" applyFont="1" applyBorder="1" applyAlignment="1">
      <alignment horizontal="center" wrapText="1"/>
    </xf>
    <xf numFmtId="166" fontId="12" fillId="29" borderId="78" xfId="36" applyFont="1" applyFill="1" applyBorder="1" applyAlignment="1">
      <alignment vertical="center"/>
    </xf>
    <xf numFmtId="0" fontId="0" fillId="0" borderId="78" xfId="0" applyBorder="1" applyAlignment="1">
      <alignment horizontal="center" vertical="center"/>
    </xf>
    <xf numFmtId="167" fontId="13" fillId="29" borderId="78" xfId="36" applyNumberFormat="1" applyFont="1" applyFill="1" applyBorder="1"/>
    <xf numFmtId="166" fontId="0" fillId="0" borderId="78" xfId="36" applyFont="1" applyFill="1" applyBorder="1" applyAlignment="1">
      <alignment horizontal="center" vertical="center"/>
    </xf>
    <xf numFmtId="0" fontId="0" fillId="0" borderId="78" xfId="0" applyBorder="1" applyAlignment="1">
      <alignment horizontal="left"/>
    </xf>
    <xf numFmtId="0" fontId="0" fillId="0" borderId="73" xfId="0" applyBorder="1"/>
    <xf numFmtId="166" fontId="0" fillId="0" borderId="73" xfId="36" applyFont="1" applyBorder="1"/>
    <xf numFmtId="0" fontId="13" fillId="0" borderId="80" xfId="0" applyFont="1" applyBorder="1" applyAlignment="1">
      <alignment horizontal="left" vertical="center" wrapText="1"/>
    </xf>
    <xf numFmtId="9" fontId="12" fillId="0" borderId="80" xfId="50" applyBorder="1" applyAlignment="1">
      <alignment horizontal="center"/>
    </xf>
    <xf numFmtId="0" fontId="12" fillId="0" borderId="80" xfId="0" applyFont="1" applyBorder="1" applyAlignment="1">
      <alignment horizontal="center" vertical="center" wrapText="1"/>
    </xf>
    <xf numFmtId="0" fontId="55" fillId="0" borderId="76" xfId="0" applyFont="1" applyBorder="1"/>
    <xf numFmtId="14" fontId="12" fillId="0" borderId="80" xfId="50" applyNumberFormat="1" applyBorder="1" applyAlignment="1">
      <alignment horizontal="center"/>
    </xf>
    <xf numFmtId="1" fontId="12" fillId="0" borderId="80" xfId="0" applyNumberFormat="1" applyFont="1" applyBorder="1" applyAlignment="1">
      <alignment horizontal="center" vertical="center" wrapText="1"/>
    </xf>
    <xf numFmtId="3" fontId="43" fillId="0" borderId="76" xfId="48" applyNumberFormat="1" applyFont="1" applyBorder="1" applyAlignment="1">
      <alignment horizontal="center" vertical="center"/>
    </xf>
    <xf numFmtId="10" fontId="12" fillId="0" borderId="78" xfId="36" applyNumberFormat="1" applyFill="1" applyBorder="1" applyAlignment="1">
      <alignment horizontal="center"/>
    </xf>
    <xf numFmtId="14" fontId="60" fillId="0" borderId="78" xfId="0" applyNumberFormat="1" applyFont="1" applyBorder="1" applyAlignment="1">
      <alignment horizontal="center" wrapText="1"/>
    </xf>
    <xf numFmtId="166" fontId="0" fillId="0" borderId="76" xfId="36" applyFont="1" applyFill="1" applyBorder="1" applyAlignment="1">
      <alignment vertical="center"/>
    </xf>
    <xf numFmtId="0" fontId="12" fillId="0" borderId="80" xfId="0" applyFont="1" applyBorder="1" applyAlignment="1">
      <alignment horizontal="left"/>
    </xf>
    <xf numFmtId="9" fontId="12" fillId="0" borderId="80" xfId="42" applyNumberFormat="1" applyBorder="1" applyAlignment="1">
      <alignment horizontal="center"/>
    </xf>
    <xf numFmtId="166" fontId="17" fillId="0" borderId="80" xfId="36" applyFont="1" applyFill="1" applyBorder="1" applyAlignment="1">
      <alignment horizontal="left" vertical="center"/>
    </xf>
    <xf numFmtId="166" fontId="0" fillId="0" borderId="80" xfId="36" applyFont="1" applyFill="1" applyBorder="1"/>
    <xf numFmtId="0" fontId="13" fillId="0" borderId="76" xfId="0" applyFont="1" applyBorder="1"/>
    <xf numFmtId="0" fontId="0" fillId="0" borderId="78" xfId="0" applyBorder="1" applyAlignment="1">
      <alignment horizontal="center" vertical="center" wrapText="1"/>
    </xf>
    <xf numFmtId="0" fontId="12" fillId="0" borderId="76" xfId="0" applyFont="1" applyBorder="1" applyAlignment="1">
      <alignment horizontal="left" vertical="center" wrapText="1"/>
    </xf>
    <xf numFmtId="166" fontId="0" fillId="0" borderId="78" xfId="36" applyFont="1" applyBorder="1" applyAlignment="1">
      <alignment horizontal="center" vertical="center" wrapText="1"/>
    </xf>
    <xf numFmtId="166" fontId="0" fillId="0" borderId="81" xfId="36" applyFont="1" applyFill="1" applyBorder="1" applyAlignment="1">
      <alignment horizontal="center" vertical="center" wrapText="1"/>
    </xf>
    <xf numFmtId="0" fontId="12" fillId="0" borderId="78" xfId="0" applyFont="1" applyBorder="1" applyAlignment="1">
      <alignment horizontal="left" vertical="center" wrapText="1"/>
    </xf>
    <xf numFmtId="175" fontId="12" fillId="0" borderId="78" xfId="42" applyBorder="1"/>
    <xf numFmtId="175" fontId="12" fillId="0" borderId="78" xfId="42" applyFill="1" applyBorder="1"/>
    <xf numFmtId="166" fontId="0" fillId="0" borderId="78" xfId="36" applyFont="1" applyFill="1" applyBorder="1" applyAlignment="1">
      <alignment horizontal="center" vertical="center" wrapText="1"/>
    </xf>
    <xf numFmtId="0" fontId="39" fillId="0" borderId="76" xfId="0" applyFont="1" applyBorder="1"/>
    <xf numFmtId="2" fontId="0" fillId="0" borderId="80" xfId="0" applyNumberFormat="1" applyBorder="1" applyAlignment="1">
      <alignment horizontal="center"/>
    </xf>
    <xf numFmtId="2" fontId="0" fillId="0" borderId="76" xfId="0" applyNumberFormat="1" applyBorder="1" applyAlignment="1">
      <alignment horizontal="center"/>
    </xf>
    <xf numFmtId="176" fontId="0" fillId="0" borderId="80" xfId="0" applyNumberFormat="1" applyBorder="1" applyAlignment="1">
      <alignment horizontal="center"/>
    </xf>
    <xf numFmtId="166" fontId="13" fillId="0" borderId="75" xfId="37" applyFont="1" applyFill="1" applyBorder="1"/>
    <xf numFmtId="2" fontId="12" fillId="0" borderId="75" xfId="0" applyNumberFormat="1" applyFont="1" applyBorder="1" applyAlignment="1">
      <alignment horizontal="center"/>
    </xf>
    <xf numFmtId="166" fontId="12" fillId="0" borderId="75" xfId="36" applyFill="1" applyBorder="1"/>
    <xf numFmtId="9" fontId="12" fillId="0" borderId="75" xfId="50" applyBorder="1" applyAlignment="1">
      <alignment horizontal="center"/>
    </xf>
    <xf numFmtId="9" fontId="12" fillId="23" borderId="75" xfId="36" applyNumberFormat="1" applyFill="1" applyBorder="1" applyAlignment="1">
      <alignment horizontal="center" vertical="center"/>
    </xf>
    <xf numFmtId="9" fontId="12" fillId="0" borderId="75" xfId="36" applyNumberFormat="1" applyBorder="1" applyAlignment="1">
      <alignment horizontal="center" vertical="center"/>
    </xf>
    <xf numFmtId="166" fontId="12" fillId="0" borderId="75" xfId="36" applyFill="1" applyBorder="1" applyAlignment="1">
      <alignment horizontal="center"/>
    </xf>
    <xf numFmtId="0" fontId="12" fillId="0" borderId="75" xfId="0" quotePrefix="1" applyFont="1" applyBorder="1" applyAlignment="1">
      <alignment horizontal="left"/>
    </xf>
    <xf numFmtId="166" fontId="12" fillId="0" borderId="75" xfId="36" applyFill="1" applyBorder="1" applyAlignment="1">
      <alignment horizontal="center" vertical="center"/>
    </xf>
    <xf numFmtId="2" fontId="12" fillId="0" borderId="75" xfId="0" applyNumberFormat="1" applyFont="1" applyBorder="1" applyAlignment="1">
      <alignment horizontal="center" vertical="center"/>
    </xf>
    <xf numFmtId="166" fontId="12" fillId="0" borderId="75" xfId="0" applyNumberFormat="1" applyFont="1" applyBorder="1"/>
    <xf numFmtId="0" fontId="12" fillId="0" borderId="75" xfId="0" applyFont="1" applyBorder="1" applyAlignment="1">
      <alignment horizontal="center"/>
    </xf>
    <xf numFmtId="0" fontId="12" fillId="0" borderId="75" xfId="0" applyFont="1" applyBorder="1" applyAlignment="1">
      <alignment horizontal="left" vertical="center" wrapText="1"/>
    </xf>
    <xf numFmtId="0" fontId="13" fillId="0" borderId="75" xfId="0" applyFont="1" applyBorder="1" applyAlignment="1">
      <alignment horizontal="left" vertical="center" wrapText="1"/>
    </xf>
    <xf numFmtId="166" fontId="12" fillId="0" borderId="75" xfId="37" applyFont="1" applyFill="1" applyBorder="1"/>
    <xf numFmtId="0" fontId="0" fillId="0" borderId="81" xfId="0" applyBorder="1" applyAlignment="1">
      <alignment horizontal="center" vertical="center" wrapText="1"/>
    </xf>
    <xf numFmtId="166" fontId="13" fillId="0" borderId="78" xfId="36" applyFont="1" applyFill="1" applyBorder="1"/>
    <xf numFmtId="0" fontId="17" fillId="0" borderId="73" xfId="0" applyFont="1" applyBorder="1" applyAlignment="1">
      <alignment horizontal="left" vertical="center"/>
    </xf>
    <xf numFmtId="0" fontId="16" fillId="0" borderId="73" xfId="0" applyFont="1" applyBorder="1" applyAlignment="1">
      <alignment vertical="center"/>
    </xf>
    <xf numFmtId="0" fontId="13" fillId="0" borderId="62" xfId="0" applyFont="1" applyBorder="1"/>
    <xf numFmtId="0" fontId="0" fillId="0" borderId="62" xfId="0" applyBorder="1" applyAlignment="1">
      <alignment horizontal="center" vertical="center"/>
    </xf>
    <xf numFmtId="0" fontId="12" fillId="0" borderId="62" xfId="0" applyFont="1" applyBorder="1" applyAlignment="1">
      <alignment horizontal="left" vertical="center"/>
    </xf>
    <xf numFmtId="0" fontId="13" fillId="0" borderId="62" xfId="0" applyFont="1" applyBorder="1" applyAlignment="1">
      <alignment horizontal="left" vertical="center"/>
    </xf>
    <xf numFmtId="166" fontId="13" fillId="28" borderId="78" xfId="36" applyFont="1" applyFill="1" applyBorder="1" applyAlignment="1">
      <alignment horizontal="center"/>
    </xf>
    <xf numFmtId="0" fontId="0" fillId="37" borderId="62" xfId="0" applyFill="1" applyBorder="1" applyAlignment="1">
      <alignment horizontal="left" vertical="center"/>
    </xf>
    <xf numFmtId="0" fontId="13" fillId="0" borderId="62" xfId="0" applyFont="1" applyBorder="1" applyAlignment="1">
      <alignment horizontal="left"/>
    </xf>
    <xf numFmtId="0" fontId="12" fillId="0" borderId="62" xfId="0" quotePrefix="1" applyFont="1" applyBorder="1"/>
    <xf numFmtId="0" fontId="12" fillId="0" borderId="62" xfId="0" applyFont="1" applyBorder="1"/>
    <xf numFmtId="0" fontId="0" fillId="0" borderId="62" xfId="0" applyBorder="1"/>
    <xf numFmtId="4" fontId="13" fillId="0" borderId="62" xfId="0" applyNumberFormat="1" applyFont="1" applyBorder="1"/>
    <xf numFmtId="166" fontId="0" fillId="0" borderId="78" xfId="36" applyFont="1" applyFill="1" applyBorder="1" applyAlignment="1">
      <alignment horizontal="center"/>
    </xf>
    <xf numFmtId="166" fontId="12" fillId="28" borderId="78" xfId="0" applyNumberFormat="1" applyFont="1" applyFill="1" applyBorder="1"/>
    <xf numFmtId="166" fontId="12" fillId="0" borderId="78" xfId="36" applyFill="1" applyBorder="1" applyAlignment="1">
      <alignment horizontal="center"/>
    </xf>
    <xf numFmtId="0" fontId="12" fillId="0" borderId="62" xfId="0" applyFont="1" applyBorder="1" applyAlignment="1">
      <alignment horizontal="left" vertical="center" wrapText="1"/>
    </xf>
    <xf numFmtId="166" fontId="12" fillId="28" borderId="78" xfId="36" applyFill="1" applyBorder="1"/>
    <xf numFmtId="166" fontId="12" fillId="28" borderId="78" xfId="36" applyFill="1" applyBorder="1" applyAlignment="1">
      <alignment horizontal="center"/>
    </xf>
    <xf numFmtId="166" fontId="12" fillId="0" borderId="78" xfId="36" applyFill="1" applyBorder="1"/>
    <xf numFmtId="166" fontId="13" fillId="0" borderId="78" xfId="36" applyFont="1" applyFill="1" applyBorder="1" applyAlignment="1">
      <alignment horizontal="center"/>
    </xf>
    <xf numFmtId="0" fontId="12" fillId="0" borderId="62" xfId="64" applyBorder="1"/>
    <xf numFmtId="0" fontId="13" fillId="0" borderId="62" xfId="64" applyFont="1" applyBorder="1"/>
    <xf numFmtId="167" fontId="13" fillId="0" borderId="78" xfId="137" applyNumberFormat="1" applyFont="1" applyBorder="1"/>
    <xf numFmtId="166" fontId="13" fillId="0" borderId="78" xfId="137" applyNumberFormat="1" applyFont="1" applyBorder="1"/>
    <xf numFmtId="167" fontId="12" fillId="0" borderId="78" xfId="137" applyNumberFormat="1" applyFont="1" applyBorder="1"/>
    <xf numFmtId="167" fontId="54" fillId="0" borderId="78" xfId="137" applyNumberFormat="1" applyFont="1" applyFill="1" applyBorder="1"/>
    <xf numFmtId="167" fontId="43" fillId="0" borderId="62" xfId="137" applyNumberFormat="1" applyFont="1" applyFill="1" applyBorder="1"/>
    <xf numFmtId="166" fontId="12" fillId="0" borderId="78" xfId="137" applyNumberFormat="1" applyFont="1" applyFill="1" applyBorder="1"/>
    <xf numFmtId="167" fontId="43" fillId="0" borderId="78" xfId="137" applyNumberFormat="1" applyFont="1" applyFill="1" applyBorder="1"/>
    <xf numFmtId="167" fontId="13" fillId="0" borderId="78" xfId="137" applyNumberFormat="1" applyFont="1" applyFill="1" applyBorder="1"/>
    <xf numFmtId="0" fontId="12" fillId="0" borderId="73" xfId="64" applyBorder="1"/>
    <xf numFmtId="0" fontId="12" fillId="0" borderId="73" xfId="64" quotePrefix="1" applyBorder="1"/>
    <xf numFmtId="0" fontId="12" fillId="0" borderId="74" xfId="64" applyBorder="1"/>
    <xf numFmtId="0" fontId="12" fillId="0" borderId="62" xfId="64" applyBorder="1" applyAlignment="1">
      <alignment horizontal="left" vertical="center" wrapText="1" indent="1" shrinkToFit="1"/>
    </xf>
    <xf numFmtId="49" fontId="12" fillId="0" borderId="78" xfId="64" applyNumberFormat="1" applyBorder="1" applyAlignment="1">
      <alignment horizontal="center" vertical="center" wrapText="1" shrinkToFit="1"/>
    </xf>
    <xf numFmtId="167" fontId="38" fillId="28" borderId="78" xfId="36" applyNumberFormat="1" applyFont="1" applyFill="1" applyBorder="1" applyAlignment="1">
      <alignment horizontal="center" vertical="center" shrinkToFit="1"/>
    </xf>
    <xf numFmtId="167" fontId="38" fillId="0" borderId="78" xfId="138" applyNumberFormat="1" applyFont="1" applyBorder="1" applyAlignment="1">
      <alignment horizontal="center" shrinkToFit="1"/>
    </xf>
    <xf numFmtId="49" fontId="12" fillId="27" borderId="78" xfId="64" applyNumberFormat="1" applyFill="1" applyBorder="1" applyAlignment="1">
      <alignment horizontal="center" vertical="center" wrapText="1" shrinkToFit="1"/>
    </xf>
    <xf numFmtId="167" fontId="38" fillId="27" borderId="78" xfId="138" applyNumberFormat="1" applyFont="1" applyFill="1" applyBorder="1" applyAlignment="1">
      <alignment horizontal="center" shrinkToFit="1"/>
    </xf>
    <xf numFmtId="167" fontId="38" fillId="0" borderId="78" xfId="138" applyNumberFormat="1" applyFont="1" applyFill="1" applyBorder="1" applyAlignment="1">
      <alignment horizontal="center" shrinkToFit="1"/>
    </xf>
    <xf numFmtId="167" fontId="38" fillId="28" borderId="78" xfId="138" applyNumberFormat="1" applyFont="1" applyFill="1" applyBorder="1" applyAlignment="1">
      <alignment horizontal="center" shrinkToFit="1"/>
    </xf>
    <xf numFmtId="0" fontId="13" fillId="0" borderId="62" xfId="64" applyFont="1" applyBorder="1" applyAlignment="1">
      <alignment horizontal="justify" vertical="center" wrapText="1" shrinkToFit="1"/>
    </xf>
    <xf numFmtId="49" fontId="13" fillId="0" borderId="78" xfId="64" applyNumberFormat="1" applyFont="1" applyBorder="1" applyAlignment="1">
      <alignment horizontal="center" vertical="center" wrapText="1" shrinkToFit="1"/>
    </xf>
    <xf numFmtId="167" fontId="51" fillId="0" borderId="78" xfId="138" applyNumberFormat="1" applyFont="1" applyFill="1" applyBorder="1" applyAlignment="1">
      <alignment horizontal="center" shrinkToFit="1"/>
    </xf>
    <xf numFmtId="167" fontId="38" fillId="23" borderId="78" xfId="138" applyNumberFormat="1" applyFont="1" applyFill="1" applyBorder="1" applyAlignment="1">
      <alignment horizontal="center" shrinkToFit="1"/>
    </xf>
    <xf numFmtId="0" fontId="12" fillId="0" borderId="62" xfId="64" applyBorder="1" applyAlignment="1">
      <alignment horizontal="left" wrapText="1" indent="1"/>
    </xf>
    <xf numFmtId="167" fontId="51" fillId="0" borderId="78" xfId="138" applyNumberFormat="1" applyFont="1" applyBorder="1" applyAlignment="1">
      <alignment horizontal="center" shrinkToFit="1"/>
    </xf>
    <xf numFmtId="0" fontId="12" fillId="0" borderId="78" xfId="64" applyBorder="1" applyAlignment="1">
      <alignment horizontal="left" wrapText="1" indent="1"/>
    </xf>
    <xf numFmtId="167" fontId="38" fillId="0" borderId="73" xfId="138" applyNumberFormat="1" applyFont="1" applyBorder="1"/>
    <xf numFmtId="166" fontId="12" fillId="0" borderId="78" xfId="36" applyFont="1" applyBorder="1"/>
    <xf numFmtId="166" fontId="13" fillId="0" borderId="78" xfId="36" applyFont="1" applyBorder="1"/>
    <xf numFmtId="0" fontId="13" fillId="0" borderId="78" xfId="0" applyFont="1" applyBorder="1"/>
    <xf numFmtId="0" fontId="13" fillId="0" borderId="78" xfId="0" applyFont="1" applyBorder="1" applyAlignment="1">
      <alignment horizontal="center" vertical="center" wrapText="1"/>
    </xf>
    <xf numFmtId="14" fontId="12" fillId="23" borderId="78" xfId="0" applyNumberFormat="1" applyFont="1" applyFill="1" applyBorder="1" applyAlignment="1">
      <alignment horizontal="center" vertical="center" wrapText="1"/>
    </xf>
    <xf numFmtId="166" fontId="12" fillId="23" borderId="78" xfId="36" applyFont="1" applyFill="1" applyBorder="1"/>
    <xf numFmtId="167" fontId="15" fillId="0" borderId="78" xfId="36" applyNumberFormat="1" applyFont="1" applyBorder="1"/>
    <xf numFmtId="0" fontId="13" fillId="0" borderId="73" xfId="0" applyFont="1" applyBorder="1"/>
    <xf numFmtId="0" fontId="0" fillId="0" borderId="62" xfId="0" applyBorder="1" applyAlignment="1">
      <alignment horizontal="center"/>
    </xf>
    <xf numFmtId="166" fontId="0" fillId="0" borderId="78" xfId="36" applyFont="1" applyBorder="1"/>
    <xf numFmtId="166" fontId="0" fillId="0" borderId="78" xfId="36" applyFont="1" applyBorder="1" applyAlignment="1">
      <alignment horizontal="center"/>
    </xf>
    <xf numFmtId="166" fontId="21" fillId="0" borderId="0" xfId="36" applyFont="1" applyAlignment="1">
      <alignment horizontal="center" vertical="center"/>
    </xf>
    <xf numFmtId="0" fontId="13" fillId="0" borderId="0" xfId="36" applyNumberFormat="1" applyFont="1" applyFill="1" applyBorder="1" applyAlignment="1">
      <alignment horizontal="center" vertical="top" wrapText="1"/>
    </xf>
    <xf numFmtId="166" fontId="0" fillId="0" borderId="76" xfId="36" applyFont="1" applyFill="1" applyBorder="1" applyAlignment="1">
      <alignment horizontal="center" vertical="center"/>
    </xf>
    <xf numFmtId="166" fontId="0" fillId="0" borderId="40" xfId="36" applyFont="1" applyFill="1" applyBorder="1" applyAlignment="1">
      <alignment horizontal="center" vertical="center"/>
    </xf>
    <xf numFmtId="0" fontId="21" fillId="0" borderId="0" xfId="0" applyFont="1" applyAlignment="1">
      <alignment horizontal="left" vertical="center"/>
    </xf>
    <xf numFmtId="0" fontId="13" fillId="0" borderId="56" xfId="0" applyFont="1" applyBorder="1" applyAlignment="1">
      <alignment horizontal="left" vertical="center" wrapText="1"/>
    </xf>
    <xf numFmtId="0" fontId="12" fillId="0" borderId="73" xfId="0" applyFont="1" applyBorder="1" applyAlignment="1">
      <alignment horizontal="left" vertical="center" wrapText="1"/>
    </xf>
    <xf numFmtId="166" fontId="61" fillId="45" borderId="0" xfId="106" applyNumberFormat="1" applyFont="1" applyFill="1" applyAlignment="1">
      <alignment horizontal="center"/>
    </xf>
    <xf numFmtId="0" fontId="61" fillId="45" borderId="0" xfId="106" applyFont="1" applyFill="1" applyAlignment="1">
      <alignment horizontal="center"/>
    </xf>
    <xf numFmtId="183" fontId="12" fillId="0" borderId="79" xfId="107" applyBorder="1" applyAlignment="1">
      <alignment horizontal="center" vertical="center" wrapText="1"/>
    </xf>
    <xf numFmtId="0" fontId="18" fillId="0" borderId="0" xfId="0" applyFont="1" applyAlignment="1">
      <alignment horizontal="center" vertical="center"/>
    </xf>
    <xf numFmtId="166" fontId="18" fillId="0" borderId="0" xfId="36" applyFont="1" applyAlignment="1">
      <alignment horizontal="center" vertical="center" wrapText="1"/>
    </xf>
    <xf numFmtId="0" fontId="12" fillId="0" borderId="0" xfId="0" applyFont="1" applyAlignment="1">
      <alignment horizontal="center" vertical="center"/>
    </xf>
    <xf numFmtId="0" fontId="12" fillId="0" borderId="72" xfId="0" applyFont="1" applyBorder="1" applyAlignment="1">
      <alignment horizontal="center" vertical="center"/>
    </xf>
    <xf numFmtId="14" fontId="13" fillId="0" borderId="24" xfId="0" applyNumberFormat="1" applyFont="1" applyBorder="1" applyAlignment="1">
      <alignment horizontal="center" vertical="center"/>
    </xf>
    <xf numFmtId="14" fontId="13" fillId="0" borderId="25" xfId="0" applyNumberFormat="1" applyFont="1" applyBorder="1" applyAlignment="1">
      <alignment horizontal="center" vertical="center"/>
    </xf>
    <xf numFmtId="14" fontId="13" fillId="0" borderId="10" xfId="0" applyNumberFormat="1" applyFont="1" applyBorder="1" applyAlignment="1">
      <alignment horizontal="center" vertical="center"/>
    </xf>
    <xf numFmtId="0" fontId="12" fillId="0" borderId="24" xfId="0" applyFont="1" applyBorder="1" applyAlignment="1">
      <alignment horizontal="center" vertical="center"/>
    </xf>
    <xf numFmtId="0" fontId="12" fillId="0" borderId="25" xfId="0" applyFont="1" applyBorder="1" applyAlignment="1">
      <alignment horizontal="center" vertical="center"/>
    </xf>
    <xf numFmtId="0" fontId="12" fillId="0" borderId="10" xfId="0" applyFont="1" applyBorder="1" applyAlignment="1">
      <alignment horizontal="center" vertical="center"/>
    </xf>
    <xf numFmtId="0" fontId="17" fillId="0" borderId="62" xfId="64" applyFont="1" applyBorder="1" applyAlignment="1">
      <alignment horizontal="center"/>
    </xf>
    <xf numFmtId="0" fontId="17" fillId="0" borderId="0" xfId="64" applyFont="1" applyAlignment="1">
      <alignment horizontal="center"/>
    </xf>
    <xf numFmtId="0" fontId="17" fillId="0" borderId="41" xfId="64" applyFont="1" applyBorder="1" applyAlignment="1">
      <alignment horizontal="center"/>
    </xf>
    <xf numFmtId="0" fontId="13" fillId="0" borderId="0" xfId="64" applyFont="1" applyAlignment="1">
      <alignment horizontal="center"/>
    </xf>
    <xf numFmtId="0" fontId="13" fillId="0" borderId="73" xfId="64" applyFont="1" applyBorder="1" applyAlignment="1">
      <alignment horizontal="center"/>
    </xf>
    <xf numFmtId="0" fontId="12" fillId="0" borderId="13" xfId="134" applyBorder="1" applyAlignment="1">
      <alignment vertical="center"/>
    </xf>
    <xf numFmtId="0" fontId="12" fillId="0" borderId="0" xfId="134" applyAlignment="1">
      <alignment vertical="center"/>
    </xf>
    <xf numFmtId="0" fontId="15" fillId="0" borderId="13" xfId="134" applyFont="1" applyBorder="1" applyAlignment="1">
      <alignment horizontal="center"/>
    </xf>
    <xf numFmtId="0" fontId="15" fillId="0" borderId="0" xfId="134" applyFont="1" applyAlignment="1">
      <alignment horizontal="center"/>
    </xf>
    <xf numFmtId="0" fontId="15" fillId="0" borderId="16" xfId="134" applyFont="1" applyBorder="1" applyAlignment="1">
      <alignment horizontal="center"/>
    </xf>
    <xf numFmtId="0" fontId="12" fillId="0" borderId="0" xfId="134" applyAlignment="1">
      <alignment horizontal="right" vertical="center"/>
    </xf>
    <xf numFmtId="14" fontId="15" fillId="0" borderId="22" xfId="134" applyNumberFormat="1" applyFont="1" applyBorder="1" applyAlignment="1">
      <alignment horizontal="center" vertical="center"/>
    </xf>
    <xf numFmtId="14" fontId="15" fillId="0" borderId="19" xfId="134" applyNumberFormat="1" applyFont="1" applyBorder="1" applyAlignment="1">
      <alignment horizontal="center" vertical="center"/>
    </xf>
    <xf numFmtId="0" fontId="17" fillId="0" borderId="0" xfId="134" applyFont="1" applyAlignment="1">
      <alignment horizontal="center" vertical="center"/>
    </xf>
    <xf numFmtId="0" fontId="83" fillId="0" borderId="0" xfId="134" applyFont="1" applyAlignment="1">
      <alignment horizontal="right" vertical="center"/>
    </xf>
    <xf numFmtId="0" fontId="83" fillId="0" borderId="26" xfId="134" applyFont="1" applyBorder="1" applyAlignment="1">
      <alignment horizontal="right" vertical="center"/>
    </xf>
    <xf numFmtId="0" fontId="83" fillId="0" borderId="0" xfId="134" applyFont="1" applyAlignment="1">
      <alignment horizontal="center" vertical="center"/>
    </xf>
    <xf numFmtId="0" fontId="83" fillId="0" borderId="26" xfId="134" applyFont="1" applyBorder="1" applyAlignment="1">
      <alignment horizontal="center" vertical="center"/>
    </xf>
    <xf numFmtId="0" fontId="15" fillId="0" borderId="13" xfId="134" applyFont="1" applyBorder="1" applyAlignment="1">
      <alignment horizontal="left"/>
    </xf>
    <xf numFmtId="0" fontId="15" fillId="0" borderId="0" xfId="134" applyFont="1" applyAlignment="1">
      <alignment horizontal="left"/>
    </xf>
    <xf numFmtId="0" fontId="17" fillId="0" borderId="0" xfId="0" applyFont="1" applyAlignment="1">
      <alignment horizontal="center" vertical="center" shrinkToFit="1"/>
    </xf>
    <xf numFmtId="0" fontId="13" fillId="0" borderId="0" xfId="0" applyFont="1" applyAlignment="1">
      <alignment horizontal="center" vertical="center" shrinkToFit="1"/>
    </xf>
    <xf numFmtId="14" fontId="16" fillId="0" borderId="0" xfId="0" applyNumberFormat="1" applyFont="1" applyAlignment="1">
      <alignment horizontal="left" vertical="center" shrinkToFit="1"/>
    </xf>
    <xf numFmtId="14" fontId="12" fillId="0" borderId="0" xfId="0" applyNumberFormat="1" applyFont="1" applyAlignment="1">
      <alignment horizontal="left" vertical="center" shrinkToFit="1"/>
    </xf>
    <xf numFmtId="0" fontId="13" fillId="0" borderId="0" xfId="0" applyFont="1" applyAlignment="1">
      <alignment horizontal="center"/>
    </xf>
    <xf numFmtId="0" fontId="17" fillId="0" borderId="83" xfId="0" applyFont="1" applyBorder="1" applyAlignment="1">
      <alignment horizontal="center" vertical="center"/>
    </xf>
    <xf numFmtId="0" fontId="17" fillId="0" borderId="84" xfId="0" applyFont="1" applyBorder="1" applyAlignment="1">
      <alignment horizontal="center" vertical="center" wrapText="1"/>
    </xf>
    <xf numFmtId="165" fontId="17" fillId="0" borderId="84" xfId="0" applyNumberFormat="1" applyFont="1" applyBorder="1" applyAlignment="1">
      <alignment horizontal="center" vertical="center" wrapText="1"/>
    </xf>
    <xf numFmtId="0" fontId="13" fillId="0" borderId="85" xfId="0" applyFont="1" applyBorder="1" applyAlignment="1">
      <alignment horizontal="center" vertical="center" wrapText="1"/>
    </xf>
    <xf numFmtId="0" fontId="13" fillId="0" borderId="83" xfId="0" applyFont="1" applyBorder="1" applyAlignment="1">
      <alignment horizontal="center" vertical="center" wrapText="1"/>
    </xf>
    <xf numFmtId="0" fontId="13" fillId="0" borderId="85" xfId="0" quotePrefix="1" applyFont="1" applyBorder="1" applyAlignment="1">
      <alignment horizontal="center" vertical="center" wrapText="1"/>
    </xf>
    <xf numFmtId="0" fontId="17" fillId="26" borderId="86" xfId="0" applyFont="1" applyFill="1" applyBorder="1" applyAlignment="1">
      <alignment horizontal="center" vertical="center"/>
    </xf>
    <xf numFmtId="0" fontId="17" fillId="26" borderId="84" xfId="0" applyFont="1" applyFill="1" applyBorder="1" applyAlignment="1">
      <alignment horizontal="center" vertical="center"/>
    </xf>
    <xf numFmtId="166" fontId="13" fillId="0" borderId="85" xfId="36" applyFont="1" applyBorder="1" applyAlignment="1">
      <alignment horizontal="center" vertical="center"/>
    </xf>
    <xf numFmtId="0" fontId="13" fillId="0" borderId="87" xfId="0" applyFont="1" applyBorder="1" applyAlignment="1">
      <alignment horizontal="left" vertical="center" wrapText="1"/>
    </xf>
    <xf numFmtId="165" fontId="13" fillId="0" borderId="86" xfId="0" applyNumberFormat="1" applyFont="1" applyBorder="1" applyAlignment="1">
      <alignment horizontal="center" vertical="center"/>
    </xf>
    <xf numFmtId="165" fontId="13" fillId="0" borderId="88" xfId="0" applyNumberFormat="1" applyFont="1" applyBorder="1" applyAlignment="1">
      <alignment horizontal="center" vertical="center"/>
    </xf>
    <xf numFmtId="166" fontId="12" fillId="0" borderId="88" xfId="0" applyNumberFormat="1" applyFont="1" applyBorder="1" applyAlignment="1">
      <alignment vertical="center"/>
    </xf>
    <xf numFmtId="166" fontId="12" fillId="0" borderId="88" xfId="36" applyFont="1" applyBorder="1" applyAlignment="1">
      <alignment horizontal="right" vertical="center"/>
    </xf>
    <xf numFmtId="171" fontId="12" fillId="0" borderId="88" xfId="0" applyNumberFormat="1" applyFont="1" applyBorder="1" applyAlignment="1">
      <alignment vertical="center"/>
    </xf>
    <xf numFmtId="166" fontId="13" fillId="0" borderId="88" xfId="36" applyFont="1" applyBorder="1" applyAlignment="1">
      <alignment vertical="center"/>
    </xf>
    <xf numFmtId="166" fontId="13" fillId="0" borderId="83" xfId="36" applyFont="1" applyBorder="1" applyAlignment="1">
      <alignment vertical="center"/>
    </xf>
    <xf numFmtId="166" fontId="13" fillId="0" borderId="86" xfId="0" applyNumberFormat="1" applyFont="1" applyBorder="1"/>
    <xf numFmtId="166" fontId="13" fillId="0" borderId="88" xfId="0" applyNumberFormat="1" applyFont="1" applyBorder="1"/>
    <xf numFmtId="166" fontId="13" fillId="0" borderId="84" xfId="0" applyNumberFormat="1" applyFont="1" applyBorder="1"/>
    <xf numFmtId="0" fontId="13" fillId="0" borderId="86" xfId="0" applyFont="1" applyBorder="1" applyAlignment="1">
      <alignment vertical="center" wrapText="1"/>
    </xf>
    <xf numFmtId="0" fontId="13" fillId="0" borderId="84" xfId="0" applyFont="1" applyBorder="1" applyAlignment="1">
      <alignment vertical="center" wrapText="1"/>
    </xf>
    <xf numFmtId="166" fontId="13" fillId="0" borderId="84" xfId="36" applyFont="1" applyBorder="1" applyAlignment="1">
      <alignment vertical="center"/>
    </xf>
    <xf numFmtId="166" fontId="13" fillId="0" borderId="83" xfId="36" applyFont="1" applyBorder="1" applyAlignment="1">
      <alignment horizontal="center" vertical="center"/>
    </xf>
    <xf numFmtId="0" fontId="13" fillId="0" borderId="86" xfId="0" applyFont="1" applyBorder="1" applyAlignment="1">
      <alignment vertical="center"/>
    </xf>
    <xf numFmtId="0" fontId="13" fillId="0" borderId="88" xfId="0" applyFont="1" applyBorder="1" applyAlignment="1">
      <alignment vertical="center"/>
    </xf>
    <xf numFmtId="166" fontId="13" fillId="0" borderId="84" xfId="36" applyFont="1" applyBorder="1" applyAlignment="1">
      <alignment horizontal="center" vertical="center"/>
    </xf>
    <xf numFmtId="0" fontId="13" fillId="20" borderId="86" xfId="0" applyFont="1" applyFill="1" applyBorder="1" applyAlignment="1">
      <alignment vertical="center"/>
    </xf>
    <xf numFmtId="0" fontId="13" fillId="20" borderId="88" xfId="0" applyFont="1" applyFill="1" applyBorder="1" applyAlignment="1">
      <alignment vertical="center"/>
    </xf>
    <xf numFmtId="165" fontId="13" fillId="20" borderId="88" xfId="0" applyNumberFormat="1" applyFont="1" applyFill="1" applyBorder="1" applyAlignment="1">
      <alignment horizontal="center" vertical="center"/>
    </xf>
    <xf numFmtId="166" fontId="12" fillId="20" borderId="88" xfId="0" applyNumberFormat="1" applyFont="1" applyFill="1" applyBorder="1" applyAlignment="1">
      <alignment vertical="center"/>
    </xf>
    <xf numFmtId="166" fontId="12" fillId="20" borderId="88" xfId="36" applyFont="1" applyFill="1" applyBorder="1" applyAlignment="1">
      <alignment horizontal="right" vertical="center"/>
    </xf>
    <xf numFmtId="171" fontId="12" fillId="20" borderId="88" xfId="0" applyNumberFormat="1" applyFont="1" applyFill="1" applyBorder="1" applyAlignment="1">
      <alignment vertical="center"/>
    </xf>
    <xf numFmtId="166" fontId="13" fillId="20" borderId="88" xfId="36" applyFont="1" applyFill="1" applyBorder="1" applyAlignment="1">
      <alignment vertical="center"/>
    </xf>
    <xf numFmtId="166" fontId="13" fillId="20" borderId="83" xfId="36" applyFont="1" applyFill="1" applyBorder="1" applyAlignment="1">
      <alignment horizontal="center" vertical="center"/>
    </xf>
    <xf numFmtId="0" fontId="12" fillId="21" borderId="87" xfId="0" applyFont="1" applyFill="1" applyBorder="1" applyAlignment="1">
      <alignment vertical="center"/>
    </xf>
    <xf numFmtId="166" fontId="12" fillId="21" borderId="85" xfId="36" applyFont="1" applyFill="1" applyBorder="1" applyAlignment="1">
      <alignment horizontal="center" vertical="center"/>
    </xf>
    <xf numFmtId="4" fontId="17" fillId="0" borderId="86" xfId="0" applyNumberFormat="1" applyFont="1" applyBorder="1" applyAlignment="1">
      <alignment horizontal="left" vertical="center"/>
    </xf>
    <xf numFmtId="4" fontId="17" fillId="0" borderId="88" xfId="0" applyNumberFormat="1" applyFont="1" applyBorder="1" applyAlignment="1">
      <alignment horizontal="center" vertical="center"/>
    </xf>
    <xf numFmtId="14" fontId="17" fillId="0" borderId="83" xfId="0" applyNumberFormat="1" applyFont="1" applyBorder="1" applyAlignment="1">
      <alignment horizontal="center" vertical="center"/>
    </xf>
    <xf numFmtId="166" fontId="12" fillId="0" borderId="85" xfId="36" applyFont="1" applyBorder="1" applyAlignment="1">
      <alignment vertical="center"/>
    </xf>
    <xf numFmtId="0" fontId="12" fillId="0" borderId="85" xfId="0" applyFont="1" applyBorder="1" applyAlignment="1">
      <alignment vertical="center"/>
    </xf>
    <xf numFmtId="0" fontId="12" fillId="0" borderId="86" xfId="0" applyFont="1" applyBorder="1" applyAlignment="1">
      <alignment vertical="center"/>
    </xf>
    <xf numFmtId="0" fontId="12" fillId="0" borderId="88" xfId="0" applyFont="1" applyBorder="1" applyAlignment="1">
      <alignment vertical="center"/>
    </xf>
    <xf numFmtId="10" fontId="13" fillId="0" borderId="83" xfId="48" applyNumberFormat="1" applyFont="1" applyFill="1" applyBorder="1" applyAlignment="1">
      <alignment horizontal="center" vertical="center"/>
    </xf>
    <xf numFmtId="0" fontId="17" fillId="0" borderId="86" xfId="0" applyFont="1" applyBorder="1" applyAlignment="1">
      <alignment horizontal="left" vertical="center"/>
    </xf>
    <xf numFmtId="0" fontId="17" fillId="0" borderId="88" xfId="0" applyFont="1" applyBorder="1" applyAlignment="1">
      <alignment horizontal="center" vertical="center"/>
    </xf>
    <xf numFmtId="14" fontId="17" fillId="0" borderId="83" xfId="0" applyNumberFormat="1" applyFont="1" applyBorder="1" applyAlignment="1">
      <alignment horizontal="center" vertical="center" wrapText="1"/>
    </xf>
    <xf numFmtId="0" fontId="12" fillId="0" borderId="87" xfId="0" applyFont="1" applyBorder="1" applyAlignment="1">
      <alignment vertical="center"/>
    </xf>
    <xf numFmtId="166" fontId="12" fillId="0" borderId="85" xfId="36" applyFont="1" applyFill="1" applyBorder="1" applyAlignment="1">
      <alignment vertical="center"/>
    </xf>
    <xf numFmtId="0" fontId="13" fillId="33" borderId="87" xfId="0" applyFont="1" applyFill="1" applyBorder="1" applyAlignment="1">
      <alignment vertical="center"/>
    </xf>
    <xf numFmtId="0" fontId="13" fillId="0" borderId="86" xfId="0" applyFont="1" applyBorder="1" applyAlignment="1">
      <alignment horizontal="center" vertical="center"/>
    </xf>
    <xf numFmtId="0" fontId="13" fillId="0" borderId="84" xfId="0" applyFont="1" applyBorder="1" applyAlignment="1">
      <alignment horizontal="center" vertical="center"/>
    </xf>
    <xf numFmtId="166" fontId="13" fillId="0" borderId="83" xfId="36" applyFont="1" applyFill="1" applyBorder="1" applyAlignment="1">
      <alignment horizontal="center" vertical="center"/>
    </xf>
    <xf numFmtId="0" fontId="12" fillId="0" borderId="86" xfId="0" applyFont="1" applyBorder="1" applyAlignment="1">
      <alignment horizontal="center" vertical="center"/>
    </xf>
    <xf numFmtId="0" fontId="61" fillId="0" borderId="84" xfId="0" applyFont="1" applyBorder="1" applyAlignment="1">
      <alignment horizontal="center" vertical="center"/>
    </xf>
    <xf numFmtId="0" fontId="12" fillId="0" borderId="86" xfId="75" applyBorder="1" applyAlignment="1">
      <alignment horizontal="center" vertical="center"/>
    </xf>
    <xf numFmtId="0" fontId="12" fillId="0" borderId="88" xfId="75" applyBorder="1" applyAlignment="1">
      <alignment horizontal="center" vertical="center"/>
    </xf>
    <xf numFmtId="167" fontId="12" fillId="0" borderId="88" xfId="75" applyNumberFormat="1" applyBorder="1"/>
    <xf numFmtId="166" fontId="12" fillId="0" borderId="83" xfId="36" applyBorder="1" applyAlignment="1">
      <alignment horizontal="center" vertical="center"/>
    </xf>
    <xf numFmtId="0" fontId="13" fillId="0" borderId="86" xfId="75" applyFont="1" applyBorder="1" applyAlignment="1">
      <alignment horizontal="center" vertical="center" wrapText="1"/>
    </xf>
    <xf numFmtId="0" fontId="13" fillId="0" borderId="89" xfId="75" applyFont="1" applyBorder="1" applyAlignment="1">
      <alignment horizontal="center" vertical="center" wrapText="1"/>
    </xf>
    <xf numFmtId="0" fontId="13" fillId="0" borderId="90" xfId="75" applyFont="1" applyBorder="1" applyAlignment="1">
      <alignment horizontal="center" vertical="center" wrapText="1"/>
    </xf>
    <xf numFmtId="166" fontId="12" fillId="0" borderId="79" xfId="77" applyBorder="1" applyAlignment="1">
      <alignment horizontal="center" vertical="center"/>
    </xf>
    <xf numFmtId="166" fontId="12" fillId="28" borderId="82" xfId="36" applyFill="1" applyBorder="1" applyAlignment="1">
      <alignment vertical="center"/>
    </xf>
    <xf numFmtId="166" fontId="12" fillId="0" borderId="87" xfId="77" applyBorder="1" applyAlignment="1">
      <alignment vertical="center"/>
    </xf>
    <xf numFmtId="169" fontId="12" fillId="0" borderId="85" xfId="77" applyNumberFormat="1" applyBorder="1" applyAlignment="1">
      <alignment vertical="center"/>
    </xf>
    <xf numFmtId="167" fontId="12" fillId="0" borderId="82" xfId="77" applyNumberFormat="1" applyBorder="1" applyAlignment="1">
      <alignment horizontal="center"/>
    </xf>
    <xf numFmtId="0" fontId="13" fillId="0" borderId="91" xfId="75" applyFont="1" applyBorder="1" applyAlignment="1">
      <alignment horizontal="center" vertical="center"/>
    </xf>
    <xf numFmtId="190" fontId="13" fillId="0" borderId="92" xfId="77" applyNumberFormat="1" applyFont="1" applyBorder="1" applyAlignment="1">
      <alignment vertical="center"/>
    </xf>
    <xf numFmtId="166" fontId="13" fillId="0" borderId="93" xfId="77" applyFont="1" applyBorder="1" applyAlignment="1">
      <alignment vertical="center"/>
    </xf>
    <xf numFmtId="175" fontId="12" fillId="0" borderId="94" xfId="43" applyBorder="1" applyAlignment="1">
      <alignment vertical="center"/>
    </xf>
    <xf numFmtId="166" fontId="12" fillId="0" borderId="94" xfId="0" applyNumberFormat="1" applyFont="1" applyBorder="1" applyAlignment="1">
      <alignment vertical="center"/>
    </xf>
    <xf numFmtId="169" fontId="12" fillId="0" borderId="94" xfId="0" applyNumberFormat="1" applyFont="1" applyBorder="1" applyAlignment="1">
      <alignment vertical="center"/>
    </xf>
    <xf numFmtId="0" fontId="12" fillId="0" borderId="94" xfId="0" applyFont="1" applyBorder="1" applyAlignment="1">
      <alignment horizontal="center" vertical="center"/>
    </xf>
    <xf numFmtId="0" fontId="38" fillId="0" borderId="87" xfId="0" applyFont="1" applyBorder="1" applyAlignment="1">
      <alignment horizontal="center"/>
    </xf>
    <xf numFmtId="166" fontId="38" fillId="0" borderId="85" xfId="36" applyFont="1" applyBorder="1" applyAlignment="1">
      <alignment horizontal="center"/>
    </xf>
    <xf numFmtId="0" fontId="38" fillId="0" borderId="85" xfId="0" applyFont="1" applyBorder="1" applyAlignment="1">
      <alignment horizontal="center"/>
    </xf>
    <xf numFmtId="0" fontId="38" fillId="0" borderId="86" xfId="0" applyFont="1" applyBorder="1"/>
    <xf numFmtId="0" fontId="38" fillId="0" borderId="86" xfId="0" applyFont="1" applyBorder="1" applyAlignment="1">
      <alignment horizontal="center" vertical="center" wrapText="1"/>
    </xf>
    <xf numFmtId="0" fontId="38" fillId="0" borderId="88" xfId="0" applyFont="1" applyBorder="1" applyAlignment="1">
      <alignment horizontal="center" vertical="center" wrapText="1"/>
    </xf>
    <xf numFmtId="167" fontId="38" fillId="0" borderId="88" xfId="0" applyNumberFormat="1" applyFont="1" applyBorder="1" applyAlignment="1">
      <alignment horizontal="center" vertical="center" wrapText="1"/>
    </xf>
    <xf numFmtId="0" fontId="38" fillId="0" borderId="85" xfId="0" applyFont="1" applyBorder="1" applyAlignment="1">
      <alignment horizontal="center" vertical="center" wrapText="1"/>
    </xf>
    <xf numFmtId="167" fontId="38" fillId="0" borderId="87" xfId="0" applyNumberFormat="1" applyFont="1" applyBorder="1" applyAlignment="1">
      <alignment horizontal="center" vertical="center" wrapText="1"/>
    </xf>
    <xf numFmtId="167" fontId="38" fillId="0" borderId="85" xfId="0" applyNumberFormat="1" applyFont="1" applyBorder="1" applyAlignment="1">
      <alignment horizontal="center" vertical="center" wrapText="1"/>
    </xf>
    <xf numFmtId="167" fontId="38" fillId="0" borderId="86" xfId="0" applyNumberFormat="1" applyFont="1" applyBorder="1"/>
    <xf numFmtId="183" fontId="13" fillId="0" borderId="87" xfId="107" applyFont="1" applyBorder="1"/>
    <xf numFmtId="183" fontId="13" fillId="0" borderId="95" xfId="107" applyFont="1" applyBorder="1"/>
    <xf numFmtId="183" fontId="13" fillId="0" borderId="85" xfId="107" applyFont="1" applyBorder="1" applyAlignment="1">
      <alignment horizontal="center"/>
    </xf>
    <xf numFmtId="183" fontId="12" fillId="0" borderId="85" xfId="107" applyBorder="1"/>
    <xf numFmtId="183" fontId="13" fillId="0" borderId="86" xfId="81" applyFont="1" applyBorder="1" applyAlignment="1">
      <alignment horizontal="center" vertical="center" wrapText="1"/>
    </xf>
    <xf numFmtId="183" fontId="13" fillId="0" borderId="84" xfId="81" applyFont="1" applyBorder="1" applyAlignment="1">
      <alignment horizontal="center" vertical="center" wrapText="1"/>
    </xf>
    <xf numFmtId="183" fontId="12" fillId="0" borderId="86" xfId="81" applyBorder="1" applyAlignment="1">
      <alignment horizontal="center" vertical="center" wrapText="1"/>
    </xf>
    <xf numFmtId="183" fontId="12" fillId="0" borderId="84" xfId="81" applyBorder="1" applyAlignment="1">
      <alignment horizontal="center" vertical="center" wrapText="1"/>
    </xf>
    <xf numFmtId="183" fontId="12" fillId="0" borderId="86" xfId="81" applyBorder="1" applyAlignment="1">
      <alignment horizontal="center" vertical="center" wrapText="1"/>
    </xf>
    <xf numFmtId="183" fontId="12" fillId="0" borderId="84" xfId="81" applyBorder="1" applyAlignment="1">
      <alignment horizontal="center" vertical="center" wrapText="1"/>
    </xf>
    <xf numFmtId="183" fontId="12" fillId="0" borderId="86" xfId="81" applyBorder="1" applyAlignment="1">
      <alignment horizontal="right" vertical="center"/>
    </xf>
    <xf numFmtId="183" fontId="12" fillId="0" borderId="84" xfId="81" applyBorder="1" applyAlignment="1">
      <alignment horizontal="right" vertical="center"/>
    </xf>
    <xf numFmtId="183" fontId="13" fillId="0" borderId="86" xfId="81" applyFont="1" applyBorder="1" applyAlignment="1">
      <alignment horizontal="center" vertical="center" wrapText="1"/>
    </xf>
    <xf numFmtId="183" fontId="13" fillId="0" borderId="86" xfId="81" applyFont="1" applyBorder="1" applyAlignment="1">
      <alignment horizontal="center" vertical="center"/>
    </xf>
    <xf numFmtId="183" fontId="13" fillId="0" borderId="84" xfId="81" applyFont="1" applyBorder="1" applyAlignment="1">
      <alignment horizontal="center" vertical="center"/>
    </xf>
    <xf numFmtId="183" fontId="12" fillId="0" borderId="86" xfId="107" applyBorder="1" applyAlignment="1">
      <alignment horizontal="left" vertical="center"/>
    </xf>
    <xf numFmtId="183" fontId="12" fillId="0" borderId="84" xfId="107" applyBorder="1" applyAlignment="1">
      <alignment horizontal="left" vertical="center"/>
    </xf>
    <xf numFmtId="0" fontId="20" fillId="0" borderId="86" xfId="0" applyFont="1" applyBorder="1" applyAlignment="1">
      <alignment horizontal="center" vertical="center"/>
    </xf>
    <xf numFmtId="0" fontId="13" fillId="0" borderId="88" xfId="0" applyFont="1" applyBorder="1" applyAlignment="1">
      <alignment horizontal="center" vertical="center"/>
    </xf>
    <xf numFmtId="0" fontId="13" fillId="0" borderId="84" xfId="0" applyFont="1" applyBorder="1" applyAlignment="1">
      <alignment horizontal="center" vertical="center"/>
    </xf>
    <xf numFmtId="0" fontId="12" fillId="0" borderId="84" xfId="0" applyFont="1" applyBorder="1" applyAlignment="1">
      <alignment horizontal="center" vertical="center"/>
    </xf>
    <xf numFmtId="166" fontId="20" fillId="0" borderId="85" xfId="36" applyFont="1" applyBorder="1" applyAlignment="1">
      <alignment horizontal="center" vertical="center" wrapText="1"/>
    </xf>
    <xf numFmtId="0" fontId="20" fillId="0" borderId="88" xfId="0" applyFont="1" applyBorder="1" applyAlignment="1">
      <alignment horizontal="center" vertical="center" wrapText="1"/>
    </xf>
    <xf numFmtId="0" fontId="20" fillId="0" borderId="86" xfId="0" applyFont="1" applyBorder="1" applyAlignment="1">
      <alignment horizontal="center" vertical="center" wrapText="1"/>
    </xf>
    <xf numFmtId="0" fontId="20" fillId="0" borderId="84" xfId="0" applyFont="1" applyBorder="1" applyAlignment="1">
      <alignment horizontal="center" vertical="center" wrapText="1"/>
    </xf>
    <xf numFmtId="166" fontId="20" fillId="0" borderId="88" xfId="0" applyNumberFormat="1" applyFont="1" applyBorder="1" applyAlignment="1">
      <alignment horizontal="center" vertical="center" wrapText="1"/>
    </xf>
    <xf numFmtId="14" fontId="18" fillId="0" borderId="85" xfId="0" applyNumberFormat="1" applyFont="1" applyBorder="1" applyAlignment="1">
      <alignment horizontal="right" vertical="center"/>
    </xf>
    <xf numFmtId="171" fontId="18" fillId="23" borderId="94" xfId="0" applyNumberFormat="1" applyFont="1" applyFill="1" applyBorder="1" applyAlignment="1">
      <alignment horizontal="center" vertical="center"/>
    </xf>
    <xf numFmtId="166" fontId="18" fillId="23" borderId="85" xfId="36" applyFont="1" applyFill="1" applyBorder="1" applyAlignment="1">
      <alignment vertical="center"/>
    </xf>
    <xf numFmtId="167" fontId="18" fillId="0" borderId="94" xfId="36" applyNumberFormat="1" applyFont="1" applyBorder="1" applyAlignment="1">
      <alignment vertical="center"/>
    </xf>
    <xf numFmtId="167" fontId="18" fillId="23" borderId="85" xfId="36" applyNumberFormat="1" applyFont="1" applyFill="1" applyBorder="1" applyAlignment="1">
      <alignment vertical="center"/>
    </xf>
    <xf numFmtId="166" fontId="18" fillId="0" borderId="85" xfId="0" applyNumberFormat="1" applyFont="1" applyBorder="1" applyAlignment="1">
      <alignment vertical="center"/>
    </xf>
    <xf numFmtId="166" fontId="18" fillId="0" borderId="85" xfId="36" applyFont="1" applyBorder="1" applyAlignment="1">
      <alignment vertical="center"/>
    </xf>
    <xf numFmtId="166" fontId="18" fillId="0" borderId="94" xfId="36" applyFont="1" applyBorder="1" applyAlignment="1">
      <alignment vertical="center"/>
    </xf>
    <xf numFmtId="175" fontId="18" fillId="0" borderId="82" xfId="0" applyNumberFormat="1" applyFont="1" applyBorder="1" applyAlignment="1">
      <alignment vertical="center"/>
    </xf>
    <xf numFmtId="0" fontId="18" fillId="0" borderId="85" xfId="0" applyFont="1" applyBorder="1" applyAlignment="1">
      <alignment horizontal="left" vertical="center"/>
    </xf>
    <xf numFmtId="0" fontId="18" fillId="0" borderId="85" xfId="0" applyFont="1" applyBorder="1" applyAlignment="1">
      <alignment vertical="center"/>
    </xf>
    <xf numFmtId="11" fontId="18" fillId="0" borderId="85" xfId="0" applyNumberFormat="1" applyFont="1" applyBorder="1" applyAlignment="1">
      <alignment horizontal="right" vertical="center"/>
    </xf>
    <xf numFmtId="11" fontId="18" fillId="23" borderId="94" xfId="0" applyNumberFormat="1" applyFont="1" applyFill="1" applyBorder="1" applyAlignment="1">
      <alignment horizontal="center" vertical="center"/>
    </xf>
    <xf numFmtId="11" fontId="18" fillId="23" borderId="85" xfId="36" applyNumberFormat="1" applyFont="1" applyFill="1" applyBorder="1" applyAlignment="1">
      <alignment vertical="center"/>
    </xf>
    <xf numFmtId="11" fontId="18" fillId="0" borderId="94" xfId="36" applyNumberFormat="1" applyFont="1" applyBorder="1" applyAlignment="1">
      <alignment vertical="center"/>
    </xf>
    <xf numFmtId="11" fontId="18" fillId="0" borderId="85" xfId="0" applyNumberFormat="1" applyFont="1" applyBorder="1" applyAlignment="1">
      <alignment vertical="center"/>
    </xf>
    <xf numFmtId="166" fontId="0" fillId="0" borderId="84" xfId="94" applyFont="1" applyBorder="1" applyAlignment="1">
      <alignment horizontal="center" vertical="center"/>
    </xf>
    <xf numFmtId="164" fontId="12" fillId="0" borderId="84" xfId="94" applyNumberFormat="1" applyFont="1" applyBorder="1" applyAlignment="1">
      <alignment horizontal="center" vertical="center" wrapText="1"/>
    </xf>
    <xf numFmtId="14" fontId="0" fillId="0" borderId="85" xfId="64" applyNumberFormat="1" applyFont="1" applyBorder="1" applyAlignment="1">
      <alignment vertical="center"/>
    </xf>
    <xf numFmtId="167" fontId="13" fillId="0" borderId="85" xfId="94" applyNumberFormat="1" applyFont="1" applyBorder="1" applyAlignment="1">
      <alignment horizontal="center" vertical="center"/>
    </xf>
    <xf numFmtId="166" fontId="0" fillId="0" borderId="85" xfId="36" applyFont="1" applyBorder="1"/>
    <xf numFmtId="179" fontId="13" fillId="0" borderId="85" xfId="94" applyNumberFormat="1" applyFont="1" applyBorder="1" applyAlignment="1">
      <alignment vertical="center"/>
    </xf>
    <xf numFmtId="164" fontId="13" fillId="0" borderId="85" xfId="94" applyNumberFormat="1" applyFont="1" applyBorder="1" applyAlignment="1">
      <alignment vertical="center"/>
    </xf>
    <xf numFmtId="0" fontId="12" fillId="0" borderId="85" xfId="0" applyFont="1" applyBorder="1"/>
    <xf numFmtId="179" fontId="13" fillId="0" borderId="88" xfId="94" applyNumberFormat="1" applyFont="1" applyBorder="1" applyAlignment="1">
      <alignment vertical="center"/>
    </xf>
    <xf numFmtId="164" fontId="12" fillId="0" borderId="88" xfId="0" applyNumberFormat="1" applyFont="1" applyBorder="1"/>
    <xf numFmtId="164" fontId="0" fillId="0" borderId="84" xfId="94" applyNumberFormat="1" applyFont="1" applyBorder="1" applyAlignment="1">
      <alignment horizontal="center" vertical="center" wrapText="1"/>
    </xf>
    <xf numFmtId="0" fontId="0" fillId="0" borderId="85" xfId="0" applyBorder="1"/>
    <xf numFmtId="164" fontId="0" fillId="0" borderId="88" xfId="0" applyNumberFormat="1" applyBorder="1"/>
    <xf numFmtId="4" fontId="77" fillId="0" borderId="79" xfId="146" applyNumberFormat="1" applyFont="1" applyBorder="1" applyAlignment="1">
      <alignment horizontal="center" vertical="center" wrapText="1"/>
    </xf>
    <xf numFmtId="4" fontId="77" fillId="0" borderId="85" xfId="146" applyNumberFormat="1" applyFont="1" applyBorder="1" applyAlignment="1">
      <alignment horizontal="center" vertical="center" wrapText="1"/>
    </xf>
    <xf numFmtId="14" fontId="20" fillId="0" borderId="85" xfId="65" applyNumberFormat="1" applyFont="1" applyBorder="1" applyAlignment="1">
      <alignment horizontal="center" vertical="center" wrapText="1"/>
    </xf>
    <xf numFmtId="4" fontId="20" fillId="0" borderId="87" xfId="65" applyNumberFormat="1" applyFont="1" applyBorder="1" applyAlignment="1">
      <alignment horizontal="center" vertical="center" wrapText="1"/>
    </xf>
    <xf numFmtId="4" fontId="20" fillId="0" borderId="85" xfId="65" applyNumberFormat="1" applyFont="1" applyBorder="1" applyAlignment="1">
      <alignment horizontal="center" vertical="center" wrapText="1"/>
    </xf>
    <xf numFmtId="166" fontId="12" fillId="0" borderId="87" xfId="147" applyFont="1" applyBorder="1" applyAlignment="1">
      <alignment horizontal="center" vertical="center"/>
    </xf>
    <xf numFmtId="166" fontId="12" fillId="0" borderId="85" xfId="147" applyFont="1" applyBorder="1" applyAlignment="1">
      <alignment horizontal="center" vertical="center"/>
    </xf>
    <xf numFmtId="0" fontId="13" fillId="0" borderId="79" xfId="65" applyFont="1" applyBorder="1" applyAlignment="1">
      <alignment vertical="center"/>
    </xf>
    <xf numFmtId="3" fontId="13" fillId="0" borderId="79" xfId="65" applyNumberFormat="1" applyFont="1" applyBorder="1" applyAlignment="1">
      <alignment horizontal="center" vertical="center"/>
    </xf>
    <xf numFmtId="0" fontId="13" fillId="0" borderId="84" xfId="65" applyFont="1" applyBorder="1" applyAlignment="1">
      <alignment vertical="center"/>
    </xf>
    <xf numFmtId="166" fontId="13" fillId="0" borderId="79" xfId="65" applyNumberFormat="1" applyFont="1" applyBorder="1" applyAlignment="1">
      <alignment vertical="center"/>
    </xf>
    <xf numFmtId="166" fontId="13" fillId="0" borderId="79" xfId="147" applyFont="1" applyBorder="1" applyAlignment="1">
      <alignment horizontal="center" vertical="center"/>
    </xf>
    <xf numFmtId="164" fontId="12" fillId="0" borderId="79" xfId="145" applyNumberFormat="1" applyBorder="1"/>
    <xf numFmtId="166" fontId="12" fillId="29" borderId="79" xfId="36" applyFont="1" applyFill="1" applyBorder="1"/>
    <xf numFmtId="0" fontId="12" fillId="0" borderId="79" xfId="0" applyFont="1" applyBorder="1" applyAlignment="1">
      <alignment vertical="center"/>
    </xf>
    <xf numFmtId="0" fontId="60" fillId="0" borderId="79" xfId="0" applyFont="1" applyBorder="1" applyAlignment="1">
      <alignment horizontal="center" vertical="center" wrapText="1"/>
    </xf>
    <xf numFmtId="0" fontId="12" fillId="0" borderId="79" xfId="0" applyFont="1" applyBorder="1" applyAlignment="1">
      <alignment horizontal="center" vertical="center"/>
    </xf>
    <xf numFmtId="0" fontId="12" fillId="22" borderId="79" xfId="0" applyFont="1" applyFill="1" applyBorder="1" applyAlignment="1">
      <alignment horizontal="center" vertical="center" wrapText="1"/>
    </xf>
    <xf numFmtId="0" fontId="39" fillId="0" borderId="85" xfId="0" applyFont="1" applyBorder="1"/>
    <xf numFmtId="0" fontId="39" fillId="0" borderId="85" xfId="0" applyFont="1" applyBorder="1" applyAlignment="1">
      <alignment horizontal="center" vertical="center"/>
    </xf>
    <xf numFmtId="0" fontId="46" fillId="0" borderId="85" xfId="0" applyFont="1" applyBorder="1" applyAlignment="1">
      <alignment horizontal="center"/>
    </xf>
    <xf numFmtId="166" fontId="0" fillId="22" borderId="85" xfId="36" applyFont="1" applyFill="1" applyBorder="1" applyAlignment="1">
      <alignment horizontal="center" vertical="center"/>
    </xf>
    <xf numFmtId="167" fontId="12" fillId="29" borderId="85" xfId="36" applyNumberFormat="1" applyFont="1" applyFill="1" applyBorder="1"/>
    <xf numFmtId="3" fontId="0" fillId="0" borderId="96" xfId="0" applyNumberFormat="1" applyBorder="1" applyAlignment="1">
      <alignment horizontal="center" vertical="center"/>
    </xf>
    <xf numFmtId="3" fontId="0" fillId="0" borderId="85" xfId="0" applyNumberFormat="1" applyBorder="1" applyAlignment="1">
      <alignment horizontal="center" vertical="center"/>
    </xf>
    <xf numFmtId="166" fontId="0" fillId="0" borderId="85" xfId="36" applyFont="1" applyBorder="1" applyAlignment="1">
      <alignment horizontal="center" vertical="center"/>
    </xf>
    <xf numFmtId="166" fontId="0" fillId="0" borderId="87" xfId="36" applyFont="1" applyBorder="1" applyAlignment="1">
      <alignment horizontal="center" vertical="center"/>
    </xf>
    <xf numFmtId="3" fontId="0" fillId="0" borderId="87" xfId="0" applyNumberFormat="1" applyBorder="1" applyAlignment="1">
      <alignment horizontal="center" vertical="center"/>
    </xf>
    <xf numFmtId="166" fontId="0" fillId="0" borderId="97" xfId="36" applyFont="1" applyBorder="1" applyAlignment="1">
      <alignment horizontal="center" vertical="center"/>
    </xf>
    <xf numFmtId="0" fontId="13" fillId="0" borderId="79" xfId="0" applyFont="1" applyBorder="1" applyAlignment="1">
      <alignment horizontal="left"/>
    </xf>
    <xf numFmtId="0" fontId="13" fillId="0" borderId="79" xfId="0" applyFont="1" applyBorder="1" applyAlignment="1">
      <alignment horizontal="center" vertical="center"/>
    </xf>
    <xf numFmtId="0" fontId="12" fillId="0" borderId="79" xfId="0" applyFont="1" applyBorder="1"/>
    <xf numFmtId="166" fontId="13" fillId="22" borderId="79" xfId="36" applyFont="1" applyFill="1" applyBorder="1" applyAlignment="1">
      <alignment horizontal="center" vertical="center"/>
    </xf>
    <xf numFmtId="177" fontId="13" fillId="22" borderId="79" xfId="36" applyNumberFormat="1" applyFont="1" applyFill="1" applyBorder="1" applyAlignment="1">
      <alignment horizontal="center" vertical="center"/>
    </xf>
    <xf numFmtId="166" fontId="13" fillId="29" borderId="79" xfId="36" applyFont="1" applyFill="1" applyBorder="1"/>
    <xf numFmtId="166" fontId="13" fillId="0" borderId="79" xfId="36" applyFont="1" applyFill="1" applyBorder="1"/>
    <xf numFmtId="10" fontId="13" fillId="0" borderId="79" xfId="36" applyNumberFormat="1" applyFont="1" applyFill="1" applyBorder="1" applyAlignment="1">
      <alignment horizontal="center"/>
    </xf>
    <xf numFmtId="166" fontId="13" fillId="0" borderId="86" xfId="36" applyFont="1" applyFill="1" applyBorder="1"/>
    <xf numFmtId="166" fontId="13" fillId="0" borderId="79" xfId="36" applyFont="1" applyFill="1" applyBorder="1" applyAlignment="1">
      <alignment horizontal="center"/>
    </xf>
    <xf numFmtId="166" fontId="13" fillId="0" borderId="86" xfId="36" applyFont="1" applyFill="1" applyBorder="1" applyAlignment="1">
      <alignment horizontal="center"/>
    </xf>
    <xf numFmtId="177" fontId="13" fillId="29" borderId="79" xfId="36" applyNumberFormat="1" applyFont="1" applyFill="1" applyBorder="1"/>
    <xf numFmtId="0" fontId="0" fillId="0" borderId="79" xfId="0" applyBorder="1" applyAlignment="1">
      <alignment horizontal="center"/>
    </xf>
    <xf numFmtId="0" fontId="12" fillId="0" borderId="79" xfId="0" applyFont="1" applyBorder="1" applyAlignment="1">
      <alignment horizontal="center"/>
    </xf>
    <xf numFmtId="166" fontId="0" fillId="0" borderId="79" xfId="36" applyFont="1" applyBorder="1" applyAlignment="1">
      <alignment horizontal="center"/>
    </xf>
    <xf numFmtId="2" fontId="0" fillId="0" borderId="79" xfId="0" applyNumberFormat="1" applyBorder="1" applyAlignment="1">
      <alignment horizontal="center" vertical="center"/>
    </xf>
    <xf numFmtId="3" fontId="12" fillId="0" borderId="79" xfId="0" applyNumberFormat="1" applyFont="1" applyBorder="1" applyAlignment="1">
      <alignment horizontal="center"/>
    </xf>
    <xf numFmtId="166" fontId="12" fillId="0" borderId="79" xfId="36" applyBorder="1" applyAlignment="1">
      <alignment horizontal="center"/>
    </xf>
    <xf numFmtId="3" fontId="0" fillId="0" borderId="79" xfId="0" applyNumberFormat="1" applyBorder="1" applyAlignment="1">
      <alignment horizontal="center"/>
    </xf>
    <xf numFmtId="196" fontId="0" fillId="0" borderId="79" xfId="0" applyNumberFormat="1" applyBorder="1" applyAlignment="1">
      <alignment horizontal="center" vertical="center"/>
    </xf>
    <xf numFmtId="185" fontId="0" fillId="0" borderId="79" xfId="0" applyNumberFormat="1" applyBorder="1" applyAlignment="1">
      <alignment horizontal="center" vertical="center"/>
    </xf>
    <xf numFmtId="0" fontId="21" fillId="0" borderId="98" xfId="0" applyFont="1" applyBorder="1" applyAlignment="1">
      <alignment vertical="center" wrapText="1"/>
    </xf>
    <xf numFmtId="0" fontId="12" fillId="0" borderId="99" xfId="0" applyFont="1" applyBorder="1" applyAlignment="1">
      <alignment horizontal="center" vertical="center" wrapText="1"/>
    </xf>
    <xf numFmtId="0" fontId="12" fillId="0" borderId="100" xfId="0" applyFont="1" applyBorder="1" applyAlignment="1">
      <alignment horizontal="center" vertical="center" wrapText="1"/>
    </xf>
    <xf numFmtId="14" fontId="12" fillId="0" borderId="100" xfId="0" applyNumberFormat="1" applyFont="1" applyBorder="1" applyAlignment="1">
      <alignment horizontal="center" vertical="center" wrapText="1"/>
    </xf>
    <xf numFmtId="14" fontId="12" fillId="0" borderId="101" xfId="0" applyNumberFormat="1" applyFont="1" applyBorder="1" applyAlignment="1">
      <alignment horizontal="center" vertical="center" wrapText="1"/>
    </xf>
    <xf numFmtId="14" fontId="12" fillId="0" borderId="99" xfId="0" applyNumberFormat="1" applyFont="1" applyBorder="1" applyAlignment="1">
      <alignment horizontal="center" vertical="center" wrapText="1"/>
    </xf>
    <xf numFmtId="166" fontId="13" fillId="0" borderId="100" xfId="36" applyFont="1" applyFill="1" applyBorder="1" applyAlignment="1">
      <alignment horizontal="center" vertical="center" wrapText="1"/>
    </xf>
    <xf numFmtId="166" fontId="13" fillId="0" borderId="100" xfId="36" applyFont="1" applyBorder="1" applyAlignment="1">
      <alignment horizontal="center" vertical="center" wrapText="1"/>
    </xf>
    <xf numFmtId="9" fontId="12" fillId="0" borderId="82" xfId="42" applyNumberFormat="1" applyBorder="1" applyAlignment="1">
      <alignment horizontal="center"/>
    </xf>
    <xf numFmtId="0" fontId="0" fillId="0" borderId="102" xfId="0" applyBorder="1"/>
    <xf numFmtId="0" fontId="0" fillId="0" borderId="103" xfId="0" applyBorder="1" applyAlignment="1"/>
    <xf numFmtId="0" fontId="0" fillId="0" borderId="104" xfId="0" applyBorder="1" applyAlignment="1"/>
    <xf numFmtId="166" fontId="12" fillId="0" borderId="82" xfId="36" applyFill="1" applyBorder="1" applyAlignment="1">
      <alignment horizontal="center"/>
    </xf>
    <xf numFmtId="166" fontId="12" fillId="0" borderId="82" xfId="36" applyBorder="1" applyAlignment="1">
      <alignment horizontal="center"/>
    </xf>
    <xf numFmtId="0" fontId="0" fillId="0" borderId="73" xfId="0" applyBorder="1" applyAlignment="1"/>
    <xf numFmtId="0" fontId="0" fillId="0" borderId="57" xfId="0" applyBorder="1" applyAlignment="1"/>
    <xf numFmtId="0" fontId="13" fillId="0" borderId="105" xfId="0" applyFont="1" applyBorder="1"/>
    <xf numFmtId="0" fontId="13" fillId="0" borderId="106" xfId="0" applyFont="1" applyBorder="1"/>
    <xf numFmtId="2" fontId="13" fillId="0" borderId="106" xfId="0" applyNumberFormat="1" applyFont="1" applyBorder="1" applyAlignment="1">
      <alignment horizontal="center"/>
    </xf>
    <xf numFmtId="0" fontId="13" fillId="0" borderId="101" xfId="0" applyFont="1" applyBorder="1"/>
    <xf numFmtId="0" fontId="13" fillId="0" borderId="107" xfId="0" applyFont="1" applyBorder="1"/>
    <xf numFmtId="166" fontId="13" fillId="0" borderId="98" xfId="36" applyFont="1" applyFill="1" applyBorder="1" applyAlignment="1">
      <alignment horizontal="center"/>
    </xf>
    <xf numFmtId="166" fontId="12" fillId="0" borderId="108" xfId="36" applyFont="1" applyBorder="1" applyAlignment="1">
      <alignment horizontal="center"/>
    </xf>
    <xf numFmtId="164" fontId="0" fillId="0" borderId="94" xfId="0" applyNumberFormat="1" applyBorder="1"/>
    <xf numFmtId="0" fontId="21" fillId="0" borderId="109" xfId="0" applyFont="1" applyBorder="1" applyAlignment="1">
      <alignment vertical="center"/>
    </xf>
    <xf numFmtId="0" fontId="13" fillId="0" borderId="109" xfId="0" applyFont="1" applyBorder="1" applyAlignment="1">
      <alignment horizontal="center" vertical="center" wrapText="1"/>
    </xf>
    <xf numFmtId="0" fontId="13" fillId="0" borderId="110" xfId="0" applyFont="1" applyBorder="1" applyAlignment="1">
      <alignment horizontal="center" vertical="center" wrapText="1"/>
    </xf>
    <xf numFmtId="14" fontId="13" fillId="0" borderId="110" xfId="0" applyNumberFormat="1" applyFont="1" applyBorder="1" applyAlignment="1">
      <alignment horizontal="center" vertical="center" wrapText="1"/>
    </xf>
    <xf numFmtId="14" fontId="13" fillId="0" borderId="111" xfId="0" applyNumberFormat="1" applyFont="1" applyBorder="1" applyAlignment="1">
      <alignment horizontal="center" vertical="center" wrapText="1"/>
    </xf>
    <xf numFmtId="14" fontId="13" fillId="0" borderId="112" xfId="0" applyNumberFormat="1" applyFont="1" applyBorder="1" applyAlignment="1">
      <alignment horizontal="center" vertical="center" wrapText="1"/>
    </xf>
    <xf numFmtId="166" fontId="13" fillId="0" borderId="89" xfId="36" applyFont="1" applyFill="1" applyBorder="1" applyAlignment="1">
      <alignment horizontal="center" vertical="center" wrapText="1"/>
    </xf>
    <xf numFmtId="166" fontId="13" fillId="0" borderId="82" xfId="36" applyFont="1" applyFill="1" applyBorder="1" applyAlignment="1">
      <alignment horizontal="center" vertical="center" wrapText="1"/>
    </xf>
    <xf numFmtId="166" fontId="12" fillId="0" borderId="82" xfId="36" applyFont="1" applyFill="1" applyBorder="1" applyAlignment="1">
      <alignment horizontal="center" vertical="center" wrapText="1"/>
    </xf>
    <xf numFmtId="166" fontId="0" fillId="0" borderId="82" xfId="36" applyFont="1" applyFill="1" applyBorder="1" applyAlignment="1">
      <alignment horizontal="center" vertical="center" wrapText="1"/>
    </xf>
    <xf numFmtId="166" fontId="13" fillId="0" borderId="79" xfId="37" applyFont="1" applyFill="1" applyBorder="1"/>
    <xf numFmtId="166" fontId="0" fillId="0" borderId="79" xfId="36" applyFont="1" applyBorder="1" applyAlignment="1">
      <alignment horizontal="left"/>
    </xf>
    <xf numFmtId="166" fontId="12" fillId="0" borderId="87" xfId="36" applyFont="1" applyBorder="1" applyAlignment="1">
      <alignment horizontal="center"/>
    </xf>
    <xf numFmtId="166" fontId="13" fillId="0" borderId="85" xfId="36" applyFont="1" applyFill="1" applyBorder="1"/>
    <xf numFmtId="2" fontId="13" fillId="0" borderId="88" xfId="0" applyNumberFormat="1" applyFont="1" applyBorder="1" applyAlignment="1">
      <alignment horizontal="center"/>
    </xf>
    <xf numFmtId="0" fontId="0" fillId="0" borderId="88" xfId="0" applyBorder="1" applyAlignment="1">
      <alignment vertical="center"/>
    </xf>
    <xf numFmtId="0" fontId="0" fillId="0" borderId="84" xfId="0" applyBorder="1" applyAlignment="1">
      <alignment vertical="center"/>
    </xf>
    <xf numFmtId="14" fontId="13" fillId="0" borderId="79" xfId="0" applyNumberFormat="1" applyFont="1" applyBorder="1" applyAlignment="1">
      <alignment horizontal="center" vertical="center"/>
    </xf>
    <xf numFmtId="166" fontId="13" fillId="0" borderId="85" xfId="36" applyFont="1" applyFill="1" applyBorder="1" applyAlignment="1">
      <alignment horizontal="center"/>
    </xf>
    <xf numFmtId="0" fontId="13" fillId="0" borderId="86" xfId="0" applyFont="1" applyBorder="1"/>
    <xf numFmtId="0" fontId="0" fillId="0" borderId="88" xfId="0" applyBorder="1"/>
    <xf numFmtId="166" fontId="12" fillId="28" borderId="113" xfId="36" applyFill="1" applyBorder="1" applyAlignment="1">
      <alignment horizontal="center"/>
    </xf>
    <xf numFmtId="166" fontId="12" fillId="0" borderId="85" xfId="36" applyFill="1" applyBorder="1" applyAlignment="1">
      <alignment horizontal="center"/>
    </xf>
    <xf numFmtId="166" fontId="13" fillId="0" borderId="79" xfId="0" applyNumberFormat="1" applyFont="1" applyBorder="1"/>
    <xf numFmtId="0" fontId="13" fillId="0" borderId="87" xfId="64" applyFont="1" applyBorder="1" applyAlignment="1">
      <alignment horizontal="center"/>
    </xf>
    <xf numFmtId="0" fontId="13" fillId="0" borderId="85" xfId="64" applyFont="1" applyBorder="1" applyAlignment="1">
      <alignment horizontal="center"/>
    </xf>
    <xf numFmtId="167" fontId="12" fillId="0" borderId="85" xfId="137" applyNumberFormat="1" applyFont="1" applyBorder="1"/>
    <xf numFmtId="167" fontId="13" fillId="0" borderId="85" xfId="137" applyNumberFormat="1" applyFont="1" applyFill="1" applyBorder="1"/>
    <xf numFmtId="167" fontId="13" fillId="0" borderId="85" xfId="137" applyNumberFormat="1" applyFont="1" applyBorder="1"/>
    <xf numFmtId="0" fontId="17" fillId="0" borderId="86" xfId="64" applyFont="1" applyBorder="1" applyAlignment="1">
      <alignment horizontal="center" vertical="center"/>
    </xf>
    <xf numFmtId="0" fontId="17" fillId="0" borderId="88" xfId="64" applyFont="1" applyBorder="1" applyAlignment="1">
      <alignment horizontal="center" vertical="center"/>
    </xf>
    <xf numFmtId="0" fontId="17" fillId="0" borderId="84" xfId="64" applyFont="1" applyBorder="1" applyAlignment="1">
      <alignment horizontal="center" vertical="center"/>
    </xf>
    <xf numFmtId="167" fontId="13" fillId="0" borderId="79" xfId="137" applyNumberFormat="1" applyFont="1" applyBorder="1" applyAlignment="1">
      <alignment vertical="center"/>
    </xf>
    <xf numFmtId="0" fontId="12" fillId="0" borderId="87" xfId="64" applyBorder="1"/>
    <xf numFmtId="14" fontId="13" fillId="0" borderId="79" xfId="64" applyNumberFormat="1" applyFont="1" applyBorder="1" applyAlignment="1">
      <alignment horizontal="center"/>
    </xf>
    <xf numFmtId="0" fontId="17" fillId="0" borderId="79" xfId="64" applyFont="1" applyBorder="1" applyAlignment="1">
      <alignment horizontal="center" vertical="center" wrapText="1" shrinkToFit="1"/>
    </xf>
    <xf numFmtId="49" fontId="13" fillId="0" borderId="79" xfId="64" applyNumberFormat="1" applyFont="1" applyBorder="1" applyAlignment="1">
      <alignment horizontal="center" vertical="center" wrapText="1" shrinkToFit="1"/>
    </xf>
    <xf numFmtId="14" fontId="13" fillId="0" borderId="79" xfId="64" applyNumberFormat="1" applyFont="1" applyBorder="1" applyAlignment="1">
      <alignment horizontal="center" vertical="center" wrapText="1" shrinkToFit="1"/>
    </xf>
    <xf numFmtId="0" fontId="13" fillId="0" borderId="87" xfId="64" applyFont="1" applyBorder="1" applyAlignment="1">
      <alignment horizontal="justify" vertical="center" wrapText="1" shrinkToFit="1"/>
    </xf>
    <xf numFmtId="49" fontId="13" fillId="0" borderId="85" xfId="64" applyNumberFormat="1" applyFont="1" applyBorder="1" applyAlignment="1">
      <alignment horizontal="center" vertical="center" wrapText="1" shrinkToFit="1"/>
    </xf>
    <xf numFmtId="167" fontId="51" fillId="0" borderId="85" xfId="138" applyNumberFormat="1" applyFont="1" applyBorder="1" applyAlignment="1">
      <alignment horizontal="center" shrinkToFit="1"/>
    </xf>
    <xf numFmtId="0" fontId="61" fillId="27" borderId="79" xfId="64" applyFont="1" applyFill="1" applyBorder="1" applyAlignment="1">
      <alignment horizontal="justify" vertical="center" wrapText="1" shrinkToFit="1"/>
    </xf>
    <xf numFmtId="0" fontId="13" fillId="0" borderId="85" xfId="64" applyFont="1" applyBorder="1" applyAlignment="1">
      <alignment horizontal="justify" vertical="top" wrapText="1" shrinkToFit="1"/>
    </xf>
    <xf numFmtId="49" fontId="12" fillId="27" borderId="79" xfId="64" applyNumberFormat="1" applyFill="1" applyBorder="1" applyAlignment="1">
      <alignment horizontal="center" vertical="center" wrapText="1" shrinkToFit="1"/>
    </xf>
    <xf numFmtId="167" fontId="38" fillId="27" borderId="79" xfId="138" applyNumberFormat="1" applyFont="1" applyFill="1" applyBorder="1" applyAlignment="1">
      <alignment horizontal="center" shrinkToFit="1"/>
    </xf>
    <xf numFmtId="0" fontId="13" fillId="0" borderId="86" xfId="64" applyFont="1" applyBorder="1" applyAlignment="1">
      <alignment wrapText="1"/>
    </xf>
    <xf numFmtId="49" fontId="12" fillId="0" borderId="79" xfId="64" applyNumberFormat="1" applyBorder="1" applyAlignment="1">
      <alignment horizontal="center" vertical="center" wrapText="1" shrinkToFit="1"/>
    </xf>
    <xf numFmtId="167" fontId="51" fillId="23" borderId="79" xfId="138" applyNumberFormat="1" applyFont="1" applyFill="1" applyBorder="1" applyAlignment="1">
      <alignment horizontal="right" vertical="center" shrinkToFit="1"/>
    </xf>
    <xf numFmtId="167" fontId="38" fillId="0" borderId="79" xfId="138" applyNumberFormat="1" applyFont="1" applyBorder="1" applyAlignment="1">
      <alignment horizontal="right" vertical="center" shrinkToFit="1"/>
    </xf>
    <xf numFmtId="0" fontId="13" fillId="0" borderId="86" xfId="0" applyFont="1" applyBorder="1" applyAlignment="1">
      <alignment horizontal="center" vertical="center" wrapText="1"/>
    </xf>
    <xf numFmtId="0" fontId="13" fillId="0" borderId="88" xfId="0" applyFont="1" applyBorder="1" applyAlignment="1">
      <alignment horizontal="center" vertical="center" wrapText="1"/>
    </xf>
    <xf numFmtId="0" fontId="13" fillId="0" borderId="84" xfId="0" applyFont="1" applyBorder="1" applyAlignment="1">
      <alignment horizontal="center" vertical="center" wrapText="1"/>
    </xf>
    <xf numFmtId="0" fontId="0" fillId="0" borderId="86" xfId="0" applyBorder="1"/>
    <xf numFmtId="0" fontId="13" fillId="0" borderId="88" xfId="0" applyFont="1" applyBorder="1" applyAlignment="1">
      <alignment horizontal="center"/>
    </xf>
    <xf numFmtId="0" fontId="0" fillId="0" borderId="84" xfId="0" applyBorder="1" applyAlignment="1">
      <alignment horizontal="center"/>
    </xf>
    <xf numFmtId="14" fontId="13" fillId="0" borderId="86" xfId="0" applyNumberFormat="1" applyFont="1" applyBorder="1"/>
    <xf numFmtId="166" fontId="13" fillId="0" borderId="88" xfId="36" applyFont="1" applyBorder="1"/>
    <xf numFmtId="0" fontId="0" fillId="0" borderId="84" xfId="0" applyBorder="1"/>
    <xf numFmtId="166" fontId="13" fillId="0" borderId="79" xfId="36" applyFont="1" applyBorder="1"/>
    <xf numFmtId="0" fontId="13" fillId="0" borderId="88" xfId="0" applyFont="1" applyBorder="1"/>
    <xf numFmtId="166" fontId="12" fillId="0" borderId="79" xfId="0" applyNumberFormat="1" applyFont="1" applyBorder="1"/>
    <xf numFmtId="0" fontId="13" fillId="0" borderId="86" xfId="0" applyFont="1" applyBorder="1" applyAlignment="1">
      <alignment horizontal="center" vertical="center"/>
    </xf>
    <xf numFmtId="166" fontId="13" fillId="0" borderId="84" xfId="36" applyFont="1" applyBorder="1"/>
    <xf numFmtId="170" fontId="12" fillId="0" borderId="79" xfId="0" applyNumberFormat="1" applyFont="1" applyBorder="1" applyAlignment="1">
      <alignment horizontal="center" vertical="center"/>
    </xf>
    <xf numFmtId="0" fontId="13" fillId="0" borderId="87" xfId="0" applyFont="1" applyBorder="1" applyAlignment="1">
      <alignment horizontal="center" vertical="center"/>
    </xf>
    <xf numFmtId="0" fontId="12" fillId="0" borderId="86" xfId="0" applyFont="1" applyBorder="1" applyAlignment="1">
      <alignment horizontal="center"/>
    </xf>
    <xf numFmtId="0" fontId="12" fillId="0" borderId="84" xfId="0" applyFont="1" applyBorder="1" applyAlignment="1">
      <alignment horizontal="center"/>
    </xf>
    <xf numFmtId="166" fontId="12" fillId="0" borderId="79" xfId="36" applyFont="1" applyBorder="1"/>
    <xf numFmtId="166" fontId="12" fillId="0" borderId="84" xfId="36" applyFont="1" applyBorder="1"/>
    <xf numFmtId="166" fontId="12" fillId="0" borderId="79" xfId="36" applyFont="1" applyBorder="1" applyAlignment="1">
      <alignment horizontal="center" vertical="center"/>
    </xf>
    <xf numFmtId="166" fontId="12" fillId="0" borderId="85" xfId="36" applyFont="1" applyBorder="1"/>
    <xf numFmtId="0" fontId="12" fillId="0" borderId="84" xfId="0" applyFont="1" applyBorder="1"/>
    <xf numFmtId="166" fontId="12" fillId="0" borderId="86" xfId="36" applyFont="1" applyBorder="1"/>
  </cellXfs>
  <cellStyles count="149">
    <cellStyle name="Accent1" xfId="1" builtinId="29" customBuiltin="1"/>
    <cellStyle name="Accent1 - 20 %" xfId="2" xr:uid="{00000000-0005-0000-0000-000001000000}"/>
    <cellStyle name="Accent1 - 40 %" xfId="3" xr:uid="{00000000-0005-0000-0000-000002000000}"/>
    <cellStyle name="Accent1 - 60 %" xfId="4" xr:uid="{00000000-0005-0000-0000-000003000000}"/>
    <cellStyle name="Accent2" xfId="5" builtinId="33" customBuiltin="1"/>
    <cellStyle name="Accent2 - 20 %" xfId="6" xr:uid="{00000000-0005-0000-0000-000005000000}"/>
    <cellStyle name="Accent2 - 40 %" xfId="7" xr:uid="{00000000-0005-0000-0000-000006000000}"/>
    <cellStyle name="Accent2 - 60 %" xfId="8" xr:uid="{00000000-0005-0000-0000-000007000000}"/>
    <cellStyle name="Accent3" xfId="9" builtinId="37" customBuiltin="1"/>
    <cellStyle name="Accent3 - 20 %" xfId="10" xr:uid="{00000000-0005-0000-0000-000009000000}"/>
    <cellStyle name="Accent3 - 40 %" xfId="11" xr:uid="{00000000-0005-0000-0000-00000A000000}"/>
    <cellStyle name="Accent3 - 60 %" xfId="12" xr:uid="{00000000-0005-0000-0000-00000B000000}"/>
    <cellStyle name="Accent4" xfId="13" builtinId="41" customBuiltin="1"/>
    <cellStyle name="Accent4 - 20 %" xfId="14" xr:uid="{00000000-0005-0000-0000-00000D000000}"/>
    <cellStyle name="Accent4 - 40 %" xfId="15" xr:uid="{00000000-0005-0000-0000-00000E000000}"/>
    <cellStyle name="Accent4 - 60 %" xfId="16" xr:uid="{00000000-0005-0000-0000-00000F000000}"/>
    <cellStyle name="Accent5" xfId="17" builtinId="45" customBuiltin="1"/>
    <cellStyle name="Accent5 - 20 %" xfId="18" xr:uid="{00000000-0005-0000-0000-000011000000}"/>
    <cellStyle name="Accent5 - 40 %" xfId="19" xr:uid="{00000000-0005-0000-0000-000012000000}"/>
    <cellStyle name="Accent5 - 60 %" xfId="20" xr:uid="{00000000-0005-0000-0000-000013000000}"/>
    <cellStyle name="Accent6" xfId="21" builtinId="49" customBuiltin="1"/>
    <cellStyle name="Accent6 - 20 %" xfId="22" xr:uid="{00000000-0005-0000-0000-000015000000}"/>
    <cellStyle name="Accent6 - 40 %" xfId="23" xr:uid="{00000000-0005-0000-0000-000016000000}"/>
    <cellStyle name="Accent6 - 60 %" xfId="24" xr:uid="{00000000-0005-0000-0000-000017000000}"/>
    <cellStyle name="Avertissement" xfId="25" builtinId="11" customBuiltin="1"/>
    <cellStyle name="Calcul" xfId="26" builtinId="22" customBuiltin="1"/>
    <cellStyle name="Calcul 2" xfId="86" xr:uid="{00000000-0005-0000-0000-00001A000000}"/>
    <cellStyle name="Calcul 2 2" xfId="124" xr:uid="{619EEE27-62D2-47F0-9474-34C65D702D2B}"/>
    <cellStyle name="Calcul 3" xfId="100" xr:uid="{00000000-0005-0000-0000-00001B000000}"/>
    <cellStyle name="Calcul 4" xfId="114" xr:uid="{2B2EC123-99CC-41C9-8C04-7C081074BB54}"/>
    <cellStyle name="Cellule liée" xfId="27" builtinId="24" customBuiltin="1"/>
    <cellStyle name="Commentaire" xfId="28" builtinId="10" customBuiltin="1"/>
    <cellStyle name="Commentaire 2" xfId="61" xr:uid="{00000000-0005-0000-0000-00001D000000}"/>
    <cellStyle name="Commentaire 2 2" xfId="99" xr:uid="{00000000-0005-0000-0000-00001E000000}"/>
    <cellStyle name="Commentaire 2 2 2" xfId="129" xr:uid="{42E88002-4AF5-4944-95EC-250FDD83A15C}"/>
    <cellStyle name="Commentaire 2 3" xfId="108" xr:uid="{00000000-0005-0000-0000-00001F000000}"/>
    <cellStyle name="Commentaire 2 4" xfId="119" xr:uid="{86E93709-B758-4443-93C9-63AFBE65EC93}"/>
    <cellStyle name="Commentaire 2_Frais de gestion" xfId="110" xr:uid="{00000000-0005-0000-0000-000020000000}"/>
    <cellStyle name="Emphase 1" xfId="29" xr:uid="{00000000-0005-0000-0000-000021000000}"/>
    <cellStyle name="Emphase 2" xfId="30" xr:uid="{00000000-0005-0000-0000-000022000000}"/>
    <cellStyle name="Emphase 3" xfId="31" xr:uid="{00000000-0005-0000-0000-000023000000}"/>
    <cellStyle name="Entrée" xfId="32" builtinId="20" customBuiltin="1"/>
    <cellStyle name="Entrée 2" xfId="89" xr:uid="{00000000-0005-0000-0000-000025000000}"/>
    <cellStyle name="Entrée 2 2" xfId="126" xr:uid="{97C81507-505E-4937-B437-126F987E404E}"/>
    <cellStyle name="Entrée 3" xfId="88" xr:uid="{00000000-0005-0000-0000-000026000000}"/>
    <cellStyle name="Entrée 4" xfId="116" xr:uid="{C54F933E-3BD9-4B40-8183-232380849B33}"/>
    <cellStyle name="Euro" xfId="33" xr:uid="{00000000-0005-0000-0000-000027000000}"/>
    <cellStyle name="Insatisfaisant" xfId="34" builtinId="27" customBuiltin="1"/>
    <cellStyle name="Lien hypertexte" xfId="35" builtinId="8"/>
    <cellStyle name="Lien hypertexte 2" xfId="62" xr:uid="{00000000-0005-0000-0000-00002A000000}"/>
    <cellStyle name="Milliers" xfId="36" builtinId="3"/>
    <cellStyle name="Milliers 10 2 4" xfId="80" xr:uid="{00000000-0005-0000-0000-00002C000000}"/>
    <cellStyle name="Milliers 11 5 2" xfId="137" xr:uid="{21C3CF67-BF59-43F8-A6D3-82E0C93901C7}"/>
    <cellStyle name="Milliers 11 5 2 2" xfId="139" xr:uid="{6EE58B32-4259-4270-A0DF-DB960E59ACCA}"/>
    <cellStyle name="Milliers 13" xfId="77" xr:uid="{00000000-0005-0000-0000-00002D000000}"/>
    <cellStyle name="Milliers 2" xfId="37" xr:uid="{00000000-0005-0000-0000-00002E000000}"/>
    <cellStyle name="Milliers 2 11" xfId="135" xr:uid="{D7C22AAA-FEDE-42A2-AAB7-58B06C23BB27}"/>
    <cellStyle name="Milliers 2 2" xfId="38" xr:uid="{00000000-0005-0000-0000-00002F000000}"/>
    <cellStyle name="Milliers 2 2 2" xfId="91" xr:uid="{00000000-0005-0000-0000-000030000000}"/>
    <cellStyle name="Milliers 2 3" xfId="73" xr:uid="{00000000-0005-0000-0000-000031000000}"/>
    <cellStyle name="Milliers 24" xfId="136" xr:uid="{8D2C8F91-031B-4178-8005-38BBCE912C40}"/>
    <cellStyle name="Milliers 24 2" xfId="140" xr:uid="{8C1B9459-3599-4E48-BE0B-74B6BD2CF875}"/>
    <cellStyle name="Milliers 3" xfId="39" xr:uid="{00000000-0005-0000-0000-000032000000}"/>
    <cellStyle name="Milliers 3 12" xfId="138" xr:uid="{6360443B-13A1-4759-AFCD-522D724BD70C}"/>
    <cellStyle name="Milliers 3 2" xfId="92" xr:uid="{00000000-0005-0000-0000-000033000000}"/>
    <cellStyle name="Milliers 37" xfId="144" xr:uid="{CE425ADB-84BC-4CC0-840E-9349B44A81BA}"/>
    <cellStyle name="Milliers 4" xfId="63" xr:uid="{00000000-0005-0000-0000-000034000000}"/>
    <cellStyle name="Milliers 6" xfId="40" xr:uid="{00000000-0005-0000-0000-000035000000}"/>
    <cellStyle name="Milliers 6 2" xfId="93" xr:uid="{00000000-0005-0000-0000-000036000000}"/>
    <cellStyle name="Milliers_Bilan 2002 Trident Commerce" xfId="41" xr:uid="{00000000-0005-0000-0000-000037000000}"/>
    <cellStyle name="Milliers_Bilan 2002 Trident Commerce 2" xfId="94" xr:uid="{00000000-0005-0000-0000-000038000000}"/>
    <cellStyle name="Milliers_Copie de White Knight VI BIS VL 12 06" xfId="42" xr:uid="{00000000-0005-0000-0000-000039000000}"/>
    <cellStyle name="Milliers_Hexagone VL 2009 12" xfId="147" xr:uid="{AB1A50F4-9464-4EBB-BB04-E684AFA98AB3}"/>
    <cellStyle name="Milliers_White Knight VI BIS VL 12 06 bis" xfId="43" xr:uid="{00000000-0005-0000-0000-00003A000000}"/>
    <cellStyle name="Milliers_White Knight VI VL 2007.12" xfId="44" xr:uid="{00000000-0005-0000-0000-00003B000000}"/>
    <cellStyle name="Monétaire 2" xfId="105" xr:uid="{00000000-0005-0000-0000-00003C000000}"/>
    <cellStyle name="Monétaire 2 2" xfId="133" xr:uid="{F8C749C4-2035-4EDB-A50D-D97FC7D9EBA8}"/>
    <cellStyle name="Neutre" xfId="45" builtinId="28" customBuiltin="1"/>
    <cellStyle name="Normal" xfId="0" builtinId="0"/>
    <cellStyle name="Normal 10" xfId="106" xr:uid="{00000000-0005-0000-0000-00003F000000}"/>
    <cellStyle name="Normal 10 10 2" xfId="148" xr:uid="{B6DD8F30-3027-49BA-A23E-6A259D7D9483}"/>
    <cellStyle name="Normal 10 4" xfId="82" xr:uid="{00000000-0005-0000-0000-000040000000}"/>
    <cellStyle name="Normal 10 4 2 12" xfId="78" xr:uid="{00000000-0005-0000-0000-000041000000}"/>
    <cellStyle name="Normal 10 4 2 12 2" xfId="123" xr:uid="{4D207655-9E08-4307-B64E-E1A0FEEC5F70}"/>
    <cellStyle name="Normal 10 4 2 12_Preferred Return" xfId="109" xr:uid="{00000000-0005-0000-0000-000042000000}"/>
    <cellStyle name="Normal 11 2 2" xfId="81" xr:uid="{00000000-0005-0000-0000-000043000000}"/>
    <cellStyle name="Normal 15 2" xfId="75" xr:uid="{00000000-0005-0000-0000-000044000000}"/>
    <cellStyle name="Normal 2" xfId="46" xr:uid="{00000000-0005-0000-0000-000045000000}"/>
    <cellStyle name="Normal 2 2" xfId="64" xr:uid="{00000000-0005-0000-0000-000046000000}"/>
    <cellStyle name="Normal 2 2 2 2" xfId="83" xr:uid="{00000000-0005-0000-0000-000047000000}"/>
    <cellStyle name="Normal 2 2 2 2 2" xfId="142" xr:uid="{C1B71923-E74A-466C-85C4-AA80F8CB89E2}"/>
    <cellStyle name="Normal 2 3" xfId="107" xr:uid="{00000000-0005-0000-0000-000048000000}"/>
    <cellStyle name="Normal 2_Bilan" xfId="74" xr:uid="{00000000-0005-0000-0000-000049000000}"/>
    <cellStyle name="Normal 3" xfId="60" xr:uid="{00000000-0005-0000-0000-00004A000000}"/>
    <cellStyle name="Normal 3 2" xfId="134" xr:uid="{A0ED7EFF-841E-4EA5-8E7F-D057E1153BB0}"/>
    <cellStyle name="Normal 4" xfId="69" xr:uid="{00000000-0005-0000-0000-00004B000000}"/>
    <cellStyle name="Normal 4 2" xfId="101" xr:uid="{00000000-0005-0000-0000-00004C000000}"/>
    <cellStyle name="Normal 4 2 2" xfId="130" xr:uid="{46E76FF2-74DA-4D92-8712-2E378E72C376}"/>
    <cellStyle name="Normal 4 3" xfId="120" xr:uid="{37D498DA-FA4B-425E-8002-DD7237F662A3}"/>
    <cellStyle name="Normal 4_Frais de gestion" xfId="111" xr:uid="{00000000-0005-0000-0000-00004D000000}"/>
    <cellStyle name="Normal 5" xfId="66" xr:uid="{00000000-0005-0000-0000-00004E000000}"/>
    <cellStyle name="Normal 5 2 2" xfId="68" xr:uid="{00000000-0005-0000-0000-00004F000000}"/>
    <cellStyle name="Normal 52" xfId="141" xr:uid="{726E1C8A-BBF8-4031-BD17-41AD04431846}"/>
    <cellStyle name="Normal 55" xfId="71" xr:uid="{00000000-0005-0000-0000-000050000000}"/>
    <cellStyle name="Normal 55 2" xfId="103" xr:uid="{00000000-0005-0000-0000-000051000000}"/>
    <cellStyle name="Normal 55 2 2" xfId="132" xr:uid="{BA304F52-98D9-4327-8B24-81BFC947AE84}"/>
    <cellStyle name="Normal 55 3" xfId="122" xr:uid="{4718B046-BA3F-4043-AB86-B751DC5DCD67}"/>
    <cellStyle name="Normal 55_Frais de gestion" xfId="112" xr:uid="{00000000-0005-0000-0000-000052000000}"/>
    <cellStyle name="Normal 6" xfId="47" xr:uid="{00000000-0005-0000-0000-000053000000}"/>
    <cellStyle name="Normal 6 2" xfId="95" xr:uid="{00000000-0005-0000-0000-000054000000}"/>
    <cellStyle name="Normal 6_Frais de gestion" xfId="113" xr:uid="{00000000-0005-0000-0000-000055000000}"/>
    <cellStyle name="Normal 66" xfId="143" xr:uid="{716E8BD1-5B37-4943-9216-3B1AF241ED3C}"/>
    <cellStyle name="Normal_Hexagone VL 2009 12" xfId="65" xr:uid="{00000000-0005-0000-0000-000057000000}"/>
    <cellStyle name="Normal_Hexagone VL 2009 12 2" xfId="146" xr:uid="{2565863D-55A3-431F-99A5-F638470521B4}"/>
    <cellStyle name="Normal_STPI DC 99" xfId="145" xr:uid="{A5862FCD-020C-4333-9059-A2C9F1C282CE}"/>
    <cellStyle name="Note 2" xfId="87" xr:uid="{00000000-0005-0000-0000-000059000000}"/>
    <cellStyle name="Note 2 2" xfId="125" xr:uid="{900E4B3C-E74C-4EFC-9F50-DE4594CA8DC9}"/>
    <cellStyle name="Note 3" xfId="90" xr:uid="{00000000-0005-0000-0000-00005A000000}"/>
    <cellStyle name="Note 4" xfId="115" xr:uid="{4BF3E016-DA52-4FF0-B38A-0D722A826160}"/>
    <cellStyle name="Pourcentage" xfId="48" builtinId="5"/>
    <cellStyle name="Pourcentage 11 2" xfId="79" xr:uid="{00000000-0005-0000-0000-00005C000000}"/>
    <cellStyle name="Pourcentage 14 2" xfId="76" xr:uid="{00000000-0005-0000-0000-00005D000000}"/>
    <cellStyle name="Pourcentage 2" xfId="67" xr:uid="{00000000-0005-0000-0000-00005E000000}"/>
    <cellStyle name="Pourcentage 2 2" xfId="49" xr:uid="{00000000-0005-0000-0000-00005F000000}"/>
    <cellStyle name="Pourcentage 2 2 2" xfId="96" xr:uid="{00000000-0005-0000-0000-000060000000}"/>
    <cellStyle name="Pourcentage 22" xfId="70" xr:uid="{00000000-0005-0000-0000-000061000000}"/>
    <cellStyle name="Pourcentage 22 2" xfId="102" xr:uid="{00000000-0005-0000-0000-000062000000}"/>
    <cellStyle name="Pourcentage 22 2 2" xfId="131" xr:uid="{9A442854-D0E5-41EA-BE5A-F456B406A75C}"/>
    <cellStyle name="Pourcentage 22 3" xfId="121" xr:uid="{CE5FFC71-6E23-4539-816C-AA5464DFAB2E}"/>
    <cellStyle name="Pourcentage 3" xfId="72" xr:uid="{00000000-0005-0000-0000-000063000000}"/>
    <cellStyle name="Pourcentage 3 2" xfId="104" xr:uid="{00000000-0005-0000-0000-000064000000}"/>
    <cellStyle name="Pourcentage_Copie de White Knight VI BIS VL 12 06" xfId="50" xr:uid="{00000000-0005-0000-0000-000065000000}"/>
    <cellStyle name="Satisfaisant" xfId="51" builtinId="26" customBuiltin="1"/>
    <cellStyle name="Sortie" xfId="52" builtinId="21" customBuiltin="1"/>
    <cellStyle name="Sortie 2" xfId="97" xr:uid="{00000000-0005-0000-0000-000068000000}"/>
    <cellStyle name="Sortie 2 2" xfId="127" xr:uid="{B952591B-81E3-48EF-B13E-EA74BB41CC1C}"/>
    <cellStyle name="Sortie 3" xfId="85" xr:uid="{00000000-0005-0000-0000-000069000000}"/>
    <cellStyle name="Sortie 4" xfId="117" xr:uid="{6A30174F-6CA2-4281-A50C-9C0BE87BCF4E}"/>
    <cellStyle name="Titre de la feuille" xfId="53" xr:uid="{00000000-0005-0000-0000-00006A000000}"/>
    <cellStyle name="Titre 1" xfId="54" builtinId="16" customBuiltin="1"/>
    <cellStyle name="Titre 2" xfId="55" builtinId="17" customBuiltin="1"/>
    <cellStyle name="Titre 3" xfId="56" builtinId="18" customBuiltin="1"/>
    <cellStyle name="Titre 4" xfId="57" builtinId="19" customBuiltin="1"/>
    <cellStyle name="Total" xfId="58" builtinId="25" customBuiltin="1"/>
    <cellStyle name="Total 2" xfId="98" xr:uid="{00000000-0005-0000-0000-000070000000}"/>
    <cellStyle name="Total 2 2" xfId="128" xr:uid="{2CA23A55-DD8C-4305-90AB-DEB8E8C8A1F1}"/>
    <cellStyle name="Total 3" xfId="84" xr:uid="{00000000-0005-0000-0000-000071000000}"/>
    <cellStyle name="Total 4" xfId="118" xr:uid="{C30BDB41-EC19-461D-A150-62AC200102BF}"/>
    <cellStyle name="Vérification" xfId="59" builtinId="23" customBuiltin="1"/>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FF99"/>
      <color rgb="FF008000"/>
      <color rgb="FF4BACC6"/>
      <color rgb="FFF0ECA6"/>
      <color rgb="FFCCFFCC"/>
      <color rgb="FFFFFFCC"/>
      <color rgb="FF99FFCC"/>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21" Type="http://schemas.openxmlformats.org/officeDocument/2006/relationships/externalLink" Target="externalLinks/externalLink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sharedStrings" Target="sharedString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styles" Target="styles.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17</xdr:col>
      <xdr:colOff>333375</xdr:colOff>
      <xdr:row>3</xdr:row>
      <xdr:rowOff>352425</xdr:rowOff>
    </xdr:from>
    <xdr:to>
      <xdr:col>24</xdr:col>
      <xdr:colOff>820065</xdr:colOff>
      <xdr:row>22</xdr:row>
      <xdr:rowOff>354782</xdr:rowOff>
    </xdr:to>
    <xdr:pic>
      <xdr:nvPicPr>
        <xdr:cNvPr id="3" name="Image 1">
          <a:extLst>
            <a:ext uri="{FF2B5EF4-FFF2-40B4-BE49-F238E27FC236}">
              <a16:creationId xmlns:a16="http://schemas.microsoft.com/office/drawing/2014/main" id="{3A14344D-ED9C-08A1-C772-1E8467528541}"/>
            </a:ext>
          </a:extLst>
        </xdr:cNvPr>
        <xdr:cNvPicPr>
          <a:picLocks noChangeAspect="1"/>
        </xdr:cNvPicPr>
      </xdr:nvPicPr>
      <xdr:blipFill>
        <a:blip xmlns:r="http://schemas.openxmlformats.org/officeDocument/2006/relationships" r:embed="rId1"/>
        <a:stretch>
          <a:fillRect/>
        </a:stretch>
      </xdr:blipFill>
      <xdr:spPr>
        <a:xfrm>
          <a:off x="12458700" y="876300"/>
          <a:ext cx="6554115" cy="34027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276225</xdr:colOff>
      <xdr:row>3</xdr:row>
      <xdr:rowOff>345102</xdr:rowOff>
    </xdr:from>
    <xdr:to>
      <xdr:col>16</xdr:col>
      <xdr:colOff>744392</xdr:colOff>
      <xdr:row>8</xdr:row>
      <xdr:rowOff>91693</xdr:rowOff>
    </xdr:to>
    <xdr:pic>
      <xdr:nvPicPr>
        <xdr:cNvPr id="4" name="Image 3">
          <a:extLst>
            <a:ext uri="{FF2B5EF4-FFF2-40B4-BE49-F238E27FC236}">
              <a16:creationId xmlns:a16="http://schemas.microsoft.com/office/drawing/2014/main" id="{756C6C74-120B-3852-2202-A01C6035CF6C}"/>
            </a:ext>
          </a:extLst>
        </xdr:cNvPr>
        <xdr:cNvPicPr>
          <a:picLocks noChangeAspect="1"/>
        </xdr:cNvPicPr>
      </xdr:nvPicPr>
      <xdr:blipFill>
        <a:blip xmlns:r="http://schemas.openxmlformats.org/officeDocument/2006/relationships" r:embed="rId1"/>
        <a:stretch>
          <a:fillRect/>
        </a:stretch>
      </xdr:blipFill>
      <xdr:spPr>
        <a:xfrm>
          <a:off x="13211175" y="1021377"/>
          <a:ext cx="6373667" cy="1122001"/>
        </a:xfrm>
        <a:prstGeom prst="rect">
          <a:avLst/>
        </a:prstGeom>
      </xdr:spPr>
    </xdr:pic>
    <xdr:clientData/>
  </xdr:twoCellAnchor>
  <xdr:twoCellAnchor editAs="oneCell">
    <xdr:from>
      <xdr:col>11</xdr:col>
      <xdr:colOff>523875</xdr:colOff>
      <xdr:row>12</xdr:row>
      <xdr:rowOff>0</xdr:rowOff>
    </xdr:from>
    <xdr:to>
      <xdr:col>14</xdr:col>
      <xdr:colOff>788220</xdr:colOff>
      <xdr:row>17</xdr:row>
      <xdr:rowOff>116871</xdr:rowOff>
    </xdr:to>
    <xdr:pic>
      <xdr:nvPicPr>
        <xdr:cNvPr id="5" name="Image 4">
          <a:extLst>
            <a:ext uri="{FF2B5EF4-FFF2-40B4-BE49-F238E27FC236}">
              <a16:creationId xmlns:a16="http://schemas.microsoft.com/office/drawing/2014/main" id="{0085F28C-3278-8BC2-16D9-D070BAA63758}"/>
            </a:ext>
          </a:extLst>
        </xdr:cNvPr>
        <xdr:cNvPicPr>
          <a:picLocks noChangeAspect="1"/>
        </xdr:cNvPicPr>
      </xdr:nvPicPr>
      <xdr:blipFill>
        <a:blip xmlns:r="http://schemas.openxmlformats.org/officeDocument/2006/relationships" r:embed="rId2"/>
        <a:stretch>
          <a:fillRect/>
        </a:stretch>
      </xdr:blipFill>
      <xdr:spPr>
        <a:xfrm>
          <a:off x="13458825" y="2918086"/>
          <a:ext cx="4582980" cy="920781"/>
        </a:xfrm>
        <a:prstGeom prst="rect">
          <a:avLst/>
        </a:prstGeom>
      </xdr:spPr>
    </xdr:pic>
    <xdr:clientData/>
  </xdr:twoCellAnchor>
  <xdr:twoCellAnchor editAs="oneCell">
    <xdr:from>
      <xdr:col>11</xdr:col>
      <xdr:colOff>400050</xdr:colOff>
      <xdr:row>19</xdr:row>
      <xdr:rowOff>38829</xdr:rowOff>
    </xdr:from>
    <xdr:to>
      <xdr:col>15</xdr:col>
      <xdr:colOff>740529</xdr:colOff>
      <xdr:row>28</xdr:row>
      <xdr:rowOff>135663</xdr:rowOff>
    </xdr:to>
    <xdr:pic>
      <xdr:nvPicPr>
        <xdr:cNvPr id="6" name="Image 5">
          <a:extLst>
            <a:ext uri="{FF2B5EF4-FFF2-40B4-BE49-F238E27FC236}">
              <a16:creationId xmlns:a16="http://schemas.microsoft.com/office/drawing/2014/main" id="{5C5F6758-6B19-51BE-36C9-86F13AEB9033}"/>
            </a:ext>
          </a:extLst>
        </xdr:cNvPr>
        <xdr:cNvPicPr>
          <a:picLocks noChangeAspect="1"/>
        </xdr:cNvPicPr>
      </xdr:nvPicPr>
      <xdr:blipFill>
        <a:blip xmlns:r="http://schemas.openxmlformats.org/officeDocument/2006/relationships" r:embed="rId3"/>
        <a:stretch>
          <a:fillRect/>
        </a:stretch>
      </xdr:blipFill>
      <xdr:spPr>
        <a:xfrm>
          <a:off x="13335000" y="4039329"/>
          <a:ext cx="5478264" cy="1609404"/>
        </a:xfrm>
        <a:prstGeom prst="rect">
          <a:avLst/>
        </a:prstGeom>
      </xdr:spPr>
    </xdr:pic>
    <xdr:clientData/>
  </xdr:twoCellAnchor>
  <xdr:twoCellAnchor editAs="oneCell">
    <xdr:from>
      <xdr:col>11</xdr:col>
      <xdr:colOff>628650</xdr:colOff>
      <xdr:row>77</xdr:row>
      <xdr:rowOff>66675</xdr:rowOff>
    </xdr:from>
    <xdr:to>
      <xdr:col>17</xdr:col>
      <xdr:colOff>900</xdr:colOff>
      <xdr:row>127</xdr:row>
      <xdr:rowOff>140202</xdr:rowOff>
    </xdr:to>
    <xdr:pic>
      <xdr:nvPicPr>
        <xdr:cNvPr id="7" name="Image 6">
          <a:extLst>
            <a:ext uri="{FF2B5EF4-FFF2-40B4-BE49-F238E27FC236}">
              <a16:creationId xmlns:a16="http://schemas.microsoft.com/office/drawing/2014/main" id="{72766DE9-AD8C-6905-F193-F1BFFEC0FEFF}"/>
            </a:ext>
          </a:extLst>
        </xdr:cNvPr>
        <xdr:cNvPicPr>
          <a:picLocks noChangeAspect="1"/>
        </xdr:cNvPicPr>
      </xdr:nvPicPr>
      <xdr:blipFill>
        <a:blip xmlns:r="http://schemas.openxmlformats.org/officeDocument/2006/relationships" r:embed="rId4"/>
        <a:stretch>
          <a:fillRect/>
        </a:stretch>
      </xdr:blipFill>
      <xdr:spPr>
        <a:xfrm>
          <a:off x="13458825" y="8820150"/>
          <a:ext cx="6449325" cy="8145012"/>
        </a:xfrm>
        <a:prstGeom prst="rect">
          <a:avLst/>
        </a:prstGeom>
      </xdr:spPr>
    </xdr:pic>
    <xdr:clientData/>
  </xdr:twoCellAnchor>
  <xdr:twoCellAnchor editAs="oneCell">
    <xdr:from>
      <xdr:col>11</xdr:col>
      <xdr:colOff>310504</xdr:colOff>
      <xdr:row>30</xdr:row>
      <xdr:rowOff>19050</xdr:rowOff>
    </xdr:from>
    <xdr:to>
      <xdr:col>14</xdr:col>
      <xdr:colOff>473242</xdr:colOff>
      <xdr:row>37</xdr:row>
      <xdr:rowOff>129762</xdr:rowOff>
    </xdr:to>
    <xdr:pic>
      <xdr:nvPicPr>
        <xdr:cNvPr id="8" name="Image 7">
          <a:extLst>
            <a:ext uri="{FF2B5EF4-FFF2-40B4-BE49-F238E27FC236}">
              <a16:creationId xmlns:a16="http://schemas.microsoft.com/office/drawing/2014/main" id="{D303D2F6-B6EA-BDC1-8B48-0B31A8D8CC0F}"/>
            </a:ext>
          </a:extLst>
        </xdr:cNvPr>
        <xdr:cNvPicPr>
          <a:picLocks noChangeAspect="1"/>
        </xdr:cNvPicPr>
      </xdr:nvPicPr>
      <xdr:blipFill>
        <a:blip xmlns:r="http://schemas.openxmlformats.org/officeDocument/2006/relationships" r:embed="rId5"/>
        <a:stretch>
          <a:fillRect/>
        </a:stretch>
      </xdr:blipFill>
      <xdr:spPr>
        <a:xfrm>
          <a:off x="13140679" y="5695950"/>
          <a:ext cx="4471848" cy="1238472"/>
        </a:xfrm>
        <a:prstGeom prst="rect">
          <a:avLst/>
        </a:prstGeom>
      </xdr:spPr>
    </xdr:pic>
    <xdr:clientData/>
  </xdr:twoCellAnchor>
  <xdr:twoCellAnchor editAs="oneCell">
    <xdr:from>
      <xdr:col>11</xdr:col>
      <xdr:colOff>428625</xdr:colOff>
      <xdr:row>28</xdr:row>
      <xdr:rowOff>114300</xdr:rowOff>
    </xdr:from>
    <xdr:to>
      <xdr:col>16</xdr:col>
      <xdr:colOff>701901</xdr:colOff>
      <xdr:row>30</xdr:row>
      <xdr:rowOff>62904</xdr:rowOff>
    </xdr:to>
    <xdr:pic>
      <xdr:nvPicPr>
        <xdr:cNvPr id="2" name="Image 1">
          <a:extLst>
            <a:ext uri="{FF2B5EF4-FFF2-40B4-BE49-F238E27FC236}">
              <a16:creationId xmlns:a16="http://schemas.microsoft.com/office/drawing/2014/main" id="{AB5BAB58-36C1-6184-3F71-F7F019D3490D}"/>
            </a:ext>
          </a:extLst>
        </xdr:cNvPr>
        <xdr:cNvPicPr>
          <a:picLocks noChangeAspect="1"/>
        </xdr:cNvPicPr>
      </xdr:nvPicPr>
      <xdr:blipFill>
        <a:blip xmlns:r="http://schemas.openxmlformats.org/officeDocument/2006/relationships" r:embed="rId6"/>
        <a:stretch>
          <a:fillRect/>
        </a:stretch>
      </xdr:blipFill>
      <xdr:spPr>
        <a:xfrm>
          <a:off x="13258800" y="5467350"/>
          <a:ext cx="6173061" cy="2762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105997</xdr:colOff>
      <xdr:row>6</xdr:row>
      <xdr:rowOff>156006</xdr:rowOff>
    </xdr:from>
    <xdr:to>
      <xdr:col>19</xdr:col>
      <xdr:colOff>731566</xdr:colOff>
      <xdr:row>12</xdr:row>
      <xdr:rowOff>117272</xdr:rowOff>
    </xdr:to>
    <xdr:pic>
      <xdr:nvPicPr>
        <xdr:cNvPr id="2" name="Image 1">
          <a:extLst>
            <a:ext uri="{FF2B5EF4-FFF2-40B4-BE49-F238E27FC236}">
              <a16:creationId xmlns:a16="http://schemas.microsoft.com/office/drawing/2014/main" id="{EE3963DA-5E05-4F7F-B435-37911109650E}"/>
            </a:ext>
          </a:extLst>
        </xdr:cNvPr>
        <xdr:cNvPicPr>
          <a:picLocks noChangeAspect="1"/>
        </xdr:cNvPicPr>
      </xdr:nvPicPr>
      <xdr:blipFill>
        <a:blip xmlns:r="http://schemas.openxmlformats.org/officeDocument/2006/relationships" r:embed="rId1"/>
        <a:stretch>
          <a:fillRect/>
        </a:stretch>
      </xdr:blipFill>
      <xdr:spPr>
        <a:xfrm>
          <a:off x="10487743" y="1163943"/>
          <a:ext cx="4566046" cy="9301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104775</xdr:colOff>
      <xdr:row>70</xdr:row>
      <xdr:rowOff>38100</xdr:rowOff>
    </xdr:from>
    <xdr:to>
      <xdr:col>13</xdr:col>
      <xdr:colOff>374880</xdr:colOff>
      <xdr:row>72</xdr:row>
      <xdr:rowOff>149249</xdr:rowOff>
    </xdr:to>
    <xdr:pic>
      <xdr:nvPicPr>
        <xdr:cNvPr id="2" name="Image 1">
          <a:extLst>
            <a:ext uri="{FF2B5EF4-FFF2-40B4-BE49-F238E27FC236}">
              <a16:creationId xmlns:a16="http://schemas.microsoft.com/office/drawing/2014/main" id="{EB8F7707-8975-481D-B862-2C1C8086F1DD}"/>
            </a:ext>
          </a:extLst>
        </xdr:cNvPr>
        <xdr:cNvPicPr>
          <a:picLocks noChangeAspect="1"/>
        </xdr:cNvPicPr>
      </xdr:nvPicPr>
      <xdr:blipFill>
        <a:blip xmlns:r="http://schemas.openxmlformats.org/officeDocument/2006/relationships" r:embed="rId1"/>
        <a:stretch>
          <a:fillRect/>
        </a:stretch>
      </xdr:blipFill>
      <xdr:spPr>
        <a:xfrm>
          <a:off x="9715500" y="11953875"/>
          <a:ext cx="4253460" cy="492149"/>
        </a:xfrm>
        <a:prstGeom prst="rect">
          <a:avLst/>
        </a:prstGeom>
      </xdr:spPr>
    </xdr:pic>
    <xdr:clientData/>
  </xdr:twoCellAnchor>
  <xdr:twoCellAnchor editAs="oneCell">
    <xdr:from>
      <xdr:col>10</xdr:col>
      <xdr:colOff>82550</xdr:colOff>
      <xdr:row>55</xdr:row>
      <xdr:rowOff>31749</xdr:rowOff>
    </xdr:from>
    <xdr:to>
      <xdr:col>14</xdr:col>
      <xdr:colOff>298717</xdr:colOff>
      <xdr:row>56</xdr:row>
      <xdr:rowOff>107950</xdr:rowOff>
    </xdr:to>
    <xdr:pic>
      <xdr:nvPicPr>
        <xdr:cNvPr id="3" name="Image 2">
          <a:extLst>
            <a:ext uri="{FF2B5EF4-FFF2-40B4-BE49-F238E27FC236}">
              <a16:creationId xmlns:a16="http://schemas.microsoft.com/office/drawing/2014/main" id="{B0F6303E-A768-4E8F-A4DC-C742363FBFF1}"/>
            </a:ext>
          </a:extLst>
        </xdr:cNvPr>
        <xdr:cNvPicPr>
          <a:picLocks noChangeAspect="1"/>
        </xdr:cNvPicPr>
      </xdr:nvPicPr>
      <xdr:blipFill rotWithShape="1">
        <a:blip xmlns:r="http://schemas.openxmlformats.org/officeDocument/2006/relationships" r:embed="rId2"/>
        <a:srcRect l="549" t="8822" b="20816"/>
        <a:stretch/>
      </xdr:blipFill>
      <xdr:spPr>
        <a:xfrm>
          <a:off x="9693275" y="9261474"/>
          <a:ext cx="4961522" cy="240031"/>
        </a:xfrm>
        <a:prstGeom prst="rect">
          <a:avLst/>
        </a:prstGeom>
      </xdr:spPr>
    </xdr:pic>
    <xdr:clientData/>
  </xdr:twoCellAnchor>
  <xdr:twoCellAnchor editAs="oneCell">
    <xdr:from>
      <xdr:col>10</xdr:col>
      <xdr:colOff>104775</xdr:colOff>
      <xdr:row>74</xdr:row>
      <xdr:rowOff>0</xdr:rowOff>
    </xdr:from>
    <xdr:to>
      <xdr:col>14</xdr:col>
      <xdr:colOff>378095</xdr:colOff>
      <xdr:row>75</xdr:row>
      <xdr:rowOff>184169</xdr:rowOff>
    </xdr:to>
    <xdr:pic>
      <xdr:nvPicPr>
        <xdr:cNvPr id="4" name="Image 3">
          <a:extLst>
            <a:ext uri="{FF2B5EF4-FFF2-40B4-BE49-F238E27FC236}">
              <a16:creationId xmlns:a16="http://schemas.microsoft.com/office/drawing/2014/main" id="{0A236CFF-ED1D-4AAD-B6D1-964D69EFBB18}"/>
            </a:ext>
          </a:extLst>
        </xdr:cNvPr>
        <xdr:cNvPicPr>
          <a:picLocks noChangeAspect="1"/>
        </xdr:cNvPicPr>
      </xdr:nvPicPr>
      <xdr:blipFill>
        <a:blip xmlns:r="http://schemas.openxmlformats.org/officeDocument/2006/relationships" r:embed="rId3"/>
        <a:stretch>
          <a:fillRect/>
        </a:stretch>
      </xdr:blipFill>
      <xdr:spPr>
        <a:xfrm>
          <a:off x="9715500" y="12677775"/>
          <a:ext cx="5016770" cy="3765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talante/Private%20Equity/Capza%205%20Bond%20SLP/Exercice%202025/2-%20Fichier%20VL/Situation%202025-06-30/2025.06.30%20-%20C5%20Bond%20-%20%20Fichier%20VL%20apr&#232;s%20valo.xlsx" TargetMode="External"/><Relationship Id="rId2" Type="http://schemas.microsoft.com/office/2019/04/relationships/externalLinkLongPath" Target="/sites/Equipes59/Documents%20partages/Dossiers%20EC/Atalante/Private%20Equity/Capza%205%20Bond%20SLP/Exercice%202025/2-%20Fichier%20VL/Situation%202025-06-30/2025.06.30%20-%20C5%20Bond%20-%20%20Fichier%20VL%20apr&#232;s%20valo.xlsx?2086A9D0" TargetMode="External"/><Relationship Id="rId1" Type="http://schemas.openxmlformats.org/officeDocument/2006/relationships/externalLinkPath" Target="file:///\\2086A9D0\2025.06.30%20-%20C5%20Bond%20-%20%20Fichier%20VL%20apr&#232;s%20valo.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OKAMBAWA\Downloads\20250331%20CAPZA%20GT%20-%20New%20fichier%20Version%2019.09.2025%20(8).xlsx" TargetMode="External"/><Relationship Id="rId1" Type="http://schemas.openxmlformats.org/officeDocument/2006/relationships/externalLinkPath" Target="file:///C:\Users\TOKAMBAWA\Downloads\20250331%20CAPZA%20GT%20-%20New%20fichier%20Version%2019.09.2025%20(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plitecad\burotik\DATA\General%20-%20folders\Corporate%20Finance\B.%20Active%20Transactions\Saga%20Leisure\Valuation%20and%20Risk%20Analysis\LBO%20Model\CE%20CAPX.xls"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EQ_BDE/_BDF/Projet%20OPC%202/Fichiers%20pour%20les%20d&#233;clarations%20trimestrielles/Liste_fonds_Code_Isin_part%20P_et_S_Code_interne_AMF_Code_LEI1.xlsx" TargetMode="External"/><Relationship Id="rId2" Type="http://schemas.openxmlformats.org/officeDocument/2006/relationships/externalLinkPath" Target="file:///S:\EQ_BDE\_BDF\Projet%20OPC%202\Fichiers%20pour%20les%20d&#233;clarations%20trimestrielles\Liste_fonds_Code_Isin_part%20P_et_S_Code_interne_AMF_Code_LEI1.xlsx" TargetMode="External"/><Relationship Id="rId1" Type="http://schemas.openxmlformats.org/officeDocument/2006/relationships/externalLinkPath" Target="/EQ_BDE/_BDF/Projet%20OPC%202/Fichiers%20pour%20les%20d&#233;clarations%20trimestrielles/Liste_fonds_Code_Isin_part%20P_et_S_Code_interne_AMF_Code_LEI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17.13\company\ETV%20Capital%20SA%20Banking\HSBC\Compliance%20certificates\Compliance%20Cert%20December%2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plitecad\burotik\Accounting%20NEW\Important%20documents\Track%20Record%20MAST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ETVJ%20Projections%20-%2027th%20Nov%20Version%20Rothschild%20-%20Sale%20of%20Vol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plitecad\burotik\EQ_PL\ECHANGE\Lbo%20tous%20FCPR\White%20Knight%20VI%20bis\2006\31%2012%2006\White%20Knight%20VI%20BIS%20VL%202006%2012%20v3.xls"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https://aplitecgroupe.sharepoint.com/sites/Equipes59/Documents%20partages/Dossiers%20EC/-%20D&#233;l&#233;gation%20comptable%20OPC/BDF/Remise%20p&#233;riodique/P&#233;riode%202023%2012%2031/Manuel/Zato%20Invest%20-%20FPCI%20%20-%2031-12-2023/2023.12.31%20Zato%20Invest%20FPCI%20%20Fichier%20VL.xlsx" TargetMode="External"/><Relationship Id="rId2" Type="http://schemas.microsoft.com/office/2019/04/relationships/externalLinkLongPath" Target="/sites/Equipes59/Documents%20partages/Dossiers%20EC/-%20D&#233;l&#233;gation%20comptable%20OPC/BDF/Remise%20p&#233;riodique/P&#233;riode%202023%2012%2031/Manuel/Zato%20Invest%20-%20FPCI%20%20-%2031-12-2023/2023.12.31%20Zato%20Invest%20FPCI%20%20Fichier%20VL.xlsx?A3E5C6A1" TargetMode="External"/><Relationship Id="rId1" Type="http://schemas.openxmlformats.org/officeDocument/2006/relationships/externalLinkPath" Target="file:///\\A3E5C6A1\2023.12.31%20Zato%20Invest%20FPCI%20%20Fichier%20VL.xlsx" TargetMode="External"/><Relationship Id="rId4" Type="http://schemas.openxmlformats.org/officeDocument/2006/relationships/externalLinkPath" Target="../../../../../-%20D&#233;l&#233;gation%20comptable%20OPC/BDF/Remise%20p&#233;riodique/P&#233;riode%202023%2012%2031/Manuel/Zato%20Invest%20-%20FPCI%20%20-%2031-12-2023/2023.12.31%20Zato%20Invest%20FPCI%20%20Fichier%20VL.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plitecad\burotik\ICTL\NTL\OLD\CT2_2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recap_remise_complete"/>
      <sheetName val="remise_periodique_complete_2024"/>
      <sheetName val="recap_remise_annuelle"/>
      <sheetName val="remise_annuelle_complete"/>
      <sheetName val="Sommaire"/>
      <sheetName val="Inventaire"/>
      <sheetName val="O.D Rééval new matrice"/>
      <sheetName val="OD Rééval"/>
      <sheetName val="Calcul VL"/>
      <sheetName val="Hors bilan"/>
      <sheetName val="PVMV"/>
      <sheetName val="Preferred Return"/>
      <sheetName val="Ordinary Return"/>
      <sheetName val="Rappro titres"/>
      <sheetName val="Int Oblig et prêt"/>
      <sheetName val="Intérêts CC"/>
      <sheetName val="Sous rachat"/>
      <sheetName val="Liste porteurs selon versement "/>
      <sheetName val="Frais de gestion"/>
      <sheetName val="Créances_&amp;_dettes"/>
      <sheetName val="Résultat"/>
      <sheetName val="Capitaux propres"/>
      <sheetName val="Bilan"/>
      <sheetName val="Rappro banque"/>
      <sheetName val="rapprobalance"/>
      <sheetName val="AIFM"/>
      <sheetName val="UPSLIDE_Un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mise_annuelle_complete"/>
      <sheetName val="remise_periodique_complete"/>
      <sheetName val="recap_remise_complete"/>
      <sheetName val="Sommaire"/>
      <sheetName val="Inventaire"/>
      <sheetName val="Calcul VL"/>
      <sheetName val="Preferred Return "/>
      <sheetName val="O.D Rééval new matrice"/>
      <sheetName val="Rappro Titres &amp; Parts"/>
      <sheetName val="Hors bilan"/>
      <sheetName val="PVMV"/>
      <sheetName val="Intérêts Obligations"/>
      <sheetName val="Intérêts CC et ADP"/>
      <sheetName val="Emprunt"/>
      <sheetName val="Sous rachat"/>
      <sheetName val="Distribution Prime sous"/>
      <sheetName val="Liste porteurs selon versement "/>
      <sheetName val="Frais de gestion"/>
      <sheetName val="Créances_&amp;_dettes"/>
      <sheetName val="Bilan"/>
      <sheetName val="Résultat"/>
      <sheetName val="Capitaux propres"/>
      <sheetName val="Rappro Banque"/>
      <sheetName val="OD Rééval"/>
      <sheetName val="Ecriture ADF+distri"/>
      <sheetName val="Rappro Balance"/>
      <sheetName val="Balance "/>
      <sheetName val="AIFM"/>
      <sheetName val="Invento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
      <sheetName val="Input-Output"/>
      <sheetName val="Quantity"/>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utres fonds "/>
      <sheetName val="Fonds LBO"/>
      <sheetName val="Liste_fonds_Code_Isin_part P_et"/>
    </sheetNames>
    <definedNames>
      <definedName name="Liste_fds" refersTo="='Autres fonds '!$D1:$D983040"/>
    </definedNames>
    <sheetDataSet>
      <sheetData sheetId="0"/>
      <sheetData sheetId="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rol sheet"/>
      <sheetName val="ETV LOAN BOOK Local Currency"/>
      <sheetName val="HSBC &amp; Pictet Loan Schedules"/>
      <sheetName val="Bank Accounts"/>
      <sheetName val="Pro Forma Financial Statements"/>
      <sheetName val="Compliance certificate"/>
      <sheetName val="Control_sheet"/>
      <sheetName val="ETV_LOAN_BOOK_Local_Currency"/>
      <sheetName val="HSBC_&amp;_Pictet_Loan_Schedules"/>
      <sheetName val="Bank_Accounts"/>
      <sheetName val="Pro_Forma_Financial_Statements"/>
      <sheetName val="Compliance_certific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Control sheet"/>
      <sheetName val="Summary"/>
      <sheetName val="Portfolio IRR Prov"/>
      <sheetName val="Portfolio IRR"/>
      <sheetName val="Bank Ratings Review"/>
      <sheetName val="Ratings Review"/>
      <sheetName val="Credit Summary"/>
      <sheetName val="Credit Details"/>
      <sheetName val="All Loans"/>
      <sheetName val="SWAP"/>
      <sheetName val="Shares"/>
      <sheetName val="Restructures"/>
      <sheetName val="Prepayments"/>
      <sheetName val="Non U Fees"/>
      <sheetName val="ChipSensors"/>
      <sheetName val="PacketexchangeIVT3"/>
      <sheetName val="Intela"/>
      <sheetName val="PacketexchangeIVT2"/>
      <sheetName val="FixnetixIIIT2"/>
      <sheetName val="PacketexchangeIVT1"/>
      <sheetName val="CellerixT1"/>
      <sheetName val="FixnetixIII"/>
      <sheetName val="NTRII"/>
      <sheetName val="RedCT2"/>
      <sheetName val="RedCT1"/>
      <sheetName val="Cellerix"/>
      <sheetName val="Altair"/>
      <sheetName val="Provigent"/>
      <sheetName val="FixnetixIIT2"/>
      <sheetName val="TagsysT3"/>
      <sheetName val="TagsysT2"/>
      <sheetName val="TagsysT1"/>
      <sheetName val="Silicon3T2"/>
      <sheetName val="S3"/>
      <sheetName val="KontantenT3"/>
      <sheetName val="KontantenT2"/>
      <sheetName val="KontantenT1"/>
      <sheetName val="Stokes"/>
      <sheetName val="ScaleoT2"/>
      <sheetName val="Icera Combined"/>
      <sheetName val="IceraT1"/>
      <sheetName val="IceraT2"/>
      <sheetName val="BridgecoT2"/>
      <sheetName val="Bridgeco"/>
      <sheetName val="DeconT1"/>
      <sheetName val="IxarisT2"/>
      <sheetName val="LightBlueT1"/>
      <sheetName val="FixnetixIIT1"/>
      <sheetName val="Fixnetix"/>
      <sheetName val="CamSemiT2"/>
      <sheetName val="CamSemiT1"/>
      <sheetName val="AdIQIRR"/>
      <sheetName val="AdIQT2"/>
      <sheetName val="ADIQ"/>
      <sheetName val="AxxonisT2"/>
      <sheetName val="CRFV"/>
      <sheetName val="CRFIV"/>
      <sheetName val="CRFIII"/>
      <sheetName val="CRF Health II"/>
      <sheetName val="Scaleo"/>
      <sheetName val="ImageMetricsII"/>
      <sheetName val="NujiraT2"/>
      <sheetName val="NujiraT1"/>
      <sheetName val="Bullguard2T2"/>
      <sheetName val="Chroma"/>
      <sheetName val="PicochipIII"/>
      <sheetName val="PicochipIV"/>
      <sheetName val="Picochip Combined"/>
      <sheetName val="Lucid"/>
      <sheetName val="Ixaris"/>
      <sheetName val="Liquavista"/>
      <sheetName val="FirecommsIRR"/>
      <sheetName val="Firecomms2"/>
      <sheetName val="Firecomms"/>
      <sheetName val="Crossject2"/>
      <sheetName val="Crossject"/>
      <sheetName val="DHCT2"/>
      <sheetName val="AdditechT1"/>
      <sheetName val="AdditechT2"/>
      <sheetName val="AdditechT2B"/>
      <sheetName val="AdditechT3A"/>
      <sheetName val="NTRGlobal"/>
      <sheetName val="Mergeoptics"/>
      <sheetName val="Gourmondo"/>
      <sheetName val="UbiquisysT3"/>
      <sheetName val="PacketXchangeIII"/>
      <sheetName val="PacketXchangeII"/>
      <sheetName val="PacketXchange"/>
      <sheetName val="Unipier IRR"/>
      <sheetName val="Unipier"/>
      <sheetName val="UnipierT2"/>
      <sheetName val="Axxonis"/>
      <sheetName val="Teraview"/>
      <sheetName val="BullGuard2T1"/>
      <sheetName val="Flint"/>
      <sheetName val="PrimeCarrier"/>
      <sheetName val="BoxtoneT1"/>
      <sheetName val="BoxtoneT2"/>
      <sheetName val="BoxtoneT3"/>
      <sheetName val="Definiens"/>
      <sheetName val="DigitalHC"/>
      <sheetName val="NomadIII"/>
      <sheetName val="123TV"/>
      <sheetName val="123TvT2"/>
      <sheetName val="Heartsine"/>
      <sheetName val="HeartsineT2"/>
      <sheetName val="Cecure"/>
      <sheetName val="Plethora"/>
      <sheetName val="Coppergate"/>
      <sheetName val="PacketFrontIRR"/>
      <sheetName val="PacketFrontT2"/>
      <sheetName val="PacketFrontT1"/>
      <sheetName val="BullGuard"/>
      <sheetName val="Swyx"/>
      <sheetName val="SPI2"/>
      <sheetName val="SPI"/>
      <sheetName val="Diatos"/>
      <sheetName val="UbiquisysIRR"/>
      <sheetName val="UbiquisysT2"/>
      <sheetName val="Ubiquisys"/>
      <sheetName val="Atempo"/>
      <sheetName val="PlasticLogicIII"/>
      <sheetName val="ClearswiftIRR"/>
      <sheetName val="ClearswiftT1A"/>
      <sheetName val="ClearswiftT1B"/>
      <sheetName val="ClearswiftT2"/>
      <sheetName val="ClearswiftT3"/>
      <sheetName val="ClearswiftT4"/>
      <sheetName val="IEComb IRR"/>
      <sheetName val="InteractiveEnterprise"/>
      <sheetName val="InteractiveEnterpriseT2"/>
      <sheetName val="FrontierSilicon"/>
      <sheetName val="FrontierSiliconII"/>
      <sheetName val="Celoxica"/>
      <sheetName val="PL II"/>
      <sheetName val="Locanis"/>
      <sheetName val="Intuwave"/>
      <sheetName val="CRF"/>
      <sheetName val="Genosis"/>
      <sheetName val="Edge IPK"/>
      <sheetName val="Nomad"/>
      <sheetName val="Meridio"/>
      <sheetName val="Aonix"/>
      <sheetName val="Adeuza"/>
      <sheetName val="InstranetIRR"/>
      <sheetName val="Instranet"/>
      <sheetName val="Instranet T2"/>
      <sheetName val="AxiomIIT1"/>
      <sheetName val="SDS"/>
      <sheetName val="Avoco"/>
      <sheetName val="Aventeon"/>
      <sheetName val="LiekkiCombIRR"/>
      <sheetName val="Liekki T1"/>
      <sheetName val="Liekki T2"/>
      <sheetName val="Ekinops"/>
      <sheetName val="Marrakech"/>
      <sheetName val="VigitekCombIRR"/>
      <sheetName val="Vigitek"/>
      <sheetName val="Vigitek2"/>
      <sheetName val="MobeonCombIRR"/>
      <sheetName val="Mobeon T1"/>
      <sheetName val="Mobeon T2"/>
      <sheetName val="BXIICombIRR"/>
      <sheetName val="BX II T1"/>
      <sheetName val="BX II T2"/>
      <sheetName val="51 Pegasi"/>
      <sheetName val="Akubio"/>
      <sheetName val="Solid II"/>
      <sheetName val="Verisim"/>
      <sheetName val="CR2 II"/>
      <sheetName val="CR2"/>
      <sheetName val="Vecta"/>
      <sheetName val="Nallatech"/>
      <sheetName val="Hunter Fleming"/>
      <sheetName val="Nomad 2"/>
      <sheetName val="BMDCombIRR"/>
      <sheetName val="BMD"/>
      <sheetName val="BMDT2"/>
      <sheetName val="BMDT3"/>
      <sheetName val="Qliktech"/>
      <sheetName val="XtellusCombIRR"/>
      <sheetName val="Xtellus"/>
      <sheetName val="Xtellus T2"/>
      <sheetName val="Envox Combined"/>
      <sheetName val="EnvoxII"/>
      <sheetName val="Envox"/>
      <sheetName val="EkahauComb IRR"/>
      <sheetName val="Ekahau"/>
      <sheetName val="EkahauT2"/>
      <sheetName val="EkahauT3"/>
      <sheetName val="Phyworks Comb IRR"/>
      <sheetName val="Phyworks"/>
      <sheetName val="PhyworksT2"/>
      <sheetName val="ExonyComb IRR"/>
      <sheetName val="Exony"/>
      <sheetName val="ExonyT2"/>
      <sheetName val="Arteris"/>
      <sheetName val="TidewayIIComb IRR"/>
      <sheetName val="TidewayII"/>
      <sheetName val="TidewayIIT2"/>
      <sheetName val="Tideway"/>
      <sheetName val="SpringMobil"/>
      <sheetName val="DSO"/>
      <sheetName val="QuescomComb IRR"/>
      <sheetName val="Quescom"/>
      <sheetName val="QuescomT2"/>
      <sheetName val="ImageMetrComb IRR"/>
      <sheetName val="ImageMetrics"/>
      <sheetName val="ImageMetricsT2"/>
      <sheetName val="Scali"/>
      <sheetName val="Meridea"/>
      <sheetName val="TangoTelecom"/>
      <sheetName val="Axiom"/>
      <sheetName val="Phoqus I"/>
      <sheetName val="Kymata - facility"/>
      <sheetName val="Kymata 1"/>
      <sheetName val="Kymata 2"/>
      <sheetName val="Ridgeway"/>
      <sheetName val="WBT"/>
      <sheetName val="Raidtec"/>
      <sheetName val="Altio"/>
      <sheetName val="Kamelian - Facility"/>
      <sheetName val="Kamelian 1"/>
      <sheetName val="Kamelian 2"/>
      <sheetName val="Kamelian 3"/>
      <sheetName val="Picochip"/>
      <sheetName val="Anadigm 1"/>
      <sheetName val="Anadigm 2"/>
      <sheetName val="Micromet - Facility 1"/>
      <sheetName val="Micromet A 1"/>
      <sheetName val="Micromet A 2"/>
      <sheetName val="Micromet A 3"/>
      <sheetName val="Phoqus 2"/>
      <sheetName val="Solid"/>
      <sheetName val="Vectura"/>
      <sheetName val="Cambista"/>
      <sheetName val="Cerebrus"/>
      <sheetName val="Microsol"/>
      <sheetName val="Micromet B"/>
      <sheetName val="Workshare"/>
      <sheetName val="Etiologics"/>
      <sheetName val="Domantis"/>
      <sheetName val="PL I"/>
      <sheetName val="Picochip II"/>
      <sheetName val="Webraska"/>
      <sheetName val="Inside I"/>
      <sheetName val="Datanomic"/>
      <sheetName val="Empower IRR"/>
      <sheetName val="Empower WCF"/>
      <sheetName val="Empower III"/>
      <sheetName val="Empower II"/>
      <sheetName val="Empower I"/>
      <sheetName val="BX"/>
      <sheetName val="Inside II"/>
      <sheetName val="Asknet Total"/>
      <sheetName val="Asknet T1"/>
      <sheetName val="Asknet T2"/>
      <sheetName val="Control_sheet"/>
      <sheetName val="Portfolio_IRR_Prov"/>
      <sheetName val="Portfolio_IRR"/>
      <sheetName val="Bank_Ratings_Review"/>
      <sheetName val="Ratings_Review"/>
      <sheetName val="Credit_Summary"/>
      <sheetName val="Credit_Details"/>
      <sheetName val="All_Loans"/>
      <sheetName val="Non_U_Fees"/>
      <sheetName val="Icera_Combined"/>
      <sheetName val="CRF_Health_II"/>
      <sheetName val="Picochip_Combined"/>
      <sheetName val="Unipier_IRR"/>
      <sheetName val="IEComb_IRR"/>
      <sheetName val="PL_II"/>
      <sheetName val="Edge_IPK"/>
      <sheetName val="Instranet_T2"/>
      <sheetName val="Liekki_T1"/>
      <sheetName val="Liekki_T2"/>
      <sheetName val="Mobeon_T1"/>
      <sheetName val="Mobeon_T2"/>
      <sheetName val="BX_II_T1"/>
      <sheetName val="BX_II_T2"/>
      <sheetName val="51_Pegasi"/>
      <sheetName val="Solid_II"/>
      <sheetName val="CR2_II"/>
      <sheetName val="Hunter_Fleming"/>
      <sheetName val="Nomad_2"/>
      <sheetName val="Xtellus_T2"/>
      <sheetName val="Envox_Combined"/>
      <sheetName val="EkahauComb_IRR"/>
      <sheetName val="Phyworks_Comb_IRR"/>
      <sheetName val="ExonyComb_IRR"/>
      <sheetName val="TidewayIIComb_IRR"/>
      <sheetName val="QuescomComb_IRR"/>
      <sheetName val="ImageMetrComb_IRR"/>
      <sheetName val="Phoqus_I"/>
      <sheetName val="Kymata_-_facility"/>
      <sheetName val="Kymata_1"/>
      <sheetName val="Kymata_2"/>
      <sheetName val="Kamelian_-_Facility"/>
      <sheetName val="Kamelian_1"/>
      <sheetName val="Kamelian_2"/>
      <sheetName val="Kamelian_3"/>
      <sheetName val="Anadigm_1"/>
      <sheetName val="Anadigm_2"/>
      <sheetName val="Micromet_-_Facility_1"/>
      <sheetName val="Micromet_A_1"/>
      <sheetName val="Micromet_A_2"/>
      <sheetName val="Micromet_A_3"/>
      <sheetName val="Phoqus_2"/>
      <sheetName val="Micromet_B"/>
      <sheetName val="PL_I"/>
      <sheetName val="Picochip_II"/>
      <sheetName val="Inside_I"/>
      <sheetName val="Empower_IRR"/>
      <sheetName val="Empower_WCF"/>
      <sheetName val="Empower_III"/>
      <sheetName val="Empower_II"/>
      <sheetName val="Empower_I"/>
      <sheetName val="Inside_II"/>
      <sheetName val="Asknet_Total"/>
      <sheetName val="Asknet_T1"/>
      <sheetName val="Asknet_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Summary Financials - Total "/>
      <sheetName val="Detailed Financials - Flexed"/>
      <sheetName val="Undrawn Fees"/>
      <sheetName val="ETV Loans -28 April"/>
      <sheetName val="ETV Post 28 April Loans "/>
      <sheetName val="DBZ Volumes"/>
      <sheetName val="ETV New Loans"/>
      <sheetName val="Opex"/>
      <sheetName val="Loan Proforma"/>
      <sheetName val="ETV loans"/>
      <sheetName val="KBC Loans"/>
      <sheetName val="Senior Debt - Mar 2006"/>
      <sheetName val="Sub Debt - Mar 2006"/>
      <sheetName val="Senior Debt - Jan 2007"/>
      <sheetName val="Sub Debt - Jan 2007"/>
      <sheetName val="Mezzanine Debt - Jan 2007"/>
      <sheetName val="Warrants"/>
      <sheetName val="Payment calculations"/>
      <sheetName val="Summary_Financials_-_Total_"/>
      <sheetName val="Detailed_Financials_-_Flexed"/>
      <sheetName val="Undrawn_Fees"/>
      <sheetName val="ETV_Loans_-28_April"/>
      <sheetName val="ETV_Post_28_April_Loans_"/>
      <sheetName val="DBZ_Volumes"/>
      <sheetName val="ETV_New_Loans"/>
      <sheetName val="Loan_Proforma"/>
      <sheetName val="ETV_loans"/>
      <sheetName val="KBC_Loans"/>
      <sheetName val="Senior_Debt_-_Mar_2006"/>
      <sheetName val="Sub_Debt_-_Mar_2006"/>
      <sheetName val="Senior_Debt_-_Jan_2007"/>
      <sheetName val="Sub_Debt_-_Jan_2007"/>
      <sheetName val="Mezzanine_Debt_-_Jan_2007"/>
      <sheetName val="Payment_calcul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Inventaire"/>
      <sheetName val="Rappro titres"/>
      <sheetName val="Frais de gestion"/>
      <sheetName val="Créances et dettes"/>
      <sheetName val="Liste porteurs"/>
      <sheetName val="Liste porteurs classée"/>
      <sheetName val="Calcul VL "/>
      <sheetName val="Sous rach"/>
      <sheetName val="Revenu prioritaire"/>
      <sheetName val="PVMV C1"/>
      <sheetName val="PVMV C2"/>
      <sheetName val="Résultat"/>
      <sheetName val="Rappro banque C1"/>
      <sheetName val="Rappro banque C2"/>
      <sheetName val="Ratios C1 "/>
      <sheetName val="Ratios C2"/>
      <sheetName val="Var actif net C1"/>
      <sheetName val="Var actif net C2"/>
      <sheetName val="Rappro balance excel"/>
      <sheetName val="Rappro_titres"/>
      <sheetName val="Frais_de_gestion"/>
      <sheetName val="Créances_et_dettes"/>
      <sheetName val="Liste_porteurs"/>
      <sheetName val="Liste_porteurs_classée"/>
      <sheetName val="Calcul_VL_"/>
      <sheetName val="Sous_rach"/>
      <sheetName val="Revenu_prioritaire"/>
      <sheetName val="PVMV_C1"/>
      <sheetName val="PVMV_C2"/>
      <sheetName val="Rappro_banque_C1"/>
      <sheetName val="Rappro_banque_C2"/>
      <sheetName val="Ratios_C1_"/>
      <sheetName val="Ratios_C2"/>
      <sheetName val="Var_actif_net_C1"/>
      <sheetName val="Var_actif_net_C2"/>
      <sheetName val="Rappro_balance_excel"/>
      <sheetName val="Rappro_titres1"/>
      <sheetName val="Frais_de_gestion1"/>
      <sheetName val="Créances_et_dettes1"/>
      <sheetName val="Liste_porteurs1"/>
      <sheetName val="Liste_porteurs_classée1"/>
      <sheetName val="Calcul_VL_1"/>
      <sheetName val="Sous_rach1"/>
      <sheetName val="Revenu_prioritaire1"/>
      <sheetName val="PVMV_C11"/>
      <sheetName val="PVMV_C21"/>
      <sheetName val="Rappro_banque_C11"/>
      <sheetName val="Rappro_banque_C21"/>
      <sheetName val="Ratios_C1_1"/>
      <sheetName val="Ratios_C21"/>
      <sheetName val="Var_actif_net_C11"/>
      <sheetName val="Var_actif_net_C21"/>
      <sheetName val="Rappro_balance_exce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recap_remise_complete"/>
      <sheetName val="remise_periodique_complete_2023"/>
      <sheetName val="remise_periodique_complete_2024"/>
      <sheetName val="Sommaire"/>
      <sheetName val="Sommaire (2)"/>
      <sheetName val="Inventaire"/>
      <sheetName val="Calcul VL"/>
      <sheetName val="IRR"/>
      <sheetName val="MOIC"/>
      <sheetName val="Hors bilan"/>
      <sheetName val="OD Rééval"/>
      <sheetName val="OD Rééval (2)"/>
      <sheetName val="Rappro titres"/>
      <sheetName val="Intérêts OC"/>
      <sheetName val="PVMV"/>
      <sheetName val="versement"/>
      <sheetName val="Liste porteurs selon versement "/>
      <sheetName val="Frais de gestion"/>
      <sheetName val="Créances_&amp;_dettes"/>
      <sheetName val="Résultat"/>
      <sheetName val="Résultat (2)"/>
      <sheetName val="Bilan"/>
      <sheetName val="Var actif net"/>
      <sheetName val="Capitaux propres"/>
      <sheetName val="Rappro banque"/>
      <sheetName val="rapprobalance"/>
      <sheetName val="Ratio"/>
      <sheetName val="AIF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tions"/>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Hortense GROLLET" id="{848DDEF9-3B22-46E4-8A5D-703786BCA8E0}" userId="S::hortense.grollet@groupe-aplitec.com::0fdee3f2-0826-41a9-a3d7-d3c657a8fabb"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1" dT="2020-09-17T09:02:18.23" personId="{848DDEF9-3B22-46E4-8A5D-703786BCA8E0}" id="{DC80DFE3-EBAE-4B16-A8F1-009FA616436C}">
    <text>A compléter avec ee tableau ci-dessus "Base de calcul" une fois la compta mis à jour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xml"/><Relationship Id="rId1" Type="http://schemas.openxmlformats.org/officeDocument/2006/relationships/printerSettings" Target="../printerSettings/printerSettings12.bin"/><Relationship Id="rId5" Type="http://schemas.microsoft.com/office/2017/10/relationships/threadedComment" Target="../threadedComments/threadedComment1.xml"/><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14.bin"/><Relationship Id="rId4" Type="http://schemas.openxmlformats.org/officeDocument/2006/relationships/comments" Target="../comments7.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xml"/><Relationship Id="rId1" Type="http://schemas.openxmlformats.org/officeDocument/2006/relationships/printerSettings" Target="../printerSettings/printerSettings15.bin"/><Relationship Id="rId4" Type="http://schemas.openxmlformats.org/officeDocument/2006/relationships/comments" Target="../comments8.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6CAF6-BF8C-4E93-B73B-A9B1E4765F6B}">
  <sheetPr codeName="Feuil7">
    <pageSetUpPr fitToPage="1"/>
  </sheetPr>
  <dimension ref="A1:N70"/>
  <sheetViews>
    <sheetView showGridLines="0" view="pageBreakPreview" zoomScaleNormal="100" zoomScaleSheetLayoutView="100" workbookViewId="0">
      <selection activeCell="A59" sqref="A59"/>
    </sheetView>
  </sheetViews>
  <sheetFormatPr defaultColWidth="11.42578125" defaultRowHeight="12.75"/>
  <cols>
    <col min="1" max="1" width="46.28515625" style="62" customWidth="1"/>
    <col min="2" max="2" width="58.5703125" style="62" customWidth="1"/>
    <col min="3" max="3" width="21.5703125" style="62" customWidth="1"/>
    <col min="4" max="5" width="11.42578125" style="62"/>
    <col min="6" max="6" width="11.42578125" style="62" customWidth="1"/>
    <col min="7" max="16384" width="11.42578125" style="62"/>
  </cols>
  <sheetData>
    <row r="1" spans="1:14" s="61" customFormat="1" ht="32.25" customHeight="1">
      <c r="A1" s="93" t="s">
        <v>0</v>
      </c>
      <c r="B1" s="11"/>
      <c r="C1" s="486">
        <v>46022</v>
      </c>
      <c r="D1" s="142"/>
      <c r="E1" s="297"/>
      <c r="F1" s="297"/>
      <c r="G1" s="297"/>
      <c r="H1" s="297"/>
      <c r="I1" s="297"/>
      <c r="J1" s="297"/>
      <c r="K1" s="297"/>
      <c r="L1" s="297"/>
      <c r="M1" s="297"/>
      <c r="N1" s="298"/>
    </row>
    <row r="2" spans="1:14" s="61" customFormat="1" ht="15.75" customHeight="1">
      <c r="A2" s="93"/>
      <c r="B2" s="11"/>
      <c r="C2" s="58"/>
      <c r="D2" s="142"/>
      <c r="E2" s="297"/>
      <c r="F2" s="297"/>
      <c r="G2" s="297"/>
      <c r="H2" s="297"/>
      <c r="I2" s="297"/>
      <c r="J2" s="297"/>
      <c r="K2" s="297"/>
      <c r="L2" s="297"/>
      <c r="M2" s="297"/>
      <c r="N2" s="298"/>
    </row>
    <row r="3" spans="1:14" s="61" customFormat="1" ht="15.75" customHeight="1">
      <c r="A3" s="93" t="s">
        <v>1</v>
      </c>
      <c r="B3" s="11" t="s">
        <v>2</v>
      </c>
      <c r="C3" s="58"/>
      <c r="D3" s="142"/>
      <c r="E3" s="297"/>
      <c r="F3" s="297"/>
      <c r="G3" s="297"/>
      <c r="H3" s="297"/>
      <c r="I3" s="297"/>
      <c r="J3" s="297"/>
      <c r="K3" s="297"/>
      <c r="L3" s="297"/>
      <c r="M3" s="297"/>
      <c r="N3" s="298"/>
    </row>
    <row r="4" spans="1:14" s="61" customFormat="1" ht="15.75" customHeight="1">
      <c r="A4" s="93"/>
      <c r="B4" s="11"/>
      <c r="C4" s="58"/>
      <c r="D4" s="142"/>
      <c r="E4" s="297"/>
      <c r="F4" s="297"/>
      <c r="G4" s="297"/>
      <c r="H4" s="297"/>
      <c r="I4" s="297"/>
      <c r="J4" s="297"/>
      <c r="K4" s="297"/>
      <c r="L4" s="297"/>
      <c r="M4" s="297"/>
      <c r="N4" s="298"/>
    </row>
    <row r="5" spans="1:14">
      <c r="A5" s="58" t="s">
        <v>3</v>
      </c>
      <c r="B5" s="662" t="s">
        <v>4</v>
      </c>
      <c r="C5" s="58"/>
      <c r="D5" s="239"/>
      <c r="E5" s="59"/>
      <c r="F5" s="59"/>
      <c r="G5" s="59"/>
      <c r="H5" s="59"/>
      <c r="I5" s="59"/>
      <c r="J5" s="59"/>
      <c r="K5" s="59"/>
      <c r="L5" s="59"/>
      <c r="M5" s="59"/>
      <c r="N5" s="59"/>
    </row>
    <row r="6" spans="1:14">
      <c r="A6" s="58"/>
      <c r="B6"/>
      <c r="C6" s="58"/>
      <c r="D6" s="58"/>
      <c r="E6" s="59"/>
      <c r="F6" s="59"/>
      <c r="G6" s="59"/>
      <c r="H6" s="59"/>
      <c r="I6" s="59"/>
      <c r="J6" s="59"/>
      <c r="K6" s="59"/>
      <c r="L6" s="59"/>
      <c r="M6" s="59"/>
      <c r="N6" s="59"/>
    </row>
    <row r="7" spans="1:14" ht="12.6" customHeight="1">
      <c r="A7" s="52" t="s">
        <v>5</v>
      </c>
      <c r="B7" s="58"/>
      <c r="C7" s="58"/>
      <c r="D7" s="58"/>
      <c r="E7" s="59"/>
      <c r="F7" s="59"/>
      <c r="G7" s="59"/>
      <c r="H7" s="59"/>
      <c r="I7" s="59"/>
      <c r="J7" s="59"/>
      <c r="K7" s="59"/>
      <c r="L7" s="59"/>
      <c r="M7" s="59"/>
      <c r="N7" s="59"/>
    </row>
    <row r="8" spans="1:14">
      <c r="A8" s="58"/>
      <c r="B8" s="63"/>
      <c r="C8" s="58"/>
      <c r="D8" s="58"/>
      <c r="E8" s="59"/>
      <c r="F8" s="59"/>
      <c r="G8" s="59"/>
      <c r="H8" s="59"/>
      <c r="I8" s="59"/>
      <c r="J8" s="59"/>
      <c r="K8" s="59"/>
      <c r="L8" s="59"/>
      <c r="M8" s="59"/>
      <c r="N8" s="59"/>
    </row>
    <row r="9" spans="1:14" ht="105.75" customHeight="1">
      <c r="A9" s="142" t="s">
        <v>6</v>
      </c>
      <c r="B9" s="661" t="s">
        <v>7</v>
      </c>
      <c r="C9" s="58"/>
      <c r="D9" s="142" t="s">
        <v>8</v>
      </c>
      <c r="E9" s="59"/>
      <c r="F9" s="59"/>
      <c r="G9" s="59"/>
      <c r="H9" s="59"/>
      <c r="I9" s="59"/>
      <c r="J9" s="59"/>
      <c r="K9" s="59"/>
      <c r="L9" s="59"/>
      <c r="M9" s="59"/>
      <c r="N9" s="59"/>
    </row>
    <row r="10" spans="1:14">
      <c r="A10" s="58"/>
      <c r="B10" s="58"/>
      <c r="C10" s="58"/>
      <c r="D10" s="58"/>
      <c r="E10" s="59"/>
      <c r="F10" s="59"/>
      <c r="G10" s="59"/>
      <c r="H10" s="59"/>
      <c r="I10" s="59"/>
      <c r="J10" s="59"/>
      <c r="K10" s="59"/>
      <c r="L10" s="59"/>
      <c r="M10" s="59"/>
      <c r="N10" s="59"/>
    </row>
    <row r="11" spans="1:14">
      <c r="A11" s="58" t="s">
        <v>9</v>
      </c>
      <c r="B11" s="662" t="s">
        <v>10</v>
      </c>
      <c r="C11" s="58"/>
      <c r="D11" s="239" t="s">
        <v>11</v>
      </c>
      <c r="E11" s="59"/>
      <c r="F11" s="59"/>
      <c r="G11" s="59"/>
      <c r="H11" s="59"/>
      <c r="I11" s="59"/>
      <c r="J11" s="59"/>
      <c r="K11" s="59"/>
      <c r="L11" s="59"/>
      <c r="M11" s="59"/>
      <c r="N11" s="59"/>
    </row>
    <row r="12" spans="1:14">
      <c r="A12" s="58"/>
      <c r="B12" s="58"/>
      <c r="C12" s="58"/>
      <c r="D12" s="58"/>
      <c r="E12" s="59"/>
      <c r="F12" s="59"/>
      <c r="G12" s="59"/>
      <c r="H12" s="59"/>
      <c r="I12" s="59"/>
      <c r="J12" s="59"/>
      <c r="K12" s="59"/>
      <c r="L12" s="59"/>
      <c r="M12" s="59"/>
      <c r="N12" s="59"/>
    </row>
    <row r="13" spans="1:14">
      <c r="A13" s="58" t="s">
        <v>12</v>
      </c>
      <c r="B13" s="664">
        <v>46022</v>
      </c>
      <c r="C13" s="58"/>
      <c r="D13" s="239" t="s">
        <v>13</v>
      </c>
      <c r="E13" s="59"/>
      <c r="F13" s="59"/>
      <c r="G13" s="59"/>
      <c r="H13" s="59"/>
      <c r="I13" s="59"/>
      <c r="J13" s="59"/>
      <c r="K13" s="59"/>
      <c r="L13" s="59"/>
      <c r="M13" s="59"/>
      <c r="N13" s="59"/>
    </row>
    <row r="14" spans="1:14">
      <c r="A14" s="58"/>
      <c r="B14" s="58"/>
      <c r="C14" s="58"/>
      <c r="D14" s="58"/>
      <c r="E14" s="59"/>
      <c r="F14" s="59"/>
      <c r="G14" s="59"/>
      <c r="H14" s="59"/>
      <c r="I14" s="59"/>
      <c r="J14" s="59"/>
      <c r="K14" s="59"/>
      <c r="L14" s="59"/>
      <c r="M14" s="59"/>
      <c r="N14" s="59"/>
    </row>
    <row r="15" spans="1:14">
      <c r="A15" s="58" t="s">
        <v>14</v>
      </c>
      <c r="B15" s="58"/>
      <c r="C15" s="58"/>
      <c r="D15" s="58"/>
      <c r="E15" s="59"/>
      <c r="F15" s="59"/>
      <c r="G15" s="59"/>
      <c r="H15" s="59"/>
      <c r="I15" s="59"/>
      <c r="J15" s="59"/>
      <c r="K15" s="59"/>
      <c r="L15" s="59"/>
      <c r="M15" s="59"/>
      <c r="N15" s="59"/>
    </row>
    <row r="16" spans="1:14">
      <c r="A16" s="146" t="s">
        <v>15</v>
      </c>
      <c r="B16" s="663" t="s">
        <v>16</v>
      </c>
      <c r="C16" s="58"/>
      <c r="D16" s="58"/>
      <c r="E16" s="59"/>
      <c r="F16" s="59"/>
      <c r="G16" s="59"/>
      <c r="H16" s="59"/>
      <c r="I16" s="59"/>
      <c r="J16" s="59"/>
      <c r="K16" s="59"/>
      <c r="L16" s="59"/>
      <c r="M16" s="59"/>
      <c r="N16" s="59"/>
    </row>
    <row r="17" spans="1:14">
      <c r="A17" s="146" t="s">
        <v>17</v>
      </c>
      <c r="B17" s="663" t="s">
        <v>16</v>
      </c>
      <c r="C17" s="58"/>
      <c r="D17" s="58"/>
      <c r="E17" s="59"/>
      <c r="F17" s="59"/>
      <c r="G17" s="59"/>
      <c r="H17" s="59"/>
      <c r="I17" s="59"/>
      <c r="J17" s="59"/>
      <c r="K17" s="59"/>
      <c r="L17" s="59"/>
      <c r="M17" s="59"/>
      <c r="N17" s="59"/>
    </row>
    <row r="18" spans="1:14">
      <c r="A18" s="146" t="s">
        <v>18</v>
      </c>
      <c r="B18" s="663" t="s">
        <v>19</v>
      </c>
      <c r="C18" s="58"/>
      <c r="D18" s="58"/>
      <c r="E18" s="59"/>
      <c r="F18" s="59"/>
      <c r="G18" s="59"/>
      <c r="H18" s="59"/>
      <c r="I18" s="59"/>
      <c r="J18" s="59"/>
      <c r="K18" s="59"/>
      <c r="L18" s="59"/>
      <c r="M18" s="59"/>
      <c r="N18" s="59"/>
    </row>
    <row r="19" spans="1:14">
      <c r="A19" s="58"/>
      <c r="B19" s="58"/>
      <c r="C19" s="58"/>
      <c r="D19" s="58"/>
      <c r="E19" s="59"/>
      <c r="F19" s="59"/>
      <c r="G19" s="59"/>
      <c r="H19" s="59"/>
      <c r="I19" s="59"/>
      <c r="J19" s="59"/>
      <c r="K19" s="59"/>
      <c r="L19" s="59"/>
      <c r="M19" s="59"/>
      <c r="N19" s="59"/>
    </row>
    <row r="20" spans="1:14" ht="25.5" customHeight="1">
      <c r="A20" s="142" t="s">
        <v>20</v>
      </c>
      <c r="B20" s="665" t="s">
        <v>21</v>
      </c>
      <c r="C20" s="240"/>
      <c r="D20" s="142" t="s">
        <v>22</v>
      </c>
      <c r="E20" s="59"/>
      <c r="F20" s="59"/>
      <c r="G20" s="59"/>
      <c r="H20" s="59"/>
      <c r="I20" s="59"/>
      <c r="J20" s="59"/>
      <c r="K20" s="59"/>
      <c r="L20" s="59"/>
      <c r="M20" s="59"/>
      <c r="N20" s="59"/>
    </row>
    <row r="21" spans="1:14">
      <c r="A21" s="142"/>
      <c r="B21" s="142"/>
      <c r="C21" s="58"/>
      <c r="D21" s="58"/>
      <c r="E21" s="59"/>
      <c r="F21" s="59"/>
      <c r="G21" s="59"/>
      <c r="H21" s="59"/>
      <c r="I21" s="59"/>
      <c r="J21" s="59"/>
      <c r="K21" s="59"/>
      <c r="L21" s="59"/>
      <c r="M21" s="59"/>
      <c r="N21" s="59"/>
    </row>
    <row r="22" spans="1:14">
      <c r="A22" s="140" t="s">
        <v>23</v>
      </c>
      <c r="B22" s="666" t="s">
        <v>24</v>
      </c>
      <c r="C22" s="58"/>
      <c r="D22" s="142"/>
      <c r="E22" s="59"/>
      <c r="F22" s="59"/>
      <c r="G22" s="59"/>
      <c r="H22" s="59"/>
      <c r="I22" s="59"/>
      <c r="J22" s="59"/>
      <c r="K22" s="59"/>
      <c r="L22" s="59"/>
      <c r="M22" s="59"/>
      <c r="N22" s="59"/>
    </row>
    <row r="23" spans="1:14">
      <c r="A23" s="140"/>
      <c r="B23" s="140"/>
      <c r="C23" s="58"/>
      <c r="D23" s="58"/>
      <c r="E23" s="59"/>
      <c r="F23" s="59"/>
      <c r="G23" s="59"/>
      <c r="H23" s="59"/>
      <c r="I23" s="59"/>
      <c r="J23" s="59"/>
      <c r="K23" s="59"/>
      <c r="L23" s="59"/>
      <c r="M23" s="59"/>
      <c r="N23" s="59"/>
    </row>
    <row r="24" spans="1:14">
      <c r="A24" s="140" t="s">
        <v>25</v>
      </c>
      <c r="B24" s="666" t="s">
        <v>26</v>
      </c>
      <c r="C24" s="58"/>
      <c r="D24" s="58"/>
      <c r="E24" s="59"/>
      <c r="F24" s="59"/>
      <c r="G24" s="59"/>
      <c r="H24" s="59"/>
      <c r="I24" s="59"/>
      <c r="J24" s="59"/>
      <c r="K24" s="59"/>
      <c r="L24" s="59"/>
      <c r="M24" s="59"/>
      <c r="N24" s="59"/>
    </row>
    <row r="25" spans="1:14">
      <c r="A25" s="58"/>
      <c r="B25" s="58"/>
      <c r="C25" s="58"/>
      <c r="D25" s="58"/>
      <c r="E25" s="59"/>
      <c r="F25" s="59"/>
      <c r="G25" s="59"/>
      <c r="H25" s="59"/>
      <c r="I25" s="59"/>
      <c r="J25" s="59"/>
      <c r="K25" s="59"/>
      <c r="L25" s="59"/>
      <c r="M25" s="59"/>
      <c r="N25" s="59"/>
    </row>
    <row r="26" spans="1:14">
      <c r="A26" s="59"/>
      <c r="B26" s="59"/>
      <c r="C26" s="58"/>
      <c r="D26" s="58"/>
      <c r="E26" s="59"/>
      <c r="F26" s="59"/>
      <c r="G26" s="59"/>
      <c r="H26" s="59"/>
      <c r="I26" s="59"/>
      <c r="J26" s="59"/>
      <c r="K26" s="59"/>
      <c r="L26" s="59"/>
      <c r="M26" s="59"/>
      <c r="N26" s="59"/>
    </row>
    <row r="27" spans="1:14">
      <c r="A27" s="143"/>
      <c r="B27" s="59"/>
      <c r="C27" s="59"/>
      <c r="D27" s="58"/>
      <c r="E27" s="59"/>
      <c r="F27" s="59"/>
      <c r="G27" s="59"/>
      <c r="H27" s="59"/>
      <c r="I27" s="59"/>
      <c r="J27" s="59"/>
      <c r="K27" s="59"/>
      <c r="L27" s="59"/>
      <c r="M27" s="59"/>
      <c r="N27" s="59"/>
    </row>
    <row r="28" spans="1:14">
      <c r="A28" s="58" t="s">
        <v>27</v>
      </c>
      <c r="B28" s="667" t="s">
        <v>28</v>
      </c>
      <c r="C28" s="58"/>
      <c r="D28" s="58"/>
      <c r="E28" s="59"/>
      <c r="F28" s="59"/>
      <c r="G28" s="59"/>
      <c r="H28" s="59"/>
      <c r="I28" s="59"/>
      <c r="J28" s="59"/>
      <c r="K28" s="59"/>
      <c r="L28" s="59"/>
      <c r="M28" s="59"/>
      <c r="N28" s="59"/>
    </row>
    <row r="29" spans="1:14">
      <c r="A29" s="143"/>
      <c r="B29" s="58"/>
      <c r="C29" s="58"/>
      <c r="D29" s="58"/>
      <c r="E29" s="59"/>
      <c r="F29" s="59"/>
      <c r="G29" s="59"/>
      <c r="H29" s="59"/>
      <c r="I29" s="59"/>
      <c r="J29" s="59"/>
      <c r="K29" s="59"/>
      <c r="L29" s="59"/>
      <c r="M29" s="59"/>
      <c r="N29" s="59"/>
    </row>
    <row r="30" spans="1:14">
      <c r="A30" s="58" t="s">
        <v>29</v>
      </c>
      <c r="B30" s="667" t="s">
        <v>30</v>
      </c>
      <c r="C30" s="58"/>
      <c r="D30" s="58"/>
      <c r="E30" s="59"/>
      <c r="F30" s="59"/>
      <c r="G30" s="59"/>
      <c r="H30" s="59"/>
      <c r="I30" s="59"/>
      <c r="J30" s="59"/>
      <c r="K30" s="59"/>
      <c r="L30" s="59"/>
      <c r="M30" s="59"/>
      <c r="N30" s="59"/>
    </row>
    <row r="31" spans="1:14">
      <c r="A31" s="58"/>
      <c r="B31" s="58"/>
      <c r="C31" s="58"/>
      <c r="D31" s="58"/>
      <c r="E31" s="59"/>
      <c r="F31" s="59"/>
      <c r="G31" s="59"/>
      <c r="H31" s="59"/>
      <c r="I31" s="59"/>
      <c r="J31" s="59"/>
      <c r="K31" s="59"/>
      <c r="L31" s="59"/>
      <c r="M31" s="59"/>
      <c r="N31" s="59"/>
    </row>
    <row r="32" spans="1:14">
      <c r="A32" s="58"/>
      <c r="B32" s="58"/>
      <c r="C32" s="59"/>
      <c r="D32" s="59"/>
      <c r="E32" s="59"/>
      <c r="F32" s="59"/>
      <c r="G32" s="59"/>
      <c r="H32" s="59"/>
      <c r="I32" s="59"/>
      <c r="J32" s="59"/>
      <c r="K32" s="59"/>
      <c r="L32" s="59"/>
      <c r="M32" s="59"/>
      <c r="N32" s="59"/>
    </row>
    <row r="33" spans="1:6">
      <c r="A33" s="299" t="s">
        <v>31</v>
      </c>
      <c r="B33" s="300"/>
      <c r="C33" s="59"/>
      <c r="D33" s="59"/>
      <c r="E33" s="59"/>
      <c r="F33" s="59"/>
    </row>
    <row r="34" spans="1:6">
      <c r="A34" s="59"/>
      <c r="B34" s="143"/>
      <c r="C34" s="59"/>
      <c r="D34" s="59"/>
      <c r="E34" s="59"/>
      <c r="F34" s="59"/>
    </row>
    <row r="35" spans="1:6">
      <c r="A35" s="59"/>
      <c r="B35" s="143"/>
      <c r="C35" s="59"/>
      <c r="D35" s="59"/>
      <c r="E35" s="59"/>
      <c r="F35" s="59"/>
    </row>
    <row r="36" spans="1:6">
      <c r="A36" s="58"/>
      <c r="B36" s="58"/>
      <c r="C36" s="58"/>
      <c r="D36" s="59"/>
      <c r="E36" s="59"/>
      <c r="F36" s="59"/>
    </row>
    <row r="37" spans="1:6">
      <c r="A37" s="58"/>
      <c r="B37" s="58"/>
      <c r="C37" s="58"/>
      <c r="D37" s="59"/>
      <c r="E37" s="59"/>
      <c r="F37" s="59"/>
    </row>
    <row r="38" spans="1:6">
      <c r="A38" s="202" t="s">
        <v>32</v>
      </c>
      <c r="B38" s="202" t="s">
        <v>33</v>
      </c>
      <c r="C38" s="58"/>
      <c r="D38" s="59"/>
      <c r="E38" s="59"/>
      <c r="F38" s="59"/>
    </row>
    <row r="39" spans="1:6">
      <c r="A39" s="203" t="s">
        <v>34</v>
      </c>
      <c r="B39" s="209" t="str">
        <f>Inventaire!F12</f>
        <v/>
      </c>
      <c r="C39" s="58"/>
      <c r="D39" s="59"/>
      <c r="E39" s="59"/>
      <c r="F39" s="59"/>
    </row>
    <row r="40" spans="1:6">
      <c r="A40" s="203" t="s">
        <v>35</v>
      </c>
      <c r="B40" s="669" t="str">
        <f>'Calcul VL'!G6</f>
        <v>OK</v>
      </c>
      <c r="C40" s="58"/>
      <c r="D40" s="59"/>
      <c r="E40" s="59"/>
      <c r="F40" s="59"/>
    </row>
    <row r="41" spans="1:6">
      <c r="A41" s="203" t="s">
        <v>36</v>
      </c>
      <c r="B41" s="670" t="str">
        <f>IF(AND('O.D Rééval'!G38="OK",'O.D Rééval'!G80="OK",'O.D Rééval'!G107="OK"),"OK","Anomalies")</f>
        <v>OK</v>
      </c>
      <c r="C41" s="59"/>
      <c r="D41" s="59"/>
      <c r="E41" s="59"/>
      <c r="F41" s="59"/>
    </row>
    <row r="42" spans="1:6">
      <c r="A42" s="203" t="s">
        <v>37</v>
      </c>
      <c r="B42" s="204" t="str">
        <f>'Rappro Titres &amp; Parts'!C25</f>
        <v>OK</v>
      </c>
      <c r="C42" s="59"/>
      <c r="D42" s="59"/>
      <c r="E42" s="59"/>
      <c r="F42" s="59"/>
    </row>
    <row r="43" spans="1:6">
      <c r="A43" s="203"/>
      <c r="B43" s="212" t="str">
        <f>'Rappro Titres &amp; Parts'!F21</f>
        <v>OK</v>
      </c>
      <c r="C43" s="59"/>
      <c r="D43" s="59"/>
      <c r="E43" s="59"/>
      <c r="F43" s="59"/>
    </row>
    <row r="44" spans="1:6">
      <c r="A44" s="203"/>
      <c r="B44" s="212" t="str">
        <f>'Rappro Titres &amp; Parts'!I21</f>
        <v>OK</v>
      </c>
      <c r="C44" s="59"/>
      <c r="D44" s="59"/>
      <c r="E44" s="59"/>
      <c r="F44" s="59"/>
    </row>
    <row r="45" spans="1:6">
      <c r="A45" s="203" t="s">
        <v>38</v>
      </c>
      <c r="B45" s="212" t="str">
        <f>'Intérêts Obligations'!J105</f>
        <v>OK</v>
      </c>
      <c r="C45" s="59"/>
      <c r="D45" s="59"/>
      <c r="E45" s="59"/>
      <c r="F45" s="59"/>
    </row>
    <row r="46" spans="1:6">
      <c r="A46" s="203"/>
      <c r="B46" s="212" t="str">
        <f>'Intérêts Obligations'!J106</f>
        <v>OK</v>
      </c>
      <c r="C46" s="59"/>
      <c r="D46" s="59"/>
      <c r="E46" s="59"/>
      <c r="F46" s="59"/>
    </row>
    <row r="47" spans="1:6">
      <c r="A47" s="203" t="s">
        <v>39</v>
      </c>
      <c r="B47" s="204" t="str">
        <f>PVMV!M167</f>
        <v>OK</v>
      </c>
      <c r="C47" s="59"/>
      <c r="D47" s="59"/>
      <c r="E47" s="59"/>
      <c r="F47" s="59"/>
    </row>
    <row r="48" spans="1:6">
      <c r="A48" s="205" t="s">
        <v>40</v>
      </c>
      <c r="B48" s="204" t="str">
        <f>PVMV!O165</f>
        <v>OK</v>
      </c>
      <c r="C48" s="59"/>
      <c r="D48" s="59"/>
      <c r="E48" s="59"/>
      <c r="F48" s="301"/>
    </row>
    <row r="49" spans="1:6">
      <c r="A49" s="205" t="s">
        <v>41</v>
      </c>
      <c r="B49" s="204" t="str">
        <f>PVMV!P165</f>
        <v>OK</v>
      </c>
      <c r="C49" s="59"/>
      <c r="D49" s="59"/>
      <c r="E49" s="59"/>
      <c r="F49" s="301"/>
    </row>
    <row r="50" spans="1:6">
      <c r="A50" s="203"/>
      <c r="B50" s="204" t="str">
        <f>PVMV!S163</f>
        <v>OK</v>
      </c>
      <c r="C50" s="59"/>
      <c r="D50" s="59"/>
      <c r="E50" s="59"/>
      <c r="F50" s="301"/>
    </row>
    <row r="51" spans="1:6">
      <c r="A51" s="203"/>
      <c r="B51" s="204" t="str">
        <f>PVMV!O173</f>
        <v>OK</v>
      </c>
      <c r="C51" s="59"/>
      <c r="D51" s="59"/>
      <c r="E51" s="59"/>
      <c r="F51" s="301"/>
    </row>
    <row r="52" spans="1:6" ht="12" customHeight="1">
      <c r="A52" s="203" t="s">
        <v>42</v>
      </c>
      <c r="B52" s="204" t="str">
        <f>'Liste porteurs selon versement '!F25</f>
        <v>OK</v>
      </c>
      <c r="C52" s="59"/>
      <c r="D52" s="59"/>
      <c r="E52" s="59"/>
      <c r="F52" s="301"/>
    </row>
    <row r="53" spans="1:6">
      <c r="A53" s="203"/>
      <c r="B53" s="206" t="str">
        <f>'Liste porteurs selon versement '!E18</f>
        <v>OK</v>
      </c>
      <c r="C53" s="59"/>
      <c r="D53" s="59"/>
      <c r="E53" s="59"/>
      <c r="F53" s="301"/>
    </row>
    <row r="54" spans="1:6">
      <c r="A54" s="203" t="s">
        <v>20</v>
      </c>
      <c r="B54" s="204" t="str">
        <f>'Frais de gestion'!J126</f>
        <v>OK</v>
      </c>
      <c r="C54" s="59"/>
      <c r="D54" s="59"/>
      <c r="E54" s="59"/>
      <c r="F54" s="301"/>
    </row>
    <row r="55" spans="1:6">
      <c r="A55" s="203" t="s">
        <v>43</v>
      </c>
      <c r="B55" s="204" t="str">
        <f>Résultat!H194</f>
        <v>OK</v>
      </c>
      <c r="C55" s="59"/>
      <c r="D55" s="59"/>
      <c r="E55" s="59"/>
      <c r="F55" s="301"/>
    </row>
    <row r="56" spans="1:6">
      <c r="A56" s="205" t="s">
        <v>44</v>
      </c>
      <c r="B56" s="211" t="str">
        <f>Résultat!I194</f>
        <v>OK</v>
      </c>
      <c r="C56" s="59"/>
      <c r="D56" s="59"/>
      <c r="E56" s="59"/>
      <c r="F56" s="301"/>
    </row>
    <row r="57" spans="1:6">
      <c r="A57" s="203" t="s">
        <v>45</v>
      </c>
      <c r="B57" s="212" t="str">
        <f>Bilan!I101</f>
        <v>OK</v>
      </c>
      <c r="C57" s="59"/>
      <c r="D57" s="59"/>
      <c r="E57" s="59"/>
      <c r="F57" s="59"/>
    </row>
    <row r="58" spans="1:6">
      <c r="A58" s="205" t="s">
        <v>44</v>
      </c>
      <c r="B58" s="212" t="str">
        <f>Bilan!J101</f>
        <v>OK</v>
      </c>
      <c r="C58" s="59"/>
      <c r="D58" s="59"/>
      <c r="E58" s="59"/>
      <c r="F58" s="59"/>
    </row>
    <row r="59" spans="1:6">
      <c r="A59" s="203" t="s">
        <v>46</v>
      </c>
      <c r="B59" s="204" t="str">
        <f>IF(B39="",'Capitaux propres'!D37,"")</f>
        <v>OK</v>
      </c>
      <c r="C59" s="59"/>
      <c r="D59" s="59"/>
      <c r="E59" s="59"/>
      <c r="F59" s="59"/>
    </row>
    <row r="60" spans="1:6">
      <c r="A60" s="205" t="s">
        <v>44</v>
      </c>
      <c r="B60" s="204" t="str">
        <f>'Capitaux propres'!E37</f>
        <v>OK</v>
      </c>
      <c r="C60" s="59"/>
      <c r="D60" s="59"/>
      <c r="E60" s="59"/>
      <c r="F60" s="59"/>
    </row>
    <row r="61" spans="1:6">
      <c r="A61" s="203" t="s">
        <v>47</v>
      </c>
      <c r="B61" s="204" t="str">
        <f>IF(B39="","",'Capitaux propres'!D40)</f>
        <v/>
      </c>
      <c r="C61" s="59"/>
      <c r="D61" s="59"/>
      <c r="E61" s="59"/>
      <c r="F61" s="59"/>
    </row>
    <row r="62" spans="1:6">
      <c r="A62" s="203" t="s">
        <v>48</v>
      </c>
      <c r="B62" s="204" t="str">
        <f>'Rappro Banque'!C23</f>
        <v>OK</v>
      </c>
      <c r="C62" s="59"/>
      <c r="D62" s="59"/>
      <c r="E62" s="59"/>
      <c r="F62" s="59"/>
    </row>
    <row r="63" spans="1:6">
      <c r="A63" s="203" t="s">
        <v>49</v>
      </c>
      <c r="B63" s="204" t="str">
        <f>IF(B39="",'Rappro Balance'!H16,"")</f>
        <v>OK</v>
      </c>
      <c r="C63" s="59"/>
      <c r="D63" s="59"/>
      <c r="E63" s="59"/>
      <c r="F63" s="59"/>
    </row>
    <row r="64" spans="1:6">
      <c r="A64" s="203" t="s">
        <v>50</v>
      </c>
      <c r="B64" s="207" t="str">
        <f>IF(B39="",'Rappro Balance'!H30,"")</f>
        <v>OK</v>
      </c>
      <c r="C64" s="59"/>
      <c r="D64" s="59"/>
      <c r="E64" s="59"/>
      <c r="F64" s="59"/>
    </row>
    <row r="65" spans="1:6">
      <c r="A65" s="203" t="s">
        <v>51</v>
      </c>
      <c r="B65" s="207" t="str">
        <f>IF(B39="","",'Rappro Balance'!K22)</f>
        <v/>
      </c>
      <c r="C65" s="59"/>
      <c r="D65" s="59"/>
      <c r="E65" s="59"/>
      <c r="F65" s="59"/>
    </row>
    <row r="66" spans="1:6" ht="13.5" customHeight="1">
      <c r="A66" s="203" t="s">
        <v>52</v>
      </c>
      <c r="B66" s="207" t="str">
        <f>'Rappro Balance'!E33</f>
        <v>OK</v>
      </c>
      <c r="C66" s="59"/>
      <c r="D66" s="59"/>
      <c r="E66" s="59"/>
      <c r="F66" s="59"/>
    </row>
    <row r="67" spans="1:6">
      <c r="A67" s="203" t="s">
        <v>52</v>
      </c>
      <c r="B67" s="208" t="str">
        <f>'Rappro Balance'!G33</f>
        <v>OK</v>
      </c>
      <c r="C67" s="59"/>
      <c r="D67" s="59"/>
      <c r="E67" s="59"/>
      <c r="F67" s="59"/>
    </row>
    <row r="69" spans="1:6">
      <c r="A69" s="506" t="s">
        <v>53</v>
      </c>
      <c r="B69" s="59"/>
      <c r="C69" s="59"/>
      <c r="D69" s="59"/>
      <c r="E69" s="59"/>
      <c r="F69" s="59"/>
    </row>
    <row r="70" spans="1:6">
      <c r="A70" s="277" t="s">
        <v>54</v>
      </c>
      <c r="B70" s="507" t="str">
        <f>IF(Inventaire!F82="OK","VRAI","FAUX")</f>
        <v>VRAI</v>
      </c>
      <c r="C70" s="59"/>
      <c r="D70" s="59"/>
      <c r="E70" s="59"/>
      <c r="F70" s="59"/>
    </row>
  </sheetData>
  <phoneticPr fontId="18" type="noConversion"/>
  <pageMargins left="0.78740157480314965" right="0.78740157480314965" top="1.3779527559055118" bottom="0.98425196850393704" header="0.51181102362204722" footer="0.51181102362204722"/>
  <pageSetup paperSize="9" scale="66" orientation="portrait" r:id="rId1"/>
  <headerFooter alignWithMargins="0">
    <oddHeader>&amp;R&amp;8&amp;F</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3">
    <pageSetUpPr fitToPage="1"/>
  </sheetPr>
  <dimension ref="A1:BN84"/>
  <sheetViews>
    <sheetView view="pageBreakPreview" topLeftCell="A11" zoomScaleNormal="80" zoomScaleSheetLayoutView="100" workbookViewId="0">
      <selection activeCell="A5" sqref="A5"/>
    </sheetView>
  </sheetViews>
  <sheetFormatPr defaultColWidth="11.42578125" defaultRowHeight="12.75"/>
  <cols>
    <col min="1" max="1" width="2.5703125" style="368" customWidth="1"/>
    <col min="2" max="2" width="20.140625" style="343" customWidth="1"/>
    <col min="3" max="3" width="41.5703125" style="343" customWidth="1"/>
    <col min="4" max="4" width="21.42578125" style="343" customWidth="1"/>
    <col min="5" max="5" width="17.140625" style="343" customWidth="1"/>
    <col min="6" max="6" width="16" style="343" customWidth="1"/>
    <col min="7" max="7" width="16.85546875" style="343" bestFit="1" customWidth="1"/>
    <col min="8" max="8" width="16.7109375" style="343" bestFit="1" customWidth="1"/>
    <col min="9" max="9" width="18.140625" style="343" customWidth="1"/>
    <col min="10" max="11" width="16.7109375" style="343" bestFit="1" customWidth="1"/>
    <col min="12" max="12" width="16" style="343" customWidth="1"/>
    <col min="13" max="13" width="15.85546875" style="343" customWidth="1"/>
    <col min="14" max="14" width="17" style="177" customWidth="1"/>
    <col min="15" max="15" width="11.85546875" style="343" customWidth="1"/>
    <col min="16" max="16" width="1.85546875" style="343" customWidth="1"/>
    <col min="17" max="17" width="24.140625" style="343" customWidth="1"/>
    <col min="18" max="18" width="19.85546875" style="343" customWidth="1"/>
    <col min="19" max="19" width="14.42578125" style="343" customWidth="1"/>
    <col min="20" max="20" width="13.7109375" style="343" customWidth="1"/>
    <col min="21" max="22" width="10.5703125" style="343" customWidth="1"/>
    <col min="23" max="23" width="25.42578125" style="343" customWidth="1"/>
    <col min="24" max="24" width="16.5703125" style="343" customWidth="1"/>
    <col min="25" max="25" width="16.5703125" style="369" bestFit="1" customWidth="1"/>
    <col min="26" max="26" width="16.5703125" style="343" bestFit="1" customWidth="1"/>
    <col min="27" max="27" width="21.42578125" style="343" customWidth="1"/>
    <col min="28" max="28" width="18.42578125" style="343" customWidth="1"/>
    <col min="29" max="30" width="16.5703125" style="343" customWidth="1"/>
    <col min="31" max="31" width="0.140625" style="142" customWidth="1"/>
    <col min="32" max="32" width="15.5703125" style="142" customWidth="1"/>
    <col min="33" max="33" width="9.85546875" style="142" bestFit="1" customWidth="1"/>
    <col min="34" max="34" width="66.7109375" style="142" bestFit="1" customWidth="1"/>
    <col min="35" max="35" width="30" style="142" bestFit="1" customWidth="1"/>
    <col min="36" max="36" width="32.42578125" style="142" bestFit="1" customWidth="1"/>
    <col min="37" max="37" width="22.5703125" style="142" customWidth="1"/>
    <col min="38" max="38" width="16.5703125" style="142" bestFit="1" customWidth="1"/>
    <col min="39" max="40" width="11.42578125" style="142"/>
    <col min="41" max="41" width="18.42578125" style="142" bestFit="1" customWidth="1"/>
    <col min="42" max="42" width="89.42578125" style="142" bestFit="1" customWidth="1"/>
    <col min="43" max="43" width="46.42578125" style="142" bestFit="1" customWidth="1"/>
    <col min="44" max="44" width="16" style="142" bestFit="1" customWidth="1"/>
    <col min="45" max="65" width="11.42578125" style="142"/>
    <col min="66" max="16384" width="11.42578125" style="343"/>
  </cols>
  <sheetData>
    <row r="1" spans="1:66" s="173" customFormat="1" ht="34.5" customHeight="1">
      <c r="A1" s="128"/>
      <c r="B1" s="1155" t="str">
        <f>Sommaire!A1</f>
        <v>BOLZEN - SLP</v>
      </c>
      <c r="C1" s="1155"/>
      <c r="D1" s="129"/>
      <c r="E1" s="129"/>
      <c r="F1" s="129"/>
      <c r="G1" s="302" t="s">
        <v>55</v>
      </c>
      <c r="H1" s="711">
        <f>Sommaire!C1</f>
        <v>46022</v>
      </c>
      <c r="I1" s="129"/>
      <c r="J1" s="129"/>
      <c r="K1" s="303"/>
      <c r="L1" s="303"/>
      <c r="M1" s="129"/>
      <c r="N1" s="128"/>
      <c r="O1" s="129"/>
      <c r="P1" s="129"/>
      <c r="Q1" s="129"/>
      <c r="R1" s="129"/>
      <c r="S1" s="129"/>
      <c r="T1" s="129"/>
      <c r="U1" s="129"/>
      <c r="V1" s="129"/>
      <c r="W1" s="129"/>
      <c r="X1" s="129"/>
      <c r="Y1" s="130"/>
      <c r="Z1" s="129"/>
      <c r="AA1" s="129"/>
      <c r="AB1" s="129"/>
      <c r="AC1" s="129"/>
      <c r="AD1" s="129"/>
      <c r="AE1" s="129"/>
      <c r="AF1" s="129"/>
      <c r="AG1" s="129"/>
      <c r="AH1" s="129"/>
      <c r="AI1" s="129"/>
      <c r="AJ1" s="129"/>
      <c r="AK1" s="129"/>
      <c r="AL1" s="129"/>
      <c r="AM1" s="129"/>
      <c r="AN1" s="265"/>
      <c r="AO1" s="265"/>
      <c r="AP1" s="340"/>
      <c r="AQ1" s="340"/>
      <c r="AR1" s="341"/>
      <c r="AS1" s="129"/>
      <c r="AT1" s="129"/>
      <c r="AU1" s="129"/>
      <c r="AV1" s="129"/>
      <c r="AW1" s="129"/>
      <c r="AX1" s="129"/>
      <c r="AY1" s="129"/>
      <c r="AZ1" s="129"/>
      <c r="BA1" s="129"/>
      <c r="BB1" s="129"/>
      <c r="BC1" s="129"/>
      <c r="BD1" s="129"/>
      <c r="BE1" s="129"/>
      <c r="BF1" s="129"/>
      <c r="BG1" s="129"/>
      <c r="BH1" s="129"/>
      <c r="BI1" s="129"/>
      <c r="BJ1" s="129"/>
      <c r="BK1" s="129"/>
      <c r="BL1" s="129"/>
      <c r="BM1" s="129"/>
      <c r="BN1" s="129"/>
    </row>
    <row r="2" spans="1:66" s="174" customFormat="1" ht="12" customHeight="1">
      <c r="A2" s="127"/>
      <c r="B2" s="56" t="s">
        <v>56</v>
      </c>
      <c r="C2" s="153" t="str">
        <f>'Calcul VL'!A8</f>
        <v>FR001400XME8</v>
      </c>
      <c r="D2" s="117"/>
      <c r="E2" s="33"/>
      <c r="F2" s="34"/>
      <c r="G2" s="106"/>
      <c r="H2" s="33"/>
      <c r="I2" s="33"/>
      <c r="J2" s="33"/>
      <c r="K2" s="33"/>
      <c r="L2" s="303"/>
      <c r="M2" s="129"/>
      <c r="N2" s="34"/>
      <c r="O2" s="33"/>
      <c r="P2" s="33"/>
      <c r="Q2" s="33"/>
      <c r="R2" s="33"/>
      <c r="S2" s="33"/>
      <c r="T2" s="33"/>
      <c r="U2" s="33"/>
      <c r="V2" s="33"/>
      <c r="W2" s="33"/>
      <c r="X2" s="33"/>
      <c r="Y2" s="117"/>
      <c r="Z2" s="33"/>
      <c r="AA2" s="33"/>
      <c r="AB2" s="33"/>
      <c r="AC2" s="33"/>
      <c r="AD2" s="33"/>
      <c r="AE2" s="33"/>
      <c r="AF2" s="33"/>
      <c r="AG2" s="33"/>
      <c r="AH2" s="33"/>
      <c r="AI2" s="33"/>
      <c r="AJ2" s="33"/>
      <c r="AK2" s="33"/>
      <c r="AL2" s="33"/>
      <c r="AM2" s="33"/>
      <c r="AN2" s="265"/>
      <c r="AO2" s="266"/>
      <c r="AP2" s="340"/>
      <c r="AQ2" s="340"/>
      <c r="AR2" s="341"/>
      <c r="AS2" s="33"/>
      <c r="AT2" s="33"/>
      <c r="AU2" s="33"/>
      <c r="AV2" s="33"/>
      <c r="AW2" s="33"/>
      <c r="AX2" s="33"/>
      <c r="AY2" s="33"/>
      <c r="AZ2" s="33"/>
      <c r="BA2" s="33"/>
      <c r="BB2" s="33"/>
      <c r="BC2" s="33"/>
      <c r="BD2" s="33"/>
      <c r="BE2" s="33"/>
      <c r="BF2" s="33"/>
      <c r="BG2" s="33"/>
      <c r="BH2" s="33"/>
      <c r="BI2" s="33"/>
      <c r="BJ2" s="33"/>
      <c r="BK2" s="33"/>
      <c r="BL2" s="33"/>
      <c r="BM2" s="33"/>
      <c r="BN2" s="33"/>
    </row>
    <row r="3" spans="1:66" s="174" customFormat="1" ht="12" customHeight="1">
      <c r="A3" s="127"/>
      <c r="B3" s="56" t="s">
        <v>57</v>
      </c>
      <c r="C3" s="153" t="str">
        <f>'Calcul VL'!A9</f>
        <v>FR001400XMF5</v>
      </c>
      <c r="D3" s="117"/>
      <c r="E3" s="33"/>
      <c r="F3" s="34"/>
      <c r="G3" s="106"/>
      <c r="H3" s="33"/>
      <c r="I3" s="33"/>
      <c r="J3" s="33"/>
      <c r="K3" s="33"/>
      <c r="L3" s="303"/>
      <c r="M3" s="129"/>
      <c r="N3" s="34"/>
      <c r="O3" s="33"/>
      <c r="P3" s="33"/>
      <c r="Q3" s="33"/>
      <c r="R3" s="33"/>
      <c r="S3" s="33"/>
      <c r="T3" s="33"/>
      <c r="U3" s="33"/>
      <c r="V3" s="33"/>
      <c r="W3" s="33"/>
      <c r="X3" s="33"/>
      <c r="Y3" s="117"/>
      <c r="Z3" s="33"/>
      <c r="AA3" s="33"/>
      <c r="AB3" s="33"/>
      <c r="AC3" s="33"/>
      <c r="AD3" s="33"/>
      <c r="AE3" s="33"/>
      <c r="AF3" s="33"/>
      <c r="AG3" s="33"/>
      <c r="AH3" s="33"/>
      <c r="AI3" s="33"/>
      <c r="AJ3" s="33"/>
      <c r="AK3" s="33"/>
      <c r="AL3" s="33"/>
      <c r="AM3" s="33"/>
      <c r="AN3" s="265"/>
      <c r="AO3" s="276"/>
      <c r="AP3" s="276"/>
      <c r="AQ3" s="276"/>
      <c r="AR3" s="341"/>
      <c r="AS3" s="33"/>
      <c r="AT3" s="33"/>
      <c r="AU3" s="33"/>
      <c r="AV3" s="33"/>
      <c r="AW3" s="33"/>
      <c r="AX3" s="33"/>
      <c r="AY3" s="33"/>
      <c r="AZ3" s="33"/>
      <c r="BA3" s="33"/>
      <c r="BB3" s="33"/>
      <c r="BC3" s="33"/>
      <c r="BD3" s="33"/>
      <c r="BE3" s="33"/>
      <c r="BF3" s="33"/>
      <c r="BG3" s="33"/>
      <c r="BH3" s="33"/>
      <c r="BI3" s="33"/>
      <c r="BJ3" s="33"/>
      <c r="BK3" s="33"/>
      <c r="BL3" s="33"/>
      <c r="BM3" s="33"/>
      <c r="BN3" s="33"/>
    </row>
    <row r="4" spans="1:66" s="174" customFormat="1" ht="12" customHeight="1">
      <c r="A4" s="127"/>
      <c r="B4" s="56" t="s">
        <v>58</v>
      </c>
      <c r="C4" s="153" t="str">
        <f>'Calcul VL'!A10</f>
        <v>FR001400XMG3</v>
      </c>
      <c r="D4" s="117"/>
      <c r="E4" s="33"/>
      <c r="F4" s="34"/>
      <c r="G4" s="106"/>
      <c r="H4" s="33"/>
      <c r="I4" s="33"/>
      <c r="J4" s="33"/>
      <c r="K4" s="33"/>
      <c r="L4" s="303"/>
      <c r="M4" s="129"/>
      <c r="N4" s="34"/>
      <c r="O4" s="33"/>
      <c r="P4" s="33"/>
      <c r="Q4" s="33"/>
      <c r="R4" s="33"/>
      <c r="S4" s="33"/>
      <c r="T4" s="33"/>
      <c r="U4" s="33"/>
      <c r="V4" s="33"/>
      <c r="W4" s="33"/>
      <c r="X4" s="33"/>
      <c r="Y4" s="117"/>
      <c r="Z4" s="33"/>
      <c r="AA4" s="33"/>
      <c r="AB4" s="33"/>
      <c r="AC4" s="33"/>
      <c r="AD4" s="33"/>
      <c r="AE4" s="33"/>
      <c r="AF4" s="33"/>
      <c r="AG4" s="33"/>
      <c r="AH4" s="33"/>
      <c r="AI4" s="33"/>
      <c r="AJ4" s="33"/>
      <c r="AK4" s="33"/>
      <c r="AL4" s="33"/>
      <c r="AM4" s="33"/>
      <c r="AN4" s="265"/>
      <c r="AO4" s="276"/>
      <c r="AP4" s="142"/>
      <c r="AQ4" s="142"/>
      <c r="AR4" s="341"/>
      <c r="AS4" s="33"/>
      <c r="AT4" s="33"/>
      <c r="AU4" s="33"/>
      <c r="AV4" s="33"/>
      <c r="AW4" s="33"/>
      <c r="AX4" s="33"/>
      <c r="AY4" s="33"/>
      <c r="AZ4" s="33"/>
      <c r="BA4" s="33"/>
      <c r="BB4" s="33"/>
      <c r="BC4" s="33"/>
      <c r="BD4" s="33"/>
      <c r="BE4" s="33"/>
      <c r="BF4" s="33"/>
      <c r="BG4" s="33"/>
      <c r="BH4" s="33"/>
      <c r="BI4" s="33"/>
      <c r="BJ4" s="33"/>
      <c r="BK4" s="33"/>
      <c r="BL4" s="33"/>
      <c r="BM4" s="33"/>
      <c r="BN4" s="33"/>
    </row>
    <row r="5" spans="1:66" s="174" customFormat="1" ht="12" customHeight="1">
      <c r="A5" s="127"/>
      <c r="B5" s="56"/>
      <c r="C5" s="153"/>
      <c r="D5" s="117"/>
      <c r="E5" s="33"/>
      <c r="F5" s="304"/>
      <c r="G5" s="304"/>
      <c r="H5" s="304"/>
      <c r="I5" s="304"/>
      <c r="J5" s="33"/>
      <c r="K5" s="33"/>
      <c r="L5" s="303"/>
      <c r="M5" s="129"/>
      <c r="N5" s="34"/>
      <c r="O5" s="33"/>
      <c r="P5" s="33"/>
      <c r="Q5" s="33"/>
      <c r="R5" s="33"/>
      <c r="S5" s="33"/>
      <c r="T5" s="33"/>
      <c r="U5" s="33"/>
      <c r="V5" s="33"/>
      <c r="W5" s="33"/>
      <c r="X5" s="33"/>
      <c r="Y5" s="117"/>
      <c r="Z5" s="33"/>
      <c r="AA5" s="33"/>
      <c r="AB5" s="33"/>
      <c r="AC5" s="33"/>
      <c r="AD5" s="33"/>
      <c r="AE5" s="33"/>
      <c r="AF5" s="33"/>
      <c r="AG5" s="33"/>
      <c r="AH5" s="33"/>
      <c r="AI5" s="33"/>
      <c r="AJ5" s="33"/>
      <c r="AK5" s="33"/>
      <c r="AL5" s="33"/>
      <c r="AM5" s="33"/>
      <c r="AN5" s="265"/>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row>
    <row r="6" spans="1:66" s="342" customFormat="1" ht="12" customHeight="1">
      <c r="A6" s="67"/>
      <c r="B6" s="744"/>
      <c r="C6" s="745"/>
      <c r="D6" s="744"/>
      <c r="E6" s="744"/>
      <c r="F6" s="744"/>
      <c r="G6" s="56"/>
      <c r="H6" s="56"/>
      <c r="I6" s="56"/>
      <c r="J6" s="56"/>
      <c r="K6" s="56"/>
      <c r="L6" s="129"/>
      <c r="M6" s="509"/>
      <c r="N6" s="67"/>
      <c r="O6" s="56"/>
      <c r="P6" s="56"/>
      <c r="Q6" s="56"/>
      <c r="R6" s="56"/>
      <c r="S6" s="56"/>
      <c r="T6" s="56"/>
      <c r="U6" s="56"/>
      <c r="V6" s="56"/>
      <c r="W6" s="56"/>
      <c r="X6" s="56"/>
      <c r="Y6" s="166"/>
      <c r="Z6" s="56"/>
      <c r="AA6" s="56"/>
      <c r="AB6" s="56"/>
      <c r="AC6" s="56"/>
      <c r="AD6" s="56"/>
      <c r="AE6" s="56"/>
      <c r="AF6" s="56"/>
      <c r="AG6" s="56"/>
      <c r="AH6" s="56"/>
      <c r="AI6" s="56"/>
      <c r="AJ6" s="56"/>
      <c r="AK6" s="56"/>
      <c r="AL6" s="56"/>
      <c r="AM6" s="56"/>
      <c r="AN6" s="265"/>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row>
    <row r="7" spans="1:66" s="175" customFormat="1" ht="30">
      <c r="A7" s="20"/>
      <c r="B7" s="899" t="s">
        <v>59</v>
      </c>
      <c r="C7" s="95">
        <f>ROUNDDOWN(D74,2)</f>
        <v>90063590.790000007</v>
      </c>
      <c r="D7" s="1196" t="s">
        <v>60</v>
      </c>
      <c r="E7" s="1197" t="s">
        <v>61</v>
      </c>
      <c r="F7" s="1198" t="s">
        <v>62</v>
      </c>
      <c r="G7" s="1198" t="s">
        <v>63</v>
      </c>
      <c r="H7" s="1198" t="s">
        <v>64</v>
      </c>
      <c r="I7" s="305"/>
      <c r="J7" s="18"/>
      <c r="K7" s="510"/>
      <c r="L7" s="94"/>
      <c r="M7" s="94"/>
      <c r="N7" s="94"/>
      <c r="O7" s="94"/>
      <c r="P7" s="94"/>
      <c r="Q7" s="94"/>
      <c r="R7" s="94"/>
      <c r="S7" s="94"/>
      <c r="T7" s="94"/>
      <c r="U7" s="120"/>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row>
    <row r="8" spans="1:66" ht="15.75">
      <c r="A8" s="67"/>
      <c r="B8" s="900" t="s">
        <v>65</v>
      </c>
      <c r="C8" s="311">
        <f>+D74</f>
        <v>90063590.790000007</v>
      </c>
      <c r="D8" s="901" t="s">
        <v>66</v>
      </c>
      <c r="E8" s="339">
        <f>SUM(F8:H8)</f>
        <v>943269.7</v>
      </c>
      <c r="F8" s="731">
        <f>'Calcul VL'!C8</f>
        <v>943268.7</v>
      </c>
      <c r="G8" s="731">
        <f>'Calcul VL'!C9</f>
        <v>0</v>
      </c>
      <c r="H8" s="731">
        <f>'Calcul VL'!C10</f>
        <v>1</v>
      </c>
      <c r="I8" s="305"/>
      <c r="J8" s="137"/>
      <c r="K8" s="285"/>
      <c r="L8" s="142"/>
      <c r="M8" s="142"/>
      <c r="N8" s="142"/>
      <c r="O8" s="142"/>
      <c r="P8" s="142"/>
      <c r="Q8" s="142"/>
      <c r="R8" s="142"/>
      <c r="S8" s="142"/>
      <c r="T8" s="142"/>
      <c r="U8" s="285"/>
      <c r="V8" s="142"/>
      <c r="W8" s="142"/>
      <c r="X8" s="142"/>
      <c r="Y8" s="142"/>
      <c r="Z8" s="142"/>
      <c r="AA8" s="142"/>
      <c r="AB8" s="142"/>
      <c r="AC8" s="142"/>
      <c r="AD8" s="142"/>
      <c r="BN8" s="142"/>
    </row>
    <row r="9" spans="1:66" ht="15.75">
      <c r="A9" s="67"/>
      <c r="B9" s="902"/>
      <c r="C9" s="746"/>
      <c r="D9" s="747" t="s">
        <v>67</v>
      </c>
      <c r="E9" s="748"/>
      <c r="F9" s="849">
        <f>'Calcul VL'!F8</f>
        <v>95.480210999999997</v>
      </c>
      <c r="G9" s="749">
        <f>'Calcul VL'!F9</f>
        <v>0</v>
      </c>
      <c r="H9" s="849">
        <f>'Calcul VL'!F10</f>
        <v>95.480210999999997</v>
      </c>
      <c r="I9" s="129"/>
      <c r="J9" s="344"/>
      <c r="K9" s="142"/>
      <c r="L9" s="142"/>
      <c r="M9" s="142"/>
      <c r="N9" s="142"/>
      <c r="O9" s="142"/>
      <c r="P9" s="142"/>
      <c r="Q9" s="142"/>
      <c r="R9" s="142"/>
      <c r="S9" s="142"/>
      <c r="T9" s="142"/>
      <c r="U9" s="285"/>
      <c r="V9" s="142"/>
      <c r="W9" s="142"/>
      <c r="X9" s="142"/>
      <c r="Y9" s="142"/>
      <c r="Z9" s="142"/>
      <c r="AA9" s="142"/>
      <c r="AB9" s="142"/>
      <c r="AC9" s="142"/>
      <c r="AD9" s="142"/>
      <c r="BN9" s="142"/>
    </row>
    <row r="10" spans="1:66">
      <c r="A10" s="67"/>
      <c r="B10" s="142"/>
      <c r="C10" s="142"/>
      <c r="D10" s="142"/>
      <c r="E10" s="142"/>
      <c r="F10" s="142"/>
      <c r="G10" s="142"/>
      <c r="H10" s="142"/>
      <c r="I10" s="142"/>
      <c r="J10" s="142"/>
      <c r="K10" s="142"/>
      <c r="L10" s="142"/>
      <c r="M10" s="142"/>
      <c r="N10" s="137"/>
      <c r="O10" s="142"/>
      <c r="P10" s="142"/>
      <c r="Q10" s="142"/>
      <c r="R10" s="142"/>
      <c r="S10" s="142"/>
      <c r="T10" s="142"/>
      <c r="U10" s="142"/>
      <c r="V10" s="142"/>
      <c r="W10" s="142"/>
      <c r="X10" s="142"/>
      <c r="Y10" s="285"/>
      <c r="Z10" s="142"/>
      <c r="AA10" s="142"/>
      <c r="AB10" s="142"/>
      <c r="AC10" s="142"/>
      <c r="AD10" s="142"/>
      <c r="BN10" s="142"/>
    </row>
    <row r="11" spans="1:66" s="176" customFormat="1" ht="63.75">
      <c r="A11" s="132" t="s">
        <v>68</v>
      </c>
      <c r="B11" s="1199" t="s">
        <v>69</v>
      </c>
      <c r="C11" s="1199" t="s">
        <v>70</v>
      </c>
      <c r="D11" s="1199" t="s">
        <v>71</v>
      </c>
      <c r="E11" s="1199" t="s">
        <v>72</v>
      </c>
      <c r="F11" s="1200" t="s">
        <v>73</v>
      </c>
      <c r="G11" s="1199" t="s">
        <v>74</v>
      </c>
      <c r="H11" s="1199" t="s">
        <v>75</v>
      </c>
      <c r="I11" s="1199" t="s">
        <v>76</v>
      </c>
      <c r="J11" s="1199" t="s">
        <v>77</v>
      </c>
      <c r="K11" s="1199" t="s">
        <v>78</v>
      </c>
      <c r="L11" s="1201" t="s">
        <v>79</v>
      </c>
      <c r="M11" s="1199" t="s">
        <v>80</v>
      </c>
      <c r="N11" s="1199" t="s">
        <v>81</v>
      </c>
      <c r="O11" s="1199" t="s">
        <v>82</v>
      </c>
      <c r="P11" s="4"/>
      <c r="Q11" s="4" t="s">
        <v>83</v>
      </c>
      <c r="R11" s="4" t="s">
        <v>84</v>
      </c>
      <c r="S11" s="4" t="s">
        <v>85</v>
      </c>
      <c r="T11" s="4" t="s">
        <v>86</v>
      </c>
      <c r="U11" s="4"/>
      <c r="V11" s="4"/>
      <c r="W11" s="169"/>
      <c r="X11" s="142"/>
      <c r="Y11" s="285"/>
      <c r="Z11" s="285"/>
      <c r="AA11" s="142"/>
      <c r="AB11" s="142"/>
      <c r="AC11" s="142"/>
      <c r="AD11" s="142"/>
      <c r="AE11" s="142"/>
      <c r="AF11" s="267"/>
      <c r="AG11" s="267"/>
      <c r="AH11" s="267"/>
      <c r="AI11" s="268"/>
      <c r="AJ11" s="268"/>
      <c r="AK11" s="268"/>
      <c r="AL11" s="269"/>
      <c r="AM11" s="269"/>
      <c r="AN11" s="169"/>
      <c r="AO11" s="169"/>
      <c r="AP11" s="169"/>
      <c r="AQ11" s="169"/>
      <c r="AR11" s="169"/>
      <c r="AS11" s="169"/>
      <c r="AT11" s="169"/>
      <c r="AU11" s="169"/>
      <c r="AV11" s="169"/>
      <c r="AW11" s="169"/>
      <c r="AX11" s="169"/>
      <c r="AY11" s="169"/>
      <c r="AZ11" s="169"/>
      <c r="BA11" s="169"/>
      <c r="BB11" s="169"/>
      <c r="BC11" s="169"/>
      <c r="BD11" s="169"/>
      <c r="BE11" s="169"/>
      <c r="BF11" s="169"/>
      <c r="BG11" s="169"/>
      <c r="BH11" s="169"/>
      <c r="BI11" s="169"/>
      <c r="BJ11" s="169"/>
      <c r="BK11" s="169"/>
      <c r="BL11" s="169"/>
      <c r="BM11" s="169"/>
      <c r="BN11" s="169"/>
    </row>
    <row r="12" spans="1:66" s="176" customFormat="1" ht="15">
      <c r="A12" s="54"/>
      <c r="B12" s="1202" t="s">
        <v>87</v>
      </c>
      <c r="C12" s="1203"/>
      <c r="D12" s="345"/>
      <c r="E12" s="306"/>
      <c r="F12" s="210" t="str">
        <f>IF('Rappro Balance'!G22=0,"","Anomalie de valorisation")</f>
        <v/>
      </c>
      <c r="G12" s="307"/>
      <c r="H12" s="307"/>
      <c r="I12" s="306"/>
      <c r="J12" s="306"/>
      <c r="K12" s="306"/>
      <c r="L12" s="308"/>
      <c r="M12" s="306"/>
      <c r="N12" s="306"/>
      <c r="O12" s="1204"/>
      <c r="P12" s="500"/>
      <c r="Q12" s="500"/>
      <c r="R12" s="500"/>
      <c r="S12" s="500"/>
      <c r="T12" s="500"/>
      <c r="U12" s="500"/>
      <c r="V12" s="500"/>
      <c r="W12" s="169"/>
      <c r="X12" s="346"/>
      <c r="Y12" s="142"/>
      <c r="Z12" s="285"/>
      <c r="AA12" s="142"/>
      <c r="AB12" s="142"/>
      <c r="AC12" s="142"/>
      <c r="AD12" s="142"/>
      <c r="AE12" s="142"/>
      <c r="AF12" s="169"/>
      <c r="AG12" s="169"/>
      <c r="AH12" s="169"/>
      <c r="AI12" s="169"/>
      <c r="AJ12" s="169"/>
      <c r="AK12" s="169"/>
      <c r="AL12" s="169"/>
      <c r="AM12" s="169"/>
      <c r="AN12" s="169"/>
      <c r="AO12" s="169"/>
      <c r="AP12" s="169"/>
      <c r="AQ12" s="169"/>
      <c r="AR12" s="169"/>
      <c r="AS12" s="169"/>
      <c r="AT12" s="169"/>
      <c r="AU12" s="169"/>
      <c r="AV12" s="169"/>
      <c r="AW12" s="169"/>
      <c r="AX12" s="169"/>
      <c r="AY12" s="169"/>
      <c r="AZ12" s="169"/>
      <c r="BA12" s="169"/>
      <c r="BB12" s="169"/>
      <c r="BC12" s="169"/>
      <c r="BD12" s="169"/>
      <c r="BE12" s="169"/>
      <c r="BF12" s="169"/>
      <c r="BG12" s="169"/>
      <c r="BH12" s="169"/>
      <c r="BI12" s="169"/>
      <c r="BJ12" s="169"/>
      <c r="BK12" s="169"/>
      <c r="BL12" s="169"/>
      <c r="BM12" s="169"/>
      <c r="BN12" s="169"/>
    </row>
    <row r="13" spans="1:66" s="176" customFormat="1">
      <c r="A13" s="54"/>
      <c r="B13" s="1156" t="s">
        <v>88</v>
      </c>
      <c r="C13" s="1157"/>
      <c r="D13" s="159"/>
      <c r="E13" s="118"/>
      <c r="F13" s="169"/>
      <c r="G13" s="27"/>
      <c r="H13" s="27"/>
      <c r="I13" s="27"/>
      <c r="J13" s="27"/>
      <c r="K13" s="4"/>
      <c r="L13" s="169"/>
      <c r="M13" s="16"/>
      <c r="N13" s="852"/>
      <c r="O13" s="904"/>
      <c r="P13" s="500"/>
      <c r="Q13" s="500"/>
      <c r="R13" s="500"/>
      <c r="S13" s="500"/>
      <c r="T13" s="500"/>
      <c r="U13" s="500"/>
      <c r="V13" s="500"/>
      <c r="W13" s="169"/>
      <c r="X13" s="142"/>
      <c r="Y13" s="142"/>
      <c r="Z13" s="285"/>
      <c r="AA13" s="142"/>
      <c r="AB13" s="142"/>
      <c r="AC13" s="142"/>
      <c r="AD13" s="142"/>
      <c r="AE13" s="142"/>
      <c r="AF13" s="169"/>
      <c r="AG13" s="169"/>
      <c r="AH13" s="169"/>
      <c r="AI13" s="169"/>
      <c r="AJ13" s="169"/>
      <c r="AK13" s="169"/>
      <c r="AL13" s="169"/>
      <c r="AM13" s="169"/>
      <c r="AN13" s="169"/>
      <c r="AO13" s="169"/>
      <c r="AP13" s="169"/>
      <c r="AQ13" s="169"/>
      <c r="AR13" s="169"/>
      <c r="AS13" s="169"/>
      <c r="AT13" s="169"/>
      <c r="AU13" s="169"/>
      <c r="AV13" s="169"/>
      <c r="AW13" s="169"/>
      <c r="AX13" s="169"/>
      <c r="AY13" s="169"/>
      <c r="AZ13" s="169"/>
      <c r="BA13" s="169"/>
      <c r="BB13" s="169"/>
      <c r="BC13" s="169"/>
      <c r="BD13" s="169"/>
      <c r="BE13" s="169"/>
      <c r="BF13" s="169"/>
      <c r="BG13" s="169"/>
      <c r="BH13" s="169"/>
      <c r="BI13" s="169"/>
      <c r="BJ13" s="169"/>
      <c r="BK13" s="169"/>
      <c r="BL13" s="169"/>
      <c r="BM13" s="169"/>
      <c r="BN13" s="169"/>
    </row>
    <row r="14" spans="1:66" s="176" customFormat="1" ht="15" customHeight="1">
      <c r="A14" s="54"/>
      <c r="B14" s="1205"/>
      <c r="C14" s="644"/>
      <c r="D14" s="284"/>
      <c r="E14" s="4"/>
      <c r="F14" s="27"/>
      <c r="G14" s="96"/>
      <c r="H14" s="96"/>
      <c r="I14" s="133"/>
      <c r="J14" s="133"/>
      <c r="K14" s="133"/>
      <c r="L14" s="309"/>
      <c r="M14" s="310"/>
      <c r="N14" s="314"/>
      <c r="O14" s="905"/>
      <c r="P14" s="501"/>
      <c r="Q14" s="501"/>
      <c r="R14" s="501"/>
      <c r="S14" s="501"/>
      <c r="T14" s="501"/>
      <c r="U14" s="501"/>
      <c r="V14" s="501"/>
      <c r="W14" s="169"/>
      <c r="X14" s="142"/>
      <c r="Y14" s="142"/>
      <c r="Z14" s="285"/>
      <c r="AA14" s="142"/>
      <c r="AB14" s="142"/>
      <c r="AC14" s="142"/>
      <c r="AD14" s="142"/>
      <c r="AE14" s="142"/>
      <c r="AF14" s="169"/>
      <c r="AG14" s="169"/>
      <c r="AH14" s="169"/>
      <c r="AI14" s="169"/>
      <c r="AJ14" s="169"/>
      <c r="AK14" s="169"/>
      <c r="AL14" s="169"/>
      <c r="AM14" s="169"/>
      <c r="AN14" s="169"/>
      <c r="AO14" s="169"/>
      <c r="AP14" s="169"/>
      <c r="AQ14" s="169"/>
      <c r="AR14" s="169"/>
      <c r="AS14" s="169"/>
      <c r="AT14" s="169"/>
      <c r="AU14" s="169"/>
      <c r="AV14" s="169"/>
      <c r="AW14" s="169"/>
      <c r="AX14" s="169"/>
      <c r="AY14" s="169"/>
      <c r="AZ14" s="169"/>
      <c r="BA14" s="169"/>
      <c r="BB14" s="169"/>
      <c r="BC14" s="169"/>
      <c r="BD14" s="169"/>
      <c r="BE14" s="169"/>
      <c r="BF14" s="169"/>
      <c r="BG14" s="169"/>
      <c r="BH14" s="169"/>
      <c r="BI14" s="169"/>
      <c r="BJ14" s="169"/>
      <c r="BK14" s="169"/>
      <c r="BL14" s="169"/>
      <c r="BM14" s="169"/>
      <c r="BN14" s="169"/>
    </row>
    <row r="15" spans="1:66" s="169" customFormat="1" ht="15">
      <c r="A15" s="54" t="s">
        <v>89</v>
      </c>
      <c r="B15" s="906" t="s">
        <v>90</v>
      </c>
      <c r="C15" s="487" t="str">
        <f>PVMV!B35</f>
        <v>Inflexion BIDCO - ORADP 1</v>
      </c>
      <c r="D15" s="284">
        <f>PVMV!L35</f>
        <v>10080000</v>
      </c>
      <c r="E15" s="284">
        <f>PVMV!F35</f>
        <v>1</v>
      </c>
      <c r="F15" s="312">
        <v>1</v>
      </c>
      <c r="G15" s="347">
        <f>G16</f>
        <v>46022</v>
      </c>
      <c r="H15" s="313">
        <f>PVMV!M35</f>
        <v>10080000</v>
      </c>
      <c r="I15" s="313"/>
      <c r="J15" s="313">
        <f>H15+I15</f>
        <v>10080000</v>
      </c>
      <c r="K15" s="311">
        <f>ROUND(F15*D15,2)</f>
        <v>10080000</v>
      </c>
      <c r="L15" s="285">
        <f>ROUND(+K15-J15,2)</f>
        <v>0</v>
      </c>
      <c r="M15" s="620"/>
      <c r="N15" s="285">
        <f>K15+M15</f>
        <v>10080000</v>
      </c>
      <c r="O15" s="905">
        <f>+N15/$D$74*100</f>
        <v>11.192092066930122</v>
      </c>
      <c r="P15" s="505"/>
      <c r="Q15" s="501">
        <f>N15</f>
        <v>10080000</v>
      </c>
      <c r="R15" s="501">
        <v>10080000</v>
      </c>
      <c r="S15" s="501">
        <f>Q15-R15</f>
        <v>0</v>
      </c>
      <c r="T15" s="501">
        <f>(R15-M15)/D15</f>
        <v>1</v>
      </c>
      <c r="U15" s="501"/>
      <c r="V15" s="501"/>
      <c r="X15" s="142"/>
      <c r="Y15" s="311"/>
      <c r="Z15" s="285"/>
      <c r="AA15" s="346"/>
      <c r="AB15" s="142"/>
      <c r="AC15" s="142"/>
      <c r="AD15" s="142"/>
      <c r="AE15" s="142"/>
      <c r="AF15" s="270"/>
      <c r="AG15" s="271"/>
      <c r="AH15" s="276"/>
      <c r="AI15" s="271"/>
      <c r="AJ15" s="271"/>
      <c r="AK15" s="271"/>
      <c r="AL15" s="490"/>
      <c r="AM15" s="490"/>
    </row>
    <row r="16" spans="1:66" s="176" customFormat="1" ht="15" customHeight="1">
      <c r="A16" s="54" t="s">
        <v>89</v>
      </c>
      <c r="B16" s="907" t="s">
        <v>91</v>
      </c>
      <c r="C16" s="724" t="str">
        <f>PVMV!B20</f>
        <v>Inflexion BIDCO - OCADP 2</v>
      </c>
      <c r="D16" s="284">
        <f>PVMV!L20</f>
        <v>40320000</v>
      </c>
      <c r="E16" s="87">
        <f>PVMV!F20</f>
        <v>1</v>
      </c>
      <c r="F16" s="725">
        <v>1</v>
      </c>
      <c r="G16" s="726">
        <f>H1</f>
        <v>46022</v>
      </c>
      <c r="H16" s="727">
        <f>PVMV!M20</f>
        <v>40320000</v>
      </c>
      <c r="I16" s="727">
        <f>'Intérêts Obligations'!G21</f>
        <v>0</v>
      </c>
      <c r="J16" s="727">
        <f>H16+I16</f>
        <v>40320000</v>
      </c>
      <c r="K16" s="728">
        <f>ROUND(F16*D16,2)</f>
        <v>40320000</v>
      </c>
      <c r="L16" s="727">
        <f>ROUND(+K16-J16,2)</f>
        <v>0</v>
      </c>
      <c r="M16" s="729">
        <f>'Intérêts Obligations'!L23</f>
        <v>1712219.1800000002</v>
      </c>
      <c r="N16" s="727">
        <f>K16+M16</f>
        <v>42032219.18</v>
      </c>
      <c r="O16" s="905">
        <f>+N16/$D$74*100</f>
        <v>46.669490757931172</v>
      </c>
      <c r="P16" s="501"/>
      <c r="Q16" s="501">
        <f>N16</f>
        <v>42032219.18</v>
      </c>
      <c r="R16" s="501">
        <v>42032219.18</v>
      </c>
      <c r="S16" s="501">
        <f>Q16-R16</f>
        <v>0</v>
      </c>
      <c r="T16" s="501">
        <f t="shared" ref="T16:T22" si="0">(R16-M16)/D16</f>
        <v>1</v>
      </c>
      <c r="U16" s="501"/>
      <c r="V16" s="501"/>
      <c r="W16" s="169"/>
      <c r="X16" s="142"/>
      <c r="Y16" s="142"/>
      <c r="Z16" s="285"/>
      <c r="AA16" s="142"/>
      <c r="AB16" s="142"/>
      <c r="AC16" s="142"/>
      <c r="AD16" s="142"/>
      <c r="AE16" s="142"/>
      <c r="AF16" s="169"/>
      <c r="AG16" s="169"/>
      <c r="AH16" s="169"/>
      <c r="AI16" s="169"/>
      <c r="AJ16" s="169"/>
      <c r="AK16" s="169"/>
      <c r="AL16" s="169"/>
      <c r="AM16" s="169"/>
      <c r="AN16" s="169"/>
      <c r="AO16" s="169"/>
      <c r="AP16" s="169"/>
      <c r="AQ16" s="169"/>
      <c r="AR16" s="169"/>
      <c r="AS16" s="169"/>
      <c r="AT16" s="169"/>
      <c r="AU16" s="169"/>
      <c r="AV16" s="169"/>
      <c r="AW16" s="169"/>
      <c r="AX16" s="169"/>
      <c r="AY16" s="169"/>
      <c r="AZ16" s="169"/>
      <c r="BA16" s="169"/>
      <c r="BB16" s="169"/>
      <c r="BC16" s="169"/>
      <c r="BD16" s="169"/>
      <c r="BE16" s="169"/>
      <c r="BF16" s="169"/>
      <c r="BG16" s="169"/>
      <c r="BH16" s="169"/>
      <c r="BI16" s="169"/>
      <c r="BJ16" s="169"/>
      <c r="BK16" s="169"/>
      <c r="BL16" s="169"/>
      <c r="BM16" s="169"/>
      <c r="BN16" s="169"/>
    </row>
    <row r="17" spans="1:66" s="176" customFormat="1" ht="15" customHeight="1">
      <c r="A17" s="54"/>
      <c r="B17" s="907"/>
      <c r="C17" s="724"/>
      <c r="D17" s="284"/>
      <c r="E17" s="87"/>
      <c r="F17" s="87"/>
      <c r="G17" s="87"/>
      <c r="H17" s="727"/>
      <c r="I17" s="727"/>
      <c r="J17" s="727"/>
      <c r="K17" s="728"/>
      <c r="L17" s="727"/>
      <c r="M17" s="729"/>
      <c r="N17" s="727"/>
      <c r="O17" s="905"/>
      <c r="P17" s="501"/>
      <c r="Q17" s="501"/>
      <c r="R17" s="501"/>
      <c r="S17" s="501"/>
      <c r="T17" s="501"/>
      <c r="U17" s="501"/>
      <c r="V17" s="501"/>
      <c r="W17" s="169"/>
      <c r="X17" s="142"/>
      <c r="Y17" s="142"/>
      <c r="Z17" s="285"/>
      <c r="AA17" s="142"/>
      <c r="AB17" s="142"/>
      <c r="AC17" s="142"/>
      <c r="AD17" s="142"/>
      <c r="AE17" s="142"/>
      <c r="AF17" s="169"/>
      <c r="AG17" s="169"/>
      <c r="AH17" s="169"/>
      <c r="AI17" s="169"/>
      <c r="AJ17" s="169"/>
      <c r="AK17" s="169"/>
      <c r="AL17" s="169"/>
      <c r="AM17" s="169"/>
      <c r="AN17" s="169"/>
      <c r="AO17" s="169"/>
      <c r="AP17" s="169"/>
      <c r="AQ17" s="169"/>
      <c r="AR17" s="169"/>
      <c r="AS17" s="169"/>
      <c r="AT17" s="169"/>
      <c r="AU17" s="169"/>
      <c r="AV17" s="169"/>
      <c r="AW17" s="169"/>
      <c r="AX17" s="169"/>
      <c r="AY17" s="169"/>
      <c r="AZ17" s="169"/>
      <c r="BA17" s="169"/>
      <c r="BB17" s="169"/>
      <c r="BC17" s="169"/>
      <c r="BD17" s="169"/>
      <c r="BE17" s="169"/>
      <c r="BF17" s="169"/>
      <c r="BG17" s="169"/>
      <c r="BH17" s="169"/>
      <c r="BI17" s="169"/>
      <c r="BJ17" s="169"/>
      <c r="BK17" s="169"/>
      <c r="BL17" s="169"/>
      <c r="BM17" s="169"/>
      <c r="BN17" s="169"/>
    </row>
    <row r="18" spans="1:66" s="176" customFormat="1" ht="15" customHeight="1">
      <c r="A18" s="54" t="s">
        <v>89</v>
      </c>
      <c r="B18" s="906" t="s">
        <v>92</v>
      </c>
      <c r="C18" s="724" t="str">
        <f>PVMV!B40</f>
        <v>Koenig solutions - ADP B</v>
      </c>
      <c r="D18" s="284">
        <f>PVMV!L40</f>
        <v>87200</v>
      </c>
      <c r="E18" s="87">
        <f>PVMV!F40</f>
        <v>100</v>
      </c>
      <c r="F18" s="725">
        <v>100.77916662844036</v>
      </c>
      <c r="G18" s="726">
        <f>G16</f>
        <v>46022</v>
      </c>
      <c r="H18" s="727">
        <f>PVMV!M40</f>
        <v>8720000</v>
      </c>
      <c r="I18" s="727">
        <f>'Intérêts Obligations'!G44</f>
        <v>0</v>
      </c>
      <c r="J18" s="727">
        <f>H18+I18</f>
        <v>8720000</v>
      </c>
      <c r="K18" s="728">
        <f>ROUND(F18*D18,2)</f>
        <v>8787943.3300000001</v>
      </c>
      <c r="L18" s="727">
        <f>ROUND(+K18-J18,2)</f>
        <v>67943.33</v>
      </c>
      <c r="M18" s="729">
        <f>'Intérêts Obligations'!L46</f>
        <v>90591.11</v>
      </c>
      <c r="N18" s="727">
        <f>K18+M18</f>
        <v>8878534.4399999995</v>
      </c>
      <c r="O18" s="908">
        <f>+N18/$D$74*100</f>
        <v>9.8580729039573303</v>
      </c>
      <c r="P18" s="501"/>
      <c r="Q18" s="501">
        <f>N18</f>
        <v>8878534.4399999995</v>
      </c>
      <c r="R18" s="501">
        <v>8878534.4399999995</v>
      </c>
      <c r="S18" s="501">
        <f>Q18-R18</f>
        <v>0</v>
      </c>
      <c r="T18" s="501">
        <f t="shared" si="0"/>
        <v>100.77916662844036</v>
      </c>
      <c r="U18" s="501"/>
      <c r="V18" s="501"/>
      <c r="W18" s="169"/>
      <c r="X18" s="142"/>
      <c r="Y18" s="142"/>
      <c r="Z18" s="285"/>
      <c r="AA18" s="142"/>
      <c r="AB18" s="142"/>
      <c r="AC18" s="142"/>
      <c r="AD18" s="142"/>
      <c r="AE18" s="142"/>
      <c r="AF18" s="169"/>
      <c r="AG18" s="169"/>
      <c r="AH18" s="169"/>
      <c r="AI18" s="169"/>
      <c r="AJ18" s="169"/>
      <c r="AK18" s="169"/>
      <c r="AL18" s="169"/>
      <c r="AM18" s="169"/>
      <c r="AN18" s="169"/>
      <c r="AO18" s="169"/>
      <c r="AP18" s="169"/>
      <c r="AQ18" s="169"/>
      <c r="AR18" s="169"/>
      <c r="AS18" s="169"/>
      <c r="AT18" s="169"/>
      <c r="AU18" s="169"/>
      <c r="AV18" s="169"/>
      <c r="AW18" s="169"/>
      <c r="AX18" s="169"/>
      <c r="AY18" s="169"/>
      <c r="AZ18" s="169"/>
      <c r="BA18" s="169"/>
      <c r="BB18" s="169"/>
      <c r="BC18" s="169"/>
      <c r="BD18" s="169"/>
      <c r="BE18" s="169"/>
      <c r="BF18" s="169"/>
      <c r="BG18" s="169"/>
      <c r="BH18" s="169"/>
      <c r="BI18" s="169"/>
      <c r="BJ18" s="169"/>
      <c r="BK18" s="169"/>
      <c r="BL18" s="169"/>
      <c r="BM18" s="169"/>
      <c r="BN18" s="169"/>
    </row>
    <row r="19" spans="1:66" s="176" customFormat="1" ht="15" customHeight="1">
      <c r="A19" s="54" t="s">
        <v>89</v>
      </c>
      <c r="B19" s="906" t="s">
        <v>93</v>
      </c>
      <c r="C19" s="724" t="str">
        <f>PVMV!B45</f>
        <v>Koenig solutions - OC (SHL)</v>
      </c>
      <c r="D19" s="284">
        <f>PVMV!L45</f>
        <v>3200</v>
      </c>
      <c r="E19" s="87">
        <f>PVMV!F45</f>
        <v>8175</v>
      </c>
      <c r="F19" s="725">
        <v>8238.6968749999996</v>
      </c>
      <c r="G19" s="726">
        <f>G18</f>
        <v>46022</v>
      </c>
      <c r="H19" s="727">
        <f>PVMV!M45</f>
        <v>26160000</v>
      </c>
      <c r="I19" s="727">
        <f>'Intérêts Obligations'!G60</f>
        <v>0</v>
      </c>
      <c r="J19" s="727">
        <f>H19+I19</f>
        <v>26160000</v>
      </c>
      <c r="K19" s="728">
        <f>ROUND(F19*D19,2)</f>
        <v>26363830</v>
      </c>
      <c r="L19" s="727">
        <f>ROUND(+K19-J19,2)</f>
        <v>203830</v>
      </c>
      <c r="M19" s="729">
        <f>'Intérêts Obligations'!L62</f>
        <v>0</v>
      </c>
      <c r="N19" s="727">
        <f>K19+M19</f>
        <v>26363830</v>
      </c>
      <c r="O19" s="908">
        <f>+N19/$D$74*100</f>
        <v>29.27246156715222</v>
      </c>
      <c r="P19" s="501"/>
      <c r="Q19" s="501">
        <f>N19</f>
        <v>26363830</v>
      </c>
      <c r="R19" s="501">
        <v>26363830</v>
      </c>
      <c r="S19" s="501">
        <f>Q19-R19</f>
        <v>0</v>
      </c>
      <c r="T19" s="501">
        <f t="shared" si="0"/>
        <v>8238.6968749999996</v>
      </c>
      <c r="U19" s="501"/>
      <c r="V19" s="501"/>
      <c r="W19" s="169"/>
      <c r="X19" s="142"/>
      <c r="Y19" s="142"/>
      <c r="Z19" s="285"/>
      <c r="AA19" s="142"/>
      <c r="AB19" s="142"/>
      <c r="AC19" s="142"/>
      <c r="AD19" s="142"/>
      <c r="AE19" s="142"/>
      <c r="AF19" s="169"/>
      <c r="AG19" s="169"/>
      <c r="AH19" s="169"/>
      <c r="AI19" s="169"/>
      <c r="AJ19" s="169"/>
      <c r="AK19" s="169"/>
      <c r="AL19" s="169"/>
      <c r="AM19" s="169"/>
      <c r="AN19" s="169"/>
      <c r="AO19" s="169"/>
      <c r="AP19" s="169"/>
      <c r="AQ19" s="169"/>
      <c r="AR19" s="169"/>
      <c r="AS19" s="169"/>
      <c r="AT19" s="169"/>
      <c r="AU19" s="169"/>
      <c r="AV19" s="169"/>
      <c r="AW19" s="169"/>
      <c r="AX19" s="169"/>
      <c r="AY19" s="169"/>
      <c r="AZ19" s="169"/>
      <c r="BA19" s="169"/>
      <c r="BB19" s="169"/>
      <c r="BC19" s="169"/>
      <c r="BD19" s="169"/>
      <c r="BE19" s="169"/>
      <c r="BF19" s="169"/>
      <c r="BG19" s="169"/>
      <c r="BH19" s="169"/>
      <c r="BI19" s="169"/>
      <c r="BJ19" s="169"/>
      <c r="BK19" s="169"/>
      <c r="BL19" s="169"/>
      <c r="BM19" s="169"/>
      <c r="BN19" s="169"/>
    </row>
    <row r="20" spans="1:66" s="176" customFormat="1">
      <c r="A20" s="54" t="s">
        <v>89</v>
      </c>
      <c r="B20" s="906" t="s">
        <v>94</v>
      </c>
      <c r="C20" s="724" t="str">
        <f>PVMV!B51</f>
        <v>Koenig solutions - OC (Warehouse II - ADP A)</v>
      </c>
      <c r="D20" s="284">
        <f>PVMV!L51</f>
        <v>500</v>
      </c>
      <c r="E20" s="87">
        <f>PVMV!F51</f>
        <v>1000</v>
      </c>
      <c r="F20" s="725">
        <v>1046.02036</v>
      </c>
      <c r="G20" s="726">
        <f>G19</f>
        <v>46022</v>
      </c>
      <c r="H20" s="727">
        <f>PVMV!M51</f>
        <v>500000</v>
      </c>
      <c r="I20" s="727">
        <f>'Intérêts Obligations'!G75</f>
        <v>0</v>
      </c>
      <c r="J20" s="727">
        <f>H20+I20</f>
        <v>500000</v>
      </c>
      <c r="K20" s="728">
        <f>ROUND(F20*D20,2)</f>
        <v>523010.18</v>
      </c>
      <c r="L20" s="727">
        <f>ROUND(+K20-J20,2)</f>
        <v>23010.18</v>
      </c>
      <c r="M20" s="729">
        <f>'Intérêts Obligations'!L77</f>
        <v>0</v>
      </c>
      <c r="N20" s="727">
        <f>K20+M20</f>
        <v>523010.18</v>
      </c>
      <c r="O20" s="908">
        <f>+N20/$D$74*100</f>
        <v>0.5807121117561207</v>
      </c>
      <c r="P20" s="501"/>
      <c r="Q20" s="501">
        <f>N20</f>
        <v>523010.18</v>
      </c>
      <c r="R20" s="501">
        <v>523010.18</v>
      </c>
      <c r="S20" s="501">
        <f>Q20-R20</f>
        <v>0</v>
      </c>
      <c r="T20" s="501">
        <f t="shared" si="0"/>
        <v>1046.02036</v>
      </c>
      <c r="U20" s="501"/>
      <c r="V20" s="501"/>
      <c r="W20" s="169"/>
      <c r="X20" s="142"/>
      <c r="Y20" s="142"/>
      <c r="Z20" s="285"/>
      <c r="AA20" s="142"/>
      <c r="AB20" s="142"/>
      <c r="AC20" s="142"/>
      <c r="AD20" s="142"/>
      <c r="AE20" s="142"/>
      <c r="AF20" s="169"/>
      <c r="AG20" s="169"/>
      <c r="AH20" s="169"/>
      <c r="AI20" s="169"/>
      <c r="AJ20" s="169"/>
      <c r="AK20" s="169"/>
      <c r="AL20" s="169"/>
      <c r="AM20" s="169"/>
      <c r="AN20" s="169"/>
      <c r="AO20" s="169"/>
      <c r="AP20" s="169"/>
      <c r="AQ20" s="169"/>
      <c r="AR20" s="169"/>
      <c r="AS20" s="169"/>
      <c r="AT20" s="169"/>
      <c r="AU20" s="169"/>
      <c r="AV20" s="169"/>
      <c r="AW20" s="169"/>
      <c r="AX20" s="169"/>
      <c r="AY20" s="169"/>
      <c r="AZ20" s="169"/>
      <c r="BA20" s="169"/>
      <c r="BB20" s="169"/>
      <c r="BC20" s="169"/>
      <c r="BD20" s="169"/>
      <c r="BE20" s="169"/>
      <c r="BF20" s="169"/>
      <c r="BG20" s="169"/>
      <c r="BH20" s="169"/>
      <c r="BI20" s="169"/>
      <c r="BJ20" s="169"/>
      <c r="BK20" s="169"/>
      <c r="BL20" s="169"/>
      <c r="BM20" s="169"/>
      <c r="BN20" s="169"/>
    </row>
    <row r="21" spans="1:66" s="176" customFormat="1">
      <c r="A21" s="54"/>
      <c r="B21" s="906"/>
      <c r="C21" s="724"/>
      <c r="D21" s="284"/>
      <c r="E21" s="87"/>
      <c r="F21" s="87"/>
      <c r="G21" s="87"/>
      <c r="H21" s="727"/>
      <c r="I21" s="727"/>
      <c r="J21" s="727"/>
      <c r="K21" s="728"/>
      <c r="L21" s="727"/>
      <c r="M21" s="729"/>
      <c r="N21" s="727"/>
      <c r="O21" s="908"/>
      <c r="P21" s="501"/>
      <c r="Q21" s="501"/>
      <c r="R21" s="501"/>
      <c r="S21" s="501"/>
      <c r="T21" s="501"/>
      <c r="U21" s="501"/>
      <c r="V21" s="501"/>
      <c r="W21" s="169"/>
      <c r="X21" s="142"/>
      <c r="Y21" s="142"/>
      <c r="Z21" s="285"/>
      <c r="AA21" s="142"/>
      <c r="AB21" s="142"/>
      <c r="AC21" s="142"/>
      <c r="AD21" s="142"/>
      <c r="AE21" s="142"/>
      <c r="AF21" s="169"/>
      <c r="AG21" s="169"/>
      <c r="AH21" s="169"/>
      <c r="AI21" s="169"/>
      <c r="AJ21" s="169"/>
      <c r="AK21" s="169"/>
      <c r="AL21" s="169"/>
      <c r="AM21" s="169"/>
      <c r="AN21" s="169"/>
      <c r="AO21" s="169"/>
      <c r="AP21" s="169"/>
      <c r="AQ21" s="169"/>
      <c r="AR21" s="169"/>
      <c r="AS21" s="169"/>
      <c r="AT21" s="169"/>
      <c r="AU21" s="169"/>
      <c r="AV21" s="169"/>
      <c r="AW21" s="169"/>
      <c r="AX21" s="169"/>
      <c r="AY21" s="169"/>
      <c r="AZ21" s="169"/>
      <c r="BA21" s="169"/>
      <c r="BB21" s="169"/>
      <c r="BC21" s="169"/>
      <c r="BD21" s="169"/>
      <c r="BE21" s="169"/>
      <c r="BF21" s="169"/>
      <c r="BG21" s="169"/>
      <c r="BH21" s="169"/>
      <c r="BI21" s="169"/>
      <c r="BJ21" s="169"/>
      <c r="BK21" s="169"/>
      <c r="BL21" s="169"/>
      <c r="BM21" s="169"/>
      <c r="BN21" s="169"/>
    </row>
    <row r="22" spans="1:66" s="176" customFormat="1" ht="15" customHeight="1">
      <c r="A22" s="54" t="s">
        <v>89</v>
      </c>
      <c r="B22" s="906" t="s">
        <v>95</v>
      </c>
      <c r="C22" s="724" t="str">
        <f>PVMV!B56</f>
        <v>SNIC Technologies Group - OBSA</v>
      </c>
      <c r="D22" s="284">
        <f>PVMV!L56</f>
        <v>63750000</v>
      </c>
      <c r="E22" s="87">
        <f>PVMV!F56</f>
        <v>1</v>
      </c>
      <c r="F22" s="725">
        <v>1</v>
      </c>
      <c r="G22" s="726">
        <f>G20</f>
        <v>46022</v>
      </c>
      <c r="H22" s="727">
        <f>PVMV!M56</f>
        <v>63750000</v>
      </c>
      <c r="I22" s="727">
        <f>'Intérêts Obligations'!G98</f>
        <v>0</v>
      </c>
      <c r="J22" s="727">
        <f>H22+I22</f>
        <v>63750000</v>
      </c>
      <c r="K22" s="728">
        <f>ROUND(F22*D22,2)</f>
        <v>63750000</v>
      </c>
      <c r="L22" s="727">
        <f>ROUND(+K22-J22,2)</f>
        <v>0</v>
      </c>
      <c r="M22" s="729">
        <f>'Intérêts Obligations'!L100</f>
        <v>247916.67</v>
      </c>
      <c r="N22" s="727">
        <f>K22+M22</f>
        <v>63997916.670000002</v>
      </c>
      <c r="O22" s="908">
        <f>+N22/$D$74*100</f>
        <v>71.058588835551788</v>
      </c>
      <c r="P22" s="501"/>
      <c r="Q22" s="501">
        <f>N22</f>
        <v>63997916.670000002</v>
      </c>
      <c r="R22" s="501">
        <v>63997916.670000002</v>
      </c>
      <c r="S22" s="501">
        <f>Q22-R22</f>
        <v>0</v>
      </c>
      <c r="T22" s="501">
        <f t="shared" si="0"/>
        <v>1</v>
      </c>
      <c r="U22" s="501"/>
      <c r="V22" s="501"/>
      <c r="W22" s="169"/>
      <c r="X22" s="142"/>
      <c r="Y22" s="142"/>
      <c r="Z22" s="285"/>
      <c r="AA22" s="142"/>
      <c r="AB22" s="142"/>
      <c r="AC22" s="142"/>
      <c r="AD22" s="142"/>
      <c r="AE22" s="142"/>
      <c r="AF22" s="169"/>
      <c r="AG22" s="169"/>
      <c r="AH22" s="169"/>
      <c r="AI22" s="169"/>
      <c r="AJ22" s="169"/>
      <c r="AK22" s="169"/>
      <c r="AL22" s="169"/>
      <c r="AM22" s="169"/>
      <c r="AN22" s="169"/>
      <c r="AO22" s="169"/>
      <c r="AP22" s="169"/>
      <c r="AQ22" s="169"/>
      <c r="AR22" s="169"/>
      <c r="AS22" s="169"/>
      <c r="AT22" s="169"/>
      <c r="AU22" s="169"/>
      <c r="AV22" s="169"/>
      <c r="AW22" s="169"/>
      <c r="AX22" s="169"/>
      <c r="AY22" s="169"/>
      <c r="AZ22" s="169"/>
      <c r="BA22" s="169"/>
      <c r="BB22" s="169"/>
      <c r="BC22" s="169"/>
      <c r="BD22" s="169"/>
      <c r="BE22" s="169"/>
      <c r="BF22" s="169"/>
      <c r="BG22" s="169"/>
      <c r="BH22" s="169"/>
      <c r="BI22" s="169"/>
      <c r="BJ22" s="169"/>
      <c r="BK22" s="169"/>
      <c r="BL22" s="169"/>
      <c r="BM22" s="169"/>
      <c r="BN22" s="169"/>
    </row>
    <row r="23" spans="1:66" s="176" customFormat="1" ht="15" customHeight="1">
      <c r="A23" s="54"/>
      <c r="B23" s="907"/>
      <c r="C23" s="724"/>
      <c r="D23" s="200"/>
      <c r="E23" s="628"/>
      <c r="F23" s="728"/>
      <c r="G23" s="884"/>
      <c r="H23" s="885"/>
      <c r="I23" s="885"/>
      <c r="J23" s="885"/>
      <c r="K23" s="728"/>
      <c r="L23" s="885"/>
      <c r="M23" s="886"/>
      <c r="N23" s="885"/>
      <c r="O23" s="909"/>
      <c r="P23" s="505"/>
      <c r="Q23" s="505"/>
      <c r="R23" s="505"/>
      <c r="S23" s="505"/>
      <c r="T23" s="505"/>
      <c r="U23" s="505"/>
      <c r="V23" s="505"/>
      <c r="W23" s="169"/>
      <c r="X23" s="142"/>
      <c r="Y23" s="142"/>
      <c r="Z23" s="313"/>
      <c r="AA23" s="142"/>
      <c r="AB23" s="142"/>
      <c r="AC23" s="142"/>
      <c r="AD23" s="142"/>
      <c r="AE23" s="142"/>
      <c r="AF23" s="169"/>
      <c r="AG23" s="169"/>
      <c r="AH23" s="169"/>
      <c r="AI23" s="169"/>
      <c r="AJ23" s="169"/>
      <c r="AK23" s="169"/>
      <c r="AL23" s="169"/>
      <c r="AM23" s="169"/>
      <c r="AN23" s="169"/>
      <c r="AO23" s="169"/>
      <c r="AP23" s="169"/>
      <c r="AQ23" s="169"/>
      <c r="AR23" s="169"/>
      <c r="AS23" s="169"/>
      <c r="AT23" s="169"/>
      <c r="AU23" s="169"/>
      <c r="AV23" s="169"/>
      <c r="AW23" s="169"/>
      <c r="AX23" s="169"/>
      <c r="AY23" s="169"/>
      <c r="AZ23" s="169"/>
      <c r="BA23" s="169"/>
      <c r="BB23" s="169"/>
      <c r="BC23" s="169"/>
      <c r="BD23" s="169"/>
      <c r="BE23" s="169"/>
      <c r="BF23" s="169"/>
      <c r="BG23" s="169"/>
      <c r="BH23" s="169"/>
      <c r="BI23" s="169"/>
      <c r="BJ23" s="169"/>
      <c r="BK23" s="169"/>
      <c r="BL23" s="169"/>
      <c r="BM23" s="169"/>
      <c r="BN23" s="169"/>
    </row>
    <row r="24" spans="1:66" s="169" customFormat="1" ht="15">
      <c r="A24" s="54"/>
      <c r="B24" s="906"/>
      <c r="C24" s="887"/>
      <c r="D24" s="910"/>
      <c r="E24" s="200"/>
      <c r="F24" s="311"/>
      <c r="G24" s="888"/>
      <c r="H24" s="313"/>
      <c r="I24" s="313"/>
      <c r="J24" s="313"/>
      <c r="K24" s="311"/>
      <c r="L24" s="313"/>
      <c r="M24" s="889"/>
      <c r="N24" s="890"/>
      <c r="O24" s="909"/>
      <c r="P24" s="505"/>
      <c r="Q24" s="505"/>
      <c r="R24" s="505"/>
      <c r="S24" s="505"/>
      <c r="T24" s="505"/>
      <c r="U24" s="505"/>
      <c r="V24" s="505"/>
      <c r="X24" s="142"/>
      <c r="Y24" s="311"/>
      <c r="Z24" s="313"/>
      <c r="AA24" s="346"/>
      <c r="AB24" s="142"/>
      <c r="AC24" s="142"/>
      <c r="AD24" s="142"/>
      <c r="AE24" s="142"/>
      <c r="AF24" s="891"/>
      <c r="AG24" s="137"/>
      <c r="AH24" s="142"/>
      <c r="AI24" s="137"/>
      <c r="AJ24" s="137"/>
      <c r="AK24" s="137"/>
      <c r="AL24" s="200"/>
      <c r="AM24" s="200"/>
    </row>
    <row r="25" spans="1:66" s="348" customFormat="1">
      <c r="A25" s="20"/>
      <c r="B25" s="1206"/>
      <c r="C25" s="1207" t="s">
        <v>96</v>
      </c>
      <c r="D25" s="1207"/>
      <c r="E25" s="1208"/>
      <c r="F25" s="1209"/>
      <c r="G25" s="1210"/>
      <c r="H25" s="1211">
        <f t="shared" ref="H25:N25" si="1">SUM(H14:H24)</f>
        <v>149530000</v>
      </c>
      <c r="I25" s="1211">
        <f t="shared" si="1"/>
        <v>0</v>
      </c>
      <c r="J25" s="1211">
        <f t="shared" si="1"/>
        <v>149530000</v>
      </c>
      <c r="K25" s="1211">
        <f t="shared" si="1"/>
        <v>149824783.50999999</v>
      </c>
      <c r="L25" s="1211">
        <f t="shared" si="1"/>
        <v>294783.51</v>
      </c>
      <c r="M25" s="1211">
        <f t="shared" si="1"/>
        <v>2050726.9600000002</v>
      </c>
      <c r="N25" s="1211">
        <f t="shared" si="1"/>
        <v>151875510.47000003</v>
      </c>
      <c r="O25" s="1212">
        <f>SUM(O15:O24)</f>
        <v>168.63141824327874</v>
      </c>
      <c r="P25" s="7"/>
      <c r="Q25" s="1213">
        <f>SUM(Q15:Q24)</f>
        <v>151875510.47000003</v>
      </c>
      <c r="R25" s="1214">
        <f>SUM(R15:R24)</f>
        <v>151875510.47000003</v>
      </c>
      <c r="S25" s="1215">
        <f>SUM(S15:S24)</f>
        <v>0</v>
      </c>
      <c r="T25" s="502" t="s">
        <v>96</v>
      </c>
      <c r="U25" s="502"/>
      <c r="V25" s="502"/>
      <c r="W25" s="7"/>
      <c r="X25" s="142"/>
      <c r="Y25" s="142"/>
      <c r="Z25" s="285"/>
      <c r="AA25" s="142"/>
      <c r="AB25" s="142"/>
      <c r="AC25" s="142"/>
      <c r="AD25" s="142"/>
      <c r="AE25" s="142"/>
      <c r="AF25" s="142"/>
      <c r="AG25" s="169"/>
      <c r="AH25" s="169"/>
      <c r="AI25" s="169"/>
      <c r="AJ25" s="169"/>
      <c r="AK25" s="169"/>
      <c r="AL25" s="169"/>
      <c r="AM25" s="169"/>
      <c r="AN25" s="169"/>
      <c r="AO25" s="169"/>
      <c r="AP25" s="169"/>
      <c r="AQ25" s="169"/>
      <c r="AR25" s="169"/>
      <c r="AS25" s="169"/>
      <c r="AT25" s="7"/>
      <c r="AU25" s="7"/>
      <c r="AV25" s="7"/>
      <c r="AW25" s="7"/>
      <c r="AX25" s="7"/>
      <c r="AY25" s="7"/>
      <c r="AZ25" s="7"/>
      <c r="BA25" s="7"/>
      <c r="BB25" s="7"/>
      <c r="BC25" s="7"/>
      <c r="BD25" s="7"/>
      <c r="BE25" s="7"/>
      <c r="BF25" s="7"/>
      <c r="BG25" s="7"/>
      <c r="BH25" s="7"/>
      <c r="BI25" s="7"/>
      <c r="BJ25" s="7"/>
      <c r="BK25" s="7"/>
      <c r="BL25" s="7"/>
      <c r="BM25" s="7"/>
      <c r="BN25" s="7"/>
    </row>
    <row r="26" spans="1:66" s="348" customFormat="1">
      <c r="A26" s="20"/>
      <c r="B26" s="1216" t="s">
        <v>97</v>
      </c>
      <c r="C26" s="1217"/>
      <c r="D26" s="1207"/>
      <c r="E26" s="1208"/>
      <c r="F26" s="1209"/>
      <c r="G26" s="1210"/>
      <c r="H26" s="1210"/>
      <c r="I26" s="1211"/>
      <c r="J26" s="1211"/>
      <c r="K26" s="1211"/>
      <c r="L26" s="1211"/>
      <c r="M26" s="1211"/>
      <c r="N26" s="1218"/>
      <c r="O26" s="1219"/>
      <c r="P26" s="7"/>
      <c r="Q26"/>
      <c r="R26"/>
      <c r="S26"/>
      <c r="T26" s="500"/>
      <c r="U26" s="500"/>
      <c r="V26" s="500"/>
      <c r="W26" s="7"/>
      <c r="X26" s="7"/>
      <c r="Y26" s="7"/>
      <c r="Z26" s="349"/>
      <c r="AA26" s="7"/>
      <c r="AB26" s="7"/>
      <c r="AC26" s="7"/>
      <c r="AD26" s="7"/>
      <c r="AE26" s="7"/>
      <c r="AF26" s="350"/>
      <c r="AG26" s="350"/>
      <c r="AH26" s="350"/>
      <c r="AI26" s="350"/>
      <c r="AJ26" s="350"/>
      <c r="AK26" s="350"/>
      <c r="AL26" s="350"/>
      <c r="AM26" s="350"/>
      <c r="AN26" s="350"/>
      <c r="AO26" s="350"/>
      <c r="AP26" s="350"/>
      <c r="AQ26" s="350"/>
      <c r="AR26" s="350"/>
      <c r="AS26" s="350"/>
      <c r="AT26" s="7"/>
      <c r="AU26" s="7"/>
      <c r="AV26" s="7"/>
      <c r="AW26" s="7"/>
      <c r="AX26" s="7"/>
      <c r="AY26" s="7"/>
      <c r="AZ26" s="7"/>
      <c r="BA26" s="7"/>
      <c r="BB26" s="7"/>
      <c r="BC26" s="7"/>
      <c r="BD26" s="7"/>
      <c r="BE26" s="7"/>
      <c r="BF26" s="7"/>
      <c r="BG26" s="7"/>
      <c r="BH26" s="7"/>
      <c r="BI26" s="7"/>
      <c r="BJ26" s="7"/>
      <c r="BK26" s="7"/>
      <c r="BL26" s="7"/>
      <c r="BM26" s="7"/>
      <c r="BN26" s="7"/>
    </row>
    <row r="27" spans="1:66" s="348" customFormat="1">
      <c r="A27" s="20"/>
      <c r="B27" s="911"/>
      <c r="C27" s="142"/>
      <c r="D27" s="351"/>
      <c r="E27" s="311"/>
      <c r="F27" s="352"/>
      <c r="G27" s="353"/>
      <c r="H27" s="353"/>
      <c r="I27" s="354"/>
      <c r="J27" s="354"/>
      <c r="K27" s="354"/>
      <c r="L27" s="354"/>
      <c r="M27" s="354"/>
      <c r="N27" s="314"/>
      <c r="O27" s="905" t="s">
        <v>98</v>
      </c>
      <c r="P27" s="501"/>
      <c r="Q27" s="501"/>
      <c r="R27" s="501"/>
      <c r="S27" s="501"/>
      <c r="T27" s="501"/>
      <c r="U27" s="501"/>
      <c r="V27" s="501"/>
      <c r="W27" s="7"/>
      <c r="X27" s="7"/>
      <c r="Y27" s="7"/>
      <c r="Z27" s="349"/>
      <c r="AA27" s="7"/>
      <c r="AB27" s="7"/>
      <c r="AC27" s="7"/>
      <c r="AD27" s="7"/>
      <c r="AE27" s="7"/>
      <c r="AF27" s="142"/>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row>
    <row r="28" spans="1:66" s="348" customFormat="1" ht="15">
      <c r="A28" s="20"/>
      <c r="B28" s="911"/>
      <c r="C28" s="142"/>
      <c r="D28" s="351"/>
      <c r="E28" s="311"/>
      <c r="F28" s="352"/>
      <c r="G28" s="353"/>
      <c r="H28" s="353"/>
      <c r="I28" s="354"/>
      <c r="J28" s="354"/>
      <c r="K28" s="354"/>
      <c r="L28" s="354"/>
      <c r="M28" s="354"/>
      <c r="N28" s="314"/>
      <c r="O28" s="905"/>
      <c r="P28" s="501"/>
      <c r="Q28" s="501"/>
      <c r="R28" s="501"/>
      <c r="S28" s="501"/>
      <c r="T28" s="501"/>
      <c r="U28" s="501"/>
      <c r="V28" s="501"/>
      <c r="W28" s="7"/>
      <c r="X28" s="7"/>
      <c r="Y28" s="7"/>
      <c r="Z28" s="349"/>
      <c r="AA28" s="7"/>
      <c r="AB28" s="7"/>
      <c r="AC28" s="7"/>
      <c r="AD28" s="7"/>
      <c r="AE28" s="7"/>
      <c r="AF28" s="7"/>
      <c r="AG28" s="7"/>
      <c r="AH28" s="7"/>
      <c r="AI28" s="265"/>
      <c r="AJ28" s="265"/>
      <c r="AK28" s="340"/>
      <c r="AL28" s="340"/>
      <c r="AM28" s="341"/>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row>
    <row r="29" spans="1:66" s="348" customFormat="1" ht="15">
      <c r="A29" s="20"/>
      <c r="B29" s="1220"/>
      <c r="C29" s="1221" t="s">
        <v>96</v>
      </c>
      <c r="D29" s="1207"/>
      <c r="E29" s="1208"/>
      <c r="F29" s="1209"/>
      <c r="G29" s="1210"/>
      <c r="H29" s="1210"/>
      <c r="I29" s="1211">
        <f t="shared" ref="I29:O29" si="2">SUM(I26:I28)</f>
        <v>0</v>
      </c>
      <c r="J29" s="1211"/>
      <c r="K29" s="1211">
        <f t="shared" si="2"/>
        <v>0</v>
      </c>
      <c r="L29" s="1211">
        <f t="shared" si="2"/>
        <v>0</v>
      </c>
      <c r="M29" s="1211">
        <f t="shared" si="2"/>
        <v>0</v>
      </c>
      <c r="N29" s="1211">
        <f t="shared" si="2"/>
        <v>0</v>
      </c>
      <c r="O29" s="1219">
        <f t="shared" si="2"/>
        <v>0</v>
      </c>
      <c r="P29" s="501"/>
      <c r="Q29" s="501"/>
      <c r="R29" s="501"/>
      <c r="S29" s="501"/>
      <c r="T29" s="501"/>
      <c r="U29" s="500"/>
      <c r="V29" s="500"/>
      <c r="W29" s="7"/>
      <c r="X29" s="7"/>
      <c r="Y29" s="7"/>
      <c r="Z29" s="349"/>
      <c r="AA29" s="7"/>
      <c r="AB29" s="7"/>
      <c r="AC29" s="7"/>
      <c r="AD29" s="7"/>
      <c r="AE29" s="7"/>
      <c r="AF29" s="7"/>
      <c r="AG29" s="7"/>
      <c r="AH29" s="7"/>
      <c r="AI29" s="265"/>
      <c r="AJ29" s="266"/>
      <c r="AK29" s="340"/>
      <c r="AL29" s="340"/>
      <c r="AM29" s="341"/>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row>
    <row r="30" spans="1:66" s="348" customFormat="1" ht="15">
      <c r="A30" s="20"/>
      <c r="B30" s="912"/>
      <c r="C30" s="7"/>
      <c r="D30" s="355"/>
      <c r="E30" s="311"/>
      <c r="F30" s="352"/>
      <c r="G30" s="356"/>
      <c r="H30" s="356"/>
      <c r="I30" s="349"/>
      <c r="J30" s="349"/>
      <c r="K30" s="349"/>
      <c r="L30" s="349"/>
      <c r="M30" s="349"/>
      <c r="N30" s="349"/>
      <c r="O30" s="1222"/>
      <c r="P30" s="501"/>
      <c r="Q30" s="501"/>
      <c r="R30" s="501"/>
      <c r="S30" s="501"/>
      <c r="T30" s="501"/>
      <c r="U30" s="500"/>
      <c r="V30" s="500"/>
      <c r="W30" s="7"/>
      <c r="X30" s="7"/>
      <c r="Y30" s="7"/>
      <c r="Z30" s="349"/>
      <c r="AA30" s="7"/>
      <c r="AB30" s="7"/>
      <c r="AC30" s="7"/>
      <c r="AD30" s="7"/>
      <c r="AE30" s="7"/>
      <c r="AF30" s="7"/>
      <c r="AG30" s="7"/>
      <c r="AH30" s="7"/>
      <c r="AI30" s="265"/>
      <c r="AJ30" s="276"/>
      <c r="AK30" s="276"/>
      <c r="AL30" s="276"/>
      <c r="AM30" s="341"/>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row>
    <row r="31" spans="1:66" s="348" customFormat="1" ht="15">
      <c r="A31" s="20"/>
      <c r="B31" s="1223"/>
      <c r="C31" s="1224" t="s">
        <v>99</v>
      </c>
      <c r="D31" s="1225"/>
      <c r="E31" s="1226"/>
      <c r="F31" s="1227"/>
      <c r="G31" s="1228"/>
      <c r="H31" s="1229">
        <f t="shared" ref="H31" si="3">+H25+H29</f>
        <v>149530000</v>
      </c>
      <c r="I31" s="1229">
        <f t="shared" ref="I31:O31" si="4">+I25+I29</f>
        <v>0</v>
      </c>
      <c r="J31" s="1229">
        <f t="shared" si="4"/>
        <v>149530000</v>
      </c>
      <c r="K31" s="1229">
        <f>+K25+K29</f>
        <v>149824783.50999999</v>
      </c>
      <c r="L31" s="1229">
        <f t="shared" si="4"/>
        <v>294783.51</v>
      </c>
      <c r="M31" s="1229">
        <f t="shared" si="4"/>
        <v>2050726.9600000002</v>
      </c>
      <c r="N31" s="1229">
        <f>+N25+N29</f>
        <v>151875510.47000003</v>
      </c>
      <c r="O31" s="1230">
        <f t="shared" si="4"/>
        <v>168.63141824327874</v>
      </c>
      <c r="P31" s="501"/>
      <c r="Q31" s="501"/>
      <c r="R31" s="501"/>
      <c r="S31" s="501"/>
      <c r="T31" s="501"/>
      <c r="U31" s="503"/>
      <c r="V31" s="503"/>
      <c r="W31" s="7"/>
      <c r="X31" s="7"/>
      <c r="Y31" s="7"/>
      <c r="Z31" s="349"/>
      <c r="AA31" s="7"/>
      <c r="AB31" s="7"/>
      <c r="AC31" s="7"/>
      <c r="AD31" s="7"/>
      <c r="AE31" s="7"/>
      <c r="AF31" s="7"/>
      <c r="AG31" s="7"/>
      <c r="AH31" s="7"/>
      <c r="AI31" s="265"/>
      <c r="AJ31" s="276"/>
      <c r="AK31" s="276"/>
      <c r="AL31" s="276"/>
      <c r="AM31" s="341"/>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row>
    <row r="32" spans="1:66" s="363" customFormat="1" ht="15">
      <c r="A32" s="357"/>
      <c r="B32" s="1231"/>
      <c r="C32" s="358"/>
      <c r="D32" s="358"/>
      <c r="E32" s="358"/>
      <c r="F32" s="358"/>
      <c r="G32" s="359"/>
      <c r="H32" s="360"/>
      <c r="I32" s="360"/>
      <c r="J32" s="360"/>
      <c r="K32" s="360"/>
      <c r="L32" s="360"/>
      <c r="M32" s="360"/>
      <c r="N32" s="645"/>
      <c r="O32" s="1232"/>
      <c r="P32" s="501"/>
      <c r="Q32" s="501"/>
      <c r="R32" s="501"/>
      <c r="S32" s="501"/>
      <c r="T32" s="501"/>
      <c r="U32" s="504"/>
      <c r="V32" s="504"/>
      <c r="W32" s="361"/>
      <c r="X32" s="361"/>
      <c r="Y32" s="361"/>
      <c r="Z32" s="362"/>
      <c r="AA32" s="361"/>
      <c r="AB32" s="361"/>
      <c r="AC32" s="361"/>
      <c r="AD32" s="361"/>
      <c r="AE32" s="361"/>
      <c r="AF32" s="7"/>
      <c r="AG32" s="7"/>
      <c r="AH32" s="7"/>
      <c r="AI32" s="265"/>
      <c r="AJ32" s="276"/>
      <c r="AK32" s="142"/>
      <c r="AL32" s="142"/>
      <c r="AM32" s="341"/>
      <c r="AN32" s="7"/>
      <c r="AO32" s="7"/>
      <c r="AP32" s="7"/>
      <c r="AQ32" s="7"/>
      <c r="AR32" s="7"/>
      <c r="AS32" s="7"/>
      <c r="AT32" s="361"/>
      <c r="AU32" s="361"/>
      <c r="AV32" s="361"/>
      <c r="AW32" s="361"/>
      <c r="AX32" s="361"/>
      <c r="AY32" s="361"/>
      <c r="AZ32" s="361"/>
      <c r="BA32" s="361"/>
      <c r="BB32" s="361"/>
      <c r="BC32" s="361"/>
      <c r="BD32" s="361"/>
      <c r="BE32" s="361"/>
      <c r="BF32" s="361"/>
      <c r="BG32" s="361"/>
      <c r="BH32" s="361"/>
      <c r="BI32" s="361"/>
      <c r="BJ32" s="361"/>
      <c r="BK32" s="361"/>
      <c r="BL32" s="361"/>
      <c r="BM32" s="361"/>
      <c r="BN32" s="361"/>
    </row>
    <row r="33" spans="1:66" s="348" customFormat="1" ht="14.25" customHeight="1">
      <c r="A33" s="20"/>
      <c r="B33" s="913"/>
      <c r="C33" s="750"/>
      <c r="D33" s="751"/>
      <c r="E33" s="752"/>
      <c r="F33" s="753"/>
      <c r="G33" s="754"/>
      <c r="H33" s="755"/>
      <c r="I33" s="755"/>
      <c r="J33" s="755"/>
      <c r="K33" s="755"/>
      <c r="L33" s="756"/>
      <c r="M33" s="756"/>
      <c r="N33" s="757"/>
      <c r="O33" s="758"/>
      <c r="P33" s="501"/>
      <c r="Q33" s="501"/>
      <c r="R33" s="501"/>
      <c r="S33" s="501"/>
      <c r="T33" s="501"/>
      <c r="U33" s="500"/>
      <c r="V33" s="500"/>
      <c r="W33" s="7"/>
      <c r="X33" s="7"/>
      <c r="Y33" s="7"/>
      <c r="Z33" s="349"/>
      <c r="AA33" s="7"/>
      <c r="AB33" s="7"/>
      <c r="AC33" s="7"/>
      <c r="AD33" s="7"/>
      <c r="AE33" s="7"/>
      <c r="AF33" s="7"/>
      <c r="AG33" s="7"/>
      <c r="AH33" s="7"/>
      <c r="AI33" s="265"/>
      <c r="AJ33" s="276"/>
      <c r="AK33" s="142"/>
      <c r="AL33" s="142"/>
      <c r="AM33" s="341"/>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row>
    <row r="34" spans="1:66" s="177" customFormat="1" ht="14.25" customHeight="1">
      <c r="A34" s="67"/>
      <c r="B34" s="1223" t="s">
        <v>100</v>
      </c>
      <c r="C34" s="1224"/>
      <c r="D34" s="1225"/>
      <c r="E34" s="1226"/>
      <c r="F34" s="1227"/>
      <c r="G34" s="1228"/>
      <c r="H34" s="1229">
        <f t="shared" ref="H34" si="5">H31</f>
        <v>149530000</v>
      </c>
      <c r="I34" s="1229">
        <f t="shared" ref="I34:N34" si="6">I31</f>
        <v>0</v>
      </c>
      <c r="J34" s="1229">
        <f t="shared" si="6"/>
        <v>149530000</v>
      </c>
      <c r="K34" s="1229">
        <f t="shared" si="6"/>
        <v>149824783.50999999</v>
      </c>
      <c r="L34" s="1229">
        <f t="shared" si="6"/>
        <v>294783.51</v>
      </c>
      <c r="M34" s="1229">
        <f t="shared" si="6"/>
        <v>2050726.9600000002</v>
      </c>
      <c r="N34" s="1229">
        <f t="shared" si="6"/>
        <v>151875510.47000003</v>
      </c>
      <c r="O34" s="1230">
        <f>+O31</f>
        <v>168.63141824327874</v>
      </c>
      <c r="P34" s="501"/>
      <c r="Q34" s="501"/>
      <c r="R34" s="501"/>
      <c r="S34" s="501"/>
      <c r="T34" s="501"/>
      <c r="U34" s="503"/>
      <c r="V34" s="503"/>
      <c r="W34" s="137"/>
      <c r="X34" s="137"/>
      <c r="Y34" s="137"/>
      <c r="Z34" s="284"/>
      <c r="AA34" s="137"/>
      <c r="AB34" s="137"/>
      <c r="AC34" s="137"/>
      <c r="AD34" s="137"/>
      <c r="AE34" s="137"/>
      <c r="AF34" s="361"/>
      <c r="AG34" s="361"/>
      <c r="AH34" s="361"/>
      <c r="AI34" s="265"/>
      <c r="AJ34" s="276"/>
      <c r="AK34" s="142"/>
      <c r="AL34" s="142"/>
      <c r="AM34" s="341"/>
      <c r="AN34" s="361"/>
      <c r="AO34" s="361"/>
      <c r="AP34" s="361"/>
      <c r="AQ34" s="361"/>
      <c r="AR34" s="361"/>
      <c r="AS34" s="361"/>
      <c r="AT34" s="137"/>
      <c r="AU34" s="137"/>
      <c r="AV34" s="137"/>
      <c r="AW34" s="137"/>
      <c r="AX34" s="137"/>
      <c r="AY34" s="137"/>
      <c r="AZ34" s="137"/>
      <c r="BA34" s="137"/>
      <c r="BB34" s="137"/>
      <c r="BC34" s="137"/>
      <c r="BD34" s="137"/>
      <c r="BE34" s="137"/>
      <c r="BF34" s="137"/>
      <c r="BG34" s="137"/>
      <c r="BH34" s="137"/>
      <c r="BI34" s="137"/>
      <c r="BJ34" s="137"/>
      <c r="BK34" s="137"/>
      <c r="BL34" s="137"/>
      <c r="BM34" s="137"/>
      <c r="BN34" s="137"/>
    </row>
    <row r="35" spans="1:66">
      <c r="A35" s="67"/>
      <c r="B35" s="142"/>
      <c r="C35" s="142"/>
      <c r="D35" s="142"/>
      <c r="E35" s="142"/>
      <c r="F35" s="142"/>
      <c r="G35" s="142"/>
      <c r="H35" s="142"/>
      <c r="I35" s="142"/>
      <c r="J35" s="142"/>
      <c r="K35" s="142"/>
      <c r="L35" s="142"/>
      <c r="M35" s="142"/>
      <c r="N35" s="137"/>
      <c r="O35" s="142"/>
      <c r="P35" s="501"/>
      <c r="Q35" s="501"/>
      <c r="R35" s="501"/>
      <c r="S35" s="501"/>
      <c r="T35" s="501"/>
      <c r="U35" s="142"/>
      <c r="V35" s="142"/>
      <c r="W35" s="142"/>
      <c r="X35" s="142"/>
      <c r="Y35" s="285"/>
      <c r="Z35" s="142"/>
      <c r="AA35" s="142"/>
      <c r="AB35" s="142"/>
      <c r="AC35" s="142"/>
      <c r="AD35" s="142"/>
      <c r="AE35" s="7"/>
      <c r="AF35" s="7"/>
      <c r="AG35" s="7"/>
      <c r="AI35" s="276"/>
      <c r="AL35" s="285"/>
      <c r="AM35" s="7"/>
      <c r="AN35" s="7"/>
      <c r="AO35" s="7"/>
      <c r="AP35" s="7"/>
      <c r="AQ35" s="7"/>
      <c r="AR35" s="7"/>
      <c r="BN35" s="142"/>
    </row>
    <row r="36" spans="1:66">
      <c r="A36" s="67"/>
      <c r="B36" s="142"/>
      <c r="C36" s="142"/>
      <c r="D36" s="142"/>
      <c r="E36" s="142"/>
      <c r="F36" s="142"/>
      <c r="G36" s="142"/>
      <c r="H36" s="142"/>
      <c r="I36" s="142"/>
      <c r="J36" s="142"/>
      <c r="K36" s="142"/>
      <c r="L36" s="142"/>
      <c r="M36" s="142"/>
      <c r="N36" s="137"/>
      <c r="O36" s="142"/>
      <c r="P36" s="142"/>
      <c r="Q36" s="142"/>
      <c r="R36" s="142"/>
      <c r="S36" s="142"/>
      <c r="T36" s="142"/>
      <c r="U36" s="142"/>
      <c r="V36" s="142"/>
      <c r="W36" s="142"/>
      <c r="X36" s="142"/>
      <c r="Y36" s="285"/>
      <c r="Z36" s="142"/>
      <c r="AA36" s="142"/>
      <c r="AB36" s="142"/>
      <c r="AC36" s="142"/>
      <c r="AD36" s="142"/>
      <c r="AE36" s="7"/>
      <c r="AF36" s="7"/>
      <c r="AG36" s="7"/>
      <c r="AI36" s="276"/>
      <c r="AL36" s="285"/>
      <c r="AM36" s="7"/>
      <c r="AN36" s="7"/>
      <c r="AO36" s="7"/>
      <c r="AP36" s="7"/>
      <c r="AQ36" s="7"/>
      <c r="AR36" s="7"/>
      <c r="BN36" s="142"/>
    </row>
    <row r="37" spans="1:66">
      <c r="A37" s="67"/>
      <c r="B37" s="142"/>
      <c r="C37" s="142"/>
      <c r="D37" s="142"/>
      <c r="E37" s="142"/>
      <c r="F37" s="142"/>
      <c r="G37" s="142"/>
      <c r="H37" s="142"/>
      <c r="I37" s="142"/>
      <c r="J37" s="142"/>
      <c r="K37" s="142"/>
      <c r="L37" s="142"/>
      <c r="M37" s="142"/>
      <c r="N37" s="137"/>
      <c r="O37" s="142"/>
      <c r="P37" s="142"/>
      <c r="Q37" s="142"/>
      <c r="R37" s="142"/>
      <c r="S37" s="142"/>
      <c r="T37" s="142"/>
      <c r="U37" s="142"/>
      <c r="V37" s="142"/>
      <c r="W37" s="142"/>
      <c r="X37" s="142"/>
      <c r="Y37" s="285"/>
      <c r="Z37" s="142"/>
      <c r="AA37" s="142"/>
      <c r="AB37" s="142"/>
      <c r="AC37" s="142"/>
      <c r="AD37" s="142"/>
      <c r="AE37" s="7"/>
      <c r="AF37" s="7"/>
      <c r="AG37" s="7"/>
      <c r="AI37" s="276"/>
      <c r="AL37" s="285"/>
      <c r="AM37" s="7"/>
      <c r="AN37" s="7"/>
      <c r="AO37" s="7"/>
      <c r="AP37" s="7"/>
      <c r="AQ37" s="7"/>
      <c r="AR37" s="7"/>
      <c r="BN37" s="142"/>
    </row>
    <row r="38" spans="1:66">
      <c r="A38" s="67"/>
      <c r="B38" s="142"/>
      <c r="C38" s="142"/>
      <c r="D38" s="142"/>
      <c r="E38" s="142"/>
      <c r="F38" s="142"/>
      <c r="G38" s="142"/>
      <c r="H38" s="142"/>
      <c r="I38" s="142"/>
      <c r="J38" s="142"/>
      <c r="K38" s="142"/>
      <c r="L38" s="142"/>
      <c r="M38" s="142"/>
      <c r="N38" s="137"/>
      <c r="O38" s="142"/>
      <c r="P38" s="142"/>
      <c r="Q38" s="142"/>
      <c r="R38" s="142"/>
      <c r="S38" s="142"/>
      <c r="T38" s="142"/>
      <c r="U38" s="142"/>
      <c r="V38" s="142"/>
      <c r="W38" s="142"/>
      <c r="X38" s="142"/>
      <c r="Y38" s="285"/>
      <c r="Z38" s="142"/>
      <c r="AA38" s="142"/>
      <c r="AB38" s="142"/>
      <c r="AC38" s="142"/>
      <c r="AD38" s="142"/>
      <c r="AE38" s="7"/>
      <c r="AF38" s="7"/>
      <c r="AG38" s="7"/>
      <c r="AI38" s="276"/>
      <c r="AL38" s="285"/>
      <c r="AM38" s="7"/>
      <c r="AN38" s="7"/>
      <c r="AO38" s="7"/>
      <c r="AP38" s="7"/>
      <c r="AQ38" s="7"/>
      <c r="AR38" s="7"/>
      <c r="BN38" s="142"/>
    </row>
    <row r="39" spans="1:66" ht="15">
      <c r="A39" s="67"/>
      <c r="B39" s="1233" t="s">
        <v>101</v>
      </c>
      <c r="C39" s="1234"/>
      <c r="D39" s="1235" t="s">
        <v>102</v>
      </c>
      <c r="E39" s="1196" t="s">
        <v>103</v>
      </c>
      <c r="F39" s="142"/>
      <c r="G39" s="142"/>
      <c r="H39" s="142"/>
      <c r="I39" s="142"/>
      <c r="J39" s="137"/>
      <c r="K39" s="142"/>
      <c r="L39" s="142"/>
      <c r="M39" s="142"/>
      <c r="N39" s="142"/>
      <c r="O39" s="142"/>
      <c r="P39" s="142"/>
      <c r="Q39" s="142"/>
      <c r="R39" s="142"/>
      <c r="S39" s="142"/>
      <c r="T39" s="142"/>
      <c r="U39" s="285"/>
      <c r="V39" s="142"/>
      <c r="W39" s="142"/>
      <c r="X39" s="142"/>
      <c r="Y39" s="142"/>
      <c r="Z39" s="142"/>
      <c r="AA39" s="7"/>
      <c r="AB39" s="7"/>
      <c r="AC39" s="7"/>
      <c r="AD39" s="142"/>
      <c r="AE39" s="276"/>
      <c r="AH39" s="285"/>
      <c r="AI39" s="7"/>
      <c r="AJ39" s="7"/>
      <c r="AK39" s="7"/>
      <c r="AL39" s="7"/>
      <c r="AM39" s="7"/>
      <c r="AN39" s="7"/>
      <c r="BN39" s="142"/>
    </row>
    <row r="40" spans="1:66">
      <c r="A40" s="67"/>
      <c r="B40" s="900"/>
      <c r="C40" s="142"/>
      <c r="D40" s="1236"/>
      <c r="E40" s="1237"/>
      <c r="F40" s="142"/>
      <c r="G40" s="142"/>
      <c r="H40" s="142"/>
      <c r="I40" s="142"/>
      <c r="J40" s="137"/>
      <c r="K40" s="142"/>
      <c r="L40" s="142"/>
      <c r="M40" s="142"/>
      <c r="N40" s="142"/>
      <c r="O40" s="142"/>
      <c r="P40" s="142"/>
      <c r="Q40" s="142"/>
      <c r="R40" s="142"/>
      <c r="S40" s="142"/>
      <c r="T40" s="142"/>
      <c r="U40" s="285"/>
      <c r="V40" s="142"/>
      <c r="W40" s="142"/>
      <c r="X40" s="142"/>
      <c r="Y40" s="142"/>
      <c r="Z40" s="142"/>
      <c r="AA40" s="7"/>
      <c r="AB40" s="7"/>
      <c r="AC40" s="7"/>
      <c r="AD40" s="142"/>
      <c r="AE40" s="276"/>
      <c r="AH40" s="285"/>
      <c r="AI40" s="7"/>
      <c r="AJ40" s="7"/>
      <c r="AK40" s="7"/>
      <c r="AL40" s="7"/>
      <c r="AM40" s="7"/>
      <c r="AN40" s="7"/>
      <c r="BN40" s="142"/>
    </row>
    <row r="41" spans="1:66">
      <c r="A41" s="67"/>
      <c r="B41" s="900" t="s">
        <v>34</v>
      </c>
      <c r="C41" s="142"/>
      <c r="D41" s="914">
        <f>N34</f>
        <v>151875510.47000003</v>
      </c>
      <c r="E41" s="915">
        <f>+D41/$D$74</f>
        <v>1.6863141824327879</v>
      </c>
      <c r="F41" s="142"/>
      <c r="G41" s="142"/>
      <c r="H41" s="142"/>
      <c r="I41" s="142"/>
      <c r="J41" s="137"/>
      <c r="K41" s="142"/>
      <c r="L41" s="142"/>
      <c r="M41" s="142"/>
      <c r="N41" s="142"/>
      <c r="O41" s="142"/>
      <c r="P41" s="142"/>
      <c r="Q41" s="142"/>
      <c r="R41" s="142"/>
      <c r="S41" s="142"/>
      <c r="T41" s="142"/>
      <c r="U41" s="285"/>
      <c r="V41" s="142"/>
      <c r="W41" s="142"/>
      <c r="X41" s="142"/>
      <c r="Y41" s="142"/>
      <c r="Z41" s="142"/>
      <c r="AA41" s="7"/>
      <c r="AB41" s="7"/>
      <c r="AC41" s="7"/>
      <c r="AD41" s="142"/>
      <c r="AE41" s="276"/>
      <c r="AH41" s="285"/>
      <c r="AI41" s="7"/>
      <c r="AJ41" s="7"/>
      <c r="AK41" s="7"/>
      <c r="AL41" s="7"/>
      <c r="AM41" s="7"/>
      <c r="AN41" s="7"/>
      <c r="BN41" s="142"/>
    </row>
    <row r="42" spans="1:66">
      <c r="A42" s="67"/>
      <c r="B42" s="900"/>
      <c r="C42" s="142"/>
      <c r="D42" s="914"/>
      <c r="E42" s="915"/>
      <c r="F42" s="142"/>
      <c r="G42" s="142"/>
      <c r="H42" s="142"/>
      <c r="I42" s="142"/>
      <c r="J42" s="137"/>
      <c r="K42" s="142"/>
      <c r="L42" s="142"/>
      <c r="M42" s="142"/>
      <c r="N42" s="142"/>
      <c r="O42" s="142"/>
      <c r="P42" s="142"/>
      <c r="Q42" s="142"/>
      <c r="R42" s="142"/>
      <c r="S42" s="142"/>
      <c r="T42" s="142"/>
      <c r="U42" s="285"/>
      <c r="V42" s="142"/>
      <c r="W42" s="142"/>
      <c r="X42" s="142"/>
      <c r="Y42" s="142"/>
      <c r="Z42" s="142"/>
      <c r="AA42" s="7"/>
      <c r="AB42" s="7"/>
      <c r="AC42" s="7"/>
      <c r="AD42" s="142"/>
      <c r="AE42" s="276"/>
      <c r="AH42" s="285"/>
      <c r="AI42" s="7"/>
      <c r="AJ42" s="7"/>
      <c r="AK42" s="7"/>
      <c r="AL42" s="7"/>
      <c r="AM42" s="7"/>
      <c r="AN42" s="7"/>
      <c r="BN42" s="142"/>
    </row>
    <row r="43" spans="1:66">
      <c r="A43" s="67"/>
      <c r="B43" s="900" t="s">
        <v>104</v>
      </c>
      <c r="C43" s="142"/>
      <c r="D43" s="914">
        <f>'Rappro Banque'!C30</f>
        <v>2114169.77</v>
      </c>
      <c r="E43" s="915">
        <f>+D43/$D$74</f>
        <v>2.3474189197381434E-2</v>
      </c>
      <c r="F43" s="142"/>
      <c r="G43" s="142"/>
      <c r="H43" s="142"/>
      <c r="I43" s="142"/>
      <c r="J43" s="137"/>
      <c r="K43" s="142"/>
      <c r="L43" s="142"/>
      <c r="M43" s="142"/>
      <c r="N43" s="142"/>
      <c r="O43" s="142"/>
      <c r="P43" s="142"/>
      <c r="Q43" s="142"/>
      <c r="R43" s="142"/>
      <c r="S43" s="142"/>
      <c r="T43" s="142"/>
      <c r="U43" s="285"/>
      <c r="V43" s="142"/>
      <c r="W43" s="142"/>
      <c r="X43" s="142"/>
      <c r="Y43" s="142"/>
      <c r="Z43" s="142"/>
      <c r="AA43" s="7"/>
      <c r="AB43" s="7"/>
      <c r="AC43" s="7"/>
      <c r="AD43" s="142"/>
      <c r="AE43" s="276"/>
      <c r="AH43" s="285"/>
      <c r="AI43" s="7"/>
      <c r="AJ43" s="7"/>
      <c r="AK43" s="7"/>
      <c r="AL43" s="7"/>
      <c r="AM43" s="7"/>
      <c r="AN43" s="7"/>
      <c r="BN43" s="142"/>
    </row>
    <row r="44" spans="1:66">
      <c r="A44" s="67"/>
      <c r="B44" s="900"/>
      <c r="C44" s="142"/>
      <c r="D44" s="914"/>
      <c r="E44" s="915"/>
      <c r="F44" s="142"/>
      <c r="G44" s="142"/>
      <c r="H44" s="142"/>
      <c r="I44" s="142"/>
      <c r="J44" s="137"/>
      <c r="K44" s="142"/>
      <c r="L44" s="142"/>
      <c r="M44" s="142"/>
      <c r="N44" s="142"/>
      <c r="O44" s="142"/>
      <c r="P44" s="142"/>
      <c r="Q44" s="142"/>
      <c r="R44" s="142"/>
      <c r="S44" s="142"/>
      <c r="T44" s="142"/>
      <c r="U44" s="285"/>
      <c r="V44" s="142"/>
      <c r="W44" s="142"/>
      <c r="X44" s="142"/>
      <c r="Y44" s="142"/>
      <c r="Z44" s="142"/>
      <c r="AA44" s="7"/>
      <c r="AB44" s="7"/>
      <c r="AC44" s="7"/>
      <c r="AD44" s="142"/>
      <c r="AE44" s="276"/>
      <c r="AH44" s="285"/>
      <c r="AI44" s="7"/>
      <c r="AJ44" s="7"/>
      <c r="AK44" s="7"/>
      <c r="AL44" s="7"/>
      <c r="AM44" s="7"/>
      <c r="AN44" s="7"/>
      <c r="BN44" s="142"/>
    </row>
    <row r="45" spans="1:66">
      <c r="A45" s="67"/>
      <c r="B45" s="900" t="s">
        <v>105</v>
      </c>
      <c r="C45" s="142"/>
      <c r="D45" s="914">
        <f>+'Créances_&amp;_dettes'!G35</f>
        <v>0</v>
      </c>
      <c r="E45" s="915">
        <f>+D45/$D$74</f>
        <v>0</v>
      </c>
      <c r="F45" s="142"/>
      <c r="G45" s="142"/>
      <c r="H45" s="142"/>
      <c r="I45" s="142"/>
      <c r="J45" s="137"/>
      <c r="K45" s="142"/>
      <c r="L45" s="142"/>
      <c r="M45" s="142"/>
      <c r="N45" s="142"/>
      <c r="O45" s="142"/>
      <c r="P45" s="142"/>
      <c r="Q45" s="142"/>
      <c r="R45" s="142"/>
      <c r="S45" s="142"/>
      <c r="T45" s="142"/>
      <c r="U45" s="285"/>
      <c r="V45" s="142"/>
      <c r="W45" s="142"/>
      <c r="X45" s="142"/>
      <c r="Y45" s="142"/>
      <c r="Z45" s="142"/>
      <c r="AA45" s="7"/>
      <c r="AB45" s="7"/>
      <c r="AC45" s="7"/>
      <c r="AD45" s="142"/>
      <c r="AE45" s="276"/>
      <c r="AH45" s="285"/>
      <c r="AI45" s="7"/>
      <c r="AJ45" s="7"/>
      <c r="AK45" s="7"/>
      <c r="AL45" s="7"/>
      <c r="AM45" s="7"/>
      <c r="AN45" s="7"/>
      <c r="BN45" s="142"/>
    </row>
    <row r="46" spans="1:66">
      <c r="A46" s="67"/>
      <c r="B46" s="900"/>
      <c r="C46" s="142"/>
      <c r="D46" s="916"/>
      <c r="E46" s="915"/>
      <c r="F46" s="142"/>
      <c r="G46" s="142"/>
      <c r="H46" s="142"/>
      <c r="I46" s="142"/>
      <c r="J46" s="137"/>
      <c r="K46" s="142"/>
      <c r="L46" s="142"/>
      <c r="M46" s="142"/>
      <c r="N46" s="142"/>
      <c r="O46" s="142"/>
      <c r="P46" s="142"/>
      <c r="Q46" s="142"/>
      <c r="R46" s="142"/>
      <c r="S46" s="142"/>
      <c r="T46" s="142"/>
      <c r="U46" s="285"/>
      <c r="V46" s="142"/>
      <c r="W46" s="142"/>
      <c r="X46" s="142"/>
      <c r="Y46" s="142"/>
      <c r="Z46" s="142"/>
      <c r="AA46" s="7"/>
      <c r="AB46" s="7"/>
      <c r="AC46" s="7"/>
      <c r="AD46" s="142"/>
      <c r="AE46" s="276"/>
      <c r="AH46" s="285"/>
      <c r="AI46" s="7"/>
      <c r="AJ46" s="7"/>
      <c r="AK46" s="7"/>
      <c r="AL46" s="7"/>
      <c r="AM46" s="7"/>
      <c r="AN46" s="7"/>
      <c r="BN46" s="142"/>
    </row>
    <row r="47" spans="1:66">
      <c r="A47" s="67"/>
      <c r="B47" s="900" t="s">
        <v>106</v>
      </c>
      <c r="C47" s="142"/>
      <c r="D47" s="914">
        <f>-'Créances_&amp;_dettes'!G103+'Créances_&amp;_dettes'!G105-'Créances_&amp;_dettes'!G106</f>
        <v>-63484.78</v>
      </c>
      <c r="E47" s="915">
        <f>+D47/$D$74</f>
        <v>-7.0488839544524218E-4</v>
      </c>
      <c r="F47" s="142"/>
      <c r="G47" s="142"/>
      <c r="H47" s="142"/>
      <c r="I47" s="142"/>
      <c r="J47" s="137"/>
      <c r="K47" s="142"/>
      <c r="L47" s="142"/>
      <c r="M47" s="142"/>
      <c r="N47" s="142"/>
      <c r="O47" s="142"/>
      <c r="P47" s="142"/>
      <c r="Q47" s="142"/>
      <c r="R47" s="142"/>
      <c r="S47" s="142"/>
      <c r="T47" s="142"/>
      <c r="U47" s="285"/>
      <c r="V47" s="142"/>
      <c r="W47" s="142"/>
      <c r="X47" s="142"/>
      <c r="Y47" s="142"/>
      <c r="Z47" s="142"/>
      <c r="AA47" s="7"/>
      <c r="AB47" s="7"/>
      <c r="AC47" s="7"/>
      <c r="AD47" s="142"/>
      <c r="AE47" s="276"/>
      <c r="AH47" s="285"/>
      <c r="AI47" s="7"/>
      <c r="AJ47" s="7"/>
      <c r="AK47" s="7"/>
      <c r="AL47" s="7"/>
      <c r="AM47" s="7"/>
      <c r="AN47" s="7"/>
      <c r="BN47" s="142"/>
    </row>
    <row r="48" spans="1:66">
      <c r="A48" s="67"/>
      <c r="B48" s="900"/>
      <c r="C48" s="142"/>
      <c r="D48" s="914"/>
      <c r="E48" s="915"/>
      <c r="F48" s="142"/>
      <c r="G48" s="142"/>
      <c r="H48" s="142"/>
      <c r="I48" s="142"/>
      <c r="J48" s="137"/>
      <c r="K48" s="142"/>
      <c r="L48" s="142"/>
      <c r="M48" s="142"/>
      <c r="N48" s="142"/>
      <c r="O48" s="142"/>
      <c r="P48" s="142"/>
      <c r="Q48" s="142"/>
      <c r="R48" s="142"/>
      <c r="S48" s="142"/>
      <c r="T48" s="142"/>
      <c r="U48" s="285"/>
      <c r="V48" s="142"/>
      <c r="W48" s="142"/>
      <c r="X48" s="142"/>
      <c r="Y48" s="142"/>
      <c r="Z48" s="142"/>
      <c r="AA48" s="7"/>
      <c r="AB48" s="7"/>
      <c r="AC48" s="7"/>
      <c r="AD48" s="142"/>
      <c r="AE48" s="276"/>
      <c r="AH48" s="285"/>
      <c r="AI48" s="7"/>
      <c r="AJ48" s="7"/>
      <c r="AK48" s="7"/>
      <c r="AL48" s="7"/>
      <c r="AM48" s="7"/>
      <c r="AN48" s="7"/>
      <c r="BN48" s="142"/>
    </row>
    <row r="49" spans="1:66">
      <c r="A49" s="67"/>
      <c r="B49" s="900" t="s">
        <v>107</v>
      </c>
      <c r="C49" s="142"/>
      <c r="D49" s="917">
        <f>-(Emprunt!K186+Emprunt!K187)</f>
        <v>-63862604.670000002</v>
      </c>
      <c r="E49" s="915">
        <f>+D49/$D$74</f>
        <v>-0.70908348323472392</v>
      </c>
      <c r="F49" s="142"/>
      <c r="G49" s="142"/>
      <c r="H49" s="142"/>
      <c r="I49" s="142"/>
      <c r="J49" s="137"/>
      <c r="K49" s="142"/>
      <c r="L49" s="142"/>
      <c r="M49" s="142"/>
      <c r="N49" s="142"/>
      <c r="O49" s="142"/>
      <c r="P49" s="142"/>
      <c r="Q49" s="142"/>
      <c r="R49" s="142"/>
      <c r="S49" s="142"/>
      <c r="T49" s="142"/>
      <c r="U49" s="285"/>
      <c r="V49" s="142"/>
      <c r="W49" s="142"/>
      <c r="X49" s="142"/>
      <c r="Y49" s="142"/>
      <c r="Z49" s="142"/>
      <c r="AA49" s="7"/>
      <c r="AB49" s="7"/>
      <c r="AC49" s="7"/>
      <c r="AD49" s="142"/>
      <c r="AE49" s="276"/>
      <c r="AH49" s="285"/>
      <c r="AI49" s="7"/>
      <c r="AJ49" s="7"/>
      <c r="AK49" s="7"/>
      <c r="AL49" s="7"/>
      <c r="AM49" s="7"/>
      <c r="AN49" s="7"/>
      <c r="BN49" s="142"/>
    </row>
    <row r="50" spans="1:66">
      <c r="A50" s="67"/>
      <c r="B50" s="900"/>
      <c r="C50" s="142"/>
      <c r="D50" s="759"/>
      <c r="E50" s="760"/>
      <c r="F50" s="142"/>
      <c r="G50" s="142"/>
      <c r="H50" s="142"/>
      <c r="I50" s="142"/>
      <c r="J50" s="137"/>
      <c r="K50" s="142"/>
      <c r="L50" s="142"/>
      <c r="M50" s="142"/>
      <c r="N50" s="142"/>
      <c r="O50" s="142"/>
      <c r="P50" s="142"/>
      <c r="Q50" s="142"/>
      <c r="R50" s="142"/>
      <c r="S50" s="142"/>
      <c r="T50" s="142"/>
      <c r="U50" s="285"/>
      <c r="V50" s="142"/>
      <c r="W50" s="142"/>
      <c r="X50" s="142"/>
      <c r="Y50" s="142"/>
      <c r="Z50" s="142"/>
      <c r="AA50" s="7"/>
      <c r="AB50" s="7"/>
      <c r="AC50" s="7"/>
      <c r="AD50" s="142"/>
      <c r="AE50" s="276"/>
      <c r="AH50" s="285"/>
      <c r="AI50" s="7"/>
      <c r="AJ50" s="7"/>
      <c r="AK50" s="7"/>
      <c r="AL50" s="7"/>
      <c r="AM50" s="7"/>
      <c r="AN50" s="7"/>
      <c r="BN50" s="142"/>
    </row>
    <row r="51" spans="1:66">
      <c r="A51" s="67"/>
      <c r="B51" s="1238" t="s">
        <v>108</v>
      </c>
      <c r="C51" s="1239"/>
      <c r="D51" s="1219">
        <f>ROUND(SUM(D41:D50),2)</f>
        <v>90063590.790000007</v>
      </c>
      <c r="E51" s="1240">
        <f>SUM(E40:E50)</f>
        <v>1.0000000000000002</v>
      </c>
      <c r="F51" s="142"/>
      <c r="G51" s="142"/>
      <c r="H51" s="142"/>
      <c r="I51" s="142"/>
      <c r="J51" s="137"/>
      <c r="K51" s="142"/>
      <c r="L51" s="142"/>
      <c r="M51" s="142"/>
      <c r="N51" s="142"/>
      <c r="O51" s="142"/>
      <c r="P51" s="142"/>
      <c r="Q51" s="142"/>
      <c r="R51" s="142"/>
      <c r="S51" s="142"/>
      <c r="T51" s="142"/>
      <c r="U51" s="285"/>
      <c r="V51" s="142"/>
      <c r="W51" s="142"/>
      <c r="X51" s="142"/>
      <c r="Y51" s="142"/>
      <c r="Z51" s="142"/>
      <c r="AA51" s="7"/>
      <c r="AB51" s="7"/>
      <c r="AC51" s="7"/>
      <c r="AD51" s="142"/>
      <c r="AE51" s="276"/>
      <c r="AH51" s="285"/>
      <c r="AI51" s="7"/>
      <c r="AJ51" s="7"/>
      <c r="AK51" s="7"/>
      <c r="AL51" s="7"/>
      <c r="AM51" s="7"/>
      <c r="AN51" s="7"/>
      <c r="BN51" s="142"/>
    </row>
    <row r="52" spans="1:66">
      <c r="A52" s="67"/>
      <c r="B52" s="142"/>
      <c r="C52" s="142"/>
      <c r="D52" s="142"/>
      <c r="E52" s="142"/>
      <c r="F52" s="346"/>
      <c r="G52" s="142"/>
      <c r="H52" s="142"/>
      <c r="I52" s="142"/>
      <c r="J52" s="142"/>
      <c r="K52" s="142"/>
      <c r="L52" s="137"/>
      <c r="M52" s="142"/>
      <c r="N52" s="142"/>
      <c r="O52" s="142"/>
      <c r="P52" s="142"/>
      <c r="Q52" s="142"/>
      <c r="R52" s="142"/>
      <c r="S52" s="142"/>
      <c r="T52" s="142"/>
      <c r="U52" s="142"/>
      <c r="V52" s="142"/>
      <c r="W52" s="285"/>
      <c r="X52" s="142"/>
      <c r="Y52" s="142"/>
      <c r="Z52" s="142"/>
      <c r="AA52" s="142"/>
      <c r="AB52" s="142"/>
      <c r="AC52" s="7"/>
      <c r="AD52" s="7"/>
      <c r="AE52" s="7"/>
      <c r="AG52" s="276"/>
      <c r="AJ52" s="285"/>
      <c r="AK52" s="7"/>
      <c r="AL52" s="7"/>
      <c r="AM52" s="7"/>
      <c r="AN52" s="7"/>
      <c r="AO52" s="7"/>
      <c r="AP52" s="7"/>
      <c r="BN52" s="142"/>
    </row>
    <row r="53" spans="1:66">
      <c r="A53" s="67"/>
      <c r="B53" s="142"/>
      <c r="C53" s="142"/>
      <c r="D53" s="142"/>
      <c r="E53" s="142"/>
      <c r="F53" s="142"/>
      <c r="G53" s="142"/>
      <c r="H53" s="142"/>
      <c r="I53" s="142"/>
      <c r="J53" s="142"/>
      <c r="K53" s="142"/>
      <c r="L53" s="142"/>
      <c r="M53" s="142"/>
      <c r="N53" s="137"/>
      <c r="O53" s="142"/>
      <c r="P53" s="142"/>
      <c r="Q53" s="142"/>
      <c r="R53" s="142"/>
      <c r="S53" s="142"/>
      <c r="T53" s="142"/>
      <c r="U53" s="142"/>
      <c r="V53" s="142"/>
      <c r="W53" s="142"/>
      <c r="X53" s="142"/>
      <c r="Y53" s="285"/>
      <c r="Z53" s="142"/>
      <c r="AA53" s="142"/>
      <c r="AB53" s="142"/>
      <c r="AC53" s="142"/>
      <c r="AD53" s="142"/>
      <c r="AE53" s="7"/>
      <c r="AF53" s="7"/>
      <c r="AG53" s="7"/>
      <c r="AI53" s="276"/>
      <c r="AL53" s="285"/>
      <c r="AM53" s="7"/>
      <c r="AN53" s="7"/>
      <c r="AO53" s="7"/>
      <c r="AP53" s="7"/>
      <c r="AQ53" s="7"/>
      <c r="AR53" s="7"/>
      <c r="BN53" s="142"/>
    </row>
    <row r="54" spans="1:66">
      <c r="A54" s="67"/>
      <c r="B54" s="142"/>
      <c r="C54" s="142"/>
      <c r="D54" s="142"/>
      <c r="E54" s="142"/>
      <c r="F54" s="142"/>
      <c r="G54" s="142"/>
      <c r="H54" s="142"/>
      <c r="I54" s="142"/>
      <c r="J54" s="142"/>
      <c r="K54" s="142"/>
      <c r="L54" s="142"/>
      <c r="M54" s="142"/>
      <c r="N54" s="137"/>
      <c r="O54" s="142"/>
      <c r="P54" s="142"/>
      <c r="Q54" s="142"/>
      <c r="R54" s="142"/>
      <c r="S54" s="142"/>
      <c r="T54" s="142"/>
      <c r="U54" s="142"/>
      <c r="V54" s="142"/>
      <c r="W54" s="142"/>
      <c r="X54" s="142"/>
      <c r="Y54" s="285"/>
      <c r="Z54" s="142"/>
      <c r="AA54" s="142"/>
      <c r="AB54" s="142"/>
      <c r="AC54" s="142"/>
      <c r="AD54" s="142"/>
      <c r="AE54" s="7"/>
      <c r="AF54" s="7"/>
      <c r="AG54" s="7"/>
      <c r="AI54" s="276"/>
      <c r="AL54" s="285"/>
      <c r="AM54" s="7"/>
      <c r="AN54" s="7"/>
      <c r="AO54" s="7"/>
      <c r="AP54" s="7"/>
      <c r="AQ54" s="7"/>
      <c r="AR54" s="7"/>
      <c r="BN54" s="142"/>
    </row>
    <row r="55" spans="1:66">
      <c r="A55" s="67"/>
      <c r="B55" s="142"/>
      <c r="C55" s="142"/>
      <c r="D55" s="142"/>
      <c r="E55" s="142"/>
      <c r="F55" s="142"/>
      <c r="G55" s="142"/>
      <c r="H55" s="142"/>
      <c r="I55" s="142"/>
      <c r="J55" s="142"/>
      <c r="K55" s="142"/>
      <c r="L55" s="142"/>
      <c r="M55" s="142"/>
      <c r="N55" s="137"/>
      <c r="O55" s="142"/>
      <c r="P55" s="142"/>
      <c r="Q55" s="142"/>
      <c r="R55" s="142"/>
      <c r="S55" s="142"/>
      <c r="T55" s="142"/>
      <c r="U55" s="142"/>
      <c r="V55" s="142"/>
      <c r="W55" s="142"/>
      <c r="X55" s="142"/>
      <c r="Y55" s="285"/>
      <c r="Z55" s="142"/>
      <c r="AA55" s="142"/>
      <c r="AB55" s="142"/>
      <c r="AC55" s="142"/>
      <c r="AD55" s="142"/>
      <c r="AE55" s="7"/>
      <c r="AF55" s="7"/>
      <c r="AG55" s="7"/>
      <c r="AI55" s="276"/>
      <c r="AL55" s="285"/>
      <c r="AM55" s="7"/>
      <c r="AN55" s="7"/>
      <c r="AO55" s="7"/>
      <c r="AP55" s="7"/>
      <c r="AQ55" s="7"/>
      <c r="AR55" s="7"/>
      <c r="BN55" s="142"/>
    </row>
    <row r="56" spans="1:66">
      <c r="A56" s="67"/>
      <c r="B56" s="142"/>
      <c r="C56" s="142"/>
      <c r="D56" s="142"/>
      <c r="E56" s="142"/>
      <c r="F56" s="142"/>
      <c r="G56" s="142"/>
      <c r="H56" s="142"/>
      <c r="I56" s="142"/>
      <c r="J56" s="142"/>
      <c r="K56" s="142"/>
      <c r="L56" s="142"/>
      <c r="M56" s="142"/>
      <c r="N56" s="137"/>
      <c r="O56" s="142"/>
      <c r="P56" s="142"/>
      <c r="Q56" s="142"/>
      <c r="R56" s="142"/>
      <c r="S56" s="142"/>
      <c r="T56" s="142"/>
      <c r="U56" s="142"/>
      <c r="V56" s="142"/>
      <c r="W56" s="142"/>
      <c r="X56" s="142"/>
      <c r="Y56" s="285"/>
      <c r="Z56" s="142"/>
      <c r="AA56" s="142"/>
      <c r="AB56" s="142"/>
      <c r="AC56" s="142"/>
      <c r="AD56" s="142"/>
      <c r="AE56" s="7"/>
      <c r="AF56" s="7"/>
      <c r="AG56" s="7"/>
      <c r="AI56" s="276"/>
      <c r="AL56" s="285"/>
      <c r="AM56" s="7"/>
      <c r="AN56" s="7"/>
      <c r="AO56" s="7"/>
      <c r="AP56" s="7"/>
      <c r="AQ56" s="7"/>
      <c r="AR56" s="7"/>
      <c r="BN56" s="142"/>
    </row>
    <row r="57" spans="1:66">
      <c r="A57" s="67"/>
      <c r="B57" s="142"/>
      <c r="C57" s="142"/>
      <c r="D57" s="142"/>
      <c r="E57" s="142"/>
      <c r="F57" s="142"/>
      <c r="G57" s="142"/>
      <c r="H57" s="142"/>
      <c r="I57" s="142"/>
      <c r="J57" s="142"/>
      <c r="K57" s="142"/>
      <c r="L57" s="142"/>
      <c r="M57" s="142"/>
      <c r="N57" s="137"/>
      <c r="O57" s="142"/>
      <c r="P57" s="142"/>
      <c r="Q57" s="142"/>
      <c r="R57" s="142"/>
      <c r="S57" s="142"/>
      <c r="T57" s="142"/>
      <c r="U57" s="142"/>
      <c r="V57" s="142"/>
      <c r="W57" s="142"/>
      <c r="X57" s="142"/>
      <c r="Y57" s="285"/>
      <c r="Z57" s="142"/>
      <c r="AA57" s="142"/>
      <c r="AB57" s="142"/>
      <c r="AC57" s="142"/>
      <c r="AD57" s="142"/>
      <c r="AE57" s="7"/>
      <c r="AF57" s="7"/>
      <c r="AG57" s="7"/>
      <c r="AI57" s="276"/>
      <c r="AL57" s="285"/>
      <c r="AM57" s="7"/>
      <c r="AN57" s="7"/>
      <c r="AO57" s="7"/>
      <c r="AP57" s="7"/>
      <c r="AQ57" s="7"/>
      <c r="AR57" s="7"/>
      <c r="BN57" s="142"/>
    </row>
    <row r="58" spans="1:66">
      <c r="A58" s="67"/>
      <c r="B58" s="142"/>
      <c r="C58" s="142"/>
      <c r="D58" s="142"/>
      <c r="E58" s="142"/>
      <c r="F58" s="142"/>
      <c r="G58" s="142"/>
      <c r="H58" s="142"/>
      <c r="I58" s="142"/>
      <c r="J58" s="142"/>
      <c r="K58" s="142"/>
      <c r="L58" s="142"/>
      <c r="M58" s="142"/>
      <c r="N58" s="137"/>
      <c r="O58" s="142"/>
      <c r="P58" s="142"/>
      <c r="Q58" s="142"/>
      <c r="R58" s="142"/>
      <c r="S58" s="142"/>
      <c r="T58" s="142"/>
      <c r="U58" s="142"/>
      <c r="V58" s="142"/>
      <c r="W58" s="142"/>
      <c r="X58" s="142"/>
      <c r="Y58" s="285"/>
      <c r="Z58" s="142"/>
      <c r="AA58" s="142"/>
      <c r="AB58" s="142"/>
      <c r="AC58" s="142"/>
      <c r="AD58" s="142"/>
      <c r="AE58" s="7"/>
      <c r="AF58" s="7"/>
      <c r="AG58" s="7"/>
      <c r="AI58" s="276"/>
      <c r="AL58" s="285"/>
      <c r="AM58" s="7"/>
      <c r="AN58" s="7"/>
      <c r="AO58" s="7"/>
      <c r="AP58" s="7"/>
      <c r="AQ58" s="7"/>
      <c r="AR58" s="7"/>
      <c r="BN58" s="142"/>
    </row>
    <row r="59" spans="1:66">
      <c r="A59" s="67"/>
      <c r="B59" s="142"/>
      <c r="C59" s="142"/>
      <c r="D59" s="142"/>
      <c r="E59" s="142"/>
      <c r="F59" s="142"/>
      <c r="G59" s="142"/>
      <c r="H59" s="142"/>
      <c r="I59" s="142"/>
      <c r="J59" s="142"/>
      <c r="K59" s="142"/>
      <c r="L59" s="142"/>
      <c r="M59" s="142"/>
      <c r="N59" s="137"/>
      <c r="O59" s="142"/>
      <c r="P59" s="142"/>
      <c r="Q59" s="142"/>
      <c r="R59" s="142"/>
      <c r="S59" s="142"/>
      <c r="T59" s="142"/>
      <c r="U59" s="142"/>
      <c r="V59" s="142"/>
      <c r="W59" s="142"/>
      <c r="X59" s="142"/>
      <c r="Y59" s="285"/>
      <c r="Z59" s="142"/>
      <c r="AA59" s="142"/>
      <c r="AB59" s="142"/>
      <c r="AC59" s="142"/>
      <c r="AD59" s="142"/>
      <c r="AE59" s="7"/>
      <c r="AF59" s="7"/>
      <c r="AG59" s="7"/>
      <c r="AI59" s="276"/>
      <c r="AL59" s="285"/>
      <c r="AM59" s="7"/>
      <c r="AN59" s="7"/>
      <c r="AO59" s="7"/>
      <c r="AP59" s="7"/>
      <c r="AQ59" s="7"/>
      <c r="AR59" s="7"/>
      <c r="BN59" s="142"/>
    </row>
    <row r="60" spans="1:66">
      <c r="A60" s="67"/>
      <c r="B60" s="142"/>
      <c r="C60" s="142"/>
      <c r="D60" s="142"/>
      <c r="E60" s="142"/>
      <c r="F60" s="142"/>
      <c r="G60" s="142"/>
      <c r="H60" s="142"/>
      <c r="I60" s="142"/>
      <c r="J60" s="142"/>
      <c r="K60" s="142"/>
      <c r="L60" s="142"/>
      <c r="M60" s="142"/>
      <c r="N60" s="137"/>
      <c r="O60" s="142"/>
      <c r="P60" s="142"/>
      <c r="Q60" s="142"/>
      <c r="R60" s="142"/>
      <c r="S60" s="142"/>
      <c r="T60" s="142"/>
      <c r="U60" s="142"/>
      <c r="V60" s="142"/>
      <c r="W60" s="142"/>
      <c r="X60" s="142"/>
      <c r="Y60" s="285"/>
      <c r="Z60" s="142"/>
      <c r="AA60" s="142"/>
      <c r="AB60" s="142"/>
      <c r="AC60" s="142"/>
      <c r="AD60" s="142"/>
      <c r="AE60" s="7"/>
      <c r="AF60" s="7"/>
      <c r="AG60" s="7"/>
      <c r="AI60" s="276"/>
      <c r="AL60" s="285"/>
      <c r="AM60" s="7"/>
      <c r="AN60" s="7"/>
      <c r="AO60" s="7"/>
      <c r="AP60" s="7"/>
      <c r="AQ60" s="7"/>
      <c r="AR60" s="7"/>
      <c r="BN60" s="142"/>
    </row>
    <row r="61" spans="1:66">
      <c r="A61" s="67"/>
      <c r="B61" s="142"/>
      <c r="C61" s="142"/>
      <c r="D61" s="142"/>
      <c r="E61" s="142"/>
      <c r="F61" s="142"/>
      <c r="G61" s="142"/>
      <c r="H61" s="142"/>
      <c r="I61" s="142"/>
      <c r="J61" s="142"/>
      <c r="K61" s="142"/>
      <c r="L61" s="142"/>
      <c r="M61" s="142"/>
      <c r="N61" s="137"/>
      <c r="O61" s="142"/>
      <c r="P61" s="142"/>
      <c r="Q61" s="142"/>
      <c r="R61" s="142"/>
      <c r="S61" s="142"/>
      <c r="T61" s="142"/>
      <c r="U61" s="142"/>
      <c r="V61" s="142"/>
      <c r="W61" s="142"/>
      <c r="X61" s="142"/>
      <c r="Y61" s="285"/>
      <c r="Z61" s="142"/>
      <c r="AA61" s="142"/>
      <c r="AB61" s="142"/>
      <c r="AC61" s="142"/>
      <c r="AD61" s="142"/>
      <c r="AE61" s="7"/>
      <c r="AF61" s="7"/>
      <c r="AG61" s="7"/>
      <c r="AI61" s="276"/>
      <c r="AL61" s="285"/>
      <c r="AM61" s="7"/>
      <c r="AN61" s="7"/>
      <c r="AO61" s="7"/>
      <c r="AP61" s="7"/>
      <c r="AQ61" s="7"/>
      <c r="AR61" s="7"/>
      <c r="BN61" s="142"/>
    </row>
    <row r="62" spans="1:66" s="178" customFormat="1" ht="41.45" customHeight="1">
      <c r="A62" s="67"/>
      <c r="B62" s="1241" t="s">
        <v>109</v>
      </c>
      <c r="C62" s="1242"/>
      <c r="D62" s="1235" t="s">
        <v>102</v>
      </c>
      <c r="E62" s="1243" t="s">
        <v>110</v>
      </c>
      <c r="F62" s="1235" t="s">
        <v>111</v>
      </c>
      <c r="G62" s="1235" t="s">
        <v>96</v>
      </c>
      <c r="H62" s="1196" t="s">
        <v>103</v>
      </c>
      <c r="I62" s="142"/>
      <c r="J62" s="142"/>
      <c r="K62" s="142"/>
      <c r="L62" s="364"/>
      <c r="M62" s="137"/>
      <c r="N62" s="17"/>
      <c r="O62" s="17"/>
      <c r="P62" s="17"/>
      <c r="Q62" s="17"/>
      <c r="R62" s="17"/>
      <c r="S62" s="17"/>
      <c r="T62" s="17"/>
      <c r="U62" s="17"/>
      <c r="V62" s="17"/>
      <c r="W62" s="17"/>
      <c r="X62" s="285"/>
      <c r="Y62" s="17"/>
      <c r="Z62" s="17"/>
      <c r="AA62" s="17"/>
      <c r="AB62" s="17"/>
      <c r="AC62" s="17"/>
      <c r="AD62" s="137"/>
      <c r="AE62" s="137"/>
      <c r="AF62" s="137"/>
      <c r="AG62" s="137"/>
      <c r="AH62" s="137"/>
      <c r="AI62" s="137"/>
      <c r="AJ62" s="137"/>
      <c r="AK62" s="137"/>
      <c r="AL62" s="137"/>
      <c r="AM62" s="137"/>
      <c r="AN62" s="137"/>
      <c r="AO62" s="137"/>
      <c r="AP62" s="137"/>
      <c r="AQ62" s="137"/>
      <c r="AR62" s="17"/>
      <c r="AS62" s="17"/>
      <c r="AT62" s="17"/>
      <c r="AU62" s="17"/>
      <c r="AV62" s="17"/>
      <c r="AW62" s="17"/>
      <c r="AX62" s="17"/>
      <c r="AY62" s="17"/>
      <c r="AZ62" s="17"/>
      <c r="BA62" s="17"/>
      <c r="BB62" s="17"/>
      <c r="BC62" s="17"/>
      <c r="BD62" s="17"/>
      <c r="BE62" s="17"/>
      <c r="BF62" s="17"/>
      <c r="BG62" s="17"/>
      <c r="BH62" s="17"/>
      <c r="BI62" s="17"/>
      <c r="BJ62" s="17"/>
      <c r="BK62" s="17"/>
      <c r="BL62" s="17"/>
      <c r="BM62" s="17"/>
      <c r="BN62" s="17"/>
    </row>
    <row r="63" spans="1:66" ht="15">
      <c r="A63" s="67"/>
      <c r="B63" s="1244"/>
      <c r="C63" s="646"/>
      <c r="D63" s="1245"/>
      <c r="E63" s="1245"/>
      <c r="F63" s="1245"/>
      <c r="G63" s="1245"/>
      <c r="H63" s="1237"/>
      <c r="I63" s="365"/>
      <c r="J63" s="365"/>
      <c r="K63" s="142"/>
      <c r="L63" s="285"/>
      <c r="M63" s="18"/>
      <c r="N63" s="142"/>
      <c r="O63" s="142"/>
      <c r="P63" s="142"/>
      <c r="Q63" s="142"/>
      <c r="R63" s="142"/>
      <c r="S63" s="142"/>
      <c r="T63" s="142"/>
      <c r="U63" s="142"/>
      <c r="V63" s="142"/>
      <c r="W63" s="142"/>
      <c r="X63" s="285"/>
      <c r="Y63" s="142"/>
      <c r="Z63" s="142"/>
      <c r="AA63" s="142"/>
      <c r="AB63" s="142"/>
      <c r="AC63" s="142"/>
      <c r="AD63" s="269"/>
      <c r="AE63" s="269"/>
      <c r="BN63" s="142"/>
    </row>
    <row r="64" spans="1:66" ht="14.25">
      <c r="A64" s="67"/>
      <c r="B64" s="900" t="s">
        <v>112</v>
      </c>
      <c r="C64" s="627"/>
      <c r="D64" s="917">
        <f>D41</f>
        <v>151875510.47000003</v>
      </c>
      <c r="E64" s="918"/>
      <c r="F64" s="917"/>
      <c r="G64" s="917">
        <f>D64+E64+F64</f>
        <v>151875510.47000003</v>
      </c>
      <c r="H64" s="915">
        <f>+G64/$G$74</f>
        <v>1.6863141824327879</v>
      </c>
      <c r="I64" s="297"/>
      <c r="J64" s="297"/>
      <c r="K64" s="142"/>
      <c r="L64" s="142"/>
      <c r="M64" s="137"/>
      <c r="N64" s="142"/>
      <c r="O64" s="142"/>
      <c r="P64" s="142"/>
      <c r="Q64" s="142"/>
      <c r="R64" s="142"/>
      <c r="S64" s="142"/>
      <c r="T64" s="142"/>
      <c r="U64" s="142"/>
      <c r="V64" s="142"/>
      <c r="W64" s="142"/>
      <c r="X64" s="285"/>
      <c r="Y64" s="142"/>
      <c r="Z64" s="142"/>
      <c r="AA64" s="142"/>
      <c r="AB64" s="142"/>
      <c r="AC64" s="142"/>
      <c r="AD64" s="169"/>
      <c r="AE64" s="169"/>
      <c r="AF64" s="17"/>
      <c r="AG64" s="17"/>
      <c r="AH64" s="1246" t="s">
        <v>113</v>
      </c>
      <c r="AI64" s="370">
        <f>COUNT(N27:N28)+COUNT(N14:N15)</f>
        <v>1</v>
      </c>
      <c r="AJ64" s="17"/>
      <c r="AK64" s="17"/>
      <c r="AL64" s="17"/>
      <c r="AM64" s="17"/>
      <c r="AN64" s="17"/>
      <c r="AO64" s="17"/>
      <c r="AP64" s="17"/>
      <c r="AQ64" s="17"/>
      <c r="BN64" s="142"/>
    </row>
    <row r="65" spans="1:66">
      <c r="A65" s="67"/>
      <c r="B65" s="900"/>
      <c r="C65" s="627"/>
      <c r="D65" s="917"/>
      <c r="E65" s="917"/>
      <c r="F65" s="917"/>
      <c r="G65" s="917"/>
      <c r="H65" s="915"/>
      <c r="I65" s="365"/>
      <c r="J65" s="365"/>
      <c r="K65" s="142"/>
      <c r="L65" s="142"/>
      <c r="M65" s="137"/>
      <c r="N65" s="142"/>
      <c r="O65" s="142"/>
      <c r="P65" s="142"/>
      <c r="Q65" s="142"/>
      <c r="R65" s="142"/>
      <c r="S65" s="142"/>
      <c r="T65" s="142"/>
      <c r="U65" s="142"/>
      <c r="V65" s="142"/>
      <c r="W65" s="142"/>
      <c r="X65" s="285"/>
      <c r="Y65" s="142"/>
      <c r="Z65" s="142"/>
      <c r="AA65" s="142"/>
      <c r="AB65" s="142"/>
      <c r="AC65" s="142"/>
      <c r="AD65" s="169"/>
      <c r="AE65" s="169"/>
      <c r="AH65" s="919" t="s">
        <v>114</v>
      </c>
      <c r="AI65" s="370">
        <f>COUNTA(AF14:AF32)</f>
        <v>0</v>
      </c>
      <c r="BN65" s="142"/>
    </row>
    <row r="66" spans="1:66">
      <c r="A66" s="67"/>
      <c r="B66" s="900" t="s">
        <v>115</v>
      </c>
      <c r="C66" s="627"/>
      <c r="D66" s="917">
        <f>D43</f>
        <v>2114169.77</v>
      </c>
      <c r="E66" s="917"/>
      <c r="F66" s="917"/>
      <c r="G66" s="917">
        <f t="shared" ref="G66:G72" si="7">D66+E66+F66</f>
        <v>2114169.77</v>
      </c>
      <c r="H66" s="915">
        <f>+G66/$G$74</f>
        <v>2.3474189197381434E-2</v>
      </c>
      <c r="I66" s="142"/>
      <c r="J66" s="142"/>
      <c r="K66" s="142"/>
      <c r="L66" s="498"/>
      <c r="M66" s="137"/>
      <c r="N66" s="142"/>
      <c r="O66" s="142"/>
      <c r="P66" s="142"/>
      <c r="Q66" s="142"/>
      <c r="R66" s="142"/>
      <c r="S66" s="142"/>
      <c r="T66" s="142"/>
      <c r="U66" s="142"/>
      <c r="V66" s="142"/>
      <c r="W66" s="142"/>
      <c r="X66" s="285"/>
      <c r="Y66" s="142"/>
      <c r="Z66" s="142"/>
      <c r="AA66" s="142"/>
      <c r="AB66" s="142"/>
      <c r="AC66" s="142"/>
      <c r="AD66" s="169"/>
      <c r="AE66" s="169"/>
      <c r="AH66" s="920" t="s">
        <v>116</v>
      </c>
      <c r="AI66" s="761" t="b">
        <f>AI65=AI64</f>
        <v>0</v>
      </c>
      <c r="BN66" s="142"/>
    </row>
    <row r="67" spans="1:66">
      <c r="A67" s="67"/>
      <c r="B67" s="900"/>
      <c r="C67" s="627"/>
      <c r="D67" s="917"/>
      <c r="E67" s="917"/>
      <c r="F67" s="917"/>
      <c r="G67" s="917"/>
      <c r="H67" s="915"/>
      <c r="I67" s="364"/>
      <c r="J67" s="364"/>
      <c r="K67" s="142"/>
      <c r="L67" s="142"/>
      <c r="M67" s="137"/>
      <c r="N67" s="142"/>
      <c r="O67" s="142"/>
      <c r="P67" s="142"/>
      <c r="Q67" s="142"/>
      <c r="R67" s="142"/>
      <c r="S67" s="142"/>
      <c r="T67" s="142"/>
      <c r="U67" s="142"/>
      <c r="V67" s="142"/>
      <c r="W67" s="142"/>
      <c r="X67" s="285"/>
      <c r="Y67" s="142"/>
      <c r="Z67" s="142"/>
      <c r="AA67" s="142"/>
      <c r="AB67" s="142"/>
      <c r="AC67" s="142"/>
      <c r="AD67" s="272"/>
      <c r="AE67" s="272"/>
      <c r="AH67" s="7"/>
      <c r="AI67" s="142" t="str">
        <f t="shared" ref="AI67" si="8">IF(AF67="","",#REF!)</f>
        <v/>
      </c>
      <c r="BN67" s="142"/>
    </row>
    <row r="68" spans="1:66" ht="15">
      <c r="A68" s="67"/>
      <c r="B68" s="900" t="s">
        <v>117</v>
      </c>
      <c r="C68" s="627"/>
      <c r="D68" s="917">
        <f>D45</f>
        <v>0</v>
      </c>
      <c r="E68" s="921"/>
      <c r="F68" s="917"/>
      <c r="G68" s="917">
        <f t="shared" si="7"/>
        <v>0</v>
      </c>
      <c r="H68" s="915">
        <f>+G68/$G$74</f>
        <v>0</v>
      </c>
      <c r="I68" s="142"/>
      <c r="J68" s="142"/>
      <c r="K68" s="142"/>
      <c r="L68" s="142"/>
      <c r="M68" s="137"/>
      <c r="N68" s="142"/>
      <c r="O68" s="142"/>
      <c r="P68" s="142"/>
      <c r="Q68" s="142"/>
      <c r="R68" s="142"/>
      <c r="S68" s="142"/>
      <c r="T68" s="142"/>
      <c r="U68" s="142"/>
      <c r="V68" s="142"/>
      <c r="W68" s="142"/>
      <c r="X68" s="285"/>
      <c r="Y68" s="142"/>
      <c r="Z68" s="142"/>
      <c r="AA68" s="142"/>
      <c r="AB68" s="142"/>
      <c r="AC68" s="142"/>
      <c r="AD68" s="272"/>
      <c r="AE68" s="272"/>
      <c r="AH68" s="269">
        <f>SUM(AL14:AL15)</f>
        <v>0</v>
      </c>
      <c r="AI68" s="366" t="s">
        <v>96</v>
      </c>
      <c r="BN68" s="142"/>
    </row>
    <row r="69" spans="1:66" ht="15">
      <c r="A69" s="67"/>
      <c r="B69" s="900"/>
      <c r="C69" s="627"/>
      <c r="D69" s="916"/>
      <c r="E69" s="311"/>
      <c r="F69" s="917"/>
      <c r="G69" s="917"/>
      <c r="H69" s="915"/>
      <c r="I69" s="142"/>
      <c r="J69" s="142"/>
      <c r="K69" s="142"/>
      <c r="L69" s="142"/>
      <c r="M69" s="137"/>
      <c r="N69" s="142"/>
      <c r="O69" s="142"/>
      <c r="P69" s="142"/>
      <c r="Q69" s="142"/>
      <c r="R69" s="142"/>
      <c r="S69" s="142"/>
      <c r="T69" s="142"/>
      <c r="U69" s="142"/>
      <c r="V69" s="142"/>
      <c r="W69" s="142"/>
      <c r="X69" s="285"/>
      <c r="Y69" s="142"/>
      <c r="Z69" s="142"/>
      <c r="AA69" s="142"/>
      <c r="AB69" s="142"/>
      <c r="AC69" s="142"/>
      <c r="AD69" s="272"/>
      <c r="AE69" s="272"/>
      <c r="AH69" s="269">
        <f>N34</f>
        <v>151875510.47000003</v>
      </c>
      <c r="AI69" s="366" t="s">
        <v>34</v>
      </c>
      <c r="BN69" s="142"/>
    </row>
    <row r="70" spans="1:66" ht="15">
      <c r="A70" s="67"/>
      <c r="B70" s="900" t="s">
        <v>118</v>
      </c>
      <c r="C70" s="627"/>
      <c r="D70" s="917">
        <f>D47</f>
        <v>-63484.78</v>
      </c>
      <c r="E70" s="921"/>
      <c r="F70" s="917"/>
      <c r="G70" s="917">
        <f t="shared" si="7"/>
        <v>-63484.78</v>
      </c>
      <c r="H70" s="915">
        <f>+G70/$G$74</f>
        <v>-7.0488839544524218E-4</v>
      </c>
      <c r="I70" s="142"/>
      <c r="J70" s="142"/>
      <c r="K70" s="142"/>
      <c r="L70" s="142"/>
      <c r="M70" s="137"/>
      <c r="N70" s="142"/>
      <c r="O70" s="142"/>
      <c r="P70" s="142"/>
      <c r="Q70" s="142"/>
      <c r="R70" s="142"/>
      <c r="S70" s="142"/>
      <c r="T70" s="142"/>
      <c r="U70" s="142"/>
      <c r="V70" s="142"/>
      <c r="W70" s="142"/>
      <c r="X70" s="285"/>
      <c r="Y70" s="142"/>
      <c r="Z70" s="142"/>
      <c r="AA70" s="142"/>
      <c r="AB70" s="142"/>
      <c r="AC70" s="142"/>
      <c r="AD70" s="272"/>
      <c r="AE70" s="272"/>
      <c r="AH70" s="273">
        <f>AH68-AH69</f>
        <v>-151875510.47000003</v>
      </c>
      <c r="AI70" s="367"/>
      <c r="BN70" s="142"/>
    </row>
    <row r="71" spans="1:66" ht="15">
      <c r="A71" s="67"/>
      <c r="B71" s="900"/>
      <c r="C71" s="627"/>
      <c r="D71" s="917"/>
      <c r="E71" s="917"/>
      <c r="F71" s="917"/>
      <c r="G71" s="917"/>
      <c r="H71" s="915"/>
      <c r="I71" s="142"/>
      <c r="J71" s="142"/>
      <c r="K71" s="142"/>
      <c r="L71" s="142"/>
      <c r="M71" s="137"/>
      <c r="N71" s="142"/>
      <c r="O71" s="142"/>
      <c r="P71" s="142"/>
      <c r="Q71" s="142"/>
      <c r="R71" s="142"/>
      <c r="S71" s="142"/>
      <c r="T71" s="142"/>
      <c r="U71" s="142"/>
      <c r="V71" s="142"/>
      <c r="W71" s="142"/>
      <c r="X71" s="285"/>
      <c r="Y71" s="142"/>
      <c r="Z71" s="142"/>
      <c r="AA71" s="142"/>
      <c r="AB71" s="142"/>
      <c r="AC71" s="142"/>
      <c r="AD71" s="272"/>
      <c r="AE71" s="272"/>
      <c r="AH71" s="274" t="str">
        <f>IF(ABS(AH70)&lt;1,"OK","Anomalie")</f>
        <v>Anomalie</v>
      </c>
      <c r="AI71" s="275"/>
      <c r="BN71" s="142"/>
    </row>
    <row r="72" spans="1:66">
      <c r="A72" s="67"/>
      <c r="B72" s="900" t="s">
        <v>119</v>
      </c>
      <c r="C72" s="627"/>
      <c r="D72" s="917">
        <f>D49</f>
        <v>-63862604.670000002</v>
      </c>
      <c r="E72" s="917"/>
      <c r="F72" s="917"/>
      <c r="G72" s="917">
        <f t="shared" si="7"/>
        <v>-63862604.670000002</v>
      </c>
      <c r="H72" s="915">
        <f>+G72/$G$74</f>
        <v>-0.70908348323472392</v>
      </c>
      <c r="I72" s="142"/>
      <c r="J72" s="142"/>
      <c r="K72" s="142"/>
      <c r="L72" s="142"/>
      <c r="M72" s="137"/>
      <c r="N72" s="142"/>
      <c r="O72" s="142"/>
      <c r="P72" s="142"/>
      <c r="Q72" s="142"/>
      <c r="R72" s="142"/>
      <c r="S72" s="142"/>
      <c r="T72" s="142"/>
      <c r="U72" s="142"/>
      <c r="V72" s="142"/>
      <c r="W72" s="142"/>
      <c r="X72" s="285"/>
      <c r="Y72" s="142"/>
      <c r="Z72" s="142"/>
      <c r="AA72" s="142"/>
      <c r="AB72" s="142"/>
      <c r="AC72" s="142"/>
      <c r="AD72" s="272"/>
      <c r="AE72" s="272"/>
      <c r="BN72" s="142"/>
    </row>
    <row r="73" spans="1:66">
      <c r="A73" s="67"/>
      <c r="B73" s="900"/>
      <c r="C73" s="627"/>
      <c r="D73" s="759"/>
      <c r="E73" s="916"/>
      <c r="F73" s="916"/>
      <c r="G73" s="916"/>
      <c r="H73" s="760"/>
      <c r="I73" s="142"/>
      <c r="J73" s="142"/>
      <c r="K73" s="142"/>
      <c r="L73" s="142"/>
      <c r="M73" s="137"/>
      <c r="N73" s="142"/>
      <c r="O73" s="142"/>
      <c r="P73" s="142"/>
      <c r="Q73" s="142"/>
      <c r="R73" s="142"/>
      <c r="S73" s="142"/>
      <c r="T73" s="142"/>
      <c r="U73" s="142"/>
      <c r="V73" s="142"/>
      <c r="W73" s="142"/>
      <c r="X73" s="285"/>
      <c r="Y73" s="142"/>
      <c r="Z73" s="142"/>
      <c r="AA73" s="142"/>
      <c r="AB73" s="142"/>
      <c r="AC73" s="142"/>
      <c r="AD73" s="142"/>
      <c r="BN73" s="142"/>
    </row>
    <row r="74" spans="1:66" s="177" customFormat="1" ht="17.25" customHeight="1">
      <c r="A74" s="67"/>
      <c r="B74" s="1247" t="s">
        <v>120</v>
      </c>
      <c r="C74" s="1248"/>
      <c r="D74" s="1249">
        <f>ROUND(SUM(D64:D73),2)</f>
        <v>90063590.790000007</v>
      </c>
      <c r="E74" s="1249">
        <f>ROUNDDOWN(SUM(E63:E73),2)</f>
        <v>0</v>
      </c>
      <c r="F74" s="1249">
        <f>SUM(F63:F73)</f>
        <v>0</v>
      </c>
      <c r="G74" s="1249">
        <f>ROUND(SUM(G64:G73),2)</f>
        <v>90063590.790000007</v>
      </c>
      <c r="H74" s="1240">
        <f>SUM(H63:H73)</f>
        <v>1.0000000000000002</v>
      </c>
      <c r="I74" s="137"/>
      <c r="J74" s="137"/>
      <c r="K74" s="142"/>
      <c r="L74" s="142"/>
      <c r="M74" s="137"/>
      <c r="N74" s="137"/>
      <c r="O74" s="137"/>
      <c r="P74" s="137"/>
      <c r="Q74" s="137"/>
      <c r="R74" s="137"/>
      <c r="S74" s="137"/>
      <c r="T74" s="137"/>
      <c r="U74" s="137"/>
      <c r="V74" s="137"/>
      <c r="W74" s="137"/>
      <c r="X74" s="284"/>
      <c r="Y74" s="137"/>
      <c r="Z74" s="137"/>
      <c r="AA74" s="137"/>
      <c r="AB74" s="137"/>
      <c r="AC74" s="137"/>
      <c r="AD74" s="137"/>
      <c r="AE74" s="137"/>
      <c r="AF74" s="137"/>
      <c r="AG74" s="137"/>
      <c r="AH74" s="137"/>
      <c r="AI74" s="137"/>
      <c r="AJ74" s="137"/>
      <c r="AK74" s="137"/>
      <c r="AL74" s="137"/>
      <c r="AM74" s="137"/>
      <c r="AN74" s="137"/>
      <c r="AO74" s="137"/>
      <c r="AP74" s="137"/>
      <c r="AQ74" s="137"/>
      <c r="AR74" s="137"/>
      <c r="AS74" s="137"/>
      <c r="AT74" s="137"/>
      <c r="AU74" s="137"/>
      <c r="AV74" s="137"/>
      <c r="AW74" s="137"/>
      <c r="AX74" s="137"/>
      <c r="AY74" s="137"/>
      <c r="AZ74" s="137"/>
      <c r="BA74" s="137"/>
      <c r="BB74" s="137"/>
      <c r="BC74" s="137"/>
      <c r="BD74" s="137"/>
      <c r="BE74" s="137"/>
      <c r="BF74" s="137"/>
      <c r="BG74" s="137"/>
      <c r="BH74" s="137"/>
      <c r="BI74" s="137"/>
      <c r="BJ74" s="137"/>
      <c r="BK74" s="137"/>
      <c r="BL74" s="137"/>
      <c r="BM74" s="137"/>
      <c r="BN74" s="137"/>
    </row>
    <row r="75" spans="1:66" ht="15">
      <c r="A75" s="67"/>
      <c r="B75" s="142"/>
      <c r="C75" s="142"/>
      <c r="D75" s="230"/>
      <c r="E75" s="94"/>
      <c r="F75" s="142"/>
      <c r="G75" s="142"/>
      <c r="H75" s="7"/>
      <c r="I75" s="7"/>
      <c r="J75" s="142"/>
      <c r="K75" s="142"/>
      <c r="L75" s="142"/>
      <c r="M75" s="142"/>
      <c r="N75" s="137"/>
      <c r="O75" s="142"/>
      <c r="P75" s="142"/>
      <c r="Q75" s="142"/>
      <c r="R75" s="142"/>
      <c r="S75" s="142"/>
      <c r="T75" s="142"/>
      <c r="U75" s="142"/>
      <c r="V75" s="142"/>
      <c r="W75" s="142"/>
      <c r="X75" s="142"/>
      <c r="Y75" s="285"/>
      <c r="Z75" s="142"/>
      <c r="AA75" s="142"/>
      <c r="AB75" s="142"/>
      <c r="AC75" s="142"/>
      <c r="AD75" s="142"/>
      <c r="BN75" s="142"/>
    </row>
    <row r="78" spans="1:66">
      <c r="A78" s="67"/>
      <c r="B78" s="142"/>
      <c r="C78" s="142"/>
      <c r="D78" s="311"/>
      <c r="E78" s="142"/>
      <c r="F78" s="142"/>
      <c r="G78" s="142"/>
      <c r="H78" s="142"/>
      <c r="I78" s="142"/>
      <c r="J78" s="142"/>
      <c r="K78" s="142"/>
      <c r="L78" s="142"/>
      <c r="M78" s="142"/>
      <c r="N78" s="137"/>
      <c r="O78" s="142"/>
      <c r="P78" s="142"/>
      <c r="Q78" s="142"/>
      <c r="R78" s="142"/>
      <c r="S78" s="142"/>
      <c r="T78" s="142"/>
      <c r="U78" s="142"/>
      <c r="V78" s="142"/>
      <c r="W78" s="142"/>
      <c r="X78" s="142"/>
      <c r="Y78" s="285"/>
      <c r="Z78" s="142"/>
      <c r="AA78" s="142"/>
      <c r="AB78" s="142"/>
      <c r="AC78" s="142"/>
      <c r="AD78" s="142"/>
      <c r="BN78" s="142"/>
    </row>
    <row r="82" spans="1:66">
      <c r="A82" s="67"/>
      <c r="B82" s="142"/>
      <c r="C82" s="142"/>
      <c r="D82" s="142"/>
      <c r="E82" s="1250" t="s">
        <v>121</v>
      </c>
      <c r="F82" s="1251" t="str">
        <f>IF((D51-G74)=0,"OK","Anomalies")</f>
        <v>OK</v>
      </c>
      <c r="G82" s="142"/>
      <c r="H82" s="142"/>
      <c r="I82" s="142"/>
      <c r="J82" s="142"/>
      <c r="K82" s="142"/>
      <c r="L82" s="142"/>
      <c r="M82" s="142"/>
      <c r="N82" s="137"/>
      <c r="O82" s="142"/>
      <c r="P82" s="142"/>
      <c r="Q82" s="142"/>
      <c r="R82" s="142"/>
      <c r="S82" s="142"/>
      <c r="T82" s="142"/>
      <c r="U82" s="142"/>
      <c r="V82" s="142"/>
      <c r="W82" s="142"/>
      <c r="X82" s="142"/>
      <c r="Y82" s="285"/>
      <c r="Z82" s="142"/>
      <c r="AA82" s="142"/>
      <c r="AB82" s="142"/>
      <c r="AC82" s="142"/>
      <c r="AD82" s="142"/>
      <c r="BN82" s="142"/>
    </row>
    <row r="84" spans="1:66">
      <c r="A84" s="67"/>
      <c r="B84" s="142"/>
      <c r="C84" s="142"/>
      <c r="D84" s="142"/>
      <c r="E84" s="142"/>
      <c r="F84" s="142"/>
      <c r="G84" s="142"/>
      <c r="H84" s="142" t="s">
        <v>122</v>
      </c>
      <c r="I84" s="142"/>
      <c r="J84" s="142"/>
      <c r="K84" s="142"/>
      <c r="L84" s="142"/>
      <c r="M84" s="142"/>
      <c r="N84" s="137"/>
      <c r="O84" s="142"/>
      <c r="P84" s="142"/>
      <c r="Q84" s="142"/>
      <c r="R84" s="142"/>
      <c r="S84" s="142"/>
      <c r="T84" s="142"/>
      <c r="U84" s="142"/>
      <c r="V84" s="142"/>
      <c r="W84" s="142"/>
      <c r="X84" s="142"/>
      <c r="Y84" s="285"/>
      <c r="Z84" s="142"/>
      <c r="AA84" s="142"/>
      <c r="AB84" s="142"/>
      <c r="AC84" s="142"/>
      <c r="AD84" s="142"/>
      <c r="BN84" s="142"/>
    </row>
  </sheetData>
  <sortState xmlns:xlrd2="http://schemas.microsoft.com/office/spreadsheetml/2017/richdata2" ref="A15:BN15">
    <sortCondition ref="C15"/>
  </sortState>
  <mergeCells count="4">
    <mergeCell ref="B1:C1"/>
    <mergeCell ref="B13:C13"/>
    <mergeCell ref="B26:C26"/>
    <mergeCell ref="B12:C12"/>
  </mergeCells>
  <phoneticPr fontId="18" type="noConversion"/>
  <pageMargins left="0.15748031496062992" right="0.19685039370078741" top="0.62992125984251968" bottom="0.15748031496062992" header="0.15748031496062992" footer="0.19685039370078741"/>
  <pageSetup paperSize="9" scale="53" orientation="landscape" r:id="rId1"/>
  <headerFooter alignWithMargins="0"/>
  <rowBreaks count="1" manualBreakCount="1">
    <brk id="26" min="1" max="15"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18363-69A9-4811-9F1E-20D0A57253E8}">
  <sheetPr>
    <pageSetUpPr fitToPage="1"/>
  </sheetPr>
  <dimension ref="A1:M16"/>
  <sheetViews>
    <sheetView view="pageBreakPreview" zoomScaleNormal="80" zoomScaleSheetLayoutView="100" workbookViewId="0">
      <selection activeCell="C10" sqref="C10:F10"/>
    </sheetView>
  </sheetViews>
  <sheetFormatPr defaultColWidth="11.42578125" defaultRowHeight="12.75" customHeight="1"/>
  <cols>
    <col min="1" max="1" width="15" style="241" customWidth="1"/>
    <col min="2" max="2" width="22.7109375" style="241" customWidth="1"/>
    <col min="3" max="4" width="16.28515625" style="241" customWidth="1"/>
    <col min="5" max="5" width="19.28515625" style="241" bestFit="1" customWidth="1"/>
    <col min="6" max="6" width="16.42578125" style="241" customWidth="1"/>
    <col min="7" max="7" width="12" style="241" customWidth="1"/>
    <col min="8" max="8" width="5.7109375" style="241" customWidth="1"/>
    <col min="9" max="9" width="1.42578125" style="241" customWidth="1"/>
    <col min="10" max="10" width="19.28515625" style="243" customWidth="1"/>
    <col min="11" max="11" width="18" style="241" customWidth="1"/>
    <col min="12" max="12" width="11.42578125" style="241"/>
    <col min="13" max="13" width="16.140625" style="241" customWidth="1"/>
    <col min="14" max="14" width="14.7109375" style="241" customWidth="1"/>
    <col min="15" max="16384" width="11.42578125" style="241"/>
  </cols>
  <sheetData>
    <row r="1" spans="1:13" s="250" customFormat="1" ht="15.75">
      <c r="B1" s="254" t="str">
        <f>Sommaire!A1</f>
        <v>BOLZEN - SLP</v>
      </c>
      <c r="C1" s="254"/>
      <c r="D1" s="251" t="s">
        <v>123</v>
      </c>
      <c r="E1" s="253"/>
      <c r="F1" s="252">
        <f>Sommaire!C1</f>
        <v>46022</v>
      </c>
      <c r="G1" s="251"/>
      <c r="I1" s="252"/>
    </row>
    <row r="2" spans="1:13" s="250" customFormat="1" ht="15.75">
      <c r="B2" s="254"/>
      <c r="C2" s="254"/>
      <c r="D2" s="254"/>
      <c r="E2" s="253"/>
      <c r="F2" s="251"/>
      <c r="G2" s="251"/>
      <c r="H2" s="251"/>
      <c r="I2" s="251"/>
    </row>
    <row r="3" spans="1:13" ht="15.75">
      <c r="E3" s="652"/>
      <c r="G3" s="251"/>
    </row>
    <row r="4" spans="1:13" ht="36" customHeight="1">
      <c r="B4" s="1252" t="s">
        <v>108</v>
      </c>
      <c r="C4" s="1253"/>
      <c r="D4" s="1253"/>
      <c r="E4" s="1254"/>
      <c r="F4" s="1255">
        <f>Inventaire!C7</f>
        <v>90063590.790000007</v>
      </c>
      <c r="G4" s="251"/>
    </row>
    <row r="5" spans="1:13" ht="15.75">
      <c r="E5" s="652"/>
      <c r="G5" s="251"/>
    </row>
    <row r="6" spans="1:13">
      <c r="D6" s="742" t="s">
        <v>124</v>
      </c>
      <c r="E6" s="652"/>
      <c r="G6" s="668" t="str">
        <f>IF(G7=0,"OK","Anomalies")</f>
        <v>OK</v>
      </c>
    </row>
    <row r="7" spans="1:13" s="249" customFormat="1" ht="33" customHeight="1">
      <c r="B7" s="1256" t="s">
        <v>14</v>
      </c>
      <c r="C7" s="1257" t="s">
        <v>125</v>
      </c>
      <c r="D7" s="653" t="s">
        <v>126</v>
      </c>
      <c r="E7" s="653" t="s">
        <v>127</v>
      </c>
      <c r="F7" s="1258" t="s">
        <v>128</v>
      </c>
      <c r="G7" s="1259">
        <f>E12-F4</f>
        <v>0</v>
      </c>
      <c r="J7" s="169" t="s">
        <v>129</v>
      </c>
      <c r="K7" s="169" t="s">
        <v>130</v>
      </c>
      <c r="L7" s="142" t="s">
        <v>131</v>
      </c>
      <c r="M7" s="654" t="s">
        <v>132</v>
      </c>
    </row>
    <row r="8" spans="1:13">
      <c r="A8" s="58" t="s">
        <v>133</v>
      </c>
      <c r="B8" s="922" t="s">
        <v>15</v>
      </c>
      <c r="C8" s="1260">
        <v>943268.7</v>
      </c>
      <c r="D8" s="730">
        <v>88886445.170000002</v>
      </c>
      <c r="E8" s="1261">
        <f>$F$4*C8/$C$12</f>
        <v>90063495.309788167</v>
      </c>
      <c r="F8" s="1262">
        <f>ROUNDDOWN(E8/C8,6)</f>
        <v>95.480210999999997</v>
      </c>
      <c r="G8" s="244"/>
      <c r="H8" s="243"/>
      <c r="I8" s="243"/>
      <c r="J8" s="245">
        <f>F8*C8</f>
        <v>90063494.505695686</v>
      </c>
      <c r="K8" s="311">
        <f>E8-J8</f>
        <v>0.80409248173236847</v>
      </c>
      <c r="L8" s="655">
        <f>+K8/C8/100</f>
        <v>8.5245326356357267E-9</v>
      </c>
      <c r="M8" s="137" t="str">
        <f>IF(L8&gt;0.01,"'ANOMALIE","'OK")</f>
        <v>'OK</v>
      </c>
    </row>
    <row r="9" spans="1:13">
      <c r="A9" s="58" t="s">
        <v>134</v>
      </c>
      <c r="B9" s="922" t="s">
        <v>17</v>
      </c>
      <c r="C9" s="1260">
        <v>0</v>
      </c>
      <c r="D9" s="730">
        <v>0</v>
      </c>
      <c r="E9" s="923">
        <f>$F$4*D9/$D$12</f>
        <v>0</v>
      </c>
      <c r="F9" s="924">
        <f>IF(C9=0,0,ROUNDDOWN(E9/C9,6))</f>
        <v>0</v>
      </c>
      <c r="G9" s="244"/>
      <c r="H9" s="243"/>
      <c r="I9" s="243"/>
      <c r="J9" s="245">
        <f>F9*C9</f>
        <v>0</v>
      </c>
      <c r="K9" s="311">
        <f>E9-J9</f>
        <v>0</v>
      </c>
      <c r="L9" s="142" t="e">
        <f>+K9/C9/100</f>
        <v>#DIV/0!</v>
      </c>
      <c r="M9" s="137" t="e">
        <f>IF(L9&gt;0.01,"'ANOMALIE","'OK")</f>
        <v>#DIV/0!</v>
      </c>
    </row>
    <row r="10" spans="1:13">
      <c r="A10" s="58" t="s">
        <v>135</v>
      </c>
      <c r="B10" s="922" t="s">
        <v>64</v>
      </c>
      <c r="C10" s="1260">
        <v>1</v>
      </c>
      <c r="D10" s="730">
        <v>94.23</v>
      </c>
      <c r="E10" s="923">
        <f>$F$4*C10/$C$12</f>
        <v>95.480211852453237</v>
      </c>
      <c r="F10" s="925">
        <f>ROUNDDOWN(E10/C10,6)</f>
        <v>95.480210999999997</v>
      </c>
      <c r="G10" s="244"/>
      <c r="H10" s="243"/>
      <c r="I10" s="243"/>
      <c r="J10" s="245">
        <f>F10*C10</f>
        <v>95.480210999999997</v>
      </c>
      <c r="K10" s="311">
        <f>E10-J10</f>
        <v>8.5245324044080917E-7</v>
      </c>
      <c r="L10" s="655">
        <f>+K10/C10/100</f>
        <v>8.5245324044080919E-9</v>
      </c>
      <c r="M10" s="137" t="str">
        <f>IF(L10&gt;0.01,"'ANOMALIE","'OK")</f>
        <v>'OK</v>
      </c>
    </row>
    <row r="11" spans="1:13">
      <c r="B11" s="926"/>
      <c r="C11" s="1263"/>
      <c r="D11" s="656"/>
      <c r="E11" s="927"/>
      <c r="F11" s="660"/>
      <c r="G11" s="244"/>
      <c r="H11" s="243"/>
      <c r="I11" s="243"/>
      <c r="J11" s="245"/>
      <c r="K11" s="311"/>
      <c r="L11" s="311"/>
      <c r="M11" s="137"/>
    </row>
    <row r="12" spans="1:13" s="242" customFormat="1" ht="15.75" customHeight="1">
      <c r="B12" s="1264" t="s">
        <v>96</v>
      </c>
      <c r="C12" s="1265">
        <f>SUM(C8:C11)</f>
        <v>943269.7</v>
      </c>
      <c r="D12" s="657">
        <f>SUM(D8:D11)</f>
        <v>88886539.400000006</v>
      </c>
      <c r="E12" s="657">
        <f>SUM(E8:E11)</f>
        <v>90063590.790000021</v>
      </c>
      <c r="F12" s="1266"/>
      <c r="G12" s="244"/>
      <c r="H12" s="245"/>
      <c r="I12" s="245"/>
      <c r="J12" s="1267">
        <f>SUM(J8:J11)</f>
        <v>90063589.98590669</v>
      </c>
      <c r="K12" s="1268">
        <f>SUM(K8:K11)</f>
        <v>0.80409333418560891</v>
      </c>
      <c r="L12" s="1269">
        <f>+K12/C12/100</f>
        <v>8.5245326356354819E-9</v>
      </c>
      <c r="M12" s="1270" t="str">
        <f>IF(L12&gt;0.01,"'ANOMALIE","'OK")</f>
        <v>'OK</v>
      </c>
    </row>
    <row r="13" spans="1:13" ht="15.75">
      <c r="B13" s="241" t="s">
        <v>136</v>
      </c>
      <c r="E13" s="248"/>
      <c r="G13" s="251"/>
      <c r="H13" s="244"/>
      <c r="I13" s="244"/>
    </row>
    <row r="14" spans="1:13">
      <c r="G14" s="244"/>
      <c r="H14" s="244"/>
      <c r="I14" s="244"/>
    </row>
    <row r="15" spans="1:13" s="658" customFormat="1" ht="15">
      <c r="B15" s="247"/>
      <c r="C15" s="247"/>
      <c r="D15" s="247"/>
      <c r="E15" s="247"/>
      <c r="F15" s="247"/>
      <c r="G15" s="247"/>
      <c r="H15" s="246"/>
      <c r="I15" s="246"/>
      <c r="J15" s="659"/>
    </row>
    <row r="16" spans="1:13" s="658" customFormat="1" ht="15">
      <c r="B16" s="247"/>
      <c r="C16" s="247"/>
      <c r="D16" s="247"/>
      <c r="E16" s="247"/>
      <c r="F16" s="247"/>
      <c r="G16" s="247"/>
      <c r="H16" s="246"/>
      <c r="I16" s="246"/>
      <c r="J16" s="659"/>
    </row>
  </sheetData>
  <phoneticPr fontId="84" type="noConversion"/>
  <pageMargins left="0.78740157499999996" right="0.78740157499999996" top="0.984251969" bottom="0.984251969" header="0.4921259845" footer="0.4921259845"/>
  <pageSetup paperSize="9" scale="69" orientation="portrait"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6F5A5-0583-46F4-8E37-B714F4C1C955}">
  <sheetPr>
    <pageSetUpPr fitToPage="1"/>
  </sheetPr>
  <dimension ref="A1:M315"/>
  <sheetViews>
    <sheetView view="pageBreakPreview" topLeftCell="A38" zoomScale="90" zoomScaleNormal="100" zoomScaleSheetLayoutView="90" workbookViewId="0">
      <selection activeCell="C53" sqref="C53"/>
    </sheetView>
  </sheetViews>
  <sheetFormatPr defaultColWidth="11.42578125" defaultRowHeight="12.75"/>
  <cols>
    <col min="1" max="1" width="9" style="468" bestFit="1" customWidth="1"/>
    <col min="2" max="2" width="11.5703125" style="468" bestFit="1" customWidth="1"/>
    <col min="3" max="3" width="15" style="555" customWidth="1"/>
    <col min="4" max="4" width="8.5703125" style="468" bestFit="1" customWidth="1"/>
    <col min="5" max="5" width="34" style="468" customWidth="1"/>
    <col min="6" max="6" width="20.42578125" style="28" customWidth="1"/>
    <col min="7" max="7" width="18.5703125" style="28" customWidth="1"/>
    <col min="8" max="8" width="23.42578125" style="468" bestFit="1" customWidth="1"/>
    <col min="9" max="9" width="64" style="468" customWidth="1"/>
    <col min="10" max="10" width="23.5703125" style="468" bestFit="1" customWidth="1"/>
    <col min="11" max="11" width="14.42578125" style="468" bestFit="1" customWidth="1"/>
    <col min="12" max="12" width="13.5703125" style="468" bestFit="1" customWidth="1"/>
    <col min="13" max="13" width="15.42578125" style="468" bestFit="1" customWidth="1"/>
    <col min="14" max="16384" width="11.42578125" style="468"/>
  </cols>
  <sheetData>
    <row r="1" spans="1:12">
      <c r="A1" s="555" t="s">
        <v>137</v>
      </c>
      <c r="B1" s="555" t="s">
        <v>138</v>
      </c>
      <c r="C1" s="555" t="s">
        <v>139</v>
      </c>
      <c r="D1" s="555" t="s">
        <v>140</v>
      </c>
      <c r="E1" s="556" t="s">
        <v>70</v>
      </c>
      <c r="F1" s="144" t="s">
        <v>141</v>
      </c>
      <c r="G1" s="144" t="s">
        <v>142</v>
      </c>
      <c r="H1" s="555" t="s">
        <v>143</v>
      </c>
    </row>
    <row r="2" spans="1:12">
      <c r="A2" s="557">
        <f>Sommaire!$C$1</f>
        <v>46022</v>
      </c>
      <c r="B2" s="555" t="s">
        <v>144</v>
      </c>
      <c r="C2" s="738">
        <v>31800000</v>
      </c>
      <c r="D2" s="555"/>
      <c r="E2" s="559" t="str">
        <f>"Valorisation au "&amp;TEXT(Sommaire!$C$1,"jj/mm/aa")</f>
        <v>Valorisation au 31/12/25</v>
      </c>
      <c r="F2" s="377">
        <f>IF(SUMIF(Inventaire!B12:B79,"??OC*",Inventaire!M12:M79)&gt;0,SUMIF(Inventaire!B12:B79,"??OC*",Inventaire!M12:M79),0)</f>
        <v>1712219.1800000002</v>
      </c>
      <c r="G2" s="377">
        <f>IF(SUMIF(Inventaire!B12:B79,"??OC*",Inventaire!M12:M79)&lt;0,-SUMIF(Inventaire!B12:B79,"??OC*",Inventaire!M12:M79),0)</f>
        <v>0</v>
      </c>
      <c r="H2" s="555" t="s">
        <v>145</v>
      </c>
      <c r="I2" s="468" t="s">
        <v>146</v>
      </c>
    </row>
    <row r="3" spans="1:12">
      <c r="A3" s="557">
        <f>Sommaire!$C$1</f>
        <v>46022</v>
      </c>
      <c r="B3" s="555" t="s">
        <v>144</v>
      </c>
      <c r="C3" s="739">
        <v>70110000</v>
      </c>
      <c r="D3" s="561"/>
      <c r="E3" s="559" t="str">
        <f>"Valorisation au "&amp;TEXT(Sommaire!$C$1,"jj/mm/aa")</f>
        <v>Valorisation au 31/12/25</v>
      </c>
      <c r="F3" s="562"/>
      <c r="G3" s="562">
        <f>IF(SUMIF(Inventaire!B12:B79,"??OC*",Inventaire!M12:M79)&gt;0,SUMIF(Inventaire!B12:B79,"??OC*",Inventaire!M12:M79),0)</f>
        <v>1712219.1800000002</v>
      </c>
      <c r="H3" s="555" t="s">
        <v>145</v>
      </c>
      <c r="I3" s="563" t="s">
        <v>147</v>
      </c>
      <c r="J3" s="468" t="s">
        <v>148</v>
      </c>
    </row>
    <row r="4" spans="1:12" s="548" customFormat="1">
      <c r="A4" s="557"/>
      <c r="B4" s="565"/>
      <c r="C4" s="740"/>
      <c r="D4" s="566"/>
      <c r="E4" s="567"/>
      <c r="F4" s="568"/>
      <c r="G4" s="568"/>
      <c r="H4" s="565"/>
      <c r="I4" s="569"/>
    </row>
    <row r="5" spans="1:12">
      <c r="A5" s="557">
        <f>Sommaire!$C$1</f>
        <v>46022</v>
      </c>
      <c r="B5" s="555" t="s">
        <v>144</v>
      </c>
      <c r="C5" s="738">
        <v>31800000</v>
      </c>
      <c r="D5" s="561"/>
      <c r="E5" s="559" t="str">
        <f>"Valorisation au "&amp;TEXT(Sommaire!$C$1,"jj/mm/aa")</f>
        <v>Valorisation au 31/12/25</v>
      </c>
      <c r="F5" s="562">
        <f>IF(SUMIF(Inventaire!B12:B79,"??OS*",Inventaire!M12:M79)+SUMIF(Inventaire!B12:B79,"??OR*",Inventaire!M12:M79)+SUMIF(Inventaire!B12:B79,"??CN*",Inventaire!M12:M79)&gt;0,SUMIF(Inventaire!B12:B79,"??OS*",Inventaire!M12:M79)+SUMIF(Inventaire!B12:B79,"??OR*",Inventaire!M12:M79)+SUMIF(Inventaire!B12:B79,"??CN*",Inventaire!M12:M79),0)</f>
        <v>247916.67</v>
      </c>
      <c r="G5" s="562">
        <f>IF(SUMIF(Inventaire!B12:B79,"??OS*",Inventaire!M12:M79)+SUMIF(Inventaire!B12:B79,"??OR*",Inventaire!M12:M79)+SUMIF(Inventaire!B12:B79,"??CN*",Inventaire!M12:M79)&lt;0,-(SUMIF(Inventaire!B12:B79,"??OS*",Inventaire!M12:M79)+SUMIF(Inventaire!B12:B79,"??OR*",Inventaire!M12:M79)+SUMIF(Inventaire!B12:B79,"??CN*",Inventaire!M12:M79)),0)</f>
        <v>0</v>
      </c>
      <c r="H5" s="555" t="s">
        <v>145</v>
      </c>
      <c r="I5" s="570" t="s">
        <v>149</v>
      </c>
    </row>
    <row r="6" spans="1:12">
      <c r="A6" s="557">
        <f>Sommaire!$C$1</f>
        <v>46022</v>
      </c>
      <c r="B6" s="555" t="s">
        <v>144</v>
      </c>
      <c r="C6" s="739">
        <v>70120000</v>
      </c>
      <c r="D6" s="561"/>
      <c r="E6" s="559" t="str">
        <f>"Valorisation au "&amp;TEXT(Sommaire!$C$1,"jj/mm/aa")</f>
        <v>Valorisation au 31/12/25</v>
      </c>
      <c r="F6" s="562"/>
      <c r="G6" s="232">
        <f>IF(SUMIF(Inventaire!B12:B79,"??OS*",Inventaire!M12:M79)+SUMIF(Inventaire!B12:B79,"??OR*",Inventaire!M12:M79)+SUMIF(Inventaire!B12:B79,"??CN*",Inventaire!M12:M79)&gt;0,SUMIF(Inventaire!B12:B79,"??OS*",Inventaire!M12:M79)+SUMIF(Inventaire!B12:B79,"??OR*",Inventaire!M12:M79)+SUMIF(Inventaire!B12:B79,"??CN*",Inventaire!M12:M79),0)</f>
        <v>247916.67</v>
      </c>
      <c r="H6" s="555" t="s">
        <v>145</v>
      </c>
      <c r="I6" s="571" t="s">
        <v>149</v>
      </c>
      <c r="J6" s="468" t="s">
        <v>150</v>
      </c>
    </row>
    <row r="7" spans="1:12">
      <c r="A7" s="557"/>
      <c r="B7" s="555"/>
      <c r="D7" s="561"/>
      <c r="E7" s="559"/>
      <c r="F7" s="562"/>
      <c r="G7" s="232"/>
      <c r="H7" s="555"/>
      <c r="I7" s="570"/>
    </row>
    <row r="8" spans="1:12">
      <c r="A8" s="557">
        <f>Sommaire!$C$1</f>
        <v>46022</v>
      </c>
      <c r="B8" s="555" t="s">
        <v>144</v>
      </c>
      <c r="C8" s="738">
        <v>36800000</v>
      </c>
      <c r="E8" s="559" t="str">
        <f>"Valorisation au "&amp;TEXT(Sommaire!$C$1,"jj/mm/aa")</f>
        <v>Valorisation au 31/12/25</v>
      </c>
      <c r="F8" s="232">
        <f>IF(SUMIF(Inventaire!B12:B79,"??PR*",Inventaire!M12:M79)+SUMIF(Inventaire!B12:B79,"??NO*",Inventaire!M12:M79)+SUMIF(Inventaire!B12:B79,"??CC*",Inventaire!M12:M79)&gt;0,SUMIF(Inventaire!B12:B79,"??PR*",Inventaire!M12:M79)+SUMIF(Inventaire!B12:B79,"??NO*",Inventaire!M12:M79)+SUMIF(Inventaire!B12:B79,"??CC*",Inventaire!M12:M79),0)</f>
        <v>0</v>
      </c>
      <c r="G8" s="232">
        <f>IF(SUMIF(Inventaire!B12:B79,"??PR*",Inventaire!M12:M79)+SUMIF(Inventaire!B12:B79,"??NO*",Inventaire!M12:M79)+SUMIF(Inventaire!B12:B79,"??CC*",Inventaire!M12:M79)&lt;0,-SUMIF(Inventaire!B12:B79,"??PR*",Inventaire!M12:M79)+SUMIF(Inventaire!B12:B79,"??NO*",Inventaire!M12:M79)+SUMIF(Inventaire!B12:B79,"??CC*",Inventaire!M12:M79),0)</f>
        <v>0</v>
      </c>
      <c r="H8" s="555" t="s">
        <v>145</v>
      </c>
      <c r="I8" s="572" t="s">
        <v>151</v>
      </c>
    </row>
    <row r="9" spans="1:12">
      <c r="A9" s="557">
        <f>Sommaire!$C$1</f>
        <v>46022</v>
      </c>
      <c r="B9" s="555" t="s">
        <v>144</v>
      </c>
      <c r="C9" s="739">
        <v>70760000</v>
      </c>
      <c r="D9" s="561"/>
      <c r="E9" s="559" t="str">
        <f>"Valorisation au "&amp;TEXT(Sommaire!$C$1,"jj/mm/aa")</f>
        <v>Valorisation au 31/12/25</v>
      </c>
      <c r="F9" s="562"/>
      <c r="G9" s="232">
        <f>IF(SUMIF(Inventaire!B12:B79,"??PR*",Inventaire!M12:M79)+SUMIF(Inventaire!B12:B79,"??NO*",Inventaire!M12:M79)+SUMIF(Inventaire!B12:B79,"??CC*",Inventaire!M12:M79)&gt;0,SUMIF(Inventaire!B12:B79,"??PR*",Inventaire!M12:M79)+SUMIF(Inventaire!B12:B79,"??NO*",Inventaire!M12:M79)+SUMIF(Inventaire!B12:B79,"??CC*",Inventaire!M12:M79),0)</f>
        <v>0</v>
      </c>
      <c r="H9" s="555" t="s">
        <v>145</v>
      </c>
      <c r="I9" s="573" t="s">
        <v>151</v>
      </c>
      <c r="J9" s="468" t="s">
        <v>152</v>
      </c>
      <c r="K9" s="574"/>
      <c r="L9" s="574"/>
    </row>
    <row r="10" spans="1:12" s="548" customFormat="1" ht="13.5" customHeight="1">
      <c r="A10" s="557"/>
      <c r="B10" s="565"/>
      <c r="C10" s="565"/>
      <c r="D10" s="566"/>
      <c r="E10" s="567"/>
      <c r="F10" s="568"/>
      <c r="G10" s="229"/>
      <c r="H10" s="565"/>
      <c r="I10" s="569"/>
      <c r="K10" s="575"/>
      <c r="L10" s="575"/>
    </row>
    <row r="11" spans="1:12">
      <c r="A11" s="557">
        <f>Sommaire!$C$1</f>
        <v>46022</v>
      </c>
      <c r="B11" s="555" t="s">
        <v>144</v>
      </c>
      <c r="C11" s="738">
        <v>31800000</v>
      </c>
      <c r="D11" s="561"/>
      <c r="E11" s="559" t="str">
        <f>"Valorisation au "&amp;TEXT(Sommaire!$C$1,"jj/mm/aa")</f>
        <v>Valorisation au 31/12/25</v>
      </c>
      <c r="F11" s="562">
        <f>IF(SUMIF(Inventaire!B12:B79,"??AC*",Inventaire!M12:M79)+SUMIF(Inventaire!B12:B79,"??AD*",Inventaire!M12:M79)+SUMIF(Inventaire!B12:B79,"??SA*",Inventaire!M12:M79)+SUMIF(Inventaire!B12:B79,"??BS*",Inventaire!M12:M79)&gt;0,SUMIF(Inventaire!B12:B79,"??AC*",Inventaire!M12:M79)+SUMIF(Inventaire!B12:B79,"??AD*",Inventaire!M12:M79)+SUMIF(Inventaire!B12:B79,"??SA*",Inventaire!M12:M79)+SUMIF(Inventaire!B12:B79,"??BS*",Inventaire!M12:M79),0)</f>
        <v>90591.11</v>
      </c>
      <c r="G11" s="232">
        <f>IF(SUMIF(Inventaire!B12:B79,"??AC*",Inventaire!M12:M79)+SUMIF(Inventaire!B12:B79,"??AD*",Inventaire!M12:M79)+SUMIF(Inventaire!B12:B79,"??SA*",Inventaire!M12:M79)+SUMIF(Inventaire!B12:B79,"??BS*",Inventaire!M12:M79)&lt;0,-SUMIF(Inventaire!B12:B79,"??AC*",Inventaire!M12:M79)+SUMIF(Inventaire!B12:B79,"??AD*",Inventaire!M12:M79)+SUMIF(Inventaire!B12:B79,"??SA*",Inventaire!M12:M79)+SUMIF(Inventaire!B12:B79,"??BS*",Inventaire!M12:M79),0)</f>
        <v>0</v>
      </c>
      <c r="H11" s="555" t="s">
        <v>145</v>
      </c>
      <c r="I11" s="570" t="s">
        <v>153</v>
      </c>
      <c r="K11" s="574"/>
      <c r="L11" s="574"/>
    </row>
    <row r="12" spans="1:12">
      <c r="A12" s="557">
        <f>Sommaire!$C$1</f>
        <v>46022</v>
      </c>
      <c r="B12" s="555" t="s">
        <v>144</v>
      </c>
      <c r="C12" s="739">
        <v>70000000</v>
      </c>
      <c r="D12" s="561"/>
      <c r="E12" s="559" t="str">
        <f>"Valorisation au "&amp;TEXT(Sommaire!$C$1,"jj/mm/aa")</f>
        <v>Valorisation au 31/12/25</v>
      </c>
      <c r="F12" s="562">
        <f>IF(SUMIF(Inventaire!B12:B79,"??AC*",Inventaire!M12:M79)+SUMIF(Inventaire!B12:B79,"??AD*",Inventaire!M12:M79)+SUMIF(Inventaire!B12:B79,"??SA*",Inventaire!M12:M79)+SUMIF(Inventaire!B12:B79,"??BS*",Inventaire!M12:M79)&lt;0,-SUMIF(Inventaire!B12:B79,"??AC*",Inventaire!M12:M79)+SUMIF(Inventaire!B12:B79,"??AD*",Inventaire!M12:M79)+SUMIF(Inventaire!B12:B79,"??SA*",Inventaire!M12:M79)+SUMIF(Inventaire!B12:B79,"??BS*",Inventaire!M12:M79),0)</f>
        <v>0</v>
      </c>
      <c r="G12" s="232">
        <f>IF(SUMIF(Inventaire!B12:B79,"??AC*",Inventaire!M12:M79)+SUMIF(Inventaire!B12:B79,"??AD*",Inventaire!M12:M79)+SUMIF(Inventaire!B12:B79,"??SA*",Inventaire!M12:M79)+SUMIF(Inventaire!B12:B79,"??BS*",Inventaire!M12:M79)&gt;0,SUMIF(Inventaire!B12:B79,"??AC*",Inventaire!M12:M79)+SUMIF(Inventaire!B12:B79,"??AD*",Inventaire!M12:M79)+SUMIF(Inventaire!B12:B79,"??SA*",Inventaire!M12:M79)+SUMIF(Inventaire!B12:B79,"??BS*",Inventaire!M12:M79),0)</f>
        <v>90591.11</v>
      </c>
      <c r="H12" s="555" t="s">
        <v>145</v>
      </c>
      <c r="I12" s="569" t="s">
        <v>153</v>
      </c>
      <c r="J12" s="468" t="s">
        <v>154</v>
      </c>
      <c r="K12" s="574"/>
      <c r="L12" s="574"/>
    </row>
    <row r="13" spans="1:12" s="548" customFormat="1">
      <c r="A13" s="557"/>
      <c r="B13" s="565"/>
      <c r="C13" s="565"/>
      <c r="D13" s="566"/>
      <c r="E13" s="567"/>
      <c r="F13" s="568"/>
      <c r="G13" s="229"/>
      <c r="H13" s="565"/>
      <c r="I13" s="569"/>
      <c r="K13" s="575"/>
      <c r="L13" s="575"/>
    </row>
    <row r="14" spans="1:12">
      <c r="A14" s="557">
        <f>Sommaire!$C$1</f>
        <v>46022</v>
      </c>
      <c r="B14" s="555" t="s">
        <v>144</v>
      </c>
      <c r="C14" s="558">
        <v>37000000</v>
      </c>
      <c r="D14" s="561"/>
      <c r="E14" s="559" t="str">
        <f>"Valorisation au "&amp;TEXT(Sommaire!$C$1,"jj/mm/aa")</f>
        <v>Valorisation au 31/12/25</v>
      </c>
      <c r="F14" s="562">
        <f>IF(SUMIF(Inventaire!B12:B79,"??AC*",Inventaire!L12:L79)+SUMIF(Inventaire!B12:B79,"??AD*",Inventaire!L12:L79)+SUMIF(Inventaire!B12:B79,"??SA*",Inventaire!L12:L79)+SUMIF(Inventaire!B12:B79,"??BS*",Inventaire!L12:L79)&gt;0,(SUMIF(Inventaire!B12:B79,"??AC*",Inventaire!L12:L79)+SUMIF(Inventaire!B12:B79,"??AD*",Inventaire!L12:L79)+SUMIF(Inventaire!B12:B79,"??SA*",Inventaire!L12:L79)+SUMIF(Inventaire!B12:B79,"??BS*",Inventaire!L12:L79)),0)</f>
        <v>67943.33</v>
      </c>
      <c r="G14" s="232">
        <f>IF(SUMIF(Inventaire!B12:B79,"??AC*",Inventaire!L12:L79)+SUMIF(Inventaire!B12:B79,"??AD*",Inventaire!L12:L79)+SUMIF(Inventaire!B12:B79,"??SA*",Inventaire!L12:L79)+SUMIF(Inventaire!B12:B79,"??BS*",Inventaire!L12:L79)&lt;0,-(SUMIF(Inventaire!B12:B79,"??AC*",Inventaire!L12:L79)+SUMIF(Inventaire!B12:B79,"??AD*",Inventaire!L12:L79)+SUMIF(Inventaire!B12:B79,"??SA*",Inventaire!L12:L79)+SUMIF(Inventaire!B12:B79,"??BS*",Inventaire!L12:L79)),0)</f>
        <v>0</v>
      </c>
      <c r="H14" s="576" t="s">
        <v>145</v>
      </c>
      <c r="I14" s="577" t="s">
        <v>155</v>
      </c>
      <c r="K14" s="574"/>
      <c r="L14" s="574"/>
    </row>
    <row r="15" spans="1:12">
      <c r="A15" s="557">
        <f>Sommaire!$C$1</f>
        <v>46022</v>
      </c>
      <c r="B15" s="555" t="s">
        <v>144</v>
      </c>
      <c r="C15" s="560">
        <v>75500000</v>
      </c>
      <c r="D15" s="555"/>
      <c r="E15" s="559" t="str">
        <f>"Valorisation au "&amp;TEXT(Sommaire!$C$1,"jj/mm/aa")</f>
        <v>Valorisation au 31/12/25</v>
      </c>
      <c r="F15" s="232">
        <f>IF(SUMIF(Inventaire!B12:B79,"??AC*",Inventaire!L12:L79)+SUMIF(Inventaire!B12:B79,"??AD*",Inventaire!L12:L79)+SUMIF(Inventaire!B12:B79,"??SA*",Inventaire!L12:L79)+SUMIF(Inventaire!B12:B79,"??BS*",Inventaire!L12:L79)&lt;0,-(SUMIF(Inventaire!B12:B79,"??AC*",Inventaire!L12:L79)+SUMIF(Inventaire!B12:B79,"??AD*",Inventaire!L12:L79)+SUMIF(Inventaire!B12:B79,"??SA*",Inventaire!L12:L79)+SUMIF(Inventaire!B12:B79,"??BS*",Inventaire!L12:L79)),0)</f>
        <v>0</v>
      </c>
      <c r="G15" s="232">
        <f>IF(SUMIF(Inventaire!B12:B79,"??AC*",Inventaire!L12:L79)+SUMIF(Inventaire!B12:B79,"??AD*",Inventaire!L12:L79)+SUMIF(Inventaire!B12:B79,"??SA*",Inventaire!L12:L79)+SUMIF(Inventaire!B12:B79,"??BS*",Inventaire!L12:L79)&gt;0,(SUMIF(Inventaire!B12:B79,"??AC*",Inventaire!L12:L79)+SUMIF(Inventaire!B12:B79,"??AD*",Inventaire!L12:L79)+SUMIF(Inventaire!B12:B79,"??SA*",Inventaire!L12:L79)+SUMIF(Inventaire!B12:B79,"??BS*",Inventaire!L12:L79)),0)</f>
        <v>67943.33</v>
      </c>
      <c r="H15" s="576" t="s">
        <v>145</v>
      </c>
      <c r="I15" s="578" t="s">
        <v>155</v>
      </c>
      <c r="J15" s="574"/>
    </row>
    <row r="16" spans="1:12" s="548" customFormat="1">
      <c r="A16" s="557"/>
      <c r="B16" s="565"/>
      <c r="C16" s="565"/>
      <c r="D16" s="565"/>
      <c r="E16" s="567"/>
      <c r="F16" s="229"/>
      <c r="G16" s="229"/>
      <c r="H16" s="579"/>
      <c r="I16" s="580"/>
      <c r="J16" s="575"/>
    </row>
    <row r="17" spans="1:13">
      <c r="A17" s="557">
        <f>Sommaire!$C$1</f>
        <v>46022</v>
      </c>
      <c r="B17" s="555" t="s">
        <v>144</v>
      </c>
      <c r="C17" s="558">
        <v>37100000</v>
      </c>
      <c r="E17" s="559" t="str">
        <f>"Valorisation au "&amp;TEXT(Sommaire!$C$1,"jj/mm/aa")</f>
        <v>Valorisation au 31/12/25</v>
      </c>
      <c r="F17" s="232">
        <f>IF(SUMIF(Inventaire!B12:B79,"??OC*",Inventaire!L12:L79)&gt;0,(SUMIF(Inventaire!B12:B79,"??OC*",Inventaire!L12:L79)),0)</f>
        <v>226840.18</v>
      </c>
      <c r="G17" s="232">
        <f>IF(SUMIF(Inventaire!B12:B79,"??OC*",Inventaire!L12:L79)&lt;0,-(SUMIF(Inventaire!B12:B79,"??OC*",Inventaire!L12:L79)),0)</f>
        <v>0</v>
      </c>
      <c r="H17" s="555" t="s">
        <v>145</v>
      </c>
      <c r="I17" s="581" t="s">
        <v>156</v>
      </c>
    </row>
    <row r="18" spans="1:13">
      <c r="A18" s="557">
        <f>Sommaire!$C$1</f>
        <v>46022</v>
      </c>
      <c r="B18" s="555" t="s">
        <v>144</v>
      </c>
      <c r="C18" s="560">
        <v>75512000</v>
      </c>
      <c r="D18" s="555"/>
      <c r="E18" s="559" t="str">
        <f>"Valorisation au "&amp;TEXT(Sommaire!$C$1,"jj/mm/aa")</f>
        <v>Valorisation au 31/12/25</v>
      </c>
      <c r="F18" s="232">
        <f>IF(SUMIF(Inventaire!B12:B79,"??OC*",Inventaire!L12:L79)&lt;0,-(SUMIF(Inventaire!B12:B79,"??OC*",Inventaire!L12:L79)),0)</f>
        <v>0</v>
      </c>
      <c r="G18" s="232">
        <f>IF(SUMIF(Inventaire!B12:B79,"??OC*",Inventaire!L12:L79)&gt;0,(SUMIF(Inventaire!B12:B79,"??OC*",Inventaire!L12:L79)),0)</f>
        <v>226840.18</v>
      </c>
      <c r="H18" s="582" t="s">
        <v>145</v>
      </c>
      <c r="I18" s="583" t="s">
        <v>156</v>
      </c>
      <c r="J18" s="574"/>
    </row>
    <row r="19" spans="1:13" s="548" customFormat="1">
      <c r="A19" s="557"/>
      <c r="B19" s="565"/>
      <c r="C19" s="565"/>
      <c r="D19" s="565"/>
      <c r="E19" s="567"/>
      <c r="F19" s="229"/>
      <c r="G19" s="229"/>
      <c r="H19" s="584"/>
      <c r="I19" s="585"/>
      <c r="J19" s="575"/>
      <c r="M19" s="229"/>
    </row>
    <row r="20" spans="1:13">
      <c r="A20" s="557">
        <f>Sommaire!$C$1</f>
        <v>46022</v>
      </c>
      <c r="B20" s="555" t="s">
        <v>144</v>
      </c>
      <c r="C20" s="558">
        <v>37100000</v>
      </c>
      <c r="D20" s="555"/>
      <c r="E20" s="559" t="str">
        <f>"Valorisation au "&amp;TEXT(Sommaire!$C$1,"jj/mm/aa")</f>
        <v>Valorisation au 31/12/25</v>
      </c>
      <c r="F20" s="232">
        <f>IF(SUMIF(Inventaire!B12:B79,"??OS*",Inventaire!L12:L79)+SUMIF(Inventaire!B12:B79,"??OR*",Inventaire!L12:L79)+SUMIF(Inventaire!B12:B79,"??CN*",Inventaire!L12:L79)&gt;0,+(SUMIF(Inventaire!B12:B79,"??OS*",Inventaire!L12:L79)+SUMIF(Inventaire!B12:B79,"??OR*",Inventaire!L12:L79)+SUMIF(Inventaire!B12:B79,"??CN*",Inventaire!L12:L79)),0)</f>
        <v>0</v>
      </c>
      <c r="G20" s="232">
        <f>IF(SUMIF(Inventaire!B12:B79,"??OS*",Inventaire!L12:L79)+SUMIF(Inventaire!B12:B79,"??OR*",Inventaire!L12:L79)+SUMIF(Inventaire!B12:B79,"??CN*",Inventaire!L12:L79)&lt;0,-(SUMIF(Inventaire!B12:B79,"??OS*",Inventaire!L12:L79)+SUMIF(Inventaire!B12:B79,"??OR*",Inventaire!L12:L79)+SUMIF(Inventaire!B12:B79,"??CN*",Inventaire!L12:L79)),0)</f>
        <v>0</v>
      </c>
      <c r="H20" s="582" t="s">
        <v>145</v>
      </c>
      <c r="I20" s="586" t="s">
        <v>157</v>
      </c>
      <c r="J20" s="574"/>
      <c r="M20" s="232"/>
    </row>
    <row r="21" spans="1:13">
      <c r="A21" s="557">
        <f>Sommaire!$C$1</f>
        <v>46022</v>
      </c>
      <c r="B21" s="555" t="s">
        <v>144</v>
      </c>
      <c r="C21" s="560">
        <v>75515000</v>
      </c>
      <c r="D21" s="555"/>
      <c r="E21" s="559" t="str">
        <f>"Valorisation au "&amp;TEXT(Sommaire!$C$1,"jj/mm/aa")</f>
        <v>Valorisation au 31/12/25</v>
      </c>
      <c r="F21" s="232">
        <f>IF(SUMIF(Inventaire!B12:B79,"??OS*",Inventaire!L12:L79)+SUMIF(Inventaire!B12:B79,"??OR*",Inventaire!L12:L79)+SUMIF(Inventaire!B12:B79,"??CN*",Inventaire!L12:L79)&lt;0,-(SUMIF(Inventaire!B12:B79,"??OS*",Inventaire!L12:L79)+SUMIF(Inventaire!B12:B79,"??OR*",Inventaire!L12:L79)+SUMIF(Inventaire!B12:B79,"??CN*",Inventaire!L12:L79)),0)</f>
        <v>0</v>
      </c>
      <c r="G21" s="232">
        <f>IF(SUMIF(Inventaire!B12:B79,"??OS*",Inventaire!L12:L79)+SUMIF(Inventaire!B12:B79,"??OR*",Inventaire!L12:L79)+SUMIF(Inventaire!B12:B79,"??CN*",Inventaire!L12:L79)&gt;0,+(SUMIF(Inventaire!B12:B79,"??OS*",Inventaire!L12:L79)+SUMIF(Inventaire!B12:B79,"??OR*",Inventaire!L12:L79)+SUMIF(Inventaire!B12:B79,"??CN*",Inventaire!L12:L79)),0)</f>
        <v>0</v>
      </c>
      <c r="H21" s="582" t="s">
        <v>145</v>
      </c>
      <c r="I21" s="587" t="s">
        <v>157</v>
      </c>
      <c r="J21" s="574"/>
    </row>
    <row r="22" spans="1:13">
      <c r="A22" s="557"/>
      <c r="B22" s="555"/>
      <c r="D22" s="555"/>
      <c r="E22" s="559"/>
      <c r="F22" s="232"/>
      <c r="G22" s="232"/>
      <c r="H22" s="582"/>
      <c r="I22" s="588"/>
      <c r="J22" s="574"/>
    </row>
    <row r="23" spans="1:13">
      <c r="A23" s="557">
        <f>Sommaire!$C$1</f>
        <v>46022</v>
      </c>
      <c r="B23" s="555" t="s">
        <v>144</v>
      </c>
      <c r="C23" s="558">
        <v>37600000</v>
      </c>
      <c r="E23" s="559" t="str">
        <f>"Valorisation au "&amp;TEXT(Sommaire!$C$1,"jj/mm/aa")</f>
        <v>Valorisation au 31/12/25</v>
      </c>
      <c r="F23" s="232">
        <f>IF(SUMIF(Inventaire!B12:B79,"??PR*",Inventaire!L12:L79)+SUMIF(Inventaire!B12:B79,"??NO*",Inventaire!L12:L79)+SUMIF(Inventaire!B12:B79,"??CC*",Inventaire!L12:L79)+SUMIF(Inventaire!B12:B79,"??CT*",Inventaire!L12:L79)&gt;0,+(SUMIF(Inventaire!B12:B79,"??PR*",Inventaire!L12:L79)+SUMIF(Inventaire!B12:B79,"??NO*",Inventaire!L12:L79)+SUMIF(Inventaire!B12:B79,"??CT*",Inventaire!L12:L79)+SUMIF(Inventaire!B12:B79,"??CC*",Inventaire!L12:L79)),0)</f>
        <v>0</v>
      </c>
      <c r="G23" s="232">
        <f>IF(SUMIF(Inventaire!B12:B79,"??PR*",Inventaire!L12:L79)+SUMIF(Inventaire!B12:B79,"??NO*",Inventaire!L12:L79)+SUMIF(Inventaire!B12:B79,"??CC*",Inventaire!L12:L79)+SUMIF(Inventaire!B12:B79,"??CT*",Inventaire!L12:L79)&lt;0,-(SUMIF(Inventaire!B12:B79,"??PR*",Inventaire!L12:L79)+SUMIF(Inventaire!B12:B79,"??NO*",Inventaire!L12:L79)+SUMIF(Inventaire!B12:B79,"??CT*",Inventaire!L12:L79)+SUMIF(Inventaire!B12:B79,"??CC*",Inventaire!L12:L79)),0)</f>
        <v>0</v>
      </c>
      <c r="H23" s="555" t="s">
        <v>145</v>
      </c>
      <c r="I23" s="589" t="s">
        <v>158</v>
      </c>
    </row>
    <row r="24" spans="1:13" s="548" customFormat="1" ht="15" customHeight="1">
      <c r="A24" s="557">
        <f>Sommaire!$C$1</f>
        <v>46022</v>
      </c>
      <c r="B24" s="555" t="s">
        <v>144</v>
      </c>
      <c r="C24" s="560" t="s">
        <v>159</v>
      </c>
      <c r="D24" s="561"/>
      <c r="E24" s="559" t="str">
        <f>"Valorisation au "&amp;TEXT(Sommaire!$C$1,"jj/mm/aa")</f>
        <v>Valorisation au 31/12/25</v>
      </c>
      <c r="F24" s="562">
        <f>IF(SUMIF(Inventaire!B12:B79,"??PR*",Inventaire!L12:L79)+SUMIF(Inventaire!B12:B79,"??NO*",Inventaire!L12:L79)+SUMIF(Inventaire!B12:B79,"??CC*",Inventaire!L12:L79)+SUMIF(Inventaire!B12:B79,"??CT*",Inventaire!L12:L79)&lt;0,-(SUMIF(Inventaire!B12:B79,"??PR*",Inventaire!L12:L79)+SUMIF(Inventaire!B12:B79,"??NO*",Inventaire!L12:L79)+SUMIF(Inventaire!B12:B79,"??CT*",Inventaire!L12:L79)+SUMIF(Inventaire!B12:B79,"??CC*",Inventaire!L12:L79)),0)</f>
        <v>0</v>
      </c>
      <c r="G24" s="232">
        <f>IF(SUMIF(Inventaire!B12:B79,"??PR*",Inventaire!L12:L79)+SUMIF(Inventaire!B12:B79,"??NO*",Inventaire!L12:L79)+SUMIF(Inventaire!B12:B79,"??CC*",Inventaire!L12:L79)+SUMIF(Inventaire!B12:B79,"??CT*",Inventaire!L12:L79)&gt;0,+(SUMIF(Inventaire!B12:B79,"??PR*",Inventaire!L12:L79)+SUMIF(Inventaire!B12:B79,"??NO*",Inventaire!L12:L79)+SUMIF(Inventaire!B12:B79,"??CT*",Inventaire!L12:L79)+SUMIF(Inventaire!B12:B79,"??CC*",Inventaire!L12:L79)),0)</f>
        <v>0</v>
      </c>
      <c r="H24" s="555" t="s">
        <v>145</v>
      </c>
      <c r="I24" s="590" t="s">
        <v>158</v>
      </c>
      <c r="J24" s="548" t="s">
        <v>160</v>
      </c>
      <c r="K24" s="575"/>
      <c r="L24" s="575"/>
    </row>
    <row r="25" spans="1:13" s="548" customFormat="1" ht="15" customHeight="1">
      <c r="A25" s="557"/>
      <c r="B25" s="565"/>
      <c r="C25" s="565"/>
      <c r="D25" s="566"/>
      <c r="E25" s="567"/>
      <c r="F25" s="568"/>
      <c r="G25" s="229"/>
      <c r="H25" s="565"/>
      <c r="I25" s="569"/>
      <c r="K25" s="575"/>
      <c r="L25" s="575"/>
    </row>
    <row r="26" spans="1:13" s="548" customFormat="1" ht="15" customHeight="1">
      <c r="A26" s="557">
        <f>Sommaire!$C$1</f>
        <v>46022</v>
      </c>
      <c r="B26" s="555" t="s">
        <v>144</v>
      </c>
      <c r="C26" s="558">
        <v>37300000</v>
      </c>
      <c r="D26" s="561"/>
      <c r="E26" s="559" t="str">
        <f>"Valorisation au "&amp;TEXT(Sommaire!$C$1,"jj/mm/aa")</f>
        <v>Valorisation au 31/12/25</v>
      </c>
      <c r="F26" s="562">
        <f>IF(SUMIF(Inventaire!C12:C79,"*sicav*",Inventaire!L12:L79)+SUMIF(Inventaire!C12:C79,"*FCP*",Inventaire!L12:L79)+SUMIF(Inventaire!C12:C79,"*FPCI*",Inventaire!L12:L79)+SUMIF(Inventaire!C12:C79,"*SLP*",Inventaire!L12:L79)+SUMIF(Inventaire!C12:C79,"*FIPS*",Inventaire!L12:L79)&gt;0,(SUMIF(Inventaire!C12:C79,"*sicav*",Inventaire!L12:L79)+SUMIF(Inventaire!C12:C79,"*FCP*",Inventaire!L12:L79)+SUMIF(Inventaire!C12:C79,"*FPCI*",Inventaire!L12:L79)+SUMIF(Inventaire!C12:C79,"*SLP*",Inventaire!L12:L79)+SUMIF(Inventaire!C12:C79,"*FIPS*",Inventaire!L12:L79)),0)</f>
        <v>0</v>
      </c>
      <c r="G26" s="232">
        <f>IF(SUMIF(Inventaire!C12:C79,"*sicav*",Inventaire!L12:L79)+SUMIF(Inventaire!C12:C79,"*FCP*",Inventaire!L12:L79)+SUMIF(Inventaire!C12:C79,"*FPCI*",Inventaire!L12:L79)+SUMIF(Inventaire!C12:C79,"*SLP*",Inventaire!L12:L79)+SUMIF(Inventaire!C12:C79,"*FIPS*",Inventaire!L12:L79)&lt;0,-(SUMIF(Inventaire!C12:C79,"*sicav*",Inventaire!L12:L79)+SUMIF(Inventaire!C12:C79,"*FCP*",Inventaire!L12:L79)+SUMIF(Inventaire!C12:C79,"*FPCI*",Inventaire!L12:L79)+SUMIF(Inventaire!C12:C79,"*SLP*",Inventaire!L12:L79)+SUMIF(Inventaire!C12:C79,"*FIPS*",Inventaire!L12:L79)),0)</f>
        <v>0</v>
      </c>
      <c r="H26" s="555" t="s">
        <v>145</v>
      </c>
      <c r="I26" s="570" t="s">
        <v>161</v>
      </c>
      <c r="K26" s="575"/>
      <c r="L26" s="575"/>
    </row>
    <row r="27" spans="1:13" s="548" customFormat="1">
      <c r="A27" s="557">
        <f>Sommaire!$C$1</f>
        <v>46022</v>
      </c>
      <c r="B27" s="555" t="s">
        <v>144</v>
      </c>
      <c r="C27" s="560" t="s">
        <v>162</v>
      </c>
      <c r="D27" s="561"/>
      <c r="E27" s="559" t="str">
        <f>"Valorisation au "&amp;TEXT(Sommaire!$C$1,"jj/mm/aa")</f>
        <v>Valorisation au 31/12/25</v>
      </c>
      <c r="F27" s="232">
        <f>IF(SUMIF(Inventaire!C12:C79,"*sicav*",Inventaire!L12:L79)+SUMIF(Inventaire!C12:C79,"*FCP*",Inventaire!L12:L79)+SUMIF(Inventaire!C12:C79,"*FPCI*",Inventaire!L12:L79)+SUMIF(Inventaire!C12:C79,"*SLP*",Inventaire!L12:L79)+SUMIF(Inventaire!C12:C79,"*FIPS*",Inventaire!L12:L79)&lt;0,-(SUMIF(Inventaire!C12:C79,"*sicav*",Inventaire!L12:L79)+SUMIF(Inventaire!C12:C79,"*FCP*",Inventaire!L12:L79)+SUMIF(Inventaire!C12:C79,"*FPCI*",Inventaire!L12:L79)+SUMIF(Inventaire!C12:C79,"*SLP*",Inventaire!L12:L79)+SUMIF(Inventaire!C12:C79,"*FIPS*",Inventaire!L12:L79)),0)</f>
        <v>0</v>
      </c>
      <c r="G27" s="232">
        <f>IF(SUMIF(Inventaire!C12:C79,"*sicav*",Inventaire!L12:L79)+SUMIF(Inventaire!C12:C79,"*FCP*",Inventaire!L12:L79)+SUMIF(Inventaire!C12:C79,"*FPCI*",Inventaire!L12:L79)+SUMIF(Inventaire!C12:C79,"*SLP*",Inventaire!L12:L79)+SUMIF(Inventaire!C12:C79,"*FIPS*",Inventaire!L12:L79)&gt;0,(SUMIF(Inventaire!C12:C79,"*sicav*",Inventaire!L12:L79)+SUMIF(Inventaire!C12:C79,"*FCP*",Inventaire!L12:L79)+SUMIF(Inventaire!C12:C79,"*FPCI*",Inventaire!L12:L79)+SUMIF(Inventaire!C12:C79,"*SLP*",Inventaire!L12:L79)+SUMIF(Inventaire!C12:C79,"*FIPS*",Inventaire!L12:L79)),0)</f>
        <v>0</v>
      </c>
      <c r="H27" s="555" t="s">
        <v>145</v>
      </c>
      <c r="I27" s="569" t="s">
        <v>161</v>
      </c>
      <c r="J27" s="548" t="s">
        <v>163</v>
      </c>
    </row>
    <row r="28" spans="1:13" s="548" customFormat="1">
      <c r="A28" s="557"/>
      <c r="B28" s="565"/>
      <c r="C28" s="565"/>
      <c r="D28" s="566"/>
      <c r="E28" s="567"/>
      <c r="F28" s="229"/>
      <c r="G28" s="229"/>
      <c r="H28" s="565"/>
      <c r="I28" s="569"/>
    </row>
    <row r="29" spans="1:13" s="548" customFormat="1">
      <c r="A29" s="557"/>
    </row>
    <row r="30" spans="1:13">
      <c r="A30" s="557">
        <f>Sommaire!$C$1</f>
        <v>46022</v>
      </c>
      <c r="B30" s="555" t="s">
        <v>144</v>
      </c>
      <c r="C30" s="558">
        <v>10410000</v>
      </c>
      <c r="E30" s="559" t="str">
        <f>"Valorisation au "&amp;TEXT(Sommaire!$C$1,"jj/mm/aa")</f>
        <v>Valorisation au 31/12/25</v>
      </c>
      <c r="F30" s="232">
        <f>+'Créances_&amp;_dettes'!G105</f>
        <v>0</v>
      </c>
      <c r="G30" s="232">
        <v>0</v>
      </c>
      <c r="H30" s="555" t="s">
        <v>145</v>
      </c>
      <c r="I30" s="591" t="s">
        <v>164</v>
      </c>
    </row>
    <row r="31" spans="1:13">
      <c r="A31" s="557">
        <f>Sommaire!$C$1</f>
        <v>46022</v>
      </c>
      <c r="B31" s="555" t="s">
        <v>144</v>
      </c>
      <c r="C31" s="558">
        <v>48700000</v>
      </c>
      <c r="E31" s="559" t="str">
        <f>"Valorisation au "&amp;TEXT(Sommaire!$C$1,"jj/mm/aa")</f>
        <v>Valorisation au 31/12/25</v>
      </c>
      <c r="F31" s="232">
        <v>0</v>
      </c>
      <c r="G31" s="232">
        <f>F30</f>
        <v>0</v>
      </c>
      <c r="H31" s="555" t="s">
        <v>145</v>
      </c>
      <c r="I31" s="591" t="str">
        <f>+I30</f>
        <v>Fund reserve</v>
      </c>
    </row>
    <row r="32" spans="1:13">
      <c r="A32" s="557"/>
      <c r="B32" s="555"/>
      <c r="E32" s="559"/>
      <c r="F32" s="196"/>
      <c r="G32" s="196"/>
      <c r="H32" s="555"/>
      <c r="I32" s="592"/>
    </row>
    <row r="33" spans="1:11">
      <c r="A33" s="557">
        <f>Sommaire!$C$1</f>
        <v>46022</v>
      </c>
      <c r="B33" s="555" t="s">
        <v>144</v>
      </c>
      <c r="C33" s="558">
        <v>39800000</v>
      </c>
      <c r="E33" s="559" t="str">
        <f>"Valorisation au "&amp;TEXT(Sommaire!$C$1,"jj/mm/aa")</f>
        <v>Valorisation au 31/12/25</v>
      </c>
      <c r="F33" s="196"/>
      <c r="G33" s="196">
        <f>Emprunt!K186</f>
        <v>112604.67</v>
      </c>
      <c r="H33" s="555" t="s">
        <v>145</v>
      </c>
      <c r="I33" s="58" t="s">
        <v>165</v>
      </c>
    </row>
    <row r="34" spans="1:11">
      <c r="A34" s="557">
        <f>Sommaire!$C$1</f>
        <v>46022</v>
      </c>
      <c r="B34" s="555" t="s">
        <v>144</v>
      </c>
      <c r="C34" s="558">
        <v>60500000</v>
      </c>
      <c r="E34" s="559" t="str">
        <f>"Valorisation au "&amp;TEXT(Sommaire!$C$1,"jj/mm/aa")</f>
        <v>Valorisation au 31/12/25</v>
      </c>
      <c r="F34" s="196">
        <f>G33</f>
        <v>112604.67</v>
      </c>
      <c r="G34" s="196"/>
      <c r="H34" s="555" t="s">
        <v>145</v>
      </c>
      <c r="I34" s="58" t="s">
        <v>165</v>
      </c>
    </row>
    <row r="35" spans="1:11" ht="12" customHeight="1">
      <c r="I35" s="593"/>
      <c r="J35" s="594"/>
      <c r="K35" s="594"/>
    </row>
    <row r="36" spans="1:11">
      <c r="A36" s="555"/>
      <c r="B36" s="555"/>
      <c r="C36" s="595"/>
      <c r="E36" s="596" t="s">
        <v>116</v>
      </c>
      <c r="F36" s="28">
        <f>SUM(F2:F35)</f>
        <v>2458115.14</v>
      </c>
      <c r="G36" s="28">
        <f>SUM(G3:G35)</f>
        <v>2458115.14</v>
      </c>
    </row>
    <row r="37" spans="1:11">
      <c r="A37" s="555"/>
      <c r="B37" s="555"/>
      <c r="E37" s="596" t="s">
        <v>85</v>
      </c>
      <c r="G37" s="28">
        <f>F36-G36</f>
        <v>0</v>
      </c>
      <c r="H37" s="468" t="s">
        <v>166</v>
      </c>
    </row>
    <row r="38" spans="1:11">
      <c r="E38" s="596"/>
      <c r="F38" s="196"/>
      <c r="G38" s="597" t="str">
        <f>IF(G37=0,"OK","ANOMALIE")</f>
        <v>OK</v>
      </c>
      <c r="I38" s="28"/>
    </row>
    <row r="39" spans="1:11">
      <c r="F39" s="196"/>
      <c r="H39" s="574"/>
    </row>
    <row r="40" spans="1:11">
      <c r="F40" s="196"/>
      <c r="H40" s="574"/>
    </row>
    <row r="41" spans="1:11">
      <c r="A41" s="741"/>
      <c r="B41" s="741" t="s">
        <v>167</v>
      </c>
      <c r="C41" s="741"/>
      <c r="D41" s="741"/>
      <c r="H41" s="574"/>
    </row>
    <row r="42" spans="1:11">
      <c r="A42" s="1158" t="s">
        <v>168</v>
      </c>
      <c r="B42" s="1158"/>
      <c r="C42" s="1158"/>
      <c r="D42" s="1158"/>
      <c r="E42" s="1158"/>
      <c r="F42" s="1158"/>
      <c r="G42" s="1158"/>
      <c r="H42" s="1158"/>
      <c r="I42" s="598"/>
    </row>
    <row r="43" spans="1:11">
      <c r="A43" s="557">
        <f>A2</f>
        <v>46022</v>
      </c>
      <c r="B43" s="555" t="s">
        <v>169</v>
      </c>
      <c r="C43" s="558">
        <f>C2</f>
        <v>31800000</v>
      </c>
      <c r="D43" s="555"/>
      <c r="E43" s="559" t="str">
        <f>E2</f>
        <v>Valorisation au 31/12/25</v>
      </c>
      <c r="F43" s="377">
        <f>F2</f>
        <v>1712219.1800000002</v>
      </c>
      <c r="G43" s="377">
        <f>G2</f>
        <v>0</v>
      </c>
      <c r="H43" s="555" t="str">
        <f>H2</f>
        <v>E</v>
      </c>
      <c r="I43" s="468" t="str">
        <f>I2</f>
        <v xml:space="preserve">Intérêts Courus sur OC </v>
      </c>
    </row>
    <row r="44" spans="1:11">
      <c r="A44" s="557">
        <f>A3</f>
        <v>46022</v>
      </c>
      <c r="B44" s="555" t="s">
        <v>169</v>
      </c>
      <c r="C44" s="558">
        <f>C3</f>
        <v>70110000</v>
      </c>
      <c r="D44" s="561"/>
      <c r="E44" s="559" t="str">
        <f t="shared" ref="E44:I44" si="0">E3</f>
        <v>Valorisation au 31/12/25</v>
      </c>
      <c r="F44" s="562">
        <f t="shared" si="0"/>
        <v>0</v>
      </c>
      <c r="G44" s="562">
        <f t="shared" si="0"/>
        <v>1712219.1800000002</v>
      </c>
      <c r="H44" s="555" t="str">
        <f t="shared" si="0"/>
        <v>E</v>
      </c>
      <c r="I44" s="563" t="str">
        <f t="shared" si="0"/>
        <v>Intérêts courus sur OC</v>
      </c>
    </row>
    <row r="45" spans="1:11">
      <c r="A45" s="564"/>
      <c r="B45" s="565"/>
      <c r="C45" s="565"/>
      <c r="D45" s="566"/>
      <c r="E45" s="567"/>
      <c r="F45" s="568"/>
      <c r="G45" s="568"/>
      <c r="H45" s="565"/>
      <c r="I45" s="569"/>
    </row>
    <row r="46" spans="1:11">
      <c r="A46" s="557">
        <f>A5</f>
        <v>46022</v>
      </c>
      <c r="B46" s="555" t="s">
        <v>169</v>
      </c>
      <c r="C46" s="558">
        <f>C5</f>
        <v>31800000</v>
      </c>
      <c r="D46" s="561"/>
      <c r="E46" s="559" t="str">
        <f t="shared" ref="E46:I47" si="1">E5</f>
        <v>Valorisation au 31/12/25</v>
      </c>
      <c r="F46" s="562">
        <f t="shared" si="1"/>
        <v>247916.67</v>
      </c>
      <c r="G46" s="562">
        <f t="shared" si="1"/>
        <v>0</v>
      </c>
      <c r="H46" s="555" t="str">
        <f t="shared" si="1"/>
        <v>E</v>
      </c>
      <c r="I46" s="570" t="str">
        <f t="shared" si="1"/>
        <v>Intérêts courus sur autres obligations</v>
      </c>
    </row>
    <row r="47" spans="1:11">
      <c r="A47" s="557">
        <f>A6</f>
        <v>46022</v>
      </c>
      <c r="B47" s="555" t="s">
        <v>169</v>
      </c>
      <c r="C47" s="558">
        <f>C6</f>
        <v>70120000</v>
      </c>
      <c r="D47" s="561"/>
      <c r="E47" s="559" t="str">
        <f t="shared" si="1"/>
        <v>Valorisation au 31/12/25</v>
      </c>
      <c r="F47" s="562">
        <f t="shared" si="1"/>
        <v>0</v>
      </c>
      <c r="G47" s="232">
        <f t="shared" si="1"/>
        <v>247916.67</v>
      </c>
      <c r="H47" s="555" t="str">
        <f t="shared" si="1"/>
        <v>E</v>
      </c>
      <c r="I47" s="571" t="str">
        <f t="shared" si="1"/>
        <v>Intérêts courus sur autres obligations</v>
      </c>
    </row>
    <row r="48" spans="1:11">
      <c r="A48" s="557"/>
      <c r="B48" s="555"/>
      <c r="D48" s="561"/>
      <c r="E48" s="559"/>
      <c r="F48" s="562"/>
      <c r="G48" s="232"/>
      <c r="H48" s="555"/>
      <c r="I48" s="570"/>
    </row>
    <row r="49" spans="1:11" s="28" customFormat="1">
      <c r="A49" s="557">
        <f>A8</f>
        <v>46022</v>
      </c>
      <c r="B49" s="555" t="s">
        <v>169</v>
      </c>
      <c r="C49" s="558">
        <f>C8</f>
        <v>36800000</v>
      </c>
      <c r="D49" s="468"/>
      <c r="E49" s="559" t="str">
        <f t="shared" ref="E49:I50" si="2">E8</f>
        <v>Valorisation au 31/12/25</v>
      </c>
      <c r="F49" s="232">
        <f t="shared" si="2"/>
        <v>0</v>
      </c>
      <c r="G49" s="232">
        <f t="shared" si="2"/>
        <v>0</v>
      </c>
      <c r="H49" s="555" t="str">
        <f t="shared" si="2"/>
        <v>E</v>
      </c>
      <c r="I49" s="572" t="str">
        <f t="shared" si="2"/>
        <v>intérêts courus sur Prêt</v>
      </c>
      <c r="J49" s="468"/>
      <c r="K49" s="468"/>
    </row>
    <row r="50" spans="1:11" s="28" customFormat="1">
      <c r="A50" s="557">
        <f>A9</f>
        <v>46022</v>
      </c>
      <c r="B50" s="555" t="s">
        <v>169</v>
      </c>
      <c r="C50" s="558">
        <f>C9</f>
        <v>70760000</v>
      </c>
      <c r="D50" s="561"/>
      <c r="E50" s="559" t="str">
        <f t="shared" si="2"/>
        <v>Valorisation au 31/12/25</v>
      </c>
      <c r="F50" s="562">
        <f t="shared" si="2"/>
        <v>0</v>
      </c>
      <c r="G50" s="232">
        <f t="shared" si="2"/>
        <v>0</v>
      </c>
      <c r="H50" s="555" t="str">
        <f t="shared" si="2"/>
        <v>E</v>
      </c>
      <c r="I50" s="573" t="str">
        <f t="shared" si="2"/>
        <v>intérêts courus sur Prêt</v>
      </c>
      <c r="J50" s="468"/>
      <c r="K50" s="468"/>
    </row>
    <row r="51" spans="1:11" s="28" customFormat="1">
      <c r="A51" s="564"/>
      <c r="B51" s="565"/>
      <c r="C51" s="565"/>
      <c r="D51" s="566"/>
      <c r="E51" s="567"/>
      <c r="F51" s="568"/>
      <c r="G51" s="229"/>
      <c r="H51" s="565"/>
      <c r="I51" s="569"/>
      <c r="J51" s="468"/>
      <c r="K51" s="468"/>
    </row>
    <row r="52" spans="1:11" s="28" customFormat="1">
      <c r="A52" s="557">
        <f>A11</f>
        <v>46022</v>
      </c>
      <c r="B52" s="555" t="s">
        <v>169</v>
      </c>
      <c r="C52" s="558">
        <f>C11</f>
        <v>31800000</v>
      </c>
      <c r="D52" s="561"/>
      <c r="E52" s="559" t="str">
        <f t="shared" ref="E52:I53" si="3">E11</f>
        <v>Valorisation au 31/12/25</v>
      </c>
      <c r="F52" s="562">
        <f t="shared" si="3"/>
        <v>90591.11</v>
      </c>
      <c r="G52" s="232">
        <f t="shared" si="3"/>
        <v>0</v>
      </c>
      <c r="H52" s="555" t="str">
        <f t="shared" si="3"/>
        <v>E</v>
      </c>
      <c r="I52" s="570" t="str">
        <f t="shared" si="3"/>
        <v>Intérêts courus sur actions</v>
      </c>
      <c r="J52" s="468"/>
      <c r="K52" s="468"/>
    </row>
    <row r="53" spans="1:11" s="28" customFormat="1">
      <c r="A53" s="557">
        <f>A12</f>
        <v>46022</v>
      </c>
      <c r="B53" s="555" t="s">
        <v>169</v>
      </c>
      <c r="C53" s="558">
        <f>C12</f>
        <v>70000000</v>
      </c>
      <c r="D53" s="561"/>
      <c r="E53" s="559" t="str">
        <f t="shared" si="3"/>
        <v>Valorisation au 31/12/25</v>
      </c>
      <c r="F53" s="562">
        <f t="shared" si="3"/>
        <v>0</v>
      </c>
      <c r="G53" s="232">
        <f t="shared" si="3"/>
        <v>90591.11</v>
      </c>
      <c r="H53" s="555" t="str">
        <f t="shared" si="3"/>
        <v>E</v>
      </c>
      <c r="I53" s="569" t="str">
        <f t="shared" si="3"/>
        <v>Intérêts courus sur actions</v>
      </c>
      <c r="J53" s="468"/>
      <c r="K53" s="468"/>
    </row>
    <row r="54" spans="1:11" s="28" customFormat="1">
      <c r="A54" s="564"/>
      <c r="B54" s="565"/>
      <c r="C54" s="565"/>
      <c r="D54" s="566"/>
      <c r="E54" s="567"/>
      <c r="F54" s="568"/>
      <c r="G54" s="229"/>
      <c r="H54" s="565"/>
      <c r="I54" s="569"/>
      <c r="J54" s="468"/>
      <c r="K54" s="468"/>
    </row>
    <row r="55" spans="1:11" s="28" customFormat="1">
      <c r="A55" s="557">
        <f>A14</f>
        <v>46022</v>
      </c>
      <c r="B55" s="555" t="s">
        <v>169</v>
      </c>
      <c r="C55" s="558">
        <f>C14</f>
        <v>37000000</v>
      </c>
      <c r="D55" s="561"/>
      <c r="E55" s="559" t="str">
        <f t="shared" ref="E55:I56" si="4">E14</f>
        <v>Valorisation au 31/12/25</v>
      </c>
      <c r="F55" s="562">
        <f t="shared" si="4"/>
        <v>67943.33</v>
      </c>
      <c r="G55" s="232">
        <f t="shared" si="4"/>
        <v>0</v>
      </c>
      <c r="H55" s="576" t="str">
        <f t="shared" si="4"/>
        <v>E</v>
      </c>
      <c r="I55" s="577" t="str">
        <f t="shared" si="4"/>
        <v xml:space="preserve">PVMV latentes nettes s/actions </v>
      </c>
      <c r="J55" s="468"/>
      <c r="K55" s="468"/>
    </row>
    <row r="56" spans="1:11" s="28" customFormat="1">
      <c r="A56" s="557">
        <f>A15</f>
        <v>46022</v>
      </c>
      <c r="B56" s="555" t="s">
        <v>169</v>
      </c>
      <c r="C56" s="560">
        <f>C15</f>
        <v>75500000</v>
      </c>
      <c r="D56" s="555"/>
      <c r="E56" s="559" t="str">
        <f t="shared" si="4"/>
        <v>Valorisation au 31/12/25</v>
      </c>
      <c r="F56" s="232">
        <f t="shared" si="4"/>
        <v>0</v>
      </c>
      <c r="G56" s="232">
        <f t="shared" si="4"/>
        <v>67943.33</v>
      </c>
      <c r="H56" s="576" t="str">
        <f t="shared" si="4"/>
        <v>E</v>
      </c>
      <c r="I56" s="578" t="str">
        <f t="shared" si="4"/>
        <v xml:space="preserve">PVMV latentes nettes s/actions </v>
      </c>
      <c r="J56" s="468"/>
      <c r="K56" s="468"/>
    </row>
    <row r="57" spans="1:11" s="28" customFormat="1">
      <c r="A57" s="564"/>
      <c r="B57" s="565"/>
      <c r="C57" s="565"/>
      <c r="D57" s="565"/>
      <c r="E57" s="567"/>
      <c r="F57" s="229"/>
      <c r="G57" s="229"/>
      <c r="H57" s="579"/>
      <c r="I57" s="580"/>
      <c r="J57" s="468"/>
      <c r="K57" s="468"/>
    </row>
    <row r="58" spans="1:11" s="28" customFormat="1">
      <c r="A58" s="557">
        <f>A17</f>
        <v>46022</v>
      </c>
      <c r="B58" s="555" t="s">
        <v>169</v>
      </c>
      <c r="C58" s="558">
        <f>C17</f>
        <v>37100000</v>
      </c>
      <c r="D58" s="468"/>
      <c r="E58" s="559" t="str">
        <f t="shared" ref="E58:I59" si="5">E17</f>
        <v>Valorisation au 31/12/25</v>
      </c>
      <c r="F58" s="232">
        <f t="shared" si="5"/>
        <v>226840.18</v>
      </c>
      <c r="G58" s="232">
        <f t="shared" si="5"/>
        <v>0</v>
      </c>
      <c r="H58" s="555" t="str">
        <f t="shared" si="5"/>
        <v>E</v>
      </c>
      <c r="I58" s="581" t="str">
        <f t="shared" si="5"/>
        <v>PVMV latentes nettes s/obligations convertibles en actions</v>
      </c>
      <c r="J58" s="468"/>
      <c r="K58" s="468"/>
    </row>
    <row r="59" spans="1:11" s="28" customFormat="1">
      <c r="A59" s="557">
        <f>A18</f>
        <v>46022</v>
      </c>
      <c r="B59" s="555" t="s">
        <v>169</v>
      </c>
      <c r="C59" s="560">
        <f>C18</f>
        <v>75512000</v>
      </c>
      <c r="D59" s="555"/>
      <c r="E59" s="559" t="str">
        <f t="shared" si="5"/>
        <v>Valorisation au 31/12/25</v>
      </c>
      <c r="F59" s="232">
        <f t="shared" si="5"/>
        <v>0</v>
      </c>
      <c r="G59" s="232">
        <f t="shared" si="5"/>
        <v>226840.18</v>
      </c>
      <c r="H59" s="582" t="str">
        <f t="shared" si="5"/>
        <v>E</v>
      </c>
      <c r="I59" s="583" t="str">
        <f t="shared" si="5"/>
        <v>PVMV latentes nettes s/obligations convertibles en actions</v>
      </c>
      <c r="J59" s="468"/>
      <c r="K59" s="468"/>
    </row>
    <row r="60" spans="1:11" s="28" customFormat="1">
      <c r="A60" s="564"/>
      <c r="B60" s="565"/>
      <c r="C60" s="565"/>
      <c r="D60" s="565"/>
      <c r="E60" s="567"/>
      <c r="F60" s="229"/>
      <c r="G60" s="229"/>
      <c r="H60" s="584"/>
      <c r="I60" s="585"/>
      <c r="J60" s="468"/>
      <c r="K60" s="468"/>
    </row>
    <row r="61" spans="1:11" s="28" customFormat="1">
      <c r="A61" s="557">
        <f>A20</f>
        <v>46022</v>
      </c>
      <c r="B61" s="555" t="s">
        <v>169</v>
      </c>
      <c r="C61" s="558">
        <f>C20</f>
        <v>37100000</v>
      </c>
      <c r="D61" s="555"/>
      <c r="E61" s="559" t="str">
        <f t="shared" ref="E61:I62" si="6">E20</f>
        <v>Valorisation au 31/12/25</v>
      </c>
      <c r="F61" s="232">
        <f t="shared" si="6"/>
        <v>0</v>
      </c>
      <c r="G61" s="232">
        <f t="shared" si="6"/>
        <v>0</v>
      </c>
      <c r="H61" s="582" t="str">
        <f t="shared" si="6"/>
        <v>E</v>
      </c>
      <c r="I61" s="586" t="str">
        <f t="shared" si="6"/>
        <v>PVMV latentes nettes s/autres obligations</v>
      </c>
      <c r="J61" s="468"/>
      <c r="K61" s="468"/>
    </row>
    <row r="62" spans="1:11" s="28" customFormat="1">
      <c r="A62" s="557">
        <f>A21</f>
        <v>46022</v>
      </c>
      <c r="B62" s="555" t="s">
        <v>169</v>
      </c>
      <c r="C62" s="560">
        <f>C21</f>
        <v>75515000</v>
      </c>
      <c r="D62" s="555"/>
      <c r="E62" s="559" t="str">
        <f t="shared" si="6"/>
        <v>Valorisation au 31/12/25</v>
      </c>
      <c r="F62" s="232">
        <f t="shared" si="6"/>
        <v>0</v>
      </c>
      <c r="G62" s="232">
        <f t="shared" si="6"/>
        <v>0</v>
      </c>
      <c r="H62" s="582" t="str">
        <f t="shared" si="6"/>
        <v>E</v>
      </c>
      <c r="I62" s="587" t="str">
        <f t="shared" si="6"/>
        <v>PVMV latentes nettes s/autres obligations</v>
      </c>
      <c r="J62" s="468"/>
      <c r="K62" s="468"/>
    </row>
    <row r="63" spans="1:11" s="28" customFormat="1">
      <c r="A63" s="557"/>
      <c r="B63" s="555"/>
      <c r="C63" s="555"/>
      <c r="D63" s="555"/>
      <c r="E63" s="559"/>
      <c r="F63" s="232"/>
      <c r="G63" s="232"/>
      <c r="H63" s="582"/>
      <c r="I63" s="588"/>
      <c r="J63" s="468"/>
      <c r="K63" s="468"/>
    </row>
    <row r="64" spans="1:11" s="28" customFormat="1">
      <c r="A64" s="557">
        <f>A23</f>
        <v>46022</v>
      </c>
      <c r="B64" s="555" t="s">
        <v>169</v>
      </c>
      <c r="C64" s="558">
        <f>C23</f>
        <v>37600000</v>
      </c>
      <c r="D64" s="468"/>
      <c r="E64" s="559" t="str">
        <f t="shared" ref="E64:I65" si="7">E23</f>
        <v>Valorisation au 31/12/25</v>
      </c>
      <c r="F64" s="232">
        <f t="shared" si="7"/>
        <v>0</v>
      </c>
      <c r="G64" s="232">
        <f t="shared" si="7"/>
        <v>0</v>
      </c>
      <c r="H64" s="555" t="str">
        <f t="shared" si="7"/>
        <v>E</v>
      </c>
      <c r="I64" s="589" t="str">
        <f t="shared" si="7"/>
        <v>PVMV latentes nettes s/dépôt et autres investissements financiers</v>
      </c>
      <c r="J64" s="468"/>
      <c r="K64" s="468"/>
    </row>
    <row r="65" spans="1:11" s="28" customFormat="1">
      <c r="A65" s="557">
        <f>A24</f>
        <v>46022</v>
      </c>
      <c r="B65" s="555" t="s">
        <v>169</v>
      </c>
      <c r="C65" s="560" t="str">
        <f>C24</f>
        <v>75560000</v>
      </c>
      <c r="D65" s="561"/>
      <c r="E65" s="559" t="str">
        <f t="shared" si="7"/>
        <v>Valorisation au 31/12/25</v>
      </c>
      <c r="F65" s="562">
        <f t="shared" si="7"/>
        <v>0</v>
      </c>
      <c r="G65" s="232">
        <f t="shared" si="7"/>
        <v>0</v>
      </c>
      <c r="H65" s="555" t="str">
        <f t="shared" si="7"/>
        <v>E</v>
      </c>
      <c r="I65" s="590" t="str">
        <f t="shared" si="7"/>
        <v>PVMV latentes nettes s/dépôt et autres investissements financiers</v>
      </c>
      <c r="J65" s="468"/>
      <c r="K65" s="468"/>
    </row>
    <row r="66" spans="1:11" s="28" customFormat="1">
      <c r="A66" s="564"/>
      <c r="B66" s="565"/>
      <c r="C66" s="565"/>
      <c r="D66" s="566"/>
      <c r="E66" s="567"/>
      <c r="F66" s="568"/>
      <c r="G66" s="229"/>
      <c r="H66" s="565"/>
      <c r="I66" s="569"/>
      <c r="J66" s="468"/>
      <c r="K66" s="468"/>
    </row>
    <row r="67" spans="1:11" s="28" customFormat="1">
      <c r="A67" s="557">
        <f>A26</f>
        <v>46022</v>
      </c>
      <c r="B67" s="555" t="s">
        <v>169</v>
      </c>
      <c r="C67" s="558">
        <f>C26</f>
        <v>37300000</v>
      </c>
      <c r="D67" s="561"/>
      <c r="E67" s="559" t="str">
        <f t="shared" ref="E67:I68" si="8">E26</f>
        <v>Valorisation au 31/12/25</v>
      </c>
      <c r="F67" s="562">
        <f t="shared" si="8"/>
        <v>0</v>
      </c>
      <c r="G67" s="232">
        <f t="shared" si="8"/>
        <v>0</v>
      </c>
      <c r="H67" s="555" t="str">
        <f t="shared" si="8"/>
        <v>E</v>
      </c>
      <c r="I67" s="570" t="str">
        <f t="shared" si="8"/>
        <v>PVMV latentes nettes s/OPC</v>
      </c>
      <c r="J67" s="468"/>
      <c r="K67" s="468"/>
    </row>
    <row r="68" spans="1:11" s="28" customFormat="1">
      <c r="A68" s="557">
        <f>A27</f>
        <v>46022</v>
      </c>
      <c r="B68" s="555" t="s">
        <v>169</v>
      </c>
      <c r="C68" s="560" t="str">
        <f>C27</f>
        <v>75530000</v>
      </c>
      <c r="D68" s="561"/>
      <c r="E68" s="559" t="str">
        <f t="shared" si="8"/>
        <v>Valorisation au 31/12/25</v>
      </c>
      <c r="F68" s="232">
        <f t="shared" si="8"/>
        <v>0</v>
      </c>
      <c r="G68" s="232">
        <f t="shared" si="8"/>
        <v>0</v>
      </c>
      <c r="H68" s="555" t="str">
        <f t="shared" si="8"/>
        <v>E</v>
      </c>
      <c r="I68" s="569" t="str">
        <f t="shared" si="8"/>
        <v>PVMV latentes nettes s/OPC</v>
      </c>
      <c r="J68" s="468"/>
      <c r="K68" s="468"/>
    </row>
    <row r="69" spans="1:11">
      <c r="A69" s="564"/>
      <c r="B69" s="565"/>
      <c r="C69" s="565"/>
      <c r="D69" s="566"/>
      <c r="E69" s="567"/>
      <c r="F69" s="229"/>
      <c r="G69" s="229"/>
      <c r="H69" s="565"/>
      <c r="I69" s="569"/>
    </row>
    <row r="70" spans="1:11">
      <c r="A70" s="548"/>
      <c r="B70" s="548"/>
      <c r="C70" s="548"/>
      <c r="D70" s="548"/>
      <c r="E70" s="548"/>
      <c r="F70" s="548"/>
      <c r="G70" s="548"/>
      <c r="H70" s="548"/>
      <c r="I70" s="548"/>
    </row>
    <row r="71" spans="1:11">
      <c r="A71" s="557">
        <f>A30</f>
        <v>46022</v>
      </c>
      <c r="B71" s="555" t="s">
        <v>169</v>
      </c>
      <c r="C71" s="558">
        <f>C30</f>
        <v>10410000</v>
      </c>
      <c r="E71" s="559" t="str">
        <f t="shared" ref="E71:I72" si="9">E30</f>
        <v>Valorisation au 31/12/25</v>
      </c>
      <c r="F71" s="232">
        <f t="shared" si="9"/>
        <v>0</v>
      </c>
      <c r="G71" s="232">
        <f t="shared" si="9"/>
        <v>0</v>
      </c>
      <c r="H71" s="555" t="str">
        <f t="shared" si="9"/>
        <v>E</v>
      </c>
      <c r="I71" s="591" t="str">
        <f t="shared" si="9"/>
        <v>Fund reserve</v>
      </c>
    </row>
    <row r="72" spans="1:11">
      <c r="A72" s="557">
        <f>A31</f>
        <v>46022</v>
      </c>
      <c r="B72" s="555" t="s">
        <v>169</v>
      </c>
      <c r="C72" s="558">
        <f>C31</f>
        <v>48700000</v>
      </c>
      <c r="E72" s="559" t="str">
        <f t="shared" si="9"/>
        <v>Valorisation au 31/12/25</v>
      </c>
      <c r="F72" s="232">
        <f t="shared" si="9"/>
        <v>0</v>
      </c>
      <c r="G72" s="232">
        <f t="shared" si="9"/>
        <v>0</v>
      </c>
      <c r="H72" s="555" t="str">
        <f t="shared" si="9"/>
        <v>E</v>
      </c>
      <c r="I72" s="591" t="str">
        <f t="shared" si="9"/>
        <v>Fund reserve</v>
      </c>
    </row>
    <row r="73" spans="1:11" customFormat="1"/>
    <row r="74" spans="1:11">
      <c r="A74" s="557">
        <f t="shared" ref="A74:A75" si="10">A33</f>
        <v>46022</v>
      </c>
      <c r="B74" s="555" t="s">
        <v>169</v>
      </c>
      <c r="C74" s="558">
        <f t="shared" ref="C74:C75" si="11">C33</f>
        <v>39800000</v>
      </c>
      <c r="E74" s="559" t="str">
        <f t="shared" ref="E74:I74" si="12">E33</f>
        <v>Valorisation au 31/12/25</v>
      </c>
      <c r="F74" s="232">
        <f>F33</f>
        <v>0</v>
      </c>
      <c r="G74" s="232">
        <f>G33</f>
        <v>112604.67</v>
      </c>
      <c r="H74" s="555" t="str">
        <f t="shared" si="12"/>
        <v>E</v>
      </c>
      <c r="I74" s="591" t="str">
        <f t="shared" si="12"/>
        <v>Intérêts sur emprunts</v>
      </c>
    </row>
    <row r="75" spans="1:11">
      <c r="A75" s="557">
        <f t="shared" si="10"/>
        <v>46022</v>
      </c>
      <c r="B75" s="555" t="s">
        <v>169</v>
      </c>
      <c r="C75" s="558">
        <f t="shared" si="11"/>
        <v>60500000</v>
      </c>
      <c r="E75" s="559" t="str">
        <f t="shared" ref="E75:I75" si="13">E34</f>
        <v>Valorisation au 31/12/25</v>
      </c>
      <c r="F75" s="232">
        <f>F34</f>
        <v>112604.67</v>
      </c>
      <c r="G75" s="232">
        <f>G34</f>
        <v>0</v>
      </c>
      <c r="H75" s="555" t="str">
        <f t="shared" si="13"/>
        <v>E</v>
      </c>
      <c r="I75" s="591" t="str">
        <f t="shared" si="13"/>
        <v>Intérêts sur emprunts</v>
      </c>
    </row>
    <row r="76" spans="1:11" customFormat="1"/>
    <row r="77" spans="1:11">
      <c r="F77" s="28">
        <f t="shared" ref="F77:G77" si="14">F35</f>
        <v>0</v>
      </c>
      <c r="G77" s="28">
        <f t="shared" si="14"/>
        <v>0</v>
      </c>
      <c r="I77" s="593"/>
    </row>
    <row r="78" spans="1:11">
      <c r="A78" s="555"/>
      <c r="B78" s="555"/>
      <c r="C78" s="595"/>
      <c r="E78" s="596" t="str">
        <f t="shared" ref="E78:H79" si="15">E36</f>
        <v>Contrôle</v>
      </c>
      <c r="F78" s="28">
        <f>SUM(F43:F77)</f>
        <v>2458115.14</v>
      </c>
      <c r="G78" s="28">
        <f>SUM(G43:G77)</f>
        <v>2458115.14</v>
      </c>
    </row>
    <row r="79" spans="1:11">
      <c r="A79" s="555"/>
      <c r="B79" s="555"/>
      <c r="E79" s="596" t="str">
        <f t="shared" si="15"/>
        <v>écart</v>
      </c>
      <c r="G79" s="28">
        <f>F78-G78</f>
        <v>0</v>
      </c>
      <c r="H79" s="468" t="str">
        <f t="shared" si="15"/>
        <v>ce contrôle toujours à zéro</v>
      </c>
    </row>
    <row r="80" spans="1:11">
      <c r="E80" s="596"/>
      <c r="F80" s="196"/>
      <c r="G80" s="597" t="str">
        <f>IF(G79=0,"OK","ANOMALIE")</f>
        <v>OK</v>
      </c>
      <c r="I80" s="28"/>
    </row>
    <row r="81" spans="1:9">
      <c r="A81" s="741"/>
      <c r="B81" s="741" t="s">
        <v>167</v>
      </c>
      <c r="C81" s="741"/>
      <c r="D81" s="741"/>
      <c r="F81" s="375"/>
      <c r="G81" s="375"/>
    </row>
    <row r="82" spans="1:9">
      <c r="A82" s="1159" t="s">
        <v>170</v>
      </c>
      <c r="B82" s="1159"/>
      <c r="C82" s="1159"/>
      <c r="D82" s="1159"/>
      <c r="E82" s="1159"/>
      <c r="F82" s="1159"/>
      <c r="G82" s="1159"/>
      <c r="H82" s="1159"/>
    </row>
    <row r="83" spans="1:9">
      <c r="A83" s="557">
        <f>A55+1</f>
        <v>46023</v>
      </c>
      <c r="B83" s="555" t="str">
        <f t="shared" ref="B83:C84" si="16">B55</f>
        <v>OD</v>
      </c>
      <c r="C83" s="558">
        <f t="shared" si="16"/>
        <v>37000000</v>
      </c>
      <c r="D83" s="561"/>
      <c r="E83" s="559" t="str">
        <f>+"Extourne valorisation au "&amp;TEXT(Sommaire!$C$1,"jj/mm/aaaa")</f>
        <v>Extourne valorisation au 31/12/2025</v>
      </c>
      <c r="F83" s="562">
        <f>G55</f>
        <v>0</v>
      </c>
      <c r="G83" s="232">
        <f>F55</f>
        <v>67943.33</v>
      </c>
      <c r="H83" s="576" t="str">
        <f t="shared" ref="H83:I84" si="17">H55</f>
        <v>E</v>
      </c>
      <c r="I83" s="577" t="str">
        <f t="shared" si="17"/>
        <v xml:space="preserve">PVMV latentes nettes s/actions </v>
      </c>
    </row>
    <row r="84" spans="1:9">
      <c r="A84" s="557">
        <f>A56+1</f>
        <v>46023</v>
      </c>
      <c r="B84" s="555" t="str">
        <f t="shared" si="16"/>
        <v>OD</v>
      </c>
      <c r="C84" s="560">
        <v>65100000</v>
      </c>
      <c r="D84" s="555"/>
      <c r="E84" s="559" t="str">
        <f>+"Extourne valorisation au "&amp;TEXT(Sommaire!$C$1,"jj/mm/aaaa")</f>
        <v>Extourne valorisation au 31/12/2025</v>
      </c>
      <c r="F84" s="232">
        <f>G56</f>
        <v>67943.33</v>
      </c>
      <c r="G84" s="232">
        <f>F56</f>
        <v>0</v>
      </c>
      <c r="H84" s="576" t="str">
        <f t="shared" si="17"/>
        <v>E</v>
      </c>
      <c r="I84" s="578" t="str">
        <f t="shared" si="17"/>
        <v xml:space="preserve">PVMV latentes nettes s/actions </v>
      </c>
    </row>
    <row r="85" spans="1:9">
      <c r="A85" s="564"/>
      <c r="B85" s="565"/>
      <c r="C85" s="565"/>
      <c r="D85" s="565"/>
      <c r="E85" s="567"/>
      <c r="F85" s="229"/>
      <c r="G85" s="229"/>
      <c r="H85" s="579"/>
      <c r="I85" s="580"/>
    </row>
    <row r="86" spans="1:9">
      <c r="A86" s="557">
        <f>A58+1</f>
        <v>46023</v>
      </c>
      <c r="B86" s="555" t="str">
        <f t="shared" ref="B86:C87" si="18">B58</f>
        <v>OD</v>
      </c>
      <c r="C86" s="558">
        <f t="shared" si="18"/>
        <v>37100000</v>
      </c>
      <c r="E86" s="559" t="str">
        <f>+"Extourne valorisation au "&amp;TEXT(Sommaire!$C$1,"jj/mm/aaaa")</f>
        <v>Extourne valorisation au 31/12/2025</v>
      </c>
      <c r="F86" s="232">
        <f>G58</f>
        <v>0</v>
      </c>
      <c r="G86" s="232">
        <f>F58</f>
        <v>226840.18</v>
      </c>
      <c r="H86" s="555" t="str">
        <f t="shared" ref="H86:I87" si="19">H58</f>
        <v>E</v>
      </c>
      <c r="I86" s="581" t="str">
        <f t="shared" si="19"/>
        <v>PVMV latentes nettes s/obligations convertibles en actions</v>
      </c>
    </row>
    <row r="87" spans="1:9">
      <c r="A87" s="557">
        <f>A59+1</f>
        <v>46023</v>
      </c>
      <c r="B87" s="555" t="str">
        <f t="shared" si="18"/>
        <v>OD</v>
      </c>
      <c r="C87" s="560">
        <v>65100000</v>
      </c>
      <c r="D87" s="555"/>
      <c r="E87" s="559" t="str">
        <f>+"Extourne valorisation au "&amp;TEXT(Sommaire!$C$1,"jj/mm/aaaa")</f>
        <v>Extourne valorisation au 31/12/2025</v>
      </c>
      <c r="F87" s="232">
        <f>G59</f>
        <v>226840.18</v>
      </c>
      <c r="G87" s="232">
        <f>F59</f>
        <v>0</v>
      </c>
      <c r="H87" s="582" t="str">
        <f t="shared" si="19"/>
        <v>E</v>
      </c>
      <c r="I87" s="583" t="str">
        <f t="shared" si="19"/>
        <v>PVMV latentes nettes s/obligations convertibles en actions</v>
      </c>
    </row>
    <row r="88" spans="1:9">
      <c r="A88" s="564"/>
      <c r="B88" s="565"/>
      <c r="D88" s="565"/>
      <c r="E88" s="567"/>
      <c r="F88" s="229"/>
      <c r="G88" s="229"/>
      <c r="H88" s="584"/>
      <c r="I88" s="585"/>
    </row>
    <row r="89" spans="1:9">
      <c r="A89" s="557">
        <f>A61+1</f>
        <v>46023</v>
      </c>
      <c r="B89" s="555" t="str">
        <f t="shared" ref="B89:C90" si="20">B61</f>
        <v>OD</v>
      </c>
      <c r="C89" s="558">
        <f t="shared" si="20"/>
        <v>37100000</v>
      </c>
      <c r="D89" s="555"/>
      <c r="E89" s="559" t="str">
        <f>+"Extourne valorisation au "&amp;TEXT(Sommaire!$C$1,"jj/mm/aaaa")</f>
        <v>Extourne valorisation au 31/12/2025</v>
      </c>
      <c r="F89" s="232">
        <f>G61</f>
        <v>0</v>
      </c>
      <c r="G89" s="232">
        <f>F61</f>
        <v>0</v>
      </c>
      <c r="H89" s="582" t="str">
        <f t="shared" ref="H89:I90" si="21">H61</f>
        <v>E</v>
      </c>
      <c r="I89" s="586" t="str">
        <f t="shared" si="21"/>
        <v>PVMV latentes nettes s/autres obligations</v>
      </c>
    </row>
    <row r="90" spans="1:9">
      <c r="A90" s="557">
        <f>A62+1</f>
        <v>46023</v>
      </c>
      <c r="B90" s="555" t="str">
        <f t="shared" si="20"/>
        <v>OD</v>
      </c>
      <c r="C90" s="560">
        <v>65100000</v>
      </c>
      <c r="D90" s="555"/>
      <c r="E90" s="559" t="str">
        <f>+"Extourne valorisation au "&amp;TEXT(Sommaire!$C$1,"jj/mm/aaaa")</f>
        <v>Extourne valorisation au 31/12/2025</v>
      </c>
      <c r="F90" s="232">
        <f>G62</f>
        <v>0</v>
      </c>
      <c r="G90" s="232">
        <f>F62</f>
        <v>0</v>
      </c>
      <c r="H90" s="582" t="str">
        <f t="shared" si="21"/>
        <v>E</v>
      </c>
      <c r="I90" s="587" t="str">
        <f t="shared" si="21"/>
        <v>PVMV latentes nettes s/autres obligations</v>
      </c>
    </row>
    <row r="91" spans="1:9" ht="12" customHeight="1">
      <c r="A91" s="557"/>
      <c r="B91" s="555"/>
      <c r="D91" s="555"/>
      <c r="E91" s="559"/>
      <c r="F91" s="232"/>
      <c r="G91" s="232"/>
      <c r="H91" s="582"/>
      <c r="I91" s="588"/>
    </row>
    <row r="92" spans="1:9">
      <c r="A92" s="557">
        <f>A64+1</f>
        <v>46023</v>
      </c>
      <c r="B92" s="555" t="str">
        <f t="shared" ref="B92:C93" si="22">B64</f>
        <v>OD</v>
      </c>
      <c r="C92" s="558">
        <f t="shared" si="22"/>
        <v>37600000</v>
      </c>
      <c r="E92" s="559" t="str">
        <f>+"Extourne valorisation au "&amp;TEXT(Sommaire!$C$1,"jj/mm/aaaa")</f>
        <v>Extourne valorisation au 31/12/2025</v>
      </c>
      <c r="F92" s="232">
        <f>G64</f>
        <v>0</v>
      </c>
      <c r="G92" s="232">
        <f>F64</f>
        <v>0</v>
      </c>
      <c r="H92" s="555" t="str">
        <f t="shared" ref="H92:I93" si="23">H64</f>
        <v>E</v>
      </c>
      <c r="I92" s="589" t="str">
        <f t="shared" si="23"/>
        <v>PVMV latentes nettes s/dépôt et autres investissements financiers</v>
      </c>
    </row>
    <row r="93" spans="1:9">
      <c r="A93" s="557">
        <f>A65+1</f>
        <v>46023</v>
      </c>
      <c r="B93" s="555" t="str">
        <f t="shared" si="22"/>
        <v>OD</v>
      </c>
      <c r="C93" s="560">
        <v>65100000</v>
      </c>
      <c r="D93" s="561"/>
      <c r="E93" s="559" t="str">
        <f>+"Extourne valorisation au "&amp;TEXT(Sommaire!$C$1,"jj/mm/aaaa")</f>
        <v>Extourne valorisation au 31/12/2025</v>
      </c>
      <c r="F93" s="562">
        <f>G65</f>
        <v>0</v>
      </c>
      <c r="G93" s="232">
        <f>F65</f>
        <v>0</v>
      </c>
      <c r="H93" s="555" t="str">
        <f t="shared" si="23"/>
        <v>E</v>
      </c>
      <c r="I93" s="590" t="str">
        <f t="shared" si="23"/>
        <v>PVMV latentes nettes s/dépôt et autres investissements financiers</v>
      </c>
    </row>
    <row r="94" spans="1:9">
      <c r="A94" s="564"/>
      <c r="B94" s="565"/>
      <c r="C94" s="565"/>
      <c r="D94" s="566"/>
      <c r="E94" s="567"/>
      <c r="F94" s="568"/>
      <c r="G94" s="229"/>
      <c r="H94" s="565"/>
      <c r="I94" s="569"/>
    </row>
    <row r="95" spans="1:9">
      <c r="A95" s="557">
        <f>A67+1</f>
        <v>46023</v>
      </c>
      <c r="B95" s="555" t="str">
        <f t="shared" ref="B95:C96" si="24">B67</f>
        <v>OD</v>
      </c>
      <c r="C95" s="558">
        <f t="shared" si="24"/>
        <v>37300000</v>
      </c>
      <c r="D95" s="561"/>
      <c r="E95" s="559" t="str">
        <f>+"Extourne valorisation au "&amp;TEXT(Sommaire!$C$1,"jj/mm/aaaa")</f>
        <v>Extourne valorisation au 31/12/2025</v>
      </c>
      <c r="F95" s="562">
        <f>G67</f>
        <v>0</v>
      </c>
      <c r="G95" s="232">
        <f>F67</f>
        <v>0</v>
      </c>
      <c r="H95" s="555" t="str">
        <f t="shared" ref="H95:I96" si="25">H67</f>
        <v>E</v>
      </c>
      <c r="I95" s="570" t="str">
        <f t="shared" si="25"/>
        <v>PVMV latentes nettes s/OPC</v>
      </c>
    </row>
    <row r="96" spans="1:9">
      <c r="A96" s="557">
        <f>A68+1</f>
        <v>46023</v>
      </c>
      <c r="B96" s="555" t="str">
        <f t="shared" si="24"/>
        <v>OD</v>
      </c>
      <c r="C96" s="560">
        <v>65100000</v>
      </c>
      <c r="D96" s="561"/>
      <c r="E96" s="559" t="str">
        <f>+"Extourne valorisation au "&amp;TEXT(Sommaire!$C$1,"jj/mm/aaaa")</f>
        <v>Extourne valorisation au 31/12/2025</v>
      </c>
      <c r="F96" s="232">
        <f>G68</f>
        <v>0</v>
      </c>
      <c r="G96" s="232">
        <f>F68</f>
        <v>0</v>
      </c>
      <c r="H96" s="555" t="str">
        <f t="shared" si="25"/>
        <v>E</v>
      </c>
      <c r="I96" s="569" t="str">
        <f t="shared" si="25"/>
        <v>PVMV latentes nettes s/OPC</v>
      </c>
    </row>
    <row r="97" spans="1:9">
      <c r="A97" s="564"/>
      <c r="B97" s="565"/>
      <c r="C97" s="565"/>
      <c r="D97" s="566"/>
      <c r="E97" s="567"/>
      <c r="F97" s="229"/>
      <c r="G97" s="229"/>
      <c r="H97" s="565"/>
      <c r="I97" s="569"/>
    </row>
    <row r="98" spans="1:9">
      <c r="A98" s="548"/>
      <c r="B98" s="548"/>
      <c r="C98" s="548"/>
      <c r="D98" s="548"/>
      <c r="E98" s="548"/>
      <c r="F98" s="548"/>
      <c r="G98" s="548"/>
      <c r="H98" s="548"/>
      <c r="I98" s="548"/>
    </row>
    <row r="99" spans="1:9">
      <c r="A99" s="557">
        <f>A71+1</f>
        <v>46023</v>
      </c>
      <c r="B99" s="555" t="str">
        <f t="shared" ref="B99:C100" si="26">B71</f>
        <v>OD</v>
      </c>
      <c r="C99" s="558">
        <f t="shared" si="26"/>
        <v>10410000</v>
      </c>
      <c r="E99" s="559" t="str">
        <f>+"Extourne valorisation au "&amp;TEXT(Sommaire!$C$1,"jj/mm/aaaa")</f>
        <v>Extourne valorisation au 31/12/2025</v>
      </c>
      <c r="F99" s="232">
        <f>G71</f>
        <v>0</v>
      </c>
      <c r="G99" s="232">
        <f>F71</f>
        <v>0</v>
      </c>
      <c r="H99" s="555" t="str">
        <f t="shared" ref="H99:I100" si="27">H71</f>
        <v>E</v>
      </c>
      <c r="I99" s="591" t="str">
        <f t="shared" si="27"/>
        <v>Fund reserve</v>
      </c>
    </row>
    <row r="100" spans="1:9" ht="14.25" customHeight="1">
      <c r="A100" s="557">
        <f>A72+1</f>
        <v>46023</v>
      </c>
      <c r="B100" s="555" t="str">
        <f t="shared" si="26"/>
        <v>OD</v>
      </c>
      <c r="C100" s="558">
        <f t="shared" si="26"/>
        <v>48700000</v>
      </c>
      <c r="E100" s="559" t="str">
        <f>+"Extourne valorisation au "&amp;TEXT(Sommaire!$C$1,"jj/mm/aaaa")</f>
        <v>Extourne valorisation au 31/12/2025</v>
      </c>
      <c r="F100" s="232">
        <f>G72</f>
        <v>0</v>
      </c>
      <c r="G100" s="232">
        <f>F72</f>
        <v>0</v>
      </c>
      <c r="H100" s="555" t="str">
        <f t="shared" si="27"/>
        <v>E</v>
      </c>
      <c r="I100" s="591" t="str">
        <f t="shared" si="27"/>
        <v>Fund reserve</v>
      </c>
    </row>
    <row r="101" spans="1:9" customFormat="1" ht="14.25" customHeight="1"/>
    <row r="102" spans="1:9" ht="14.25" customHeight="1">
      <c r="A102" s="557">
        <f>A74+1</f>
        <v>46023</v>
      </c>
      <c r="B102" s="555" t="str">
        <f t="shared" ref="B102:C102" si="28">B74</f>
        <v>OD</v>
      </c>
      <c r="C102" s="558">
        <f t="shared" si="28"/>
        <v>39800000</v>
      </c>
      <c r="E102" s="559" t="str">
        <f>+"Extourne valorisation au "&amp;TEXT(Sommaire!$C$1,"jj/mm/aaaa")</f>
        <v>Extourne valorisation au 31/12/2025</v>
      </c>
      <c r="F102" s="232">
        <f>G74</f>
        <v>112604.67</v>
      </c>
      <c r="G102" s="232">
        <f>F74</f>
        <v>0</v>
      </c>
      <c r="H102" s="555" t="str">
        <f t="shared" ref="H102:I102" si="29">H74</f>
        <v>E</v>
      </c>
      <c r="I102" s="591" t="str">
        <f t="shared" si="29"/>
        <v>Intérêts sur emprunts</v>
      </c>
    </row>
    <row r="103" spans="1:9">
      <c r="A103" s="557">
        <f>A75+1</f>
        <v>46023</v>
      </c>
      <c r="B103" s="555" t="str">
        <f t="shared" ref="B103:C103" si="30">B75</f>
        <v>OD</v>
      </c>
      <c r="C103" s="558">
        <f t="shared" si="30"/>
        <v>60500000</v>
      </c>
      <c r="E103" s="559" t="str">
        <f>+"Extourne valorisation au "&amp;TEXT(Sommaire!$C$1,"jj/mm/aaaa")</f>
        <v>Extourne valorisation au 31/12/2025</v>
      </c>
      <c r="F103" s="232">
        <f>G75</f>
        <v>0</v>
      </c>
      <c r="G103" s="232">
        <f>F75</f>
        <v>112604.67</v>
      </c>
      <c r="H103" s="555" t="str">
        <f t="shared" ref="H103:I103" si="31">H75</f>
        <v>E</v>
      </c>
      <c r="I103" s="591" t="str">
        <f t="shared" si="31"/>
        <v>Intérêts sur emprunts</v>
      </c>
    </row>
    <row r="104" spans="1:9">
      <c r="I104" s="593"/>
    </row>
    <row r="105" spans="1:9">
      <c r="A105" s="555"/>
      <c r="B105" s="555"/>
      <c r="C105" s="595"/>
      <c r="E105" s="596" t="str">
        <f>E78</f>
        <v>Contrôle</v>
      </c>
      <c r="F105" s="28">
        <f>SUM(F83:F104)</f>
        <v>407388.18</v>
      </c>
      <c r="G105" s="28">
        <f>SUM(G83:G104)</f>
        <v>407388.18</v>
      </c>
    </row>
    <row r="106" spans="1:9">
      <c r="A106" s="555"/>
      <c r="B106" s="555"/>
      <c r="E106" s="596" t="str">
        <f>E79</f>
        <v>écart</v>
      </c>
      <c r="F106" s="28">
        <f>F105-G105</f>
        <v>0</v>
      </c>
      <c r="H106" s="468" t="str">
        <f>H79</f>
        <v>ce contrôle toujours à zéro</v>
      </c>
    </row>
    <row r="107" spans="1:9">
      <c r="E107" s="596"/>
      <c r="G107" s="597" t="str">
        <f>IF(F106=0,"OK","ANOMALIE")</f>
        <v>OK</v>
      </c>
      <c r="I107" s="28"/>
    </row>
    <row r="108" spans="1:9">
      <c r="A108" s="599"/>
      <c r="B108" s="599"/>
      <c r="C108" s="557"/>
      <c r="D108" s="599"/>
      <c r="E108" s="599"/>
      <c r="F108" s="561"/>
      <c r="G108" s="561"/>
      <c r="H108" s="555"/>
    </row>
    <row r="109" spans="1:9">
      <c r="A109" s="599"/>
      <c r="B109" s="599"/>
      <c r="C109" s="557"/>
      <c r="D109" s="599"/>
      <c r="E109" s="599"/>
      <c r="F109" s="561"/>
      <c r="G109" s="561"/>
      <c r="H109" s="555"/>
    </row>
    <row r="110" spans="1:9">
      <c r="A110" s="599"/>
      <c r="B110" s="599"/>
      <c r="C110" s="557"/>
      <c r="D110" s="599"/>
      <c r="E110" s="599"/>
      <c r="F110" s="561"/>
      <c r="G110" s="561"/>
      <c r="H110" s="555"/>
    </row>
    <row r="111" spans="1:9">
      <c r="A111" s="599"/>
      <c r="B111" s="599"/>
      <c r="C111" s="558"/>
      <c r="D111" s="599"/>
      <c r="E111" s="599"/>
      <c r="F111" s="561"/>
      <c r="G111" s="561"/>
      <c r="H111" s="555"/>
    </row>
    <row r="112" spans="1:9">
      <c r="A112" s="599"/>
      <c r="B112" s="599"/>
      <c r="C112" s="558"/>
      <c r="D112" s="599"/>
      <c r="E112" s="599"/>
      <c r="F112" s="561"/>
      <c r="G112" s="561"/>
      <c r="H112" s="555"/>
    </row>
    <row r="113" spans="1:8">
      <c r="A113" s="599"/>
      <c r="B113" s="599"/>
      <c r="C113" s="558"/>
      <c r="D113" s="599"/>
      <c r="E113" s="599"/>
      <c r="F113" s="561"/>
      <c r="G113" s="561"/>
      <c r="H113" s="555"/>
    </row>
    <row r="114" spans="1:8">
      <c r="A114" s="599"/>
      <c r="B114" s="599"/>
      <c r="C114" s="558"/>
      <c r="D114" s="599"/>
      <c r="E114" s="599"/>
      <c r="F114" s="561"/>
      <c r="G114" s="561"/>
      <c r="H114" s="555"/>
    </row>
    <row r="115" spans="1:8">
      <c r="A115" s="599"/>
      <c r="B115" s="599"/>
      <c r="C115" s="558"/>
      <c r="D115" s="599"/>
      <c r="E115" s="599"/>
      <c r="F115" s="561"/>
      <c r="G115" s="561"/>
      <c r="H115" s="555"/>
    </row>
    <row r="116" spans="1:8">
      <c r="A116" s="599"/>
      <c r="B116" s="599"/>
      <c r="C116" s="558"/>
      <c r="D116" s="599"/>
      <c r="E116" s="599"/>
      <c r="F116" s="561"/>
      <c r="G116" s="561"/>
      <c r="H116" s="555"/>
    </row>
    <row r="117" spans="1:8">
      <c r="A117" s="599"/>
      <c r="B117" s="599"/>
      <c r="C117" s="558"/>
      <c r="D117" s="599"/>
      <c r="E117" s="599"/>
      <c r="F117" s="561"/>
      <c r="G117" s="561"/>
      <c r="H117" s="555"/>
    </row>
    <row r="118" spans="1:8">
      <c r="A118" s="599"/>
      <c r="B118" s="599"/>
      <c r="C118" s="558"/>
      <c r="D118" s="599"/>
      <c r="E118" s="599"/>
      <c r="F118" s="561"/>
      <c r="G118" s="561"/>
      <c r="H118" s="555"/>
    </row>
    <row r="119" spans="1:8">
      <c r="A119" s="599"/>
      <c r="B119" s="599"/>
      <c r="C119" s="558"/>
      <c r="D119" s="599"/>
      <c r="E119" s="599"/>
      <c r="F119" s="561"/>
      <c r="G119" s="561"/>
      <c r="H119" s="555"/>
    </row>
    <row r="120" spans="1:8">
      <c r="A120" s="599"/>
      <c r="B120" s="599"/>
      <c r="C120" s="558"/>
      <c r="D120" s="599"/>
      <c r="E120" s="599"/>
      <c r="F120" s="561"/>
      <c r="G120" s="561"/>
      <c r="H120" s="555"/>
    </row>
    <row r="121" spans="1:8">
      <c r="A121" s="599"/>
      <c r="B121" s="599"/>
      <c r="C121" s="558"/>
      <c r="D121" s="599"/>
      <c r="E121" s="599"/>
      <c r="F121" s="561"/>
      <c r="G121" s="561"/>
      <c r="H121" s="555"/>
    </row>
    <row r="122" spans="1:8">
      <c r="A122" s="599"/>
      <c r="B122" s="599"/>
      <c r="C122" s="558"/>
      <c r="D122" s="599"/>
      <c r="E122" s="599"/>
      <c r="F122" s="561"/>
      <c r="G122" s="561"/>
      <c r="H122" s="555"/>
    </row>
    <row r="123" spans="1:8">
      <c r="A123" s="599"/>
      <c r="B123" s="599"/>
      <c r="C123" s="558"/>
      <c r="D123" s="599"/>
      <c r="E123" s="599"/>
      <c r="F123" s="561"/>
      <c r="G123" s="561"/>
      <c r="H123" s="555"/>
    </row>
    <row r="124" spans="1:8">
      <c r="A124" s="599"/>
      <c r="B124" s="599"/>
      <c r="C124" s="558"/>
      <c r="D124" s="599"/>
      <c r="E124" s="599"/>
      <c r="F124" s="561"/>
      <c r="G124" s="561"/>
      <c r="H124" s="555"/>
    </row>
    <row r="125" spans="1:8">
      <c r="A125" s="599"/>
      <c r="B125" s="599"/>
      <c r="C125" s="558"/>
      <c r="D125" s="599"/>
      <c r="E125" s="599"/>
      <c r="F125" s="561"/>
      <c r="G125" s="561"/>
      <c r="H125" s="555"/>
    </row>
    <row r="126" spans="1:8">
      <c r="A126" s="599"/>
      <c r="B126" s="599"/>
      <c r="C126" s="558"/>
      <c r="D126" s="599"/>
      <c r="E126" s="599"/>
      <c r="F126" s="561"/>
      <c r="G126" s="561"/>
      <c r="H126" s="555"/>
    </row>
    <row r="127" spans="1:8">
      <c r="F127" s="375"/>
      <c r="G127" s="375"/>
    </row>
    <row r="128" spans="1:8">
      <c r="F128" s="375"/>
      <c r="G128" s="375"/>
    </row>
    <row r="129" spans="6:7">
      <c r="F129" s="375"/>
      <c r="G129" s="375"/>
    </row>
    <row r="130" spans="6:7">
      <c r="F130" s="375"/>
      <c r="G130" s="375"/>
    </row>
    <row r="131" spans="6:7">
      <c r="F131" s="375"/>
      <c r="G131" s="375"/>
    </row>
    <row r="132" spans="6:7">
      <c r="F132" s="375"/>
      <c r="G132" s="375"/>
    </row>
    <row r="133" spans="6:7">
      <c r="F133" s="375"/>
      <c r="G133" s="375"/>
    </row>
    <row r="134" spans="6:7">
      <c r="F134" s="375"/>
      <c r="G134" s="375"/>
    </row>
    <row r="135" spans="6:7">
      <c r="F135" s="375"/>
      <c r="G135" s="375"/>
    </row>
    <row r="136" spans="6:7">
      <c r="F136" s="375"/>
      <c r="G136" s="375"/>
    </row>
    <row r="137" spans="6:7">
      <c r="F137" s="375"/>
      <c r="G137" s="375"/>
    </row>
    <row r="138" spans="6:7">
      <c r="F138" s="375"/>
      <c r="G138" s="375"/>
    </row>
    <row r="139" spans="6:7">
      <c r="F139" s="375"/>
      <c r="G139" s="375"/>
    </row>
    <row r="140" spans="6:7">
      <c r="F140" s="375"/>
      <c r="G140" s="375"/>
    </row>
    <row r="141" spans="6:7">
      <c r="F141" s="375"/>
      <c r="G141" s="375"/>
    </row>
    <row r="142" spans="6:7">
      <c r="F142" s="375"/>
      <c r="G142" s="375"/>
    </row>
    <row r="143" spans="6:7">
      <c r="F143" s="375"/>
      <c r="G143" s="375"/>
    </row>
    <row r="144" spans="6:7">
      <c r="F144" s="375"/>
      <c r="G144" s="375"/>
    </row>
    <row r="145" spans="6:7">
      <c r="F145" s="375"/>
      <c r="G145" s="375"/>
    </row>
    <row r="146" spans="6:7">
      <c r="F146" s="375"/>
      <c r="G146" s="375"/>
    </row>
    <row r="147" spans="6:7">
      <c r="F147" s="375"/>
      <c r="G147" s="375"/>
    </row>
    <row r="148" spans="6:7">
      <c r="F148" s="375"/>
      <c r="G148" s="375"/>
    </row>
    <row r="149" spans="6:7">
      <c r="F149" s="375"/>
      <c r="G149" s="375"/>
    </row>
    <row r="150" spans="6:7">
      <c r="F150" s="375"/>
      <c r="G150" s="375"/>
    </row>
    <row r="151" spans="6:7">
      <c r="F151" s="375"/>
      <c r="G151" s="375"/>
    </row>
    <row r="152" spans="6:7">
      <c r="F152" s="375"/>
      <c r="G152" s="375"/>
    </row>
    <row r="153" spans="6:7">
      <c r="F153" s="375"/>
      <c r="G153" s="375"/>
    </row>
    <row r="154" spans="6:7">
      <c r="F154" s="375"/>
      <c r="G154" s="375"/>
    </row>
    <row r="155" spans="6:7">
      <c r="F155" s="375"/>
      <c r="G155" s="375"/>
    </row>
    <row r="156" spans="6:7">
      <c r="F156" s="375"/>
      <c r="G156" s="375"/>
    </row>
    <row r="157" spans="6:7">
      <c r="F157" s="375"/>
      <c r="G157" s="375"/>
    </row>
    <row r="158" spans="6:7">
      <c r="F158" s="375"/>
      <c r="G158" s="375"/>
    </row>
    <row r="159" spans="6:7">
      <c r="F159" s="375"/>
      <c r="G159" s="375"/>
    </row>
    <row r="160" spans="6:7">
      <c r="F160" s="375"/>
      <c r="G160" s="375"/>
    </row>
    <row r="161" spans="6:7">
      <c r="F161" s="375"/>
      <c r="G161" s="375"/>
    </row>
    <row r="162" spans="6:7">
      <c r="F162" s="375"/>
      <c r="G162" s="375"/>
    </row>
    <row r="163" spans="6:7">
      <c r="F163" s="375"/>
      <c r="G163" s="375"/>
    </row>
    <row r="164" spans="6:7">
      <c r="F164" s="375"/>
      <c r="G164" s="375"/>
    </row>
    <row r="165" spans="6:7">
      <c r="F165" s="375"/>
      <c r="G165" s="375"/>
    </row>
    <row r="166" spans="6:7">
      <c r="F166" s="375"/>
      <c r="G166" s="375"/>
    </row>
    <row r="167" spans="6:7">
      <c r="F167" s="375"/>
      <c r="G167" s="375"/>
    </row>
    <row r="168" spans="6:7">
      <c r="F168" s="375"/>
      <c r="G168" s="375"/>
    </row>
    <row r="169" spans="6:7">
      <c r="F169" s="375"/>
      <c r="G169" s="375"/>
    </row>
    <row r="170" spans="6:7">
      <c r="F170" s="375"/>
      <c r="G170" s="375"/>
    </row>
    <row r="171" spans="6:7">
      <c r="F171" s="375"/>
      <c r="G171" s="375"/>
    </row>
    <row r="172" spans="6:7">
      <c r="F172" s="375"/>
      <c r="G172" s="375"/>
    </row>
    <row r="173" spans="6:7">
      <c r="F173" s="375"/>
      <c r="G173" s="375"/>
    </row>
    <row r="174" spans="6:7">
      <c r="F174" s="375"/>
      <c r="G174" s="375"/>
    </row>
    <row r="175" spans="6:7">
      <c r="F175" s="375"/>
      <c r="G175" s="375"/>
    </row>
    <row r="176" spans="6:7">
      <c r="F176" s="375"/>
      <c r="G176" s="375"/>
    </row>
    <row r="177" spans="6:7">
      <c r="F177" s="375"/>
      <c r="G177" s="375"/>
    </row>
    <row r="178" spans="6:7">
      <c r="F178" s="375"/>
      <c r="G178" s="375"/>
    </row>
    <row r="179" spans="6:7">
      <c r="F179" s="375"/>
      <c r="G179" s="375"/>
    </row>
    <row r="180" spans="6:7">
      <c r="F180" s="375"/>
      <c r="G180" s="375"/>
    </row>
    <row r="181" spans="6:7">
      <c r="F181" s="375"/>
      <c r="G181" s="375"/>
    </row>
    <row r="182" spans="6:7">
      <c r="F182" s="375"/>
      <c r="G182" s="375"/>
    </row>
    <row r="183" spans="6:7">
      <c r="F183" s="375"/>
      <c r="G183" s="375"/>
    </row>
    <row r="184" spans="6:7">
      <c r="F184" s="375"/>
      <c r="G184" s="375"/>
    </row>
    <row r="185" spans="6:7">
      <c r="F185" s="375"/>
      <c r="G185" s="375"/>
    </row>
    <row r="186" spans="6:7">
      <c r="F186" s="375"/>
      <c r="G186" s="375"/>
    </row>
    <row r="187" spans="6:7">
      <c r="F187" s="375"/>
      <c r="G187" s="375"/>
    </row>
    <row r="188" spans="6:7">
      <c r="F188" s="375"/>
      <c r="G188" s="375"/>
    </row>
    <row r="189" spans="6:7">
      <c r="F189" s="375"/>
      <c r="G189" s="375"/>
    </row>
    <row r="190" spans="6:7">
      <c r="F190" s="375"/>
      <c r="G190" s="375"/>
    </row>
    <row r="191" spans="6:7">
      <c r="F191" s="375"/>
      <c r="G191" s="375"/>
    </row>
    <row r="192" spans="6:7">
      <c r="F192" s="375"/>
      <c r="G192" s="375"/>
    </row>
    <row r="193" spans="6:7">
      <c r="F193" s="375"/>
      <c r="G193" s="375"/>
    </row>
    <row r="194" spans="6:7">
      <c r="F194" s="375"/>
      <c r="G194" s="375"/>
    </row>
    <row r="195" spans="6:7">
      <c r="F195" s="375"/>
      <c r="G195" s="375"/>
    </row>
    <row r="196" spans="6:7">
      <c r="F196" s="375"/>
      <c r="G196" s="375"/>
    </row>
    <row r="197" spans="6:7">
      <c r="F197" s="375"/>
      <c r="G197" s="375"/>
    </row>
    <row r="198" spans="6:7">
      <c r="F198" s="375"/>
      <c r="G198" s="375"/>
    </row>
    <row r="199" spans="6:7">
      <c r="F199" s="375"/>
      <c r="G199" s="375"/>
    </row>
    <row r="200" spans="6:7">
      <c r="F200" s="375"/>
      <c r="G200" s="375"/>
    </row>
    <row r="201" spans="6:7">
      <c r="F201" s="375"/>
      <c r="G201" s="375"/>
    </row>
    <row r="202" spans="6:7">
      <c r="F202" s="375"/>
      <c r="G202" s="375"/>
    </row>
    <row r="203" spans="6:7">
      <c r="F203" s="375"/>
      <c r="G203" s="375"/>
    </row>
    <row r="204" spans="6:7">
      <c r="F204" s="375"/>
      <c r="G204" s="375"/>
    </row>
    <row r="205" spans="6:7">
      <c r="F205" s="375"/>
      <c r="G205" s="375"/>
    </row>
    <row r="206" spans="6:7">
      <c r="F206" s="375"/>
      <c r="G206" s="375"/>
    </row>
    <row r="207" spans="6:7">
      <c r="F207" s="375"/>
      <c r="G207" s="375"/>
    </row>
    <row r="208" spans="6:7">
      <c r="F208" s="375"/>
      <c r="G208" s="375"/>
    </row>
    <row r="209" spans="6:7">
      <c r="F209" s="375"/>
      <c r="G209" s="375"/>
    </row>
    <row r="210" spans="6:7">
      <c r="F210" s="375"/>
      <c r="G210" s="375"/>
    </row>
    <row r="211" spans="6:7">
      <c r="F211" s="375"/>
      <c r="G211" s="375"/>
    </row>
    <row r="212" spans="6:7">
      <c r="F212" s="375"/>
      <c r="G212" s="375"/>
    </row>
    <row r="213" spans="6:7">
      <c r="F213" s="375"/>
      <c r="G213" s="375"/>
    </row>
    <row r="214" spans="6:7">
      <c r="F214" s="375"/>
      <c r="G214" s="375"/>
    </row>
    <row r="215" spans="6:7">
      <c r="F215" s="375"/>
      <c r="G215" s="375"/>
    </row>
    <row r="216" spans="6:7">
      <c r="F216" s="375"/>
      <c r="G216" s="375"/>
    </row>
    <row r="217" spans="6:7">
      <c r="F217" s="375"/>
      <c r="G217" s="375"/>
    </row>
    <row r="218" spans="6:7">
      <c r="F218" s="375"/>
      <c r="G218" s="375"/>
    </row>
    <row r="219" spans="6:7">
      <c r="F219" s="375"/>
      <c r="G219" s="375"/>
    </row>
    <row r="220" spans="6:7">
      <c r="F220" s="375"/>
      <c r="G220" s="375"/>
    </row>
    <row r="221" spans="6:7">
      <c r="F221" s="375"/>
      <c r="G221" s="375"/>
    </row>
    <row r="222" spans="6:7">
      <c r="F222" s="375"/>
      <c r="G222" s="375"/>
    </row>
    <row r="223" spans="6:7">
      <c r="F223" s="375"/>
      <c r="G223" s="375"/>
    </row>
    <row r="224" spans="6:7">
      <c r="F224" s="375"/>
      <c r="G224" s="375"/>
    </row>
    <row r="225" spans="6:7">
      <c r="F225" s="375"/>
      <c r="G225" s="375"/>
    </row>
    <row r="226" spans="6:7">
      <c r="F226" s="375"/>
      <c r="G226" s="375"/>
    </row>
    <row r="227" spans="6:7">
      <c r="F227" s="375"/>
      <c r="G227" s="375"/>
    </row>
    <row r="228" spans="6:7">
      <c r="F228" s="375"/>
      <c r="G228" s="375"/>
    </row>
    <row r="229" spans="6:7">
      <c r="F229" s="375"/>
      <c r="G229" s="375"/>
    </row>
    <row r="230" spans="6:7">
      <c r="F230" s="375"/>
      <c r="G230" s="375"/>
    </row>
    <row r="231" spans="6:7">
      <c r="F231" s="375"/>
      <c r="G231" s="375"/>
    </row>
    <row r="232" spans="6:7">
      <c r="F232" s="375"/>
      <c r="G232" s="375"/>
    </row>
    <row r="233" spans="6:7">
      <c r="F233" s="375"/>
      <c r="G233" s="375"/>
    </row>
    <row r="234" spans="6:7">
      <c r="F234" s="375"/>
      <c r="G234" s="375"/>
    </row>
    <row r="235" spans="6:7">
      <c r="F235" s="375"/>
      <c r="G235" s="375"/>
    </row>
    <row r="236" spans="6:7">
      <c r="F236" s="375"/>
      <c r="G236" s="375"/>
    </row>
    <row r="237" spans="6:7">
      <c r="F237" s="375"/>
      <c r="G237" s="375"/>
    </row>
    <row r="238" spans="6:7">
      <c r="F238" s="375"/>
      <c r="G238" s="375"/>
    </row>
    <row r="239" spans="6:7">
      <c r="F239" s="375"/>
      <c r="G239" s="375"/>
    </row>
    <row r="240" spans="6:7">
      <c r="F240" s="375"/>
      <c r="G240" s="375"/>
    </row>
    <row r="241" spans="6:7">
      <c r="F241" s="375"/>
      <c r="G241" s="375"/>
    </row>
    <row r="242" spans="6:7">
      <c r="F242" s="375"/>
      <c r="G242" s="375"/>
    </row>
    <row r="243" spans="6:7">
      <c r="F243" s="375"/>
      <c r="G243" s="375"/>
    </row>
    <row r="244" spans="6:7">
      <c r="F244" s="375"/>
      <c r="G244" s="375"/>
    </row>
    <row r="245" spans="6:7">
      <c r="F245" s="375"/>
      <c r="G245" s="375"/>
    </row>
    <row r="246" spans="6:7">
      <c r="F246" s="375"/>
      <c r="G246" s="375"/>
    </row>
    <row r="247" spans="6:7">
      <c r="F247" s="375"/>
      <c r="G247" s="375"/>
    </row>
    <row r="248" spans="6:7">
      <c r="F248" s="375"/>
      <c r="G248" s="375"/>
    </row>
    <row r="249" spans="6:7">
      <c r="F249" s="375"/>
      <c r="G249" s="375"/>
    </row>
    <row r="250" spans="6:7">
      <c r="F250" s="375"/>
      <c r="G250" s="375"/>
    </row>
    <row r="251" spans="6:7">
      <c r="F251" s="375"/>
      <c r="G251" s="375"/>
    </row>
    <row r="252" spans="6:7">
      <c r="F252" s="375"/>
      <c r="G252" s="375"/>
    </row>
    <row r="253" spans="6:7">
      <c r="F253" s="375"/>
      <c r="G253" s="375"/>
    </row>
    <row r="254" spans="6:7">
      <c r="F254" s="375"/>
      <c r="G254" s="375"/>
    </row>
    <row r="255" spans="6:7">
      <c r="F255" s="375"/>
      <c r="G255" s="375"/>
    </row>
    <row r="256" spans="6:7">
      <c r="F256" s="375"/>
      <c r="G256" s="375"/>
    </row>
    <row r="257" spans="6:7">
      <c r="F257" s="375"/>
      <c r="G257" s="375"/>
    </row>
    <row r="258" spans="6:7">
      <c r="F258" s="375"/>
      <c r="G258" s="375"/>
    </row>
    <row r="259" spans="6:7">
      <c r="F259" s="375"/>
      <c r="G259" s="375"/>
    </row>
    <row r="260" spans="6:7">
      <c r="F260" s="375"/>
      <c r="G260" s="375"/>
    </row>
    <row r="261" spans="6:7">
      <c r="F261" s="375"/>
      <c r="G261" s="375"/>
    </row>
    <row r="262" spans="6:7">
      <c r="F262" s="375"/>
      <c r="G262" s="375"/>
    </row>
    <row r="263" spans="6:7">
      <c r="F263" s="375"/>
      <c r="G263" s="375"/>
    </row>
    <row r="264" spans="6:7">
      <c r="F264" s="375"/>
      <c r="G264" s="375"/>
    </row>
    <row r="265" spans="6:7">
      <c r="F265" s="375"/>
      <c r="G265" s="375"/>
    </row>
    <row r="266" spans="6:7">
      <c r="F266" s="375"/>
      <c r="G266" s="375"/>
    </row>
    <row r="267" spans="6:7">
      <c r="F267" s="375"/>
      <c r="G267" s="375"/>
    </row>
    <row r="268" spans="6:7">
      <c r="F268" s="375"/>
      <c r="G268" s="375"/>
    </row>
    <row r="269" spans="6:7">
      <c r="F269" s="375"/>
      <c r="G269" s="375"/>
    </row>
    <row r="270" spans="6:7">
      <c r="F270" s="375"/>
      <c r="G270" s="375"/>
    </row>
    <row r="271" spans="6:7">
      <c r="F271" s="375"/>
      <c r="G271" s="375"/>
    </row>
    <row r="272" spans="6:7">
      <c r="F272" s="375"/>
      <c r="G272" s="375"/>
    </row>
    <row r="273" spans="6:7">
      <c r="F273" s="375"/>
      <c r="G273" s="375"/>
    </row>
    <row r="274" spans="6:7">
      <c r="F274" s="375"/>
      <c r="G274" s="375"/>
    </row>
    <row r="275" spans="6:7">
      <c r="F275" s="375"/>
      <c r="G275" s="375"/>
    </row>
    <row r="276" spans="6:7">
      <c r="F276" s="375"/>
      <c r="G276" s="375"/>
    </row>
    <row r="277" spans="6:7">
      <c r="F277" s="375"/>
      <c r="G277" s="375"/>
    </row>
    <row r="278" spans="6:7">
      <c r="F278" s="375"/>
      <c r="G278" s="375"/>
    </row>
    <row r="279" spans="6:7">
      <c r="F279" s="375"/>
      <c r="G279" s="375"/>
    </row>
    <row r="280" spans="6:7">
      <c r="F280" s="375"/>
      <c r="G280" s="375"/>
    </row>
    <row r="281" spans="6:7">
      <c r="F281" s="375"/>
      <c r="G281" s="375"/>
    </row>
    <row r="282" spans="6:7">
      <c r="F282" s="375"/>
      <c r="G282" s="375"/>
    </row>
    <row r="283" spans="6:7">
      <c r="F283" s="375"/>
      <c r="G283" s="375"/>
    </row>
    <row r="284" spans="6:7">
      <c r="F284" s="375"/>
      <c r="G284" s="375"/>
    </row>
    <row r="285" spans="6:7">
      <c r="F285" s="375"/>
      <c r="G285" s="375"/>
    </row>
    <row r="286" spans="6:7">
      <c r="F286" s="375"/>
      <c r="G286" s="375"/>
    </row>
    <row r="287" spans="6:7">
      <c r="F287" s="375"/>
      <c r="G287" s="375"/>
    </row>
    <row r="288" spans="6:7">
      <c r="F288" s="375"/>
      <c r="G288" s="375"/>
    </row>
    <row r="289" spans="6:7">
      <c r="F289" s="375"/>
      <c r="G289" s="375"/>
    </row>
    <row r="290" spans="6:7">
      <c r="F290" s="375"/>
      <c r="G290" s="375"/>
    </row>
    <row r="291" spans="6:7">
      <c r="F291" s="375"/>
      <c r="G291" s="375"/>
    </row>
    <row r="292" spans="6:7">
      <c r="F292" s="375"/>
      <c r="G292" s="375"/>
    </row>
    <row r="293" spans="6:7">
      <c r="F293" s="375"/>
      <c r="G293" s="375"/>
    </row>
    <row r="294" spans="6:7">
      <c r="F294" s="375"/>
      <c r="G294" s="375"/>
    </row>
    <row r="295" spans="6:7">
      <c r="F295" s="375"/>
      <c r="G295" s="375"/>
    </row>
    <row r="296" spans="6:7">
      <c r="F296" s="375"/>
      <c r="G296" s="375"/>
    </row>
    <row r="297" spans="6:7">
      <c r="F297" s="375"/>
      <c r="G297" s="375"/>
    </row>
    <row r="298" spans="6:7">
      <c r="F298" s="375"/>
      <c r="G298" s="375"/>
    </row>
    <row r="299" spans="6:7">
      <c r="F299" s="375"/>
      <c r="G299" s="375"/>
    </row>
    <row r="300" spans="6:7">
      <c r="F300" s="375"/>
      <c r="G300" s="375"/>
    </row>
    <row r="301" spans="6:7">
      <c r="F301" s="375"/>
      <c r="G301" s="375"/>
    </row>
    <row r="302" spans="6:7">
      <c r="F302" s="375"/>
      <c r="G302" s="375"/>
    </row>
    <row r="303" spans="6:7">
      <c r="F303" s="375"/>
      <c r="G303" s="375"/>
    </row>
    <row r="304" spans="6:7">
      <c r="F304" s="375"/>
      <c r="G304" s="375"/>
    </row>
    <row r="305" spans="6:7">
      <c r="F305" s="375"/>
      <c r="G305" s="375"/>
    </row>
    <row r="306" spans="6:7">
      <c r="F306" s="375"/>
      <c r="G306" s="375"/>
    </row>
    <row r="307" spans="6:7">
      <c r="F307" s="375"/>
      <c r="G307" s="375"/>
    </row>
    <row r="308" spans="6:7">
      <c r="F308" s="375"/>
      <c r="G308" s="375"/>
    </row>
    <row r="309" spans="6:7">
      <c r="F309" s="375"/>
      <c r="G309" s="375"/>
    </row>
    <row r="310" spans="6:7">
      <c r="F310" s="375"/>
      <c r="G310" s="375"/>
    </row>
    <row r="311" spans="6:7">
      <c r="F311" s="375"/>
      <c r="G311" s="375"/>
    </row>
    <row r="312" spans="6:7">
      <c r="F312" s="375"/>
      <c r="G312" s="375"/>
    </row>
    <row r="313" spans="6:7">
      <c r="F313" s="375"/>
      <c r="G313" s="375"/>
    </row>
    <row r="314" spans="6:7">
      <c r="F314" s="375"/>
      <c r="G314" s="375"/>
    </row>
    <row r="315" spans="6:7">
      <c r="F315" s="375"/>
      <c r="G315" s="375"/>
    </row>
  </sheetData>
  <autoFilter ref="C1:I31" xr:uid="{E2311DCC-7B14-451B-8AD7-16A46C155C89}"/>
  <mergeCells count="2">
    <mergeCell ref="A42:H42"/>
    <mergeCell ref="A82:H82"/>
  </mergeCells>
  <conditionalFormatting sqref="C2:C28">
    <cfRule type="containsText" dxfId="5" priority="1" operator="containsText" text="755">
      <formula>NOT(ISERROR(SEARCH("755",C2)))</formula>
    </cfRule>
  </conditionalFormatting>
  <conditionalFormatting sqref="C30:C31 C83:C97">
    <cfRule type="containsText" dxfId="4" priority="8" operator="containsText" text="755">
      <formula>NOT(ISERROR(SEARCH("755",C30)))</formula>
    </cfRule>
  </conditionalFormatting>
  <conditionalFormatting sqref="C33:C34">
    <cfRule type="containsText" dxfId="3" priority="4" operator="containsText" text="755">
      <formula>NOT(ISERROR(SEARCH("755",C33)))</formula>
    </cfRule>
  </conditionalFormatting>
  <conditionalFormatting sqref="C43:C69 C71:C72 C74:C75">
    <cfRule type="containsText" dxfId="2" priority="7" operator="containsText" text="755">
      <formula>NOT(ISERROR(SEARCH("755",C43)))</formula>
    </cfRule>
  </conditionalFormatting>
  <conditionalFormatting sqref="C83:C96">
    <cfRule type="containsText" dxfId="1" priority="5" operator="containsText" text="651">
      <formula>NOT(ISERROR(SEARCH("651",C83)))</formula>
    </cfRule>
  </conditionalFormatting>
  <conditionalFormatting sqref="C99:C100 C102:C103">
    <cfRule type="containsText" dxfId="0" priority="6" operator="containsText" text="755">
      <formula>NOT(ISERROR(SEARCH("755",C99)))</formula>
    </cfRule>
  </conditionalFormatting>
  <pageMargins left="0.78740157499999996" right="0.78740157499999996" top="0.984251969" bottom="0.984251969" header="0.4921259845" footer="0.4921259845"/>
  <pageSetup paperSize="9" scale="50"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4">
    <pageSetUpPr fitToPage="1"/>
  </sheetPr>
  <dimension ref="B1:L36"/>
  <sheetViews>
    <sheetView view="pageBreakPreview" zoomScaleNormal="100" zoomScaleSheetLayoutView="100" workbookViewId="0">
      <selection activeCell="O32" sqref="O32"/>
    </sheetView>
  </sheetViews>
  <sheetFormatPr defaultColWidth="11.42578125" defaultRowHeight="12.75"/>
  <cols>
    <col min="1" max="1" width="0.5703125" customWidth="1"/>
    <col min="2" max="2" width="38.85546875" customWidth="1"/>
    <col min="3" max="3" width="17.140625" style="28" customWidth="1"/>
    <col min="4" max="4" width="15" customWidth="1"/>
    <col min="5" max="5" width="12.42578125" customWidth="1"/>
    <col min="6" max="6" width="16" style="28" customWidth="1"/>
    <col min="7" max="7" width="16.42578125" customWidth="1"/>
    <col min="8" max="8" width="10.5703125" customWidth="1"/>
    <col min="9" max="9" width="18.5703125" customWidth="1"/>
    <col min="10" max="10" width="22.140625" customWidth="1"/>
    <col min="11" max="11" width="2" customWidth="1"/>
    <col min="12" max="12" width="2.42578125" customWidth="1"/>
  </cols>
  <sheetData>
    <row r="1" spans="2:12" ht="15">
      <c r="B1" s="19" t="str">
        <f>Inventaire!B1</f>
        <v>BOLZEN - SLP</v>
      </c>
      <c r="E1" s="1"/>
      <c r="F1" s="1" t="s">
        <v>171</v>
      </c>
      <c r="J1" s="38">
        <f>Inventaire!H1</f>
        <v>46022</v>
      </c>
    </row>
    <row r="3" spans="2:12">
      <c r="G3" s="168"/>
    </row>
    <row r="4" spans="2:12" s="604" customFormat="1" ht="12">
      <c r="B4" s="1271" t="s">
        <v>172</v>
      </c>
      <c r="C4" s="1272" t="s">
        <v>173</v>
      </c>
      <c r="D4" s="1271" t="s">
        <v>173</v>
      </c>
      <c r="E4" s="1273" t="s">
        <v>137</v>
      </c>
      <c r="F4" s="1272" t="s">
        <v>174</v>
      </c>
      <c r="G4" s="1273" t="s">
        <v>71</v>
      </c>
      <c r="H4" s="1273" t="s">
        <v>137</v>
      </c>
      <c r="I4" s="1273" t="s">
        <v>174</v>
      </c>
      <c r="J4" s="1273" t="s">
        <v>175</v>
      </c>
      <c r="L4" s="605"/>
    </row>
    <row r="5" spans="2:12" s="604" customFormat="1" ht="12">
      <c r="B5" s="630" t="s">
        <v>176</v>
      </c>
      <c r="C5" s="762" t="s">
        <v>177</v>
      </c>
      <c r="D5" s="928" t="s">
        <v>178</v>
      </c>
      <c r="E5" s="763" t="s">
        <v>179</v>
      </c>
      <c r="F5" s="762"/>
      <c r="G5" s="763" t="s">
        <v>180</v>
      </c>
      <c r="H5" s="763" t="s">
        <v>181</v>
      </c>
      <c r="I5" s="763"/>
      <c r="J5" s="763"/>
      <c r="L5" s="605"/>
    </row>
    <row r="6" spans="2:12" s="111" customFormat="1" ht="12">
      <c r="B6" s="929"/>
      <c r="C6" s="930"/>
      <c r="D6" s="931"/>
      <c r="E6" s="932"/>
      <c r="F6" s="933"/>
      <c r="G6" s="931"/>
      <c r="H6" s="934"/>
      <c r="I6" s="933"/>
      <c r="J6" s="935"/>
      <c r="K6" s="604"/>
    </row>
    <row r="7" spans="2:12" s="111" customFormat="1" ht="12">
      <c r="B7" s="929" t="str">
        <f>Inventaire!C15</f>
        <v>Inflexion BIDCO - ORADP 1</v>
      </c>
      <c r="C7" s="930">
        <f>Inventaire!D15</f>
        <v>10080000</v>
      </c>
      <c r="D7" s="936"/>
      <c r="E7" s="937"/>
      <c r="F7" s="933">
        <f t="shared" ref="F7:F16" si="0">C7-D7</f>
        <v>10080000</v>
      </c>
      <c r="G7" s="931"/>
      <c r="H7" s="932"/>
      <c r="I7" s="933">
        <f t="shared" ref="I7:I16" si="1">C7-G7</f>
        <v>10080000</v>
      </c>
      <c r="J7" s="935" t="s">
        <v>182</v>
      </c>
      <c r="K7" s="604"/>
    </row>
    <row r="8" spans="2:12" s="111" customFormat="1" ht="12">
      <c r="B8" s="929" t="str">
        <f>Inventaire!C16</f>
        <v>Inflexion BIDCO - OCADP 2</v>
      </c>
      <c r="C8" s="930">
        <f>Inventaire!D16</f>
        <v>40320000</v>
      </c>
      <c r="D8" s="936"/>
      <c r="E8" s="937"/>
      <c r="F8" s="933">
        <f>C8-D8</f>
        <v>40320000</v>
      </c>
      <c r="G8" s="931"/>
      <c r="H8" s="932"/>
      <c r="I8" s="933">
        <f>C8-G8</f>
        <v>40320000</v>
      </c>
      <c r="J8" s="935" t="s">
        <v>182</v>
      </c>
      <c r="K8" s="604"/>
    </row>
    <row r="9" spans="2:12" s="111" customFormat="1" ht="12">
      <c r="B9" s="929"/>
      <c r="C9" s="930"/>
      <c r="D9" s="936"/>
      <c r="E9" s="937"/>
      <c r="F9" s="933"/>
      <c r="G9" s="931"/>
      <c r="H9" s="932"/>
      <c r="I9" s="933"/>
      <c r="J9" s="935"/>
      <c r="K9" s="604"/>
    </row>
    <row r="10" spans="2:12" s="111" customFormat="1" ht="12">
      <c r="B10" s="929" t="str">
        <f>Inventaire!C18</f>
        <v>Koenig solutions - ADP B</v>
      </c>
      <c r="C10" s="930">
        <f>Inventaire!D18</f>
        <v>87200</v>
      </c>
      <c r="D10" s="936"/>
      <c r="E10" s="937"/>
      <c r="F10" s="933">
        <f>C10-D10</f>
        <v>87200</v>
      </c>
      <c r="G10" s="931">
        <v>87200</v>
      </c>
      <c r="H10" s="932">
        <v>46022</v>
      </c>
      <c r="I10" s="933">
        <f>C10-G10</f>
        <v>0</v>
      </c>
      <c r="J10" s="935"/>
      <c r="K10" s="604"/>
    </row>
    <row r="11" spans="2:12" s="111" customFormat="1" ht="12">
      <c r="B11" s="929" t="str">
        <f>Inventaire!C19</f>
        <v>Koenig solutions - OC (SHL)</v>
      </c>
      <c r="C11" s="930">
        <f>Inventaire!D19</f>
        <v>3200</v>
      </c>
      <c r="D11" s="936"/>
      <c r="E11" s="937"/>
      <c r="F11" s="933">
        <f>C11-D11</f>
        <v>3200</v>
      </c>
      <c r="G11" s="931"/>
      <c r="H11" s="932"/>
      <c r="I11" s="933">
        <f>C11-G11</f>
        <v>3200</v>
      </c>
      <c r="J11" s="935" t="s">
        <v>183</v>
      </c>
      <c r="K11" s="604"/>
    </row>
    <row r="12" spans="2:12" s="111" customFormat="1" ht="12">
      <c r="B12" s="929" t="str">
        <f>Inventaire!C20</f>
        <v>Koenig solutions - OC (Warehouse II - ADP A)</v>
      </c>
      <c r="C12" s="930">
        <f>Inventaire!D20</f>
        <v>500</v>
      </c>
      <c r="D12" s="936"/>
      <c r="E12" s="937"/>
      <c r="F12" s="933">
        <f>C12-D12</f>
        <v>500</v>
      </c>
      <c r="G12" s="931"/>
      <c r="H12" s="932"/>
      <c r="I12" s="933">
        <f>C12-G12</f>
        <v>500</v>
      </c>
      <c r="J12" s="935" t="s">
        <v>183</v>
      </c>
      <c r="K12" s="604"/>
    </row>
    <row r="13" spans="2:12" s="111" customFormat="1" ht="12">
      <c r="B13" s="929"/>
      <c r="C13" s="930"/>
      <c r="D13" s="936"/>
      <c r="E13" s="937"/>
      <c r="F13" s="933"/>
      <c r="G13" s="931"/>
      <c r="H13" s="932"/>
      <c r="I13" s="933"/>
      <c r="J13" s="935"/>
      <c r="K13" s="604"/>
    </row>
    <row r="14" spans="2:12" s="111" customFormat="1" ht="12">
      <c r="B14" s="929" t="str">
        <f>Inventaire!C22</f>
        <v>SNIC Technologies Group - OBSA</v>
      </c>
      <c r="C14" s="930">
        <f>Inventaire!D22</f>
        <v>63750000</v>
      </c>
      <c r="D14" s="936"/>
      <c r="E14" s="937"/>
      <c r="F14" s="933">
        <f>C14-D14</f>
        <v>63750000</v>
      </c>
      <c r="G14" s="931"/>
      <c r="H14" s="932"/>
      <c r="I14" s="933">
        <f>C14-G14</f>
        <v>63750000</v>
      </c>
      <c r="J14" s="935" t="s">
        <v>184</v>
      </c>
      <c r="K14" s="604"/>
    </row>
    <row r="15" spans="2:12" s="111" customFormat="1" ht="12">
      <c r="B15" s="929"/>
      <c r="C15" s="930"/>
      <c r="D15" s="936"/>
      <c r="E15" s="937"/>
      <c r="F15" s="933"/>
      <c r="G15" s="931"/>
      <c r="H15" s="932"/>
      <c r="I15" s="933"/>
      <c r="J15" s="935"/>
      <c r="K15" s="604"/>
    </row>
    <row r="16" spans="2:12" s="111" customFormat="1" ht="12">
      <c r="B16" s="929"/>
      <c r="C16" s="930"/>
      <c r="D16" s="936"/>
      <c r="E16" s="937"/>
      <c r="F16" s="933">
        <f t="shared" si="0"/>
        <v>0</v>
      </c>
      <c r="G16" s="931"/>
      <c r="H16" s="932"/>
      <c r="I16" s="933">
        <f t="shared" si="1"/>
        <v>0</v>
      </c>
      <c r="J16" s="935"/>
      <c r="K16" s="604"/>
    </row>
    <row r="17" spans="2:10" s="604" customFormat="1" ht="12">
      <c r="B17" s="1274"/>
      <c r="C17" s="938">
        <f>ROUND(SUM(C6:C16),2)</f>
        <v>114240900</v>
      </c>
      <c r="D17" s="938">
        <f>SUM(D6:D7)</f>
        <v>0</v>
      </c>
      <c r="E17" s="939"/>
      <c r="F17" s="938">
        <f>SUM(F6:F16)</f>
        <v>114240900</v>
      </c>
      <c r="G17" s="938">
        <f>SUM(G6:G16)</f>
        <v>87200</v>
      </c>
      <c r="H17" s="940"/>
      <c r="I17" s="938">
        <f>ROUND(SUM(I6:I16),2)</f>
        <v>114153700</v>
      </c>
      <c r="J17" s="939"/>
    </row>
    <row r="18" spans="2:10" s="604" customFormat="1" ht="12">
      <c r="C18" s="606"/>
      <c r="F18" s="606"/>
      <c r="G18" s="607"/>
      <c r="H18" s="607"/>
      <c r="I18" s="607"/>
    </row>
    <row r="19" spans="2:10" s="604" customFormat="1" ht="12">
      <c r="C19" s="606"/>
      <c r="D19" s="608"/>
      <c r="E19" s="604" t="s">
        <v>116</v>
      </c>
      <c r="F19" s="606">
        <f>C17-D17</f>
        <v>114240900</v>
      </c>
      <c r="G19" s="607"/>
      <c r="H19" s="607"/>
      <c r="I19" s="606">
        <f>C17-G17</f>
        <v>114153700</v>
      </c>
    </row>
    <row r="20" spans="2:10" s="604" customFormat="1" ht="12">
      <c r="C20" s="606"/>
      <c r="F20" s="609">
        <f>F17-F19</f>
        <v>0</v>
      </c>
      <c r="G20" s="610"/>
      <c r="H20" s="610"/>
      <c r="I20" s="609">
        <f>ROUND(I17-I19,2)</f>
        <v>0</v>
      </c>
    </row>
    <row r="21" spans="2:10" s="604" customFormat="1" ht="12">
      <c r="C21" s="606"/>
      <c r="F21" s="611" t="str">
        <f>IF(F20=0,"OK","ANOMALIE")</f>
        <v>OK</v>
      </c>
      <c r="I21" s="611" t="str">
        <f>IF(I20=0,"OK","ANOMALIE")</f>
        <v>OK</v>
      </c>
    </row>
    <row r="22" spans="2:10" s="604" customFormat="1" ht="12">
      <c r="B22" s="604" t="s">
        <v>185</v>
      </c>
      <c r="C22" s="612" t="s">
        <v>186</v>
      </c>
      <c r="F22" s="606"/>
      <c r="I22" s="613"/>
    </row>
    <row r="23" spans="2:10" s="604" customFormat="1" ht="12">
      <c r="B23" s="604" t="s">
        <v>187</v>
      </c>
      <c r="C23" s="614">
        <f>COUNT(C7:C16)</f>
        <v>6</v>
      </c>
      <c r="F23" s="606"/>
    </row>
    <row r="24" spans="2:10" s="604" customFormat="1" ht="12">
      <c r="B24" s="604" t="s">
        <v>177</v>
      </c>
      <c r="C24" s="614">
        <f>COUNT(Inventaire!G12:G30)</f>
        <v>6</v>
      </c>
      <c r="F24" s="606"/>
    </row>
    <row r="25" spans="2:10" s="604" customFormat="1" ht="12">
      <c r="C25" s="615" t="str">
        <f>IF(C23-C24&lt;&gt;0,"Rapprochement titres incomplet","OK")</f>
        <v>OK</v>
      </c>
      <c r="F25" s="606"/>
    </row>
    <row r="26" spans="2:10" s="604" customFormat="1" ht="12">
      <c r="C26" s="606"/>
    </row>
    <row r="27" spans="2:10" s="604" customFormat="1" ht="12">
      <c r="C27" s="606"/>
      <c r="F27" s="616" t="s">
        <v>188</v>
      </c>
    </row>
    <row r="28" spans="2:10" s="604" customFormat="1" ht="12">
      <c r="C28" s="606"/>
      <c r="F28" s="606"/>
    </row>
    <row r="29" spans="2:10" s="604" customFormat="1" ht="39.75" customHeight="1">
      <c r="B29" s="1275" t="s">
        <v>14</v>
      </c>
      <c r="C29" s="941" t="s">
        <v>189</v>
      </c>
      <c r="D29" s="1276" t="s">
        <v>190</v>
      </c>
      <c r="E29" s="942" t="s">
        <v>191</v>
      </c>
      <c r="F29" s="1277" t="s">
        <v>174</v>
      </c>
      <c r="G29" s="943" t="s">
        <v>175</v>
      </c>
    </row>
    <row r="30" spans="2:10" s="604" customFormat="1" ht="12">
      <c r="B30" s="1278"/>
      <c r="C30" s="944"/>
      <c r="D30" s="932"/>
      <c r="E30" s="932"/>
      <c r="F30" s="1279"/>
      <c r="G30" s="1280"/>
    </row>
    <row r="31" spans="2:10" s="604" customFormat="1" ht="12">
      <c r="B31" s="945" t="s">
        <v>15</v>
      </c>
      <c r="C31" s="946">
        <f>Inventaire!F8</f>
        <v>943268.7</v>
      </c>
      <c r="D31" s="947">
        <v>943268.7</v>
      </c>
      <c r="E31" s="932">
        <v>46022</v>
      </c>
      <c r="F31" s="948">
        <f>C31-D31</f>
        <v>0</v>
      </c>
      <c r="G31" s="949"/>
    </row>
    <row r="32" spans="2:10" s="604" customFormat="1" ht="12">
      <c r="B32" s="945" t="s">
        <v>17</v>
      </c>
      <c r="C32" s="946">
        <f>Inventaire!G8</f>
        <v>0</v>
      </c>
      <c r="D32" s="947">
        <v>0</v>
      </c>
      <c r="E32" s="932">
        <v>46022</v>
      </c>
      <c r="F32" s="948">
        <f t="shared" ref="F32:F34" si="2">C32-D32</f>
        <v>0</v>
      </c>
      <c r="G32" s="949"/>
    </row>
    <row r="33" spans="2:7" s="604" customFormat="1" ht="12">
      <c r="B33" s="950" t="s">
        <v>192</v>
      </c>
      <c r="C33" s="946">
        <f>Inventaire!H8</f>
        <v>1</v>
      </c>
      <c r="D33" s="947">
        <v>1</v>
      </c>
      <c r="E33" s="932">
        <v>46022</v>
      </c>
      <c r="F33" s="948">
        <f t="shared" si="2"/>
        <v>0</v>
      </c>
      <c r="G33" s="949"/>
    </row>
    <row r="34" spans="2:7" s="604" customFormat="1" ht="12">
      <c r="B34" s="950"/>
      <c r="C34" s="946"/>
      <c r="D34" s="947"/>
      <c r="E34" s="932"/>
      <c r="F34" s="948">
        <f t="shared" si="2"/>
        <v>0</v>
      </c>
      <c r="G34" s="949"/>
    </row>
    <row r="35" spans="2:7" s="604" customFormat="1" ht="12">
      <c r="B35" s="764"/>
      <c r="C35" s="944"/>
      <c r="D35" s="932"/>
      <c r="E35" s="932"/>
      <c r="F35" s="948"/>
      <c r="G35" s="949"/>
    </row>
    <row r="36" spans="2:7" s="604" customFormat="1" ht="12">
      <c r="B36" s="1274"/>
      <c r="C36" s="951">
        <f>SUM(C26:C35)</f>
        <v>943269.7</v>
      </c>
      <c r="D36" s="952">
        <f>SUM(D26:D35)</f>
        <v>943269.7</v>
      </c>
      <c r="E36" s="953"/>
      <c r="F36" s="1281">
        <f>SUM(F26:F35)</f>
        <v>0</v>
      </c>
      <c r="G36" s="951"/>
    </row>
  </sheetData>
  <phoneticPr fontId="18" type="noConversion"/>
  <pageMargins left="0.11811023622047245" right="0.11811023622047245" top="0.98425196850393704" bottom="0.98425196850393704" header="0.51181102362204722" footer="0.51181102362204722"/>
  <pageSetup paperSize="9" scale="6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B221D-D85B-44DF-B758-205481FBD537}">
  <sheetPr codeName="Feuil21">
    <pageSetUpPr fitToPage="1"/>
  </sheetPr>
  <dimension ref="A1:S47"/>
  <sheetViews>
    <sheetView view="pageBreakPreview" topLeftCell="A9" zoomScaleSheetLayoutView="100" workbookViewId="0">
      <selection activeCell="H41" sqref="H41"/>
    </sheetView>
  </sheetViews>
  <sheetFormatPr defaultColWidth="11.42578125" defaultRowHeight="12.75"/>
  <cols>
    <col min="1" max="1" width="1.42578125" style="473" customWidth="1"/>
    <col min="2" max="2" width="52.5703125" style="473" customWidth="1"/>
    <col min="3" max="3" width="18.5703125" style="473" customWidth="1"/>
    <col min="4" max="5" width="24.42578125" style="473" customWidth="1"/>
    <col min="6" max="6" width="1.5703125" style="473" customWidth="1"/>
    <col min="7" max="7" width="18.42578125" style="473" customWidth="1"/>
    <col min="8" max="16384" width="11.42578125" style="473"/>
  </cols>
  <sheetData>
    <row r="1" spans="1:5" s="477" customFormat="1" ht="15.75">
      <c r="B1" s="477" t="str">
        <f>Sommaire!A1</f>
        <v>BOLZEN - SLP</v>
      </c>
      <c r="C1" s="478" t="s">
        <v>193</v>
      </c>
      <c r="E1" s="479">
        <f>Sommaire!C1</f>
        <v>46022</v>
      </c>
    </row>
    <row r="2" spans="1:5">
      <c r="C2" s="480"/>
      <c r="D2" s="481"/>
    </row>
    <row r="3" spans="1:5">
      <c r="C3" s="480"/>
      <c r="D3" s="481"/>
    </row>
    <row r="5" spans="1:5" s="474" customFormat="1">
      <c r="A5" s="473"/>
      <c r="B5" s="1282"/>
      <c r="C5" s="1283"/>
      <c r="D5" s="1284" t="s">
        <v>194</v>
      </c>
      <c r="E5" s="1284" t="s">
        <v>194</v>
      </c>
    </row>
    <row r="6" spans="1:5" s="474" customFormat="1">
      <c r="A6" s="473"/>
      <c r="B6" s="631" t="s">
        <v>195</v>
      </c>
      <c r="C6" s="954"/>
      <c r="D6" s="765">
        <f>+E1</f>
        <v>46022</v>
      </c>
      <c r="E6" s="765"/>
    </row>
    <row r="7" spans="1:5">
      <c r="B7" s="955"/>
      <c r="D7" s="1285"/>
      <c r="E7" s="1285"/>
    </row>
    <row r="8" spans="1:5">
      <c r="B8" s="956" t="s">
        <v>196</v>
      </c>
      <c r="C8" s="474"/>
      <c r="D8" s="957">
        <f>E34</f>
        <v>0</v>
      </c>
      <c r="E8" s="958"/>
    </row>
    <row r="9" spans="1:5">
      <c r="B9" s="955" t="s">
        <v>197</v>
      </c>
      <c r="C9" s="474"/>
      <c r="D9" s="958"/>
      <c r="E9" s="958"/>
    </row>
    <row r="10" spans="1:5">
      <c r="B10" s="955"/>
      <c r="D10" s="958"/>
      <c r="E10" s="958"/>
    </row>
    <row r="11" spans="1:5">
      <c r="B11" s="956" t="s">
        <v>198</v>
      </c>
      <c r="C11" s="474"/>
      <c r="D11" s="959">
        <f>D34</f>
        <v>0</v>
      </c>
      <c r="E11" s="960"/>
    </row>
    <row r="12" spans="1:5">
      <c r="B12" s="955" t="s">
        <v>199</v>
      </c>
      <c r="D12" s="959"/>
      <c r="E12" s="960"/>
    </row>
    <row r="13" spans="1:5">
      <c r="B13" s="955"/>
      <c r="D13" s="958"/>
      <c r="E13" s="958"/>
    </row>
    <row r="14" spans="1:5">
      <c r="B14" s="961" t="s">
        <v>200</v>
      </c>
      <c r="C14" s="475"/>
      <c r="D14" s="959">
        <f>E38</f>
        <v>0</v>
      </c>
      <c r="E14" s="958"/>
    </row>
    <row r="15" spans="1:5">
      <c r="B15" s="955"/>
      <c r="D15" s="958"/>
      <c r="E15" s="958"/>
    </row>
    <row r="16" spans="1:5">
      <c r="B16" s="961" t="s">
        <v>201</v>
      </c>
      <c r="D16" s="959">
        <f>D38</f>
        <v>0</v>
      </c>
      <c r="E16" s="958"/>
    </row>
    <row r="17" spans="2:5">
      <c r="B17" s="955"/>
      <c r="D17" s="959"/>
      <c r="E17" s="960"/>
    </row>
    <row r="18" spans="2:5">
      <c r="B18" s="956" t="s">
        <v>202</v>
      </c>
      <c r="D18" s="958"/>
      <c r="E18" s="958"/>
    </row>
    <row r="19" spans="2:5">
      <c r="B19" s="955"/>
      <c r="C19" s="473" t="s">
        <v>203</v>
      </c>
      <c r="D19" s="959">
        <f>D43</f>
        <v>0</v>
      </c>
      <c r="E19" s="962">
        <v>0</v>
      </c>
    </row>
    <row r="20" spans="2:5">
      <c r="B20" s="955"/>
      <c r="C20" s="473" t="s">
        <v>204</v>
      </c>
      <c r="D20" s="959">
        <f>E43</f>
        <v>854383160.60000002</v>
      </c>
      <c r="E20" s="962"/>
    </row>
    <row r="21" spans="2:5">
      <c r="B21" s="632"/>
      <c r="C21" s="963"/>
      <c r="D21" s="766"/>
      <c r="E21" s="766"/>
    </row>
    <row r="25" spans="2:5">
      <c r="B25" s="474" t="str">
        <f>+B1</f>
        <v>BOLZEN - SLP</v>
      </c>
      <c r="C25" s="473" t="s">
        <v>205</v>
      </c>
      <c r="E25" s="482">
        <f>+E1</f>
        <v>46022</v>
      </c>
    </row>
    <row r="28" spans="2:5" ht="21" customHeight="1">
      <c r="B28" s="964"/>
      <c r="C28" s="965"/>
      <c r="D28" s="1160" t="s">
        <v>206</v>
      </c>
      <c r="E28" s="1160"/>
    </row>
    <row r="29" spans="2:5">
      <c r="B29" s="964"/>
      <c r="C29" s="965"/>
      <c r="D29" s="966" t="s">
        <v>207</v>
      </c>
      <c r="E29" s="966" t="s">
        <v>208</v>
      </c>
    </row>
    <row r="30" spans="2:5">
      <c r="B30" s="1286" t="s">
        <v>209</v>
      </c>
      <c r="C30" s="1287"/>
      <c r="D30" s="967"/>
      <c r="E30" s="967"/>
    </row>
    <row r="31" spans="2:5">
      <c r="B31" s="1288"/>
      <c r="C31" s="1289"/>
      <c r="D31" s="967"/>
      <c r="E31" s="967"/>
    </row>
    <row r="32" spans="2:5">
      <c r="B32" s="1290"/>
      <c r="C32" s="1291"/>
      <c r="D32" s="967"/>
      <c r="E32" s="967"/>
    </row>
    <row r="33" spans="2:19">
      <c r="B33" s="1290"/>
      <c r="C33" s="1291"/>
      <c r="D33" s="967"/>
      <c r="E33" s="967"/>
    </row>
    <row r="34" spans="2:19">
      <c r="B34" s="1292" t="s">
        <v>210</v>
      </c>
      <c r="C34" s="1293"/>
      <c r="D34" s="968">
        <f>SUM(D30:D33)</f>
        <v>0</v>
      </c>
      <c r="E34" s="968">
        <f>SUM(E30:E33)</f>
        <v>0</v>
      </c>
    </row>
    <row r="35" spans="2:19">
      <c r="B35" s="1294" t="s">
        <v>211</v>
      </c>
      <c r="C35" s="1291"/>
      <c r="D35" s="967"/>
      <c r="E35" s="967"/>
    </row>
    <row r="36" spans="2:19">
      <c r="B36" s="1290"/>
      <c r="C36" s="1291"/>
      <c r="D36" s="967"/>
      <c r="E36" s="967"/>
    </row>
    <row r="37" spans="2:19">
      <c r="B37" s="1290"/>
      <c r="C37" s="1291"/>
      <c r="D37" s="967"/>
      <c r="E37" s="967"/>
    </row>
    <row r="38" spans="2:19">
      <c r="B38" s="1292" t="s">
        <v>210</v>
      </c>
      <c r="C38" s="1293"/>
      <c r="D38" s="968">
        <f>SUM(D35:D37)</f>
        <v>0</v>
      </c>
      <c r="E38" s="968">
        <f>SUM(E35:E37)</f>
        <v>0</v>
      </c>
    </row>
    <row r="39" spans="2:19">
      <c r="B39" s="1295" t="s">
        <v>202</v>
      </c>
      <c r="C39" s="1296"/>
      <c r="D39" s="969"/>
      <c r="E39" s="970"/>
      <c r="J39" s="483"/>
      <c r="K39" s="483"/>
      <c r="L39" s="483"/>
      <c r="M39" s="483"/>
      <c r="N39" s="483"/>
      <c r="O39" s="483"/>
      <c r="P39" s="483"/>
      <c r="Q39" s="483"/>
      <c r="R39" s="483"/>
      <c r="S39" s="483"/>
    </row>
    <row r="40" spans="2:19">
      <c r="B40" s="1297" t="s">
        <v>212</v>
      </c>
      <c r="C40" s="1298" t="s">
        <v>15</v>
      </c>
      <c r="D40" s="969"/>
      <c r="E40" s="969">
        <v>854382254.83000004</v>
      </c>
      <c r="J40" s="483"/>
      <c r="K40" s="483"/>
      <c r="L40" s="483"/>
      <c r="M40" s="483"/>
      <c r="N40" s="483"/>
      <c r="O40" s="483"/>
      <c r="P40" s="483"/>
      <c r="Q40" s="483"/>
      <c r="R40" s="483"/>
      <c r="S40" s="483"/>
    </row>
    <row r="41" spans="2:19">
      <c r="B41" s="1297" t="s">
        <v>212</v>
      </c>
      <c r="C41" s="1298" t="s">
        <v>17</v>
      </c>
      <c r="D41" s="969"/>
      <c r="E41" s="969">
        <v>0</v>
      </c>
      <c r="H41" s="898" t="s">
        <v>213</v>
      </c>
      <c r="J41" s="483"/>
      <c r="K41" s="483"/>
      <c r="L41" s="483"/>
      <c r="M41" s="483"/>
      <c r="N41" s="483"/>
      <c r="O41" s="483"/>
      <c r="P41" s="483"/>
      <c r="Q41" s="483"/>
      <c r="R41" s="483"/>
      <c r="S41" s="483"/>
    </row>
    <row r="42" spans="2:19">
      <c r="B42" s="1297" t="s">
        <v>212</v>
      </c>
      <c r="C42" s="1298" t="s">
        <v>18</v>
      </c>
      <c r="D42" s="969"/>
      <c r="E42" s="969">
        <v>905.77</v>
      </c>
      <c r="I42" s="483"/>
    </row>
    <row r="43" spans="2:19">
      <c r="B43" s="1292" t="s">
        <v>210</v>
      </c>
      <c r="C43" s="1293"/>
      <c r="D43" s="968">
        <f>SUM(D39:D42)</f>
        <v>0</v>
      </c>
      <c r="E43" s="968">
        <f>SUM(E39:E42)</f>
        <v>854383160.60000002</v>
      </c>
      <c r="G43" s="737" t="str">
        <f>+IF(E43+'Capitaux propres'!D7=0,"OK","Anomalie")</f>
        <v>OK</v>
      </c>
      <c r="I43" s="483"/>
    </row>
    <row r="46" spans="2:19">
      <c r="E46" s="14"/>
    </row>
    <row r="47" spans="2:19">
      <c r="E47" s="497"/>
    </row>
  </sheetData>
  <mergeCells count="7">
    <mergeCell ref="B43:C43"/>
    <mergeCell ref="D28:E28"/>
    <mergeCell ref="B30:C30"/>
    <mergeCell ref="B31:C31"/>
    <mergeCell ref="B34:C34"/>
    <mergeCell ref="B38:C38"/>
    <mergeCell ref="B39:C39"/>
  </mergeCells>
  <pageMargins left="0.39370078740157483" right="0.39370078740157483" top="0.78740157480314965" bottom="0" header="0" footer="0"/>
  <pageSetup paperSize="9" scale="7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5">
    <pageSetUpPr fitToPage="1"/>
  </sheetPr>
  <dimension ref="A1:S180"/>
  <sheetViews>
    <sheetView view="pageBreakPreview" zoomScaleNormal="100" zoomScaleSheetLayoutView="100" workbookViewId="0">
      <pane xSplit="4" ySplit="12" topLeftCell="E25" activePane="bottomRight" state="frozen"/>
      <selection pane="bottomRight" sqref="A1:XFD1048576"/>
      <selection pane="bottomLeft" activeCell="K27" sqref="K27"/>
      <selection pane="topRight" activeCell="K27" sqref="K27"/>
    </sheetView>
  </sheetViews>
  <sheetFormatPr defaultColWidth="11.42578125" defaultRowHeight="11.25"/>
  <cols>
    <col min="1" max="1" width="2.140625" style="56" customWidth="1"/>
    <col min="2" max="2" width="38.28515625" style="56" customWidth="1"/>
    <col min="3" max="3" width="35.42578125" style="67" customWidth="1"/>
    <col min="4" max="4" width="10.42578125" style="77" bestFit="1" customWidth="1"/>
    <col min="5" max="5" width="16.42578125" style="68" customWidth="1"/>
    <col min="6" max="7" width="16" style="69" customWidth="1"/>
    <col min="8" max="9" width="16" style="70" customWidth="1"/>
    <col min="10" max="10" width="16" style="73" customWidth="1"/>
    <col min="11" max="11" width="16" style="70" customWidth="1"/>
    <col min="12" max="12" width="18.42578125" style="56" customWidth="1"/>
    <col min="13" max="13" width="17.5703125" style="67" bestFit="1" customWidth="1"/>
    <col min="14" max="14" width="12.42578125" style="74" bestFit="1" customWidth="1"/>
    <col min="15" max="16" width="18.5703125" style="71" customWidth="1"/>
    <col min="17" max="17" width="14.42578125" style="56" customWidth="1"/>
    <col min="18" max="18" width="15.42578125" style="56" customWidth="1"/>
    <col min="19" max="19" width="14" style="56" customWidth="1"/>
    <col min="20" max="16384" width="11.42578125" style="56"/>
  </cols>
  <sheetData>
    <row r="1" spans="1:19" s="24" customFormat="1" ht="15">
      <c r="B1" s="18" t="str">
        <f>Sommaire!A1</f>
        <v>BOLZEN - SLP</v>
      </c>
      <c r="C1" s="17"/>
      <c r="D1" s="75"/>
      <c r="F1" s="24" t="s">
        <v>214</v>
      </c>
      <c r="K1" s="102">
        <f>Sommaire!C1</f>
        <v>46022</v>
      </c>
      <c r="L1" s="103"/>
      <c r="N1" s="65"/>
      <c r="Q1" s="24" t="s">
        <v>215</v>
      </c>
      <c r="S1" s="157">
        <f>DATE(YEAR($K$1),MONTH($K$1)-3,DAY($K$1)+1)</f>
        <v>45932</v>
      </c>
    </row>
    <row r="2" spans="1:19" s="24" customFormat="1" ht="15">
      <c r="B2" s="18"/>
      <c r="C2" s="17"/>
      <c r="D2" s="75"/>
      <c r="K2" s="102"/>
      <c r="L2" s="103"/>
      <c r="N2" s="65"/>
      <c r="Q2" s="24" t="s">
        <v>216</v>
      </c>
      <c r="R2" s="732">
        <f>+ABS(SUMIFS($J$14:$J$1057,$A$14:$A$1057,"UE",$D$14:$D$1057,"&gt;="&amp;$S$1,$D$14:$D$1057,"&lt;="&amp;$K$1,$C$14:$C$1057,"&lt;&gt;Récap"))+ABS(SUMIFS($G$14:$G$1057,$A$14:$A$1057,"UE",$D$14:$D$1057,"&gt;="&amp;$S$1,$D$14:$D$1057,"&lt;="&amp;$K$1,$C$14:$C$1057,"&lt;&gt;Récap"))</f>
        <v>99130000</v>
      </c>
    </row>
    <row r="3" spans="1:19" s="24" customFormat="1" ht="15">
      <c r="B3" s="18"/>
      <c r="C3" s="17"/>
      <c r="D3" s="75"/>
      <c r="K3" s="102"/>
      <c r="L3" s="103"/>
      <c r="N3" s="65"/>
      <c r="Q3" s="24" t="s">
        <v>217</v>
      </c>
      <c r="R3" s="234">
        <f>+ABS(SUMIFS($J$14:$J$1057,$A$14:$A$1057,"OS",$D$14:$D$1057,"&gt;="&amp;$S$1,$D$14:$D$1057,"&lt;="&amp;$K$1,$C$14:$C$1057,"&lt;&gt;Récap"))+ABS(SUMIFS($G$14:$G$1057,$A$14:$A$1057,"OS",$D$14:$D$1057,"&gt;="&amp;$S$1,$D$14:$D$1057,"&lt;="&amp;$K$1,$C$14:$C$1057,"&lt;&gt;Récap"))</f>
        <v>0</v>
      </c>
    </row>
    <row r="4" spans="1:19" s="24" customFormat="1" ht="15">
      <c r="B4" s="18"/>
      <c r="C4" s="17"/>
      <c r="D4" s="75"/>
      <c r="K4" s="102"/>
      <c r="L4" s="103"/>
      <c r="N4" s="65"/>
      <c r="Q4" s="24" t="s">
        <v>218</v>
      </c>
      <c r="R4" s="234">
        <f>+ABS(SUMIFS($J$14:$J$1057,$A$14:$A$1057,"L",$D$14:$D$1057,"&gt;="&amp;$S$1,$D$14:$D$1057,"&lt;="&amp;$K$1,$C$14:$C$1057,"&lt;&gt;Récap"))+ABS(SUMIFS($G$14:$G$1057,$A$14:$A$1057,"L",$D$14:$D$1057,"&gt;="&amp;$S$1,$D$14:$D$1057,"&lt;="&amp;$K$1,$C$14:$C$1057,"&lt;&gt;Récap"))</f>
        <v>0</v>
      </c>
    </row>
    <row r="5" spans="1:19" s="24" customFormat="1" ht="15">
      <c r="B5" s="18"/>
      <c r="C5" s="17"/>
      <c r="D5" s="75"/>
      <c r="K5" s="102"/>
      <c r="L5" s="103"/>
      <c r="N5" s="65"/>
      <c r="Q5" s="24" t="s">
        <v>219</v>
      </c>
      <c r="R5" s="234">
        <f>+ABS(SUMIFS($J$14:$J$1057,$A$14:$A$1057,"CIU",$D$14:$D$1057,"&gt;="&amp;$S$1,$D$14:$D$1057,"&lt;="&amp;$K$1,$C$14:$C$1057,"&lt;&gt;Récap"))+ABS(SUMIFS($G$14:$G$1057,$A$14:$A$1057,"CIU",$D$14:$D$1057,"&gt;="&amp;$S$1,$D$14:$D$1057,"&lt;="&amp;$K$1,$C$14:$C$1057,"&lt;&gt;Récap"))</f>
        <v>0</v>
      </c>
    </row>
    <row r="6" spans="1:19" s="24" customFormat="1" ht="15">
      <c r="B6" s="18"/>
      <c r="C6" s="17"/>
      <c r="D6" s="75"/>
      <c r="K6" s="102"/>
      <c r="L6" s="103"/>
      <c r="N6" s="65"/>
      <c r="Q6" s="24" t="s">
        <v>220</v>
      </c>
      <c r="R6" s="234">
        <f>+ABS(SUMIFS($J$14:$J$1057,$A$14:$A$1057,"OC",$D$14:$D$1057,"&gt;="&amp;$S$1,$D$14:$D$1057,"&lt;="&amp;$K$1,$C$14:$C$1057,"&lt;&gt;Récap"))+ABS(SUMIFS($G$14:$G$1057,$A$14:$A$1057,"OC",$D$14:$D$1057,"&gt;="&amp;$S$1,$D$14:$D$1057,"&lt;="&amp;$K$1,$C$14:$C$1057,"&lt;&gt;Récap"))</f>
        <v>0</v>
      </c>
    </row>
    <row r="7" spans="1:19" s="24" customFormat="1" ht="15" hidden="1">
      <c r="B7" s="18"/>
      <c r="C7" s="17"/>
      <c r="D7" s="75"/>
      <c r="K7" s="102"/>
      <c r="L7" s="103"/>
      <c r="N7" s="65"/>
    </row>
    <row r="8" spans="1:19" s="24" customFormat="1" ht="15" hidden="1">
      <c r="B8" s="18"/>
      <c r="C8" s="17"/>
      <c r="D8" s="75"/>
      <c r="K8" s="102"/>
      <c r="L8" s="103"/>
      <c r="N8" s="65"/>
    </row>
    <row r="9" spans="1:19" s="24" customFormat="1" ht="14.25" hidden="1">
      <c r="B9" s="17"/>
      <c r="C9" s="17"/>
      <c r="D9" s="75"/>
      <c r="I9" s="234"/>
      <c r="K9" s="102"/>
      <c r="L9" s="103"/>
      <c r="N9" s="65"/>
      <c r="O9" s="234"/>
    </row>
    <row r="10" spans="1:19" s="24" customFormat="1" ht="15">
      <c r="B10" s="72" t="s">
        <v>221</v>
      </c>
      <c r="C10" s="66"/>
      <c r="F10" s="64"/>
      <c r="H10" s="12"/>
      <c r="J10" s="65"/>
      <c r="L10" s="29"/>
      <c r="N10" s="65"/>
    </row>
    <row r="11" spans="1:19" s="20" customFormat="1" ht="12.75">
      <c r="B11" s="72" t="s">
        <v>222</v>
      </c>
      <c r="D11" s="76"/>
      <c r="E11" s="1299" t="s">
        <v>223</v>
      </c>
      <c r="F11" s="1300"/>
      <c r="G11" s="1301"/>
      <c r="H11" s="1299" t="s">
        <v>224</v>
      </c>
      <c r="I11" s="1300"/>
      <c r="J11" s="1300"/>
      <c r="K11" s="1302"/>
      <c r="L11" s="1299" t="s">
        <v>225</v>
      </c>
      <c r="M11" s="1300"/>
      <c r="N11" s="1300"/>
      <c r="O11" s="1303" t="s">
        <v>226</v>
      </c>
      <c r="P11" s="1303" t="s">
        <v>227</v>
      </c>
      <c r="Q11" s="1162" t="s">
        <v>228</v>
      </c>
      <c r="R11" s="1162" t="s">
        <v>229</v>
      </c>
      <c r="S11" s="1162" t="s">
        <v>230</v>
      </c>
    </row>
    <row r="12" spans="1:19" s="54" customFormat="1" ht="30" customHeight="1">
      <c r="A12" s="20"/>
      <c r="B12" s="971" t="s">
        <v>231</v>
      </c>
      <c r="C12" s="1304" t="s">
        <v>232</v>
      </c>
      <c r="D12" s="972" t="s">
        <v>233</v>
      </c>
      <c r="E12" s="1305" t="s">
        <v>234</v>
      </c>
      <c r="F12" s="971" t="s">
        <v>235</v>
      </c>
      <c r="G12" s="1306" t="s">
        <v>236</v>
      </c>
      <c r="H12" s="1305" t="s">
        <v>234</v>
      </c>
      <c r="I12" s="971" t="s">
        <v>237</v>
      </c>
      <c r="J12" s="973" t="s">
        <v>238</v>
      </c>
      <c r="K12" s="1304" t="s">
        <v>236</v>
      </c>
      <c r="L12" s="1305" t="s">
        <v>239</v>
      </c>
      <c r="M12" s="971" t="s">
        <v>240</v>
      </c>
      <c r="N12" s="1307" t="s">
        <v>241</v>
      </c>
      <c r="O12" s="1164"/>
      <c r="P12" s="1164"/>
      <c r="Q12" s="1163" t="s">
        <v>242</v>
      </c>
      <c r="R12" s="1163" t="s">
        <v>242</v>
      </c>
      <c r="S12" s="1163" t="s">
        <v>116</v>
      </c>
    </row>
    <row r="13" spans="1:19">
      <c r="A13" s="20"/>
      <c r="B13" s="974"/>
      <c r="C13" s="1308" t="s">
        <v>243</v>
      </c>
      <c r="D13" s="1309"/>
      <c r="E13" s="1310"/>
      <c r="F13" s="1311"/>
      <c r="G13" s="1310"/>
      <c r="H13" s="1312"/>
      <c r="I13" s="1311"/>
      <c r="J13" s="1310"/>
      <c r="K13" s="1313"/>
      <c r="L13" s="1314"/>
      <c r="M13" s="1315"/>
      <c r="N13" s="975">
        <f>+IF(L13=0,0,M13/L13)</f>
        <v>0</v>
      </c>
      <c r="O13" s="976">
        <f>IF(J13-K13&gt;0,J13-K13,0)</f>
        <v>0</v>
      </c>
      <c r="P13" s="976">
        <f>IF(J13-K13&lt;0,J13-K13,0)</f>
        <v>0</v>
      </c>
      <c r="Q13" s="55">
        <f>+J13-K13</f>
        <v>0</v>
      </c>
      <c r="R13" s="55">
        <f>+O13+P13</f>
        <v>0</v>
      </c>
      <c r="S13" s="55">
        <f>+Q13-R13</f>
        <v>0</v>
      </c>
    </row>
    <row r="14" spans="1:19">
      <c r="A14" s="20" t="s">
        <v>244</v>
      </c>
      <c r="B14" s="977" t="s">
        <v>245</v>
      </c>
      <c r="C14" s="978" t="s">
        <v>246</v>
      </c>
      <c r="D14" s="91">
        <v>45863</v>
      </c>
      <c r="E14" s="979">
        <v>40320000</v>
      </c>
      <c r="F14" s="980">
        <f>IF(E14=0,0,G14/E14)</f>
        <v>1</v>
      </c>
      <c r="G14" s="979">
        <v>40320000</v>
      </c>
      <c r="H14" s="981"/>
      <c r="I14" s="980">
        <f>IF(H14=0,0,J14/H14)</f>
        <v>0</v>
      </c>
      <c r="J14" s="979"/>
      <c r="K14" s="1316">
        <f>+H14*N13</f>
        <v>0</v>
      </c>
      <c r="L14" s="982">
        <f>+L13+E14-H14</f>
        <v>40320000</v>
      </c>
      <c r="M14" s="60">
        <f>+M13+G14-K14</f>
        <v>40320000</v>
      </c>
      <c r="N14" s="975">
        <f>+ROUND(IF(L14=0,0,M14/L14),2)</f>
        <v>1</v>
      </c>
      <c r="O14" s="976">
        <f>IF(J14-K14&gt;0,J14-K14,0)</f>
        <v>0</v>
      </c>
      <c r="P14" s="976">
        <f>IF(J14-K14&lt;0,J14-K14,0)</f>
        <v>0</v>
      </c>
      <c r="Q14" s="55">
        <f t="shared" ref="Q14:Q160" si="0">+J14-K14</f>
        <v>0</v>
      </c>
      <c r="R14" s="55">
        <f t="shared" ref="R14:R160" si="1">+O14+P14</f>
        <v>0</v>
      </c>
      <c r="S14" s="55">
        <f t="shared" ref="S14:S160" si="2">+Q14-R14</f>
        <v>0</v>
      </c>
    </row>
    <row r="15" spans="1:19">
      <c r="A15" s="20" t="s">
        <v>244</v>
      </c>
      <c r="B15" s="977" t="s">
        <v>245</v>
      </c>
      <c r="C15" s="978"/>
      <c r="D15" s="91"/>
      <c r="E15" s="979"/>
      <c r="F15" s="980">
        <f>IF(E15=0,0,G15/E15)</f>
        <v>0</v>
      </c>
      <c r="G15" s="979"/>
      <c r="H15" s="983"/>
      <c r="I15" s="980">
        <f>IF(H15=0,0,J15/H15)</f>
        <v>0</v>
      </c>
      <c r="J15" s="979"/>
      <c r="K15" s="1316">
        <f>+H15*N14</f>
        <v>0</v>
      </c>
      <c r="L15" s="982">
        <f>+L14+E15-H15</f>
        <v>40320000</v>
      </c>
      <c r="M15" s="60">
        <f>+M14+G15-K15</f>
        <v>40320000</v>
      </c>
      <c r="N15" s="975">
        <f>+ROUND(IF(L15=0,0,M15/L15),2)</f>
        <v>1</v>
      </c>
      <c r="O15" s="976">
        <f>IF(J15-K15&gt;0,J15-K15,0)</f>
        <v>0</v>
      </c>
      <c r="P15" s="976">
        <f>IF(J15-K15&lt;0,J15-K15,0)</f>
        <v>0</v>
      </c>
      <c r="Q15" s="55">
        <f t="shared" si="0"/>
        <v>0</v>
      </c>
      <c r="R15" s="55">
        <f t="shared" si="1"/>
        <v>0</v>
      </c>
      <c r="S15" s="55">
        <f t="shared" si="2"/>
        <v>0</v>
      </c>
    </row>
    <row r="16" spans="1:19">
      <c r="A16" s="20" t="s">
        <v>244</v>
      </c>
      <c r="B16" s="977" t="s">
        <v>245</v>
      </c>
      <c r="C16" s="978"/>
      <c r="D16" s="91"/>
      <c r="E16" s="979"/>
      <c r="F16" s="980">
        <f>IF(E16=0,0,G16/E16)</f>
        <v>0</v>
      </c>
      <c r="G16" s="979"/>
      <c r="H16" s="983"/>
      <c r="I16" s="980">
        <f>IF(H16=0,0,J16/H16)</f>
        <v>0</v>
      </c>
      <c r="J16" s="979"/>
      <c r="K16" s="1316">
        <f>+H16*N15</f>
        <v>0</v>
      </c>
      <c r="L16" s="982">
        <f>+L15+E16-H16</f>
        <v>40320000</v>
      </c>
      <c r="M16" s="60">
        <f>+M15+G16-K16</f>
        <v>40320000</v>
      </c>
      <c r="N16" s="975">
        <f>+ROUND(IF(L16=0,0,M16/L16),2)</f>
        <v>1</v>
      </c>
      <c r="O16" s="976">
        <f>IF(J16-K16&gt;0,J16-K16,0)</f>
        <v>0</v>
      </c>
      <c r="P16" s="976">
        <f>IF(J16-K16&lt;0,J16-K16,0)</f>
        <v>0</v>
      </c>
      <c r="Q16" s="55">
        <f t="shared" si="0"/>
        <v>0</v>
      </c>
      <c r="R16" s="55">
        <f t="shared" si="1"/>
        <v>0</v>
      </c>
      <c r="S16" s="55">
        <f t="shared" si="2"/>
        <v>0</v>
      </c>
    </row>
    <row r="17" spans="1:19">
      <c r="A17" s="20" t="s">
        <v>244</v>
      </c>
      <c r="B17" s="977" t="s">
        <v>245</v>
      </c>
      <c r="C17" s="984"/>
      <c r="D17" s="91"/>
      <c r="E17" s="979"/>
      <c r="F17" s="980">
        <f t="shared" ref="F17:F19" si="3">IF(E17=0,0,G17/E17)</f>
        <v>0</v>
      </c>
      <c r="G17" s="979"/>
      <c r="H17" s="983"/>
      <c r="I17" s="980">
        <f t="shared" ref="I17:I19" si="4">IF(H17=0,0,J17/H17)</f>
        <v>0</v>
      </c>
      <c r="J17" s="979"/>
      <c r="K17" s="1316">
        <f>+H17*N16</f>
        <v>0</v>
      </c>
      <c r="L17" s="982">
        <f>+L16+E17-H17</f>
        <v>40320000</v>
      </c>
      <c r="M17" s="60">
        <f>+M16+G17-K17</f>
        <v>40320000</v>
      </c>
      <c r="N17" s="975">
        <f>+ROUND(IF(L17=0,0,M17/L17),2)</f>
        <v>1</v>
      </c>
      <c r="O17" s="976">
        <f t="shared" ref="O17:O19" si="5">IF(J17-K17&gt;0,J17-K17,0)</f>
        <v>0</v>
      </c>
      <c r="P17" s="976">
        <f t="shared" ref="P17:P19" si="6">IF(J17-K17&lt;0,J17-K17,0)</f>
        <v>0</v>
      </c>
      <c r="Q17" s="55">
        <f t="shared" ref="Q17:Q19" si="7">+J17-K17</f>
        <v>0</v>
      </c>
      <c r="R17" s="55">
        <f t="shared" ref="R17:R19" si="8">+O17+P17</f>
        <v>0</v>
      </c>
      <c r="S17" s="55">
        <f t="shared" ref="S17:S19" si="9">+Q17-R17</f>
        <v>0</v>
      </c>
    </row>
    <row r="18" spans="1:19">
      <c r="A18" s="20" t="s">
        <v>244</v>
      </c>
      <c r="B18" s="977" t="s">
        <v>245</v>
      </c>
      <c r="C18" s="984"/>
      <c r="D18" s="91"/>
      <c r="E18" s="979"/>
      <c r="F18" s="980">
        <f t="shared" si="3"/>
        <v>0</v>
      </c>
      <c r="G18" s="979"/>
      <c r="H18" s="983"/>
      <c r="I18" s="980">
        <f t="shared" si="4"/>
        <v>0</v>
      </c>
      <c r="J18" s="979"/>
      <c r="K18" s="1316">
        <f t="shared" ref="K18:K19" si="10">+H18*N17</f>
        <v>0</v>
      </c>
      <c r="L18" s="982">
        <f t="shared" ref="L18:L19" si="11">+L17+E18-H18</f>
        <v>40320000</v>
      </c>
      <c r="M18" s="60">
        <f t="shared" ref="M18:M19" si="12">+M17+G18-K18</f>
        <v>40320000</v>
      </c>
      <c r="N18" s="975">
        <f t="shared" ref="N18:N19" si="13">+ROUND(IF(L18=0,0,M18/L18),2)</f>
        <v>1</v>
      </c>
      <c r="O18" s="976">
        <f t="shared" si="5"/>
        <v>0</v>
      </c>
      <c r="P18" s="976">
        <f t="shared" si="6"/>
        <v>0</v>
      </c>
      <c r="Q18" s="55">
        <f t="shared" si="7"/>
        <v>0</v>
      </c>
      <c r="R18" s="55">
        <f t="shared" si="8"/>
        <v>0</v>
      </c>
      <c r="S18" s="55">
        <f t="shared" si="9"/>
        <v>0</v>
      </c>
    </row>
    <row r="19" spans="1:19">
      <c r="A19" s="20" t="s">
        <v>244</v>
      </c>
      <c r="B19" s="977" t="s">
        <v>245</v>
      </c>
      <c r="C19" s="984"/>
      <c r="D19" s="91"/>
      <c r="E19" s="979"/>
      <c r="F19" s="980">
        <f t="shared" si="3"/>
        <v>0</v>
      </c>
      <c r="G19" s="979"/>
      <c r="H19" s="983"/>
      <c r="I19" s="980">
        <f t="shared" si="4"/>
        <v>0</v>
      </c>
      <c r="J19" s="979"/>
      <c r="K19" s="1316">
        <f t="shared" si="10"/>
        <v>0</v>
      </c>
      <c r="L19" s="982">
        <f t="shared" si="11"/>
        <v>40320000</v>
      </c>
      <c r="M19" s="60">
        <f t="shared" si="12"/>
        <v>40320000</v>
      </c>
      <c r="N19" s="975">
        <f t="shared" si="13"/>
        <v>1</v>
      </c>
      <c r="O19" s="976">
        <f t="shared" si="5"/>
        <v>0</v>
      </c>
      <c r="P19" s="976">
        <f t="shared" si="6"/>
        <v>0</v>
      </c>
      <c r="Q19" s="55">
        <f t="shared" si="7"/>
        <v>0</v>
      </c>
      <c r="R19" s="55">
        <f t="shared" si="8"/>
        <v>0</v>
      </c>
      <c r="S19" s="55">
        <f t="shared" si="9"/>
        <v>0</v>
      </c>
    </row>
    <row r="20" spans="1:19" s="21" customFormat="1" ht="10.5" customHeight="1">
      <c r="A20" s="20" t="s">
        <v>244</v>
      </c>
      <c r="B20" s="985" t="str">
        <f>B19</f>
        <v>Inflexion BIDCO - OCADP 2</v>
      </c>
      <c r="C20" s="986" t="s">
        <v>247</v>
      </c>
      <c r="D20" s="987">
        <f>+$K$1</f>
        <v>46022</v>
      </c>
      <c r="E20" s="988">
        <f>SUM(E14:E19)</f>
        <v>40320000</v>
      </c>
      <c r="F20" s="988">
        <f>+IF(E20=0,0,G20/E20)</f>
        <v>1</v>
      </c>
      <c r="G20" s="988">
        <f>SUM(G13:G19)</f>
        <v>40320000</v>
      </c>
      <c r="H20" s="989">
        <f>SUM(H13:H19)</f>
        <v>0</v>
      </c>
      <c r="I20" s="988">
        <f>+IF(H20=0,0,J20/H20)</f>
        <v>0</v>
      </c>
      <c r="J20" s="990">
        <f>SUM(J13:J19)</f>
        <v>0</v>
      </c>
      <c r="K20" s="990">
        <f>SUM(K13:K19)</f>
        <v>0</v>
      </c>
      <c r="L20" s="990">
        <f>+L19</f>
        <v>40320000</v>
      </c>
      <c r="M20" s="990">
        <f>+M19</f>
        <v>40320000</v>
      </c>
      <c r="N20" s="990">
        <f>+IF(L20=0,0,M20/L20)</f>
        <v>1</v>
      </c>
      <c r="O20" s="990">
        <f>SUM(O13:O16)</f>
        <v>0</v>
      </c>
      <c r="P20" s="990">
        <f>SUM(P13:P16)</f>
        <v>0</v>
      </c>
      <c r="Q20" s="145">
        <f t="shared" si="0"/>
        <v>0</v>
      </c>
      <c r="R20" s="145">
        <f t="shared" si="1"/>
        <v>0</v>
      </c>
      <c r="S20" s="145">
        <f t="shared" si="2"/>
        <v>0</v>
      </c>
    </row>
    <row r="21" spans="1:19">
      <c r="A21" s="20" t="s">
        <v>244</v>
      </c>
      <c r="B21" s="977"/>
      <c r="C21" s="1308" t="s">
        <v>243</v>
      </c>
      <c r="D21" s="1309"/>
      <c r="E21" s="1310"/>
      <c r="F21" s="1311"/>
      <c r="G21" s="1310"/>
      <c r="H21" s="1312"/>
      <c r="I21" s="1311"/>
      <c r="J21" s="1310"/>
      <c r="K21" s="1313"/>
      <c r="L21" s="1314"/>
      <c r="M21" s="1315"/>
      <c r="N21" s="975"/>
      <c r="O21" s="976"/>
      <c r="P21" s="976"/>
      <c r="Q21" s="55">
        <f t="shared" si="0"/>
        <v>0</v>
      </c>
      <c r="R21" s="55">
        <f t="shared" si="1"/>
        <v>0</v>
      </c>
      <c r="S21" s="55">
        <f t="shared" si="2"/>
        <v>0</v>
      </c>
    </row>
    <row r="22" spans="1:19">
      <c r="A22" s="20" t="s">
        <v>244</v>
      </c>
      <c r="B22" s="977" t="s">
        <v>248</v>
      </c>
      <c r="C22" s="978" t="s">
        <v>246</v>
      </c>
      <c r="D22" s="91">
        <v>45863</v>
      </c>
      <c r="E22" s="767">
        <v>10080000</v>
      </c>
      <c r="F22" s="768">
        <f>IF(E22=0,0,G22/E22)</f>
        <v>1</v>
      </c>
      <c r="G22" s="979">
        <v>10080000</v>
      </c>
      <c r="H22" s="981"/>
      <c r="I22" s="980">
        <f>IF(H22=0,0,J22/H22)</f>
        <v>0</v>
      </c>
      <c r="J22" s="979"/>
      <c r="K22" s="1316">
        <f>+H22*N21</f>
        <v>0</v>
      </c>
      <c r="L22" s="991">
        <f>+L21+E22-H22</f>
        <v>10080000</v>
      </c>
      <c r="M22" s="60">
        <f>+M21+G22-K22</f>
        <v>10080000</v>
      </c>
      <c r="N22" s="975">
        <f>+IF(L22=0,0,M22/L22)</f>
        <v>1</v>
      </c>
      <c r="O22" s="976">
        <f>IF(J22-K22&gt;0,J22-K22,0)</f>
        <v>0</v>
      </c>
      <c r="P22" s="976">
        <f>IF(J22-K22&lt;0,J22-K22,0)</f>
        <v>0</v>
      </c>
      <c r="Q22" s="55">
        <f t="shared" si="0"/>
        <v>0</v>
      </c>
      <c r="R22" s="55">
        <f t="shared" si="1"/>
        <v>0</v>
      </c>
      <c r="S22" s="55">
        <f t="shared" si="2"/>
        <v>0</v>
      </c>
    </row>
    <row r="23" spans="1:19">
      <c r="A23" s="20" t="s">
        <v>244</v>
      </c>
      <c r="B23" s="977" t="str">
        <f>B22</f>
        <v>Inflexion BIDCO - ORADP 1</v>
      </c>
      <c r="C23" s="984"/>
      <c r="D23" s="91"/>
      <c r="E23" s="979"/>
      <c r="F23" s="980">
        <f>IF(E23=0,0,G23/E23)</f>
        <v>0</v>
      </c>
      <c r="G23" s="979"/>
      <c r="H23" s="981"/>
      <c r="I23" s="980">
        <f>IF(H23=0,0,J23/H23)</f>
        <v>0</v>
      </c>
      <c r="J23" s="981"/>
      <c r="K23" s="1316">
        <f>+H23*N22</f>
        <v>0</v>
      </c>
      <c r="L23" s="991">
        <f>+L22+E23-H23</f>
        <v>10080000</v>
      </c>
      <c r="M23" s="60">
        <f>+M22+G23-K23</f>
        <v>10080000</v>
      </c>
      <c r="N23" s="975">
        <f>+IF(L23=0,0,M23/L23)</f>
        <v>1</v>
      </c>
      <c r="O23" s="976">
        <f>IF(J23-K23&gt;0,J23-K23,0)</f>
        <v>0</v>
      </c>
      <c r="P23" s="976">
        <f>IF(J23-K23&lt;0,J23-K23,0)</f>
        <v>0</v>
      </c>
      <c r="Q23" s="55">
        <f t="shared" si="0"/>
        <v>0</v>
      </c>
      <c r="R23" s="55">
        <f t="shared" si="1"/>
        <v>0</v>
      </c>
      <c r="S23" s="55">
        <f t="shared" si="2"/>
        <v>0</v>
      </c>
    </row>
    <row r="24" spans="1:19">
      <c r="A24" s="20" t="s">
        <v>244</v>
      </c>
      <c r="B24" s="977" t="str">
        <f t="shared" ref="B24:B34" si="14">B23</f>
        <v>Inflexion BIDCO - ORADP 1</v>
      </c>
      <c r="C24" s="984"/>
      <c r="D24" s="91"/>
      <c r="E24" s="979"/>
      <c r="F24" s="980">
        <f t="shared" ref="F24:F28" si="15">IF(E24=0,0,G24/E24)</f>
        <v>0</v>
      </c>
      <c r="G24" s="979"/>
      <c r="H24" s="981"/>
      <c r="I24" s="980">
        <f t="shared" ref="I24:I28" si="16">IF(H24=0,0,J24/H24)</f>
        <v>0</v>
      </c>
      <c r="J24" s="981"/>
      <c r="K24" s="1316">
        <f t="shared" ref="K24:K26" si="17">+H24*N23</f>
        <v>0</v>
      </c>
      <c r="L24" s="991">
        <f t="shared" ref="L24:L26" si="18">+L23+E24-H24</f>
        <v>10080000</v>
      </c>
      <c r="M24" s="60">
        <f t="shared" ref="M24:M26" si="19">+M23+G24-K24</f>
        <v>10080000</v>
      </c>
      <c r="N24" s="975">
        <f t="shared" ref="N24:N26" si="20">+IF(L24=0,0,M24/L24)</f>
        <v>1</v>
      </c>
      <c r="O24" s="976">
        <f>IF(J24-K24&gt;0,J24-K24,0)</f>
        <v>0</v>
      </c>
      <c r="P24" s="976">
        <f t="shared" ref="P24:P26" si="21">IF(J24-K24&lt;0,J24-K24,0)</f>
        <v>0</v>
      </c>
      <c r="Q24" s="55">
        <f t="shared" ref="Q24:Q26" si="22">+J24-K24</f>
        <v>0</v>
      </c>
      <c r="R24" s="55">
        <f t="shared" ref="R24:R26" si="23">+O24+P24</f>
        <v>0</v>
      </c>
      <c r="S24" s="55">
        <f t="shared" si="2"/>
        <v>0</v>
      </c>
    </row>
    <row r="25" spans="1:19">
      <c r="A25" s="20" t="s">
        <v>244</v>
      </c>
      <c r="B25" s="977" t="str">
        <f t="shared" si="14"/>
        <v>Inflexion BIDCO - ORADP 1</v>
      </c>
      <c r="C25" s="984"/>
      <c r="D25" s="91"/>
      <c r="E25" s="979"/>
      <c r="F25" s="980">
        <f t="shared" si="15"/>
        <v>0</v>
      </c>
      <c r="G25" s="979"/>
      <c r="H25" s="981"/>
      <c r="I25" s="980">
        <f t="shared" si="16"/>
        <v>0</v>
      </c>
      <c r="J25" s="981"/>
      <c r="K25" s="1316">
        <f t="shared" si="17"/>
        <v>0</v>
      </c>
      <c r="L25" s="991">
        <f t="shared" si="18"/>
        <v>10080000</v>
      </c>
      <c r="M25" s="60">
        <f t="shared" si="19"/>
        <v>10080000</v>
      </c>
      <c r="N25" s="975">
        <f t="shared" si="20"/>
        <v>1</v>
      </c>
      <c r="O25" s="976">
        <f t="shared" ref="O25:O26" si="24">IF(J25-K25&gt;0,J25-K25,0)</f>
        <v>0</v>
      </c>
      <c r="P25" s="976">
        <f t="shared" si="21"/>
        <v>0</v>
      </c>
      <c r="Q25" s="55">
        <f t="shared" si="22"/>
        <v>0</v>
      </c>
      <c r="R25" s="55">
        <f t="shared" si="23"/>
        <v>0</v>
      </c>
      <c r="S25" s="55">
        <f t="shared" si="2"/>
        <v>0</v>
      </c>
    </row>
    <row r="26" spans="1:19">
      <c r="A26" s="20" t="s">
        <v>244</v>
      </c>
      <c r="B26" s="977" t="str">
        <f t="shared" si="14"/>
        <v>Inflexion BIDCO - ORADP 1</v>
      </c>
      <c r="C26" s="984"/>
      <c r="D26" s="91"/>
      <c r="E26" s="979"/>
      <c r="F26" s="980">
        <f t="shared" si="15"/>
        <v>0</v>
      </c>
      <c r="G26" s="979"/>
      <c r="H26" s="981"/>
      <c r="I26" s="980">
        <f t="shared" si="16"/>
        <v>0</v>
      </c>
      <c r="J26" s="981"/>
      <c r="K26" s="1316">
        <f t="shared" si="17"/>
        <v>0</v>
      </c>
      <c r="L26" s="991">
        <f t="shared" si="18"/>
        <v>10080000</v>
      </c>
      <c r="M26" s="60">
        <f t="shared" si="19"/>
        <v>10080000</v>
      </c>
      <c r="N26" s="975">
        <f t="shared" si="20"/>
        <v>1</v>
      </c>
      <c r="O26" s="976">
        <f t="shared" si="24"/>
        <v>0</v>
      </c>
      <c r="P26" s="976">
        <f t="shared" si="21"/>
        <v>0</v>
      </c>
      <c r="Q26" s="55">
        <f t="shared" si="22"/>
        <v>0</v>
      </c>
      <c r="R26" s="55">
        <f t="shared" si="23"/>
        <v>0</v>
      </c>
      <c r="S26" s="55">
        <f t="shared" si="2"/>
        <v>0</v>
      </c>
    </row>
    <row r="27" spans="1:19">
      <c r="A27" s="20" t="s">
        <v>244</v>
      </c>
      <c r="B27" s="977" t="str">
        <f t="shared" si="14"/>
        <v>Inflexion BIDCO - ORADP 1</v>
      </c>
      <c r="C27" s="984"/>
      <c r="D27" s="91"/>
      <c r="E27" s="979"/>
      <c r="F27" s="980">
        <f t="shared" si="15"/>
        <v>0</v>
      </c>
      <c r="G27" s="979"/>
      <c r="H27" s="981"/>
      <c r="I27" s="980">
        <f t="shared" si="16"/>
        <v>0</v>
      </c>
      <c r="J27" s="981"/>
      <c r="K27" s="1316">
        <f t="shared" ref="K27:K28" si="25">+H27*N26</f>
        <v>0</v>
      </c>
      <c r="L27" s="991">
        <f t="shared" ref="L27:L28" si="26">+L26+E27-H27</f>
        <v>10080000</v>
      </c>
      <c r="M27" s="60">
        <f t="shared" ref="M27:M28" si="27">+M26+G27-K27</f>
        <v>10080000</v>
      </c>
      <c r="N27" s="975">
        <f t="shared" ref="N27:N28" si="28">+IF(L27=0,0,M27/L27)</f>
        <v>1</v>
      </c>
      <c r="O27" s="976">
        <f t="shared" ref="O27:O28" si="29">IF(J27-K27&gt;0,J27-K27,0)</f>
        <v>0</v>
      </c>
      <c r="P27" s="976">
        <f t="shared" ref="P27:P28" si="30">IF(J27-K27&lt;0,J27-K27,0)</f>
        <v>0</v>
      </c>
      <c r="Q27" s="55">
        <f t="shared" ref="Q27:Q28" si="31">+J27-K27</f>
        <v>0</v>
      </c>
      <c r="R27" s="55">
        <f t="shared" ref="R27:R28" si="32">+O27+P27</f>
        <v>0</v>
      </c>
      <c r="S27" s="55">
        <f t="shared" si="2"/>
        <v>0</v>
      </c>
    </row>
    <row r="28" spans="1:19">
      <c r="A28" s="20" t="s">
        <v>244</v>
      </c>
      <c r="B28" s="977" t="str">
        <f t="shared" si="14"/>
        <v>Inflexion BIDCO - ORADP 1</v>
      </c>
      <c r="C28" s="984"/>
      <c r="D28" s="91"/>
      <c r="E28" s="979"/>
      <c r="F28" s="980">
        <f t="shared" si="15"/>
        <v>0</v>
      </c>
      <c r="G28" s="979"/>
      <c r="H28" s="981"/>
      <c r="I28" s="980">
        <f t="shared" si="16"/>
        <v>0</v>
      </c>
      <c r="J28" s="981"/>
      <c r="K28" s="1316">
        <f t="shared" si="25"/>
        <v>0</v>
      </c>
      <c r="L28" s="991">
        <f t="shared" si="26"/>
        <v>10080000</v>
      </c>
      <c r="M28" s="60">
        <f t="shared" si="27"/>
        <v>10080000</v>
      </c>
      <c r="N28" s="975">
        <f t="shared" si="28"/>
        <v>1</v>
      </c>
      <c r="O28" s="976">
        <f t="shared" si="29"/>
        <v>0</v>
      </c>
      <c r="P28" s="976">
        <f t="shared" si="30"/>
        <v>0</v>
      </c>
      <c r="Q28" s="55">
        <f t="shared" si="31"/>
        <v>0</v>
      </c>
      <c r="R28" s="55">
        <f t="shared" si="32"/>
        <v>0</v>
      </c>
      <c r="S28" s="55">
        <f t="shared" si="2"/>
        <v>0</v>
      </c>
    </row>
    <row r="29" spans="1:19">
      <c r="A29" s="20" t="s">
        <v>244</v>
      </c>
      <c r="B29" s="977" t="str">
        <f t="shared" si="14"/>
        <v>Inflexion BIDCO - ORADP 1</v>
      </c>
      <c r="C29" s="984"/>
      <c r="D29" s="91"/>
      <c r="E29" s="979"/>
      <c r="F29" s="980">
        <f t="shared" ref="F29:F34" si="33">IF(E29=0,0,G29/E29)</f>
        <v>0</v>
      </c>
      <c r="G29" s="979"/>
      <c r="H29" s="981"/>
      <c r="I29" s="980">
        <f t="shared" ref="I29:I34" si="34">IF(H29=0,0,J29/H29)</f>
        <v>0</v>
      </c>
      <c r="J29" s="981"/>
      <c r="K29" s="1316">
        <f t="shared" ref="K29:K34" si="35">+H29*N28</f>
        <v>0</v>
      </c>
      <c r="L29" s="991">
        <f t="shared" ref="L29:L34" si="36">+L28+E29-H29</f>
        <v>10080000</v>
      </c>
      <c r="M29" s="60">
        <f t="shared" ref="M29:M34" si="37">+M28+G29-K29</f>
        <v>10080000</v>
      </c>
      <c r="N29" s="975">
        <f t="shared" ref="N29:N34" si="38">+IF(L29=0,0,M29/L29)</f>
        <v>1</v>
      </c>
      <c r="O29" s="976">
        <f t="shared" ref="O29:O34" si="39">IF(J29-K29&gt;0,J29-K29,0)</f>
        <v>0</v>
      </c>
      <c r="P29" s="976">
        <f t="shared" ref="P29:P34" si="40">IF(J29-K29&lt;0,J29-K29,0)</f>
        <v>0</v>
      </c>
      <c r="Q29" s="55">
        <f t="shared" ref="Q29:Q34" si="41">+J29-K29</f>
        <v>0</v>
      </c>
      <c r="R29" s="55">
        <f t="shared" ref="R29:R34" si="42">+O29+P29</f>
        <v>0</v>
      </c>
      <c r="S29" s="55">
        <f t="shared" ref="S29:S34" si="43">+Q29-R29</f>
        <v>0</v>
      </c>
    </row>
    <row r="30" spans="1:19">
      <c r="A30" s="20" t="s">
        <v>244</v>
      </c>
      <c r="B30" s="977" t="str">
        <f t="shared" si="14"/>
        <v>Inflexion BIDCO - ORADP 1</v>
      </c>
      <c r="C30" s="984"/>
      <c r="D30" s="91"/>
      <c r="E30" s="979"/>
      <c r="F30" s="980">
        <f t="shared" si="33"/>
        <v>0</v>
      </c>
      <c r="G30" s="979"/>
      <c r="H30" s="981"/>
      <c r="I30" s="980">
        <f t="shared" si="34"/>
        <v>0</v>
      </c>
      <c r="J30" s="981"/>
      <c r="K30" s="1316">
        <f t="shared" si="35"/>
        <v>0</v>
      </c>
      <c r="L30" s="991">
        <f t="shared" si="36"/>
        <v>10080000</v>
      </c>
      <c r="M30" s="60">
        <f t="shared" si="37"/>
        <v>10080000</v>
      </c>
      <c r="N30" s="975">
        <f t="shared" si="38"/>
        <v>1</v>
      </c>
      <c r="O30" s="976">
        <f t="shared" si="39"/>
        <v>0</v>
      </c>
      <c r="P30" s="976">
        <f t="shared" si="40"/>
        <v>0</v>
      </c>
      <c r="Q30" s="55">
        <f t="shared" si="41"/>
        <v>0</v>
      </c>
      <c r="R30" s="55">
        <f t="shared" si="42"/>
        <v>0</v>
      </c>
      <c r="S30" s="55">
        <f t="shared" si="43"/>
        <v>0</v>
      </c>
    </row>
    <row r="31" spans="1:19">
      <c r="A31" s="20" t="s">
        <v>244</v>
      </c>
      <c r="B31" s="977" t="str">
        <f t="shared" si="14"/>
        <v>Inflexion BIDCO - ORADP 1</v>
      </c>
      <c r="C31" s="984"/>
      <c r="D31" s="91"/>
      <c r="E31" s="979"/>
      <c r="F31" s="980">
        <f t="shared" si="33"/>
        <v>0</v>
      </c>
      <c r="G31" s="979"/>
      <c r="H31" s="981"/>
      <c r="I31" s="980">
        <f t="shared" si="34"/>
        <v>0</v>
      </c>
      <c r="J31" s="981"/>
      <c r="K31" s="1316">
        <f t="shared" si="35"/>
        <v>0</v>
      </c>
      <c r="L31" s="991">
        <f t="shared" si="36"/>
        <v>10080000</v>
      </c>
      <c r="M31" s="60">
        <f t="shared" si="37"/>
        <v>10080000</v>
      </c>
      <c r="N31" s="975">
        <f t="shared" si="38"/>
        <v>1</v>
      </c>
      <c r="O31" s="976">
        <f t="shared" si="39"/>
        <v>0</v>
      </c>
      <c r="P31" s="976">
        <f t="shared" si="40"/>
        <v>0</v>
      </c>
      <c r="Q31" s="55">
        <f t="shared" si="41"/>
        <v>0</v>
      </c>
      <c r="R31" s="55">
        <f t="shared" si="42"/>
        <v>0</v>
      </c>
      <c r="S31" s="55">
        <f t="shared" si="43"/>
        <v>0</v>
      </c>
    </row>
    <row r="32" spans="1:19">
      <c r="A32" s="20" t="s">
        <v>244</v>
      </c>
      <c r="B32" s="977" t="str">
        <f t="shared" si="14"/>
        <v>Inflexion BIDCO - ORADP 1</v>
      </c>
      <c r="C32" s="984"/>
      <c r="D32" s="91"/>
      <c r="E32" s="979"/>
      <c r="F32" s="980">
        <f t="shared" si="33"/>
        <v>0</v>
      </c>
      <c r="G32" s="979"/>
      <c r="H32" s="981"/>
      <c r="I32" s="980">
        <f t="shared" si="34"/>
        <v>0</v>
      </c>
      <c r="J32" s="981"/>
      <c r="K32" s="1316">
        <f t="shared" si="35"/>
        <v>0</v>
      </c>
      <c r="L32" s="991">
        <f t="shared" si="36"/>
        <v>10080000</v>
      </c>
      <c r="M32" s="60">
        <f t="shared" si="37"/>
        <v>10080000</v>
      </c>
      <c r="N32" s="975">
        <f t="shared" si="38"/>
        <v>1</v>
      </c>
      <c r="O32" s="976">
        <f t="shared" si="39"/>
        <v>0</v>
      </c>
      <c r="P32" s="976">
        <f t="shared" si="40"/>
        <v>0</v>
      </c>
      <c r="Q32" s="55">
        <f t="shared" si="41"/>
        <v>0</v>
      </c>
      <c r="R32" s="55">
        <f t="shared" si="42"/>
        <v>0</v>
      </c>
      <c r="S32" s="55">
        <f t="shared" si="43"/>
        <v>0</v>
      </c>
    </row>
    <row r="33" spans="1:19">
      <c r="A33" s="20" t="s">
        <v>244</v>
      </c>
      <c r="B33" s="977" t="str">
        <f t="shared" si="14"/>
        <v>Inflexion BIDCO - ORADP 1</v>
      </c>
      <c r="C33" s="984"/>
      <c r="D33" s="91"/>
      <c r="E33" s="979"/>
      <c r="F33" s="980">
        <f t="shared" si="33"/>
        <v>0</v>
      </c>
      <c r="G33" s="979"/>
      <c r="H33" s="981"/>
      <c r="I33" s="980">
        <f t="shared" si="34"/>
        <v>0</v>
      </c>
      <c r="J33" s="981"/>
      <c r="K33" s="1316">
        <f t="shared" si="35"/>
        <v>0</v>
      </c>
      <c r="L33" s="991">
        <f t="shared" si="36"/>
        <v>10080000</v>
      </c>
      <c r="M33" s="60">
        <f t="shared" si="37"/>
        <v>10080000</v>
      </c>
      <c r="N33" s="975">
        <f t="shared" si="38"/>
        <v>1</v>
      </c>
      <c r="O33" s="976">
        <f t="shared" si="39"/>
        <v>0</v>
      </c>
      <c r="P33" s="976">
        <f t="shared" si="40"/>
        <v>0</v>
      </c>
      <c r="Q33" s="55">
        <f t="shared" si="41"/>
        <v>0</v>
      </c>
      <c r="R33" s="55">
        <f t="shared" si="42"/>
        <v>0</v>
      </c>
      <c r="S33" s="55">
        <f t="shared" si="43"/>
        <v>0</v>
      </c>
    </row>
    <row r="34" spans="1:19">
      <c r="A34" s="20" t="s">
        <v>244</v>
      </c>
      <c r="B34" s="977" t="str">
        <f t="shared" si="14"/>
        <v>Inflexion BIDCO - ORADP 1</v>
      </c>
      <c r="C34" s="978"/>
      <c r="D34" s="91"/>
      <c r="E34" s="979"/>
      <c r="F34" s="980">
        <f t="shared" si="33"/>
        <v>0</v>
      </c>
      <c r="G34" s="979"/>
      <c r="H34" s="981"/>
      <c r="I34" s="980">
        <f t="shared" si="34"/>
        <v>0</v>
      </c>
      <c r="J34" s="981"/>
      <c r="K34" s="1316">
        <f t="shared" si="35"/>
        <v>0</v>
      </c>
      <c r="L34" s="991">
        <f t="shared" si="36"/>
        <v>10080000</v>
      </c>
      <c r="M34" s="60">
        <f t="shared" si="37"/>
        <v>10080000</v>
      </c>
      <c r="N34" s="975">
        <f t="shared" si="38"/>
        <v>1</v>
      </c>
      <c r="O34" s="976">
        <f t="shared" si="39"/>
        <v>0</v>
      </c>
      <c r="P34" s="976">
        <f t="shared" si="40"/>
        <v>0</v>
      </c>
      <c r="Q34" s="55">
        <f t="shared" si="41"/>
        <v>0</v>
      </c>
      <c r="R34" s="55">
        <f t="shared" si="42"/>
        <v>0</v>
      </c>
      <c r="S34" s="55">
        <f t="shared" si="43"/>
        <v>0</v>
      </c>
    </row>
    <row r="35" spans="1:19" s="21" customFormat="1" ht="10.5" customHeight="1">
      <c r="A35" s="20" t="s">
        <v>244</v>
      </c>
      <c r="B35" s="985" t="str">
        <f>B34</f>
        <v>Inflexion BIDCO - ORADP 1</v>
      </c>
      <c r="C35" s="986" t="s">
        <v>247</v>
      </c>
      <c r="D35" s="987">
        <f>+$K$1</f>
        <v>46022</v>
      </c>
      <c r="E35" s="988">
        <f>SUM(E22:E34)</f>
        <v>10080000</v>
      </c>
      <c r="F35" s="988">
        <f>+IF(E35=0,0,G35/E35)</f>
        <v>1</v>
      </c>
      <c r="G35" s="988">
        <f>SUM(G22:G34)</f>
        <v>10080000</v>
      </c>
      <c r="H35" s="988">
        <f>SUM(H22:H34)</f>
        <v>0</v>
      </c>
      <c r="I35" s="988">
        <f>+IF(H35=0,0,J35/H35)</f>
        <v>0</v>
      </c>
      <c r="J35" s="988">
        <f>SUM(J22:J34)</f>
        <v>0</v>
      </c>
      <c r="K35" s="990">
        <f>SUM(K21:K34)</f>
        <v>0</v>
      </c>
      <c r="L35" s="988">
        <f>+L34</f>
        <v>10080000</v>
      </c>
      <c r="M35" s="988">
        <f>+M34</f>
        <v>10080000</v>
      </c>
      <c r="N35" s="992">
        <f>+IF(L35=0,0,M35/L35)</f>
        <v>1</v>
      </c>
      <c r="O35" s="990">
        <f>SUM(O21:O34)</f>
        <v>0</v>
      </c>
      <c r="P35" s="990">
        <f>SUM(P21:P34)</f>
        <v>0</v>
      </c>
      <c r="Q35" s="145">
        <f t="shared" si="0"/>
        <v>0</v>
      </c>
      <c r="R35" s="145">
        <f t="shared" si="1"/>
        <v>0</v>
      </c>
      <c r="S35" s="145">
        <f t="shared" si="2"/>
        <v>0</v>
      </c>
    </row>
    <row r="36" spans="1:19">
      <c r="A36" s="20" t="s">
        <v>244</v>
      </c>
      <c r="B36" s="974"/>
      <c r="C36" s="1308" t="s">
        <v>243</v>
      </c>
      <c r="D36" s="1309"/>
      <c r="E36" s="1310"/>
      <c r="F36" s="1311"/>
      <c r="G36" s="1310"/>
      <c r="H36" s="1312"/>
      <c r="I36" s="1311"/>
      <c r="J36" s="1310"/>
      <c r="K36" s="1313"/>
      <c r="L36" s="1314"/>
      <c r="M36" s="1315"/>
      <c r="N36" s="975"/>
      <c r="O36" s="976"/>
      <c r="P36" s="976"/>
      <c r="Q36" s="55">
        <f t="shared" ref="Q36:Q40" si="44">+J36-K36</f>
        <v>0</v>
      </c>
      <c r="R36" s="55">
        <f t="shared" ref="R36:R40" si="45">+O36+P36</f>
        <v>0</v>
      </c>
      <c r="S36" s="55">
        <f t="shared" ref="S36:S40" si="46">+Q36-R36</f>
        <v>0</v>
      </c>
    </row>
    <row r="37" spans="1:19">
      <c r="A37" s="20" t="s">
        <v>244</v>
      </c>
      <c r="B37" s="993" t="s">
        <v>249</v>
      </c>
      <c r="C37" s="978" t="s">
        <v>246</v>
      </c>
      <c r="D37" s="91">
        <v>45986</v>
      </c>
      <c r="E37" s="767">
        <v>87200</v>
      </c>
      <c r="F37" s="768">
        <f>IF(E37=0,0,G37/E37)</f>
        <v>1</v>
      </c>
      <c r="G37" s="979">
        <v>87200</v>
      </c>
      <c r="H37" s="981"/>
      <c r="I37" s="980">
        <f>IF(H37=0,0,J37/H37)</f>
        <v>0</v>
      </c>
      <c r="J37" s="979"/>
      <c r="K37" s="1316">
        <f>+H37*N36</f>
        <v>0</v>
      </c>
      <c r="L37" s="991">
        <f>+L36+E37-H37</f>
        <v>87200</v>
      </c>
      <c r="M37" s="60">
        <f>+M36+G37-K37</f>
        <v>87200</v>
      </c>
      <c r="N37" s="975">
        <f>+IF(L37=0,0,M37/L37)</f>
        <v>1</v>
      </c>
      <c r="O37" s="976">
        <f>IF(J37-K37&gt;0,J37-K37,0)</f>
        <v>0</v>
      </c>
      <c r="P37" s="976">
        <f>IF(J37-K37&lt;0,J37-K37,0)</f>
        <v>0</v>
      </c>
      <c r="Q37" s="55">
        <f t="shared" si="44"/>
        <v>0</v>
      </c>
      <c r="R37" s="55">
        <f t="shared" si="45"/>
        <v>0</v>
      </c>
      <c r="S37" s="55">
        <f t="shared" si="46"/>
        <v>0</v>
      </c>
    </row>
    <row r="38" spans="1:19">
      <c r="A38" s="20" t="s">
        <v>244</v>
      </c>
      <c r="B38" s="993" t="str">
        <f>B37</f>
        <v>Koenig solutions - ADP B</v>
      </c>
      <c r="C38" s="978" t="s">
        <v>250</v>
      </c>
      <c r="D38" s="91">
        <v>45986</v>
      </c>
      <c r="E38" s="979"/>
      <c r="F38" s="980">
        <f>IF(E38=0,0,G38/E38)</f>
        <v>0</v>
      </c>
      <c r="G38" s="979">
        <v>8632800</v>
      </c>
      <c r="H38" s="981"/>
      <c r="I38" s="980">
        <f>IF(H38=0,0,J38/H38)</f>
        <v>0</v>
      </c>
      <c r="J38" s="981"/>
      <c r="K38" s="1316">
        <f>+H38*N37</f>
        <v>0</v>
      </c>
      <c r="L38" s="991">
        <f>+L37+E38-H38</f>
        <v>87200</v>
      </c>
      <c r="M38" s="60">
        <f>+M37+G38-K38</f>
        <v>8720000</v>
      </c>
      <c r="N38" s="975">
        <f>+IF(L38=0,0,M38/L38)</f>
        <v>100</v>
      </c>
      <c r="O38" s="976">
        <f>IF(J38-K38&gt;0,J38-K38,0)</f>
        <v>0</v>
      </c>
      <c r="P38" s="976">
        <f>IF(J38-K38&lt;0,J38-K38,0)</f>
        <v>0</v>
      </c>
      <c r="Q38" s="55">
        <f t="shared" si="44"/>
        <v>0</v>
      </c>
      <c r="R38" s="55">
        <f t="shared" si="45"/>
        <v>0</v>
      </c>
      <c r="S38" s="55">
        <f t="shared" si="46"/>
        <v>0</v>
      </c>
    </row>
    <row r="39" spans="1:19">
      <c r="A39" s="20" t="s">
        <v>244</v>
      </c>
      <c r="B39" s="993" t="str">
        <f>B38</f>
        <v>Koenig solutions - ADP B</v>
      </c>
      <c r="C39" s="978"/>
      <c r="D39" s="91"/>
      <c r="E39" s="979"/>
      <c r="F39" s="980">
        <f>IF(E39=0,0,G39/E39)</f>
        <v>0</v>
      </c>
      <c r="G39" s="979"/>
      <c r="H39" s="981"/>
      <c r="I39" s="980">
        <f>IF(H39=0,0,J39/H39)</f>
        <v>0</v>
      </c>
      <c r="J39" s="981"/>
      <c r="K39" s="1316"/>
      <c r="L39" s="991">
        <f>+L38+E39-H39</f>
        <v>87200</v>
      </c>
      <c r="M39" s="60">
        <f>+M38+G39-K39</f>
        <v>8720000</v>
      </c>
      <c r="N39" s="975">
        <f>+IF(L39=0,0,M39/L39)</f>
        <v>100</v>
      </c>
      <c r="O39" s="976">
        <f>IF(J39-K39&gt;0,J39-K39,0)</f>
        <v>0</v>
      </c>
      <c r="P39" s="976">
        <f>IF(J39-K39&lt;0,J39-K39,0)</f>
        <v>0</v>
      </c>
      <c r="Q39" s="55">
        <f t="shared" si="44"/>
        <v>0</v>
      </c>
      <c r="R39" s="55">
        <f t="shared" si="45"/>
        <v>0</v>
      </c>
      <c r="S39" s="55">
        <f t="shared" si="46"/>
        <v>0</v>
      </c>
    </row>
    <row r="40" spans="1:19" s="21" customFormat="1" ht="10.5" customHeight="1">
      <c r="A40" s="20" t="s">
        <v>244</v>
      </c>
      <c r="B40" s="994" t="str">
        <f>B39</f>
        <v>Koenig solutions - ADP B</v>
      </c>
      <c r="C40" s="986" t="s">
        <v>247</v>
      </c>
      <c r="D40" s="987">
        <f>+$K$1</f>
        <v>46022</v>
      </c>
      <c r="E40" s="988">
        <f>SUM(E37:E39)</f>
        <v>87200</v>
      </c>
      <c r="F40" s="988">
        <f>+IF(E40=0,0,G40/E40)</f>
        <v>100</v>
      </c>
      <c r="G40" s="988">
        <f>SUM(G36:G39)</f>
        <v>8720000</v>
      </c>
      <c r="H40" s="989">
        <f>SUM(H36:H39)</f>
        <v>0</v>
      </c>
      <c r="I40" s="988">
        <f>+IF(H40=0,0,J40/H40)</f>
        <v>0</v>
      </c>
      <c r="J40" s="990">
        <f>SUM(J36:J39)</f>
        <v>0</v>
      </c>
      <c r="K40" s="990">
        <f>SUM(K36:K39)</f>
        <v>0</v>
      </c>
      <c r="L40" s="988">
        <f>+L39</f>
        <v>87200</v>
      </c>
      <c r="M40" s="988">
        <f>+M39</f>
        <v>8720000</v>
      </c>
      <c r="N40" s="992">
        <f>+IF(L40=0,0,M40/L40)</f>
        <v>100</v>
      </c>
      <c r="O40" s="990">
        <f>SUM(O36:O39)</f>
        <v>0</v>
      </c>
      <c r="P40" s="990">
        <f>SUM(P36:P39)</f>
        <v>0</v>
      </c>
      <c r="Q40" s="145">
        <f t="shared" si="44"/>
        <v>0</v>
      </c>
      <c r="R40" s="145">
        <f t="shared" si="45"/>
        <v>0</v>
      </c>
      <c r="S40" s="145">
        <f t="shared" si="46"/>
        <v>0</v>
      </c>
    </row>
    <row r="41" spans="1:19">
      <c r="A41" s="20" t="s">
        <v>244</v>
      </c>
      <c r="B41" s="974"/>
      <c r="C41" s="1308" t="s">
        <v>243</v>
      </c>
      <c r="D41" s="1309"/>
      <c r="E41" s="1310"/>
      <c r="F41" s="1311"/>
      <c r="G41" s="1310"/>
      <c r="H41" s="1312"/>
      <c r="I41" s="1311"/>
      <c r="J41" s="1310"/>
      <c r="K41" s="1313"/>
      <c r="L41" s="1314"/>
      <c r="M41" s="1315"/>
      <c r="N41" s="975"/>
      <c r="O41" s="976"/>
      <c r="P41" s="976"/>
      <c r="Q41" s="55">
        <f t="shared" ref="Q41:Q45" si="47">+J41-K41</f>
        <v>0</v>
      </c>
      <c r="R41" s="55">
        <f t="shared" ref="R41:R45" si="48">+O41+P41</f>
        <v>0</v>
      </c>
      <c r="S41" s="55">
        <f t="shared" ref="S41:S45" si="49">+Q41-R41</f>
        <v>0</v>
      </c>
    </row>
    <row r="42" spans="1:19">
      <c r="A42" s="20" t="s">
        <v>244</v>
      </c>
      <c r="B42" s="977" t="s">
        <v>251</v>
      </c>
      <c r="C42" s="978" t="s">
        <v>246</v>
      </c>
      <c r="D42" s="91">
        <v>45986</v>
      </c>
      <c r="E42" s="767">
        <v>3200</v>
      </c>
      <c r="F42" s="768">
        <f>IF(E42=0,0,G42/E42)</f>
        <v>1</v>
      </c>
      <c r="G42" s="979">
        <v>3200</v>
      </c>
      <c r="H42" s="981"/>
      <c r="I42" s="980">
        <f>IF(H42=0,0,J42/H42)</f>
        <v>0</v>
      </c>
      <c r="J42" s="979"/>
      <c r="K42" s="1316">
        <f>+H42*N41</f>
        <v>0</v>
      </c>
      <c r="L42" s="991">
        <f>+L41+E42-H42</f>
        <v>3200</v>
      </c>
      <c r="M42" s="60">
        <f>+M41+G42-K42</f>
        <v>3200</v>
      </c>
      <c r="N42" s="975">
        <f>+IF(L42=0,0,M42/L42)</f>
        <v>1</v>
      </c>
      <c r="O42" s="976">
        <f>IF(J42-K42&gt;0,J42-K42,0)</f>
        <v>0</v>
      </c>
      <c r="P42" s="976">
        <f>IF(J42-K42&lt;0,J42-K42,0)</f>
        <v>0</v>
      </c>
      <c r="Q42" s="55">
        <f t="shared" si="47"/>
        <v>0</v>
      </c>
      <c r="R42" s="55">
        <f t="shared" si="48"/>
        <v>0</v>
      </c>
      <c r="S42" s="55">
        <f t="shared" si="49"/>
        <v>0</v>
      </c>
    </row>
    <row r="43" spans="1:19">
      <c r="A43" s="20" t="s">
        <v>244</v>
      </c>
      <c r="B43" s="977" t="str">
        <f>B42</f>
        <v>Koenig solutions - OC (SHL)</v>
      </c>
      <c r="C43" s="978" t="s">
        <v>250</v>
      </c>
      <c r="D43" s="91">
        <v>45986</v>
      </c>
      <c r="E43" s="979"/>
      <c r="F43" s="980">
        <f>IF(E43=0,0,G43/E43)</f>
        <v>0</v>
      </c>
      <c r="G43" s="979">
        <v>26156800</v>
      </c>
      <c r="H43" s="981"/>
      <c r="I43" s="980">
        <f>IF(H43=0,0,J43/H43)</f>
        <v>0</v>
      </c>
      <c r="J43" s="981"/>
      <c r="K43" s="1316">
        <f>+H43*N42</f>
        <v>0</v>
      </c>
      <c r="L43" s="991">
        <f>+L42+E43-H43</f>
        <v>3200</v>
      </c>
      <c r="M43" s="60">
        <f>+M42+G43-K43</f>
        <v>26160000</v>
      </c>
      <c r="N43" s="975">
        <f>+IF(L43=0,0,M43/L43)</f>
        <v>8175</v>
      </c>
      <c r="O43" s="976">
        <f>IF(J43-K43&gt;0,J43-K43,0)</f>
        <v>0</v>
      </c>
      <c r="P43" s="976">
        <f>IF(J43-K43&lt;0,J43-K43,0)</f>
        <v>0</v>
      </c>
      <c r="Q43" s="55">
        <f t="shared" si="47"/>
        <v>0</v>
      </c>
      <c r="R43" s="55">
        <f t="shared" si="48"/>
        <v>0</v>
      </c>
      <c r="S43" s="55">
        <f t="shared" si="49"/>
        <v>0</v>
      </c>
    </row>
    <row r="44" spans="1:19">
      <c r="A44" s="20" t="s">
        <v>244</v>
      </c>
      <c r="B44" s="977" t="str">
        <f>B43</f>
        <v>Koenig solutions - OC (SHL)</v>
      </c>
      <c r="C44" s="978"/>
      <c r="D44" s="91"/>
      <c r="E44" s="979"/>
      <c r="F44" s="980">
        <f>IF(E44=0,0,G44/E44)</f>
        <v>0</v>
      </c>
      <c r="G44" s="979"/>
      <c r="H44" s="981"/>
      <c r="I44" s="980">
        <f>IF(H44=0,0,J44/H44)</f>
        <v>0</v>
      </c>
      <c r="J44" s="981"/>
      <c r="K44" s="1316"/>
      <c r="L44" s="991">
        <f>+L43+E44-H44</f>
        <v>3200</v>
      </c>
      <c r="M44" s="60">
        <f>+M43+G44-K44</f>
        <v>26160000</v>
      </c>
      <c r="N44" s="975">
        <f>+IF(L44=0,0,M44/L44)</f>
        <v>8175</v>
      </c>
      <c r="O44" s="976">
        <f>IF(J44-K44&gt;0,J44-K44,0)</f>
        <v>0</v>
      </c>
      <c r="P44" s="976">
        <f>IF(J44-K44&lt;0,J44-K44,0)</f>
        <v>0</v>
      </c>
      <c r="Q44" s="55">
        <f t="shared" si="47"/>
        <v>0</v>
      </c>
      <c r="R44" s="55">
        <f t="shared" si="48"/>
        <v>0</v>
      </c>
      <c r="S44" s="55">
        <f t="shared" si="49"/>
        <v>0</v>
      </c>
    </row>
    <row r="45" spans="1:19" s="21" customFormat="1" ht="10.5" customHeight="1">
      <c r="A45" s="20" t="s">
        <v>244</v>
      </c>
      <c r="B45" s="985" t="str">
        <f>B44</f>
        <v>Koenig solutions - OC (SHL)</v>
      </c>
      <c r="C45" s="986" t="s">
        <v>247</v>
      </c>
      <c r="D45" s="987">
        <f>+$K$1</f>
        <v>46022</v>
      </c>
      <c r="E45" s="988">
        <f>SUM(E42:E44)</f>
        <v>3200</v>
      </c>
      <c r="F45" s="988">
        <f>+IF(E45=0,0,G45/E45)</f>
        <v>8175</v>
      </c>
      <c r="G45" s="988">
        <f>SUM(G41:G44)</f>
        <v>26160000</v>
      </c>
      <c r="H45" s="989">
        <f>SUM(H41:H44)</f>
        <v>0</v>
      </c>
      <c r="I45" s="988">
        <f>+IF(H45=0,0,J45/H45)</f>
        <v>0</v>
      </c>
      <c r="J45" s="990">
        <f>SUM(J41:J44)</f>
        <v>0</v>
      </c>
      <c r="K45" s="990">
        <f>SUM(K41:K44)</f>
        <v>0</v>
      </c>
      <c r="L45" s="988">
        <f>+L44</f>
        <v>3200</v>
      </c>
      <c r="M45" s="988">
        <f>+M44</f>
        <v>26160000</v>
      </c>
      <c r="N45" s="992">
        <f>+IF(L45=0,0,M45/L45)</f>
        <v>8175</v>
      </c>
      <c r="O45" s="990">
        <f>SUM(O41:O44)</f>
        <v>0</v>
      </c>
      <c r="P45" s="990">
        <f>SUM(P41:P44)</f>
        <v>0</v>
      </c>
      <c r="Q45" s="145">
        <f t="shared" si="47"/>
        <v>0</v>
      </c>
      <c r="R45" s="145">
        <f t="shared" si="48"/>
        <v>0</v>
      </c>
      <c r="S45" s="145">
        <f t="shared" si="49"/>
        <v>0</v>
      </c>
    </row>
    <row r="46" spans="1:19">
      <c r="A46" s="20" t="s">
        <v>244</v>
      </c>
      <c r="B46" s="1317"/>
      <c r="C46" s="1308" t="s">
        <v>243</v>
      </c>
      <c r="D46" s="1309"/>
      <c r="E46" s="1310"/>
      <c r="F46" s="1311"/>
      <c r="G46" s="1310"/>
      <c r="H46" s="1312"/>
      <c r="I46" s="1311"/>
      <c r="J46" s="1310"/>
      <c r="K46" s="1313"/>
      <c r="L46" s="1314"/>
      <c r="M46" s="1315"/>
      <c r="N46" s="975"/>
      <c r="O46" s="976"/>
      <c r="P46" s="976"/>
      <c r="Q46" s="55">
        <f t="shared" ref="Q46:Q51" si="50">+J46-K46</f>
        <v>0</v>
      </c>
      <c r="R46" s="55">
        <f t="shared" ref="R46:R51" si="51">+O46+P46</f>
        <v>0</v>
      </c>
      <c r="S46" s="55">
        <f t="shared" ref="S46:S51" si="52">+Q46-R46</f>
        <v>0</v>
      </c>
    </row>
    <row r="47" spans="1:19">
      <c r="A47" s="20" t="s">
        <v>244</v>
      </c>
      <c r="B47" s="977" t="s">
        <v>252</v>
      </c>
      <c r="C47" s="978" t="s">
        <v>246</v>
      </c>
      <c r="D47" s="91">
        <v>45986</v>
      </c>
      <c r="E47" s="979">
        <v>500</v>
      </c>
      <c r="F47" s="980">
        <f>IF(E47=0,0,G47/E47)</f>
        <v>1000</v>
      </c>
      <c r="G47" s="979">
        <v>500000</v>
      </c>
      <c r="H47" s="981"/>
      <c r="I47" s="980">
        <f>IF(H47=0,0,J47/H47)</f>
        <v>0</v>
      </c>
      <c r="J47" s="979"/>
      <c r="K47" s="1316">
        <f>+H47*N46</f>
        <v>0</v>
      </c>
      <c r="L47" s="991">
        <f>+L46+E47-H47</f>
        <v>500</v>
      </c>
      <c r="M47" s="60">
        <f>+M46+G47-K47</f>
        <v>500000</v>
      </c>
      <c r="N47" s="975">
        <f>+IF(L47=0,0,M47/L47)</f>
        <v>1000</v>
      </c>
      <c r="O47" s="976">
        <f>IF(J47-K47&gt;0,J47-K47,0)</f>
        <v>0</v>
      </c>
      <c r="P47" s="976">
        <f>IF(J47-K47&lt;0,J47-K47,0)</f>
        <v>0</v>
      </c>
      <c r="Q47" s="55">
        <f t="shared" si="50"/>
        <v>0</v>
      </c>
      <c r="R47" s="55">
        <f t="shared" si="51"/>
        <v>0</v>
      </c>
      <c r="S47" s="55">
        <f t="shared" si="52"/>
        <v>0</v>
      </c>
    </row>
    <row r="48" spans="1:19">
      <c r="A48" s="20" t="s">
        <v>244</v>
      </c>
      <c r="B48" s="977" t="str">
        <f>B47</f>
        <v>Koenig solutions - OC (Warehouse II - ADP A)</v>
      </c>
      <c r="C48" s="978"/>
      <c r="D48" s="91"/>
      <c r="E48" s="979"/>
      <c r="F48" s="980">
        <f>IF(E48=0,0,G48/E48)</f>
        <v>0</v>
      </c>
      <c r="G48" s="979"/>
      <c r="H48" s="981"/>
      <c r="I48" s="980">
        <f>IF(H48=0,0,J48/H48)</f>
        <v>0</v>
      </c>
      <c r="J48" s="981"/>
      <c r="K48" s="1316">
        <f>+H48*N47</f>
        <v>0</v>
      </c>
      <c r="L48" s="991">
        <f>+L47+E48-H48</f>
        <v>500</v>
      </c>
      <c r="M48" s="60">
        <f>+M47+G48-K48</f>
        <v>500000</v>
      </c>
      <c r="N48" s="975">
        <f>+IF(L48=0,0,M48/L48)</f>
        <v>1000</v>
      </c>
      <c r="O48" s="976">
        <f>IF(J48-K48&gt;0,J48-K48,0)</f>
        <v>0</v>
      </c>
      <c r="P48" s="976">
        <f>IF(J48-K48&lt;0,J48-K48,0)</f>
        <v>0</v>
      </c>
      <c r="Q48" s="55">
        <f t="shared" si="50"/>
        <v>0</v>
      </c>
      <c r="R48" s="55">
        <f t="shared" si="51"/>
        <v>0</v>
      </c>
      <c r="S48" s="55">
        <f t="shared" si="52"/>
        <v>0</v>
      </c>
    </row>
    <row r="49" spans="1:19">
      <c r="A49" s="20" t="s">
        <v>244</v>
      </c>
      <c r="B49" s="977" t="str">
        <f>B48</f>
        <v>Koenig solutions - OC (Warehouse II - ADP A)</v>
      </c>
      <c r="C49" s="978"/>
      <c r="D49" s="91"/>
      <c r="E49" s="979"/>
      <c r="F49" s="980">
        <f>IF(E49=0,0,G49/E49)</f>
        <v>0</v>
      </c>
      <c r="G49" s="979"/>
      <c r="H49" s="981"/>
      <c r="I49" s="980">
        <f>IF(H49=0,0,J49/H49)</f>
        <v>0</v>
      </c>
      <c r="J49" s="981"/>
      <c r="K49" s="1316">
        <f>+H49*N48</f>
        <v>0</v>
      </c>
      <c r="L49" s="991">
        <f>+L48+E49-H49</f>
        <v>500</v>
      </c>
      <c r="M49" s="60">
        <f>+M48+G49-K49</f>
        <v>500000</v>
      </c>
      <c r="N49" s="975">
        <f>+IF(L49=0,0,M49/L49)</f>
        <v>1000</v>
      </c>
      <c r="O49" s="976">
        <f>IF(J49-K49&gt;0,J49-K49,0)</f>
        <v>0</v>
      </c>
      <c r="P49" s="976">
        <f>IF(J49-K49&lt;0,J49-K49,0)</f>
        <v>0</v>
      </c>
      <c r="Q49" s="55">
        <f t="shared" ref="Q49" si="53">+J49-K49</f>
        <v>0</v>
      </c>
      <c r="R49" s="55">
        <f t="shared" ref="R49" si="54">+O49+P49</f>
        <v>0</v>
      </c>
      <c r="S49" s="55">
        <f t="shared" ref="S49" si="55">+Q49-R49</f>
        <v>0</v>
      </c>
    </row>
    <row r="50" spans="1:19">
      <c r="A50" s="20" t="s">
        <v>244</v>
      </c>
      <c r="B50" s="977" t="str">
        <f>B49</f>
        <v>Koenig solutions - OC (Warehouse II - ADP A)</v>
      </c>
      <c r="C50" s="978"/>
      <c r="D50" s="91"/>
      <c r="E50" s="979"/>
      <c r="F50" s="980">
        <f>IF(E50=0,0,G50/E50)</f>
        <v>0</v>
      </c>
      <c r="G50" s="979"/>
      <c r="H50" s="981"/>
      <c r="I50" s="980">
        <f>IF(H50=0,0,J50/H50)</f>
        <v>0</v>
      </c>
      <c r="J50" s="981"/>
      <c r="K50" s="1316">
        <f>+H50*N48</f>
        <v>0</v>
      </c>
      <c r="L50" s="991">
        <f>+L49+E50-H50</f>
        <v>500</v>
      </c>
      <c r="M50" s="60">
        <f>+M49+G50-K50</f>
        <v>500000</v>
      </c>
      <c r="N50" s="975">
        <f>+IF(L50=0,0,M50/L50)</f>
        <v>1000</v>
      </c>
      <c r="O50" s="976">
        <f>IF(J50-K50&gt;0,J50-K50,0)</f>
        <v>0</v>
      </c>
      <c r="P50" s="976">
        <f>IF(J50-K50&lt;0,J50-K50,0)</f>
        <v>0</v>
      </c>
      <c r="Q50" s="55">
        <f t="shared" si="50"/>
        <v>0</v>
      </c>
      <c r="R50" s="55">
        <f t="shared" si="51"/>
        <v>0</v>
      </c>
      <c r="S50" s="55">
        <f t="shared" si="52"/>
        <v>0</v>
      </c>
    </row>
    <row r="51" spans="1:19" s="21" customFormat="1" ht="10.5" customHeight="1">
      <c r="A51" s="20" t="s">
        <v>244</v>
      </c>
      <c r="B51" s="985" t="str">
        <f>B50</f>
        <v>Koenig solutions - OC (Warehouse II - ADP A)</v>
      </c>
      <c r="C51" s="986" t="s">
        <v>247</v>
      </c>
      <c r="D51" s="987">
        <f>+$K$1</f>
        <v>46022</v>
      </c>
      <c r="E51" s="988">
        <f>SUM(E47:E50)</f>
        <v>500</v>
      </c>
      <c r="F51" s="988">
        <f>+IF(E51=0,0,G51/E51)</f>
        <v>1000</v>
      </c>
      <c r="G51" s="988">
        <f>SUM(G46:G50)</f>
        <v>500000</v>
      </c>
      <c r="H51" s="989">
        <f>SUM(H46:H50)</f>
        <v>0</v>
      </c>
      <c r="I51" s="988">
        <f>+IF(H51=0,0,J51/H51)</f>
        <v>0</v>
      </c>
      <c r="J51" s="990">
        <f>SUM(J46:J50)</f>
        <v>0</v>
      </c>
      <c r="K51" s="990">
        <f>SUM(K46:K50)</f>
        <v>0</v>
      </c>
      <c r="L51" s="988">
        <f>+L50</f>
        <v>500</v>
      </c>
      <c r="M51" s="988">
        <f>+M50</f>
        <v>500000</v>
      </c>
      <c r="N51" s="992">
        <f t="shared" ref="N51" si="56">+IF(L51=0,0,M51/L51)</f>
        <v>1000</v>
      </c>
      <c r="O51" s="990">
        <f>SUM(O46:O50)</f>
        <v>0</v>
      </c>
      <c r="P51" s="990">
        <f>SUM(P46:P50)</f>
        <v>0</v>
      </c>
      <c r="Q51" s="145">
        <f t="shared" si="50"/>
        <v>0</v>
      </c>
      <c r="R51" s="145">
        <f t="shared" si="51"/>
        <v>0</v>
      </c>
      <c r="S51" s="145">
        <f t="shared" si="52"/>
        <v>0</v>
      </c>
    </row>
    <row r="52" spans="1:19">
      <c r="A52" s="20" t="s">
        <v>244</v>
      </c>
      <c r="B52" s="1317"/>
      <c r="C52" s="1308" t="s">
        <v>243</v>
      </c>
      <c r="D52" s="1309"/>
      <c r="E52" s="1310"/>
      <c r="F52" s="1311"/>
      <c r="G52" s="1310"/>
      <c r="H52" s="1312"/>
      <c r="I52" s="1311"/>
      <c r="J52" s="1310"/>
      <c r="K52" s="1313"/>
      <c r="L52" s="1314"/>
      <c r="M52" s="1315"/>
      <c r="N52" s="975"/>
      <c r="O52" s="976"/>
      <c r="P52" s="976"/>
      <c r="Q52" s="55">
        <f t="shared" ref="Q52:Q56" si="57">+J52-K52</f>
        <v>0</v>
      </c>
      <c r="R52" s="55">
        <f t="shared" ref="R52:R56" si="58">+O52+P52</f>
        <v>0</v>
      </c>
      <c r="S52" s="55">
        <f t="shared" ref="S52:S56" si="59">+Q52-R52</f>
        <v>0</v>
      </c>
    </row>
    <row r="53" spans="1:19">
      <c r="A53" s="20" t="s">
        <v>244</v>
      </c>
      <c r="B53" s="977" t="s">
        <v>253</v>
      </c>
      <c r="C53" s="978" t="s">
        <v>246</v>
      </c>
      <c r="D53" s="91">
        <v>46007</v>
      </c>
      <c r="E53" s="979">
        <v>63750000</v>
      </c>
      <c r="F53" s="980">
        <f>IF(E53=0,0,G53/E53)</f>
        <v>1</v>
      </c>
      <c r="G53" s="979">
        <v>63750000</v>
      </c>
      <c r="H53" s="981"/>
      <c r="I53" s="980">
        <f>IF(H53=0,0,J53/H53)</f>
        <v>0</v>
      </c>
      <c r="J53" s="979"/>
      <c r="K53" s="1316">
        <f>+H53*N52</f>
        <v>0</v>
      </c>
      <c r="L53" s="991">
        <f>+L52+E53-H53</f>
        <v>63750000</v>
      </c>
      <c r="M53" s="60">
        <f>+M52+G53-K53</f>
        <v>63750000</v>
      </c>
      <c r="N53" s="975">
        <f>+IF(L53=0,0,M53/L53)</f>
        <v>1</v>
      </c>
      <c r="O53" s="976">
        <f>IF(J53-K53&gt;0,J53-K53,0)</f>
        <v>0</v>
      </c>
      <c r="P53" s="976">
        <f>IF(J53-K53&lt;0,J53-K53,0)</f>
        <v>0</v>
      </c>
      <c r="Q53" s="55">
        <f t="shared" si="57"/>
        <v>0</v>
      </c>
      <c r="R53" s="55">
        <f t="shared" si="58"/>
        <v>0</v>
      </c>
      <c r="S53" s="55">
        <f t="shared" si="59"/>
        <v>0</v>
      </c>
    </row>
    <row r="54" spans="1:19">
      <c r="A54" s="20" t="s">
        <v>244</v>
      </c>
      <c r="B54" s="977" t="s">
        <v>253</v>
      </c>
      <c r="C54" s="984"/>
      <c r="D54" s="91"/>
      <c r="E54" s="979"/>
      <c r="F54" s="980">
        <f>IF(E54=0,0,G54/E54)</f>
        <v>0</v>
      </c>
      <c r="G54" s="979"/>
      <c r="H54" s="981"/>
      <c r="I54" s="980">
        <f>IF(H54=0,0,J54/H54)</f>
        <v>0</v>
      </c>
      <c r="J54" s="981"/>
      <c r="K54" s="1316">
        <f>+H54*N53</f>
        <v>0</v>
      </c>
      <c r="L54" s="991">
        <f>+L53+E54-H54</f>
        <v>63750000</v>
      </c>
      <c r="M54" s="60">
        <f>+M53+G54-K54</f>
        <v>63750000</v>
      </c>
      <c r="N54" s="975">
        <f>+IF(L54=0,0,M54/L54)</f>
        <v>1</v>
      </c>
      <c r="O54" s="976">
        <f>IF(J54-K54&gt;0,J54-K54,0)</f>
        <v>0</v>
      </c>
      <c r="P54" s="976">
        <f>IF(J54-K54&lt;0,J54-K54,0)</f>
        <v>0</v>
      </c>
      <c r="Q54" s="55">
        <f t="shared" si="57"/>
        <v>0</v>
      </c>
      <c r="R54" s="55">
        <f t="shared" si="58"/>
        <v>0</v>
      </c>
      <c r="S54" s="55">
        <f t="shared" si="59"/>
        <v>0</v>
      </c>
    </row>
    <row r="55" spans="1:19">
      <c r="A55" s="20" t="s">
        <v>244</v>
      </c>
      <c r="B55" s="977" t="s">
        <v>253</v>
      </c>
      <c r="C55" s="978"/>
      <c r="D55" s="91"/>
      <c r="E55" s="979"/>
      <c r="F55" s="980">
        <f>IF(E55=0,0,G55/E55)</f>
        <v>0</v>
      </c>
      <c r="G55" s="979"/>
      <c r="H55" s="981"/>
      <c r="I55" s="980">
        <f>IF(H55=0,0,J55/H55)</f>
        <v>0</v>
      </c>
      <c r="J55" s="981"/>
      <c r="K55" s="1316">
        <f>+H55*N54</f>
        <v>0</v>
      </c>
      <c r="L55" s="991">
        <f>+L54+E55-H55</f>
        <v>63750000</v>
      </c>
      <c r="M55" s="60">
        <f>+M54+G55-K55</f>
        <v>63750000</v>
      </c>
      <c r="N55" s="975">
        <f>+IF(L55=0,0,M55/L55)</f>
        <v>1</v>
      </c>
      <c r="O55" s="976">
        <f>IF(J55-K55&gt;0,J55-K55,0)</f>
        <v>0</v>
      </c>
      <c r="P55" s="976">
        <f>IF(J55-K55&lt;0,J55-K55,0)</f>
        <v>0</v>
      </c>
      <c r="Q55" s="55">
        <f t="shared" si="57"/>
        <v>0</v>
      </c>
      <c r="R55" s="55">
        <f t="shared" si="58"/>
        <v>0</v>
      </c>
      <c r="S55" s="55">
        <f t="shared" si="59"/>
        <v>0</v>
      </c>
    </row>
    <row r="56" spans="1:19" s="21" customFormat="1" ht="11.1" customHeight="1">
      <c r="A56" s="20" t="s">
        <v>244</v>
      </c>
      <c r="B56" s="985" t="str">
        <f>B55</f>
        <v>SNIC Technologies Group - OBSA</v>
      </c>
      <c r="C56" s="986" t="s">
        <v>247</v>
      </c>
      <c r="D56" s="987">
        <f>+$K$1</f>
        <v>46022</v>
      </c>
      <c r="E56" s="988">
        <f>SUM(E53:E55)</f>
        <v>63750000</v>
      </c>
      <c r="F56" s="988">
        <f>+IF(E56=0,0,G56/E56)</f>
        <v>1</v>
      </c>
      <c r="G56" s="988">
        <f>SUM(G52:G55)</f>
        <v>63750000</v>
      </c>
      <c r="H56" s="989">
        <f>SUM(H52:H55)</f>
        <v>0</v>
      </c>
      <c r="I56" s="988">
        <f>+IF(H56=0,0,J56/H56)</f>
        <v>0</v>
      </c>
      <c r="J56" s="990">
        <f>SUM(J52:J55)</f>
        <v>0</v>
      </c>
      <c r="K56" s="990">
        <f>SUM(K52:K55)</f>
        <v>0</v>
      </c>
      <c r="L56" s="988">
        <f>+L55</f>
        <v>63750000</v>
      </c>
      <c r="M56" s="988">
        <f>+M55</f>
        <v>63750000</v>
      </c>
      <c r="N56" s="992">
        <f t="shared" ref="N56" si="60">+IF(L56=0,0,M56/L56)</f>
        <v>1</v>
      </c>
      <c r="O56" s="990">
        <f>SUM(O52:O55)</f>
        <v>0</v>
      </c>
      <c r="P56" s="990">
        <f>SUM(P52:P55)</f>
        <v>0</v>
      </c>
      <c r="Q56" s="145">
        <f t="shared" si="57"/>
        <v>0</v>
      </c>
      <c r="R56" s="145">
        <f t="shared" si="58"/>
        <v>0</v>
      </c>
      <c r="S56" s="145">
        <f t="shared" si="59"/>
        <v>0</v>
      </c>
    </row>
    <row r="57" spans="1:19">
      <c r="A57" s="20" t="s">
        <v>244</v>
      </c>
      <c r="B57" s="1318"/>
      <c r="C57" s="1308" t="s">
        <v>243</v>
      </c>
      <c r="D57" s="1309"/>
      <c r="E57" s="1310"/>
      <c r="F57" s="1311"/>
      <c r="G57" s="1310"/>
      <c r="H57" s="1312"/>
      <c r="I57" s="1311"/>
      <c r="J57" s="1310"/>
      <c r="K57" s="1313"/>
      <c r="L57" s="1314"/>
      <c r="M57" s="1315"/>
      <c r="N57" s="975"/>
      <c r="O57" s="976"/>
      <c r="P57" s="976"/>
      <c r="Q57" s="55">
        <f t="shared" ref="Q57:Q109" si="61">+J57-K57</f>
        <v>0</v>
      </c>
      <c r="R57" s="55">
        <f t="shared" ref="R57:R109" si="62">+O57+P57</f>
        <v>0</v>
      </c>
      <c r="S57" s="55">
        <f t="shared" ref="S57:S109" si="63">+Q57-R57</f>
        <v>0</v>
      </c>
    </row>
    <row r="58" spans="1:19">
      <c r="A58" s="20" t="s">
        <v>244</v>
      </c>
      <c r="B58" s="974"/>
      <c r="C58" s="978"/>
      <c r="D58" s="91"/>
      <c r="E58" s="979"/>
      <c r="F58" s="980">
        <f>IF(E58=0,0,G58/E58)</f>
        <v>0</v>
      </c>
      <c r="G58" s="979"/>
      <c r="H58" s="981"/>
      <c r="I58" s="980">
        <f>IF(H58=0,0,J58/H58)</f>
        <v>0</v>
      </c>
      <c r="J58" s="979"/>
      <c r="K58" s="1316">
        <f>+H58*N57</f>
        <v>0</v>
      </c>
      <c r="L58" s="991">
        <f>+L57+E58-H58</f>
        <v>0</v>
      </c>
      <c r="M58" s="60">
        <f>+M57+G58-K58</f>
        <v>0</v>
      </c>
      <c r="N58" s="975">
        <f>+IF(L58=0,0,M58/L58)</f>
        <v>0</v>
      </c>
      <c r="O58" s="976">
        <f>IF(J58-K58&gt;0,J58-K58,0)</f>
        <v>0</v>
      </c>
      <c r="P58" s="976">
        <f>IF(J58-K58&lt;0,J58-K58,0)</f>
        <v>0</v>
      </c>
      <c r="Q58" s="55">
        <f t="shared" si="61"/>
        <v>0</v>
      </c>
      <c r="R58" s="55">
        <f t="shared" si="62"/>
        <v>0</v>
      </c>
      <c r="S58" s="55">
        <f t="shared" si="63"/>
        <v>0</v>
      </c>
    </row>
    <row r="59" spans="1:19">
      <c r="A59" s="20" t="s">
        <v>244</v>
      </c>
      <c r="B59" s="974"/>
      <c r="C59" s="978"/>
      <c r="D59" s="91"/>
      <c r="E59" s="979"/>
      <c r="F59" s="980">
        <f>IF(E59=0,0,G59/E59)</f>
        <v>0</v>
      </c>
      <c r="G59" s="979"/>
      <c r="H59" s="981"/>
      <c r="I59" s="980">
        <f>IF(H59=0,0,J59/H59)</f>
        <v>0</v>
      </c>
      <c r="J59" s="981"/>
      <c r="K59" s="1316">
        <f>+H59*N58</f>
        <v>0</v>
      </c>
      <c r="L59" s="991">
        <f>+L58+E59-H59</f>
        <v>0</v>
      </c>
      <c r="M59" s="60">
        <f>+M58+G59-K59</f>
        <v>0</v>
      </c>
      <c r="N59" s="975">
        <f>+IF(L59=0,0,M59/L59)</f>
        <v>0</v>
      </c>
      <c r="O59" s="976">
        <f>IF(J59-K59&gt;0,J59-K59,0)</f>
        <v>0</v>
      </c>
      <c r="P59" s="976">
        <f>IF(J59-K59&lt;0,J59-K59,0)</f>
        <v>0</v>
      </c>
      <c r="Q59" s="55">
        <f t="shared" si="61"/>
        <v>0</v>
      </c>
      <c r="R59" s="55">
        <f t="shared" si="62"/>
        <v>0</v>
      </c>
      <c r="S59" s="55">
        <f t="shared" si="63"/>
        <v>0</v>
      </c>
    </row>
    <row r="60" spans="1:19">
      <c r="A60" s="20" t="s">
        <v>244</v>
      </c>
      <c r="B60" s="974"/>
      <c r="C60" s="978"/>
      <c r="D60" s="91"/>
      <c r="E60" s="979"/>
      <c r="F60" s="980">
        <f>IF(E60=0,0,G60/E60)</f>
        <v>0</v>
      </c>
      <c r="G60" s="979"/>
      <c r="H60" s="981"/>
      <c r="I60" s="980">
        <f>IF(H60=0,0,J60/H60)</f>
        <v>0</v>
      </c>
      <c r="J60" s="981"/>
      <c r="K60" s="1316">
        <f>+H60*N59</f>
        <v>0</v>
      </c>
      <c r="L60" s="991">
        <f>+L59+E60-H60</f>
        <v>0</v>
      </c>
      <c r="M60" s="60">
        <f>+M59+G60-K60</f>
        <v>0</v>
      </c>
      <c r="N60" s="975">
        <f>+IF(L60=0,0,M60/L60)</f>
        <v>0</v>
      </c>
      <c r="O60" s="976">
        <f>IF(J60-K60&gt;0,J60-K60,0)</f>
        <v>0</v>
      </c>
      <c r="P60" s="976">
        <f>IF(J60-K60&lt;0,J60-K60,0)</f>
        <v>0</v>
      </c>
      <c r="Q60" s="55">
        <f t="shared" si="61"/>
        <v>0</v>
      </c>
      <c r="R60" s="55">
        <f t="shared" si="62"/>
        <v>0</v>
      </c>
      <c r="S60" s="55">
        <f t="shared" si="63"/>
        <v>0</v>
      </c>
    </row>
    <row r="61" spans="1:19" s="21" customFormat="1" ht="10.5" customHeight="1">
      <c r="A61" s="20" t="s">
        <v>244</v>
      </c>
      <c r="B61" s="995">
        <f>B60</f>
        <v>0</v>
      </c>
      <c r="C61" s="986" t="s">
        <v>247</v>
      </c>
      <c r="D61" s="987">
        <f>+$K$1</f>
        <v>46022</v>
      </c>
      <c r="E61" s="988">
        <f>SUM(E58:E60)</f>
        <v>0</v>
      </c>
      <c r="F61" s="988">
        <f>+IF(E61=0,0,G61/E61)</f>
        <v>0</v>
      </c>
      <c r="G61" s="988">
        <f>SUM(G57:G60)</f>
        <v>0</v>
      </c>
      <c r="H61" s="989">
        <f>SUM(H57:H60)</f>
        <v>0</v>
      </c>
      <c r="I61" s="988">
        <f>+IF(H61=0,0,J61/H61)</f>
        <v>0</v>
      </c>
      <c r="J61" s="990">
        <f>SUM(J57:J60)</f>
        <v>0</v>
      </c>
      <c r="K61" s="990">
        <f>SUM(K57:K60)</f>
        <v>0</v>
      </c>
      <c r="L61" s="988">
        <f>+L60</f>
        <v>0</v>
      </c>
      <c r="M61" s="988">
        <f>+M60</f>
        <v>0</v>
      </c>
      <c r="N61" s="992">
        <f t="shared" ref="N61" si="64">+IF(L61=0,0,M61/L61)</f>
        <v>0</v>
      </c>
      <c r="O61" s="990">
        <f>SUM(O57:O60)</f>
        <v>0</v>
      </c>
      <c r="P61" s="990">
        <f>SUM(P57:P60)</f>
        <v>0</v>
      </c>
      <c r="Q61" s="145">
        <f t="shared" si="61"/>
        <v>0</v>
      </c>
      <c r="R61" s="145">
        <f t="shared" si="62"/>
        <v>0</v>
      </c>
      <c r="S61" s="145">
        <f t="shared" si="63"/>
        <v>0</v>
      </c>
    </row>
    <row r="62" spans="1:19">
      <c r="A62" s="20" t="s">
        <v>244</v>
      </c>
      <c r="B62" s="1318"/>
      <c r="C62" s="1308" t="s">
        <v>243</v>
      </c>
      <c r="D62" s="1309"/>
      <c r="E62" s="1310"/>
      <c r="F62" s="1311"/>
      <c r="G62" s="1310"/>
      <c r="H62" s="1312"/>
      <c r="I62" s="1311"/>
      <c r="J62" s="1310"/>
      <c r="K62" s="1313"/>
      <c r="L62" s="1314"/>
      <c r="M62" s="1315"/>
      <c r="N62" s="975"/>
      <c r="O62" s="976"/>
      <c r="P62" s="976"/>
      <c r="Q62" s="55">
        <f t="shared" ref="Q62:Q66" si="65">+J62-K62</f>
        <v>0</v>
      </c>
      <c r="R62" s="55">
        <f t="shared" ref="R62:R66" si="66">+O62+P62</f>
        <v>0</v>
      </c>
      <c r="S62" s="55">
        <f t="shared" ref="S62:S66" si="67">+Q62-R62</f>
        <v>0</v>
      </c>
    </row>
    <row r="63" spans="1:19">
      <c r="A63" s="20" t="s">
        <v>244</v>
      </c>
      <c r="B63" s="974"/>
      <c r="C63" s="978"/>
      <c r="D63" s="91"/>
      <c r="E63" s="979"/>
      <c r="F63" s="980">
        <f>IF(E63=0,0,G63/E63)</f>
        <v>0</v>
      </c>
      <c r="G63" s="979"/>
      <c r="H63" s="981"/>
      <c r="I63" s="980">
        <f>IF(H63=0,0,J63/H63)</f>
        <v>0</v>
      </c>
      <c r="J63" s="979"/>
      <c r="K63" s="1316">
        <f>+H63*N62</f>
        <v>0</v>
      </c>
      <c r="L63" s="991">
        <f>+L62+E63-H63</f>
        <v>0</v>
      </c>
      <c r="M63" s="60">
        <f>+M62+G63-K63</f>
        <v>0</v>
      </c>
      <c r="N63" s="975">
        <f>+IF(L63=0,0,M63/L63)</f>
        <v>0</v>
      </c>
      <c r="O63" s="976">
        <f>IF(J63-K63&gt;0,J63-K63,0)</f>
        <v>0</v>
      </c>
      <c r="P63" s="976">
        <f>IF(J63-K63&lt;0,J63-K63,0)</f>
        <v>0</v>
      </c>
      <c r="Q63" s="55">
        <f t="shared" si="65"/>
        <v>0</v>
      </c>
      <c r="R63" s="55">
        <f t="shared" si="66"/>
        <v>0</v>
      </c>
      <c r="S63" s="55">
        <f t="shared" si="67"/>
        <v>0</v>
      </c>
    </row>
    <row r="64" spans="1:19">
      <c r="A64" s="20" t="s">
        <v>244</v>
      </c>
      <c r="B64" s="974"/>
      <c r="C64" s="978"/>
      <c r="D64" s="91"/>
      <c r="E64" s="979"/>
      <c r="F64" s="980">
        <f>IF(E64=0,0,G64/E64)</f>
        <v>0</v>
      </c>
      <c r="G64" s="979"/>
      <c r="H64" s="981"/>
      <c r="I64" s="980">
        <f>IF(H64=0,0,J64/H64)</f>
        <v>0</v>
      </c>
      <c r="J64" s="981"/>
      <c r="K64" s="1316">
        <f>+H64*N63</f>
        <v>0</v>
      </c>
      <c r="L64" s="991">
        <f>+L63+E64-H64</f>
        <v>0</v>
      </c>
      <c r="M64" s="60">
        <f>+M63+G64-K64</f>
        <v>0</v>
      </c>
      <c r="N64" s="975">
        <f>+IF(L64=0,0,M64/L64)</f>
        <v>0</v>
      </c>
      <c r="O64" s="976">
        <f>IF(J64-K64&gt;0,J64-K64,0)</f>
        <v>0</v>
      </c>
      <c r="P64" s="976">
        <f>IF(J64-K64&lt;0,J64-K64,0)</f>
        <v>0</v>
      </c>
      <c r="Q64" s="55">
        <f t="shared" si="65"/>
        <v>0</v>
      </c>
      <c r="R64" s="55">
        <f t="shared" si="66"/>
        <v>0</v>
      </c>
      <c r="S64" s="55">
        <f t="shared" si="67"/>
        <v>0</v>
      </c>
    </row>
    <row r="65" spans="1:19">
      <c r="A65" s="20" t="s">
        <v>244</v>
      </c>
      <c r="B65" s="974"/>
      <c r="C65" s="978"/>
      <c r="D65" s="91"/>
      <c r="E65" s="979"/>
      <c r="F65" s="980">
        <f>IF(E65=0,0,G65/E65)</f>
        <v>0</v>
      </c>
      <c r="G65" s="979"/>
      <c r="H65" s="981"/>
      <c r="I65" s="980">
        <f>IF(H65=0,0,J65/H65)</f>
        <v>0</v>
      </c>
      <c r="J65" s="981"/>
      <c r="K65" s="1316">
        <f>+H65*N64</f>
        <v>0</v>
      </c>
      <c r="L65" s="991">
        <f>+L64+E65-H65</f>
        <v>0</v>
      </c>
      <c r="M65" s="60">
        <f>+M64+G65-K65</f>
        <v>0</v>
      </c>
      <c r="N65" s="975">
        <f>+IF(L65=0,0,M65/L65)</f>
        <v>0</v>
      </c>
      <c r="O65" s="976">
        <f>IF(J65-K65&gt;0,J65-K65,0)</f>
        <v>0</v>
      </c>
      <c r="P65" s="976">
        <f>IF(J65-K65&lt;0,J65-K65,0)</f>
        <v>0</v>
      </c>
      <c r="Q65" s="55">
        <f t="shared" si="65"/>
        <v>0</v>
      </c>
      <c r="R65" s="55">
        <f t="shared" si="66"/>
        <v>0</v>
      </c>
      <c r="S65" s="55">
        <f t="shared" si="67"/>
        <v>0</v>
      </c>
    </row>
    <row r="66" spans="1:19" s="21" customFormat="1" ht="10.5" customHeight="1">
      <c r="A66" s="20" t="s">
        <v>244</v>
      </c>
      <c r="B66" s="995">
        <f>B65</f>
        <v>0</v>
      </c>
      <c r="C66" s="986" t="s">
        <v>247</v>
      </c>
      <c r="D66" s="987">
        <f>+$K$1</f>
        <v>46022</v>
      </c>
      <c r="E66" s="988">
        <f>SUM(E63:E65)</f>
        <v>0</v>
      </c>
      <c r="F66" s="988">
        <f>+IF(E66=0,0,G66/E66)</f>
        <v>0</v>
      </c>
      <c r="G66" s="988">
        <f>SUM(G62:G65)</f>
        <v>0</v>
      </c>
      <c r="H66" s="989">
        <f>SUM(H62:H65)</f>
        <v>0</v>
      </c>
      <c r="I66" s="988">
        <f>+IF(H66=0,0,J66/H66)</f>
        <v>0</v>
      </c>
      <c r="J66" s="990">
        <f>SUM(J62:J65)</f>
        <v>0</v>
      </c>
      <c r="K66" s="990">
        <f>SUM(K62:K65)</f>
        <v>0</v>
      </c>
      <c r="L66" s="988">
        <f>+L65</f>
        <v>0</v>
      </c>
      <c r="M66" s="988">
        <f>+M65</f>
        <v>0</v>
      </c>
      <c r="N66" s="992">
        <f t="shared" ref="N66" si="68">+IF(L66=0,0,M66/L66)</f>
        <v>0</v>
      </c>
      <c r="O66" s="990">
        <f>SUM(O62:O65)</f>
        <v>0</v>
      </c>
      <c r="P66" s="990">
        <f>SUM(P62:P65)</f>
        <v>0</v>
      </c>
      <c r="Q66" s="145">
        <f t="shared" si="65"/>
        <v>0</v>
      </c>
      <c r="R66" s="145">
        <f t="shared" si="66"/>
        <v>0</v>
      </c>
      <c r="S66" s="145">
        <f t="shared" si="67"/>
        <v>0</v>
      </c>
    </row>
    <row r="67" spans="1:19">
      <c r="A67" s="20" t="s">
        <v>244</v>
      </c>
      <c r="B67" s="1318"/>
      <c r="C67" s="1308" t="s">
        <v>243</v>
      </c>
      <c r="D67" s="1309"/>
      <c r="E67" s="1310"/>
      <c r="F67" s="1311"/>
      <c r="G67" s="1310"/>
      <c r="H67" s="1312"/>
      <c r="I67" s="1311"/>
      <c r="J67" s="1310"/>
      <c r="K67" s="1313"/>
      <c r="L67" s="1314"/>
      <c r="M67" s="1315"/>
      <c r="N67" s="975"/>
      <c r="O67" s="976"/>
      <c r="P67" s="976"/>
      <c r="Q67" s="55">
        <f t="shared" ref="Q67:Q71" si="69">+J67-K67</f>
        <v>0</v>
      </c>
      <c r="R67" s="55">
        <f t="shared" ref="R67:R71" si="70">+O67+P67</f>
        <v>0</v>
      </c>
      <c r="S67" s="55">
        <f t="shared" ref="S67:S71" si="71">+Q67-R67</f>
        <v>0</v>
      </c>
    </row>
    <row r="68" spans="1:19">
      <c r="A68" s="20" t="s">
        <v>244</v>
      </c>
      <c r="B68" s="974"/>
      <c r="C68" s="978"/>
      <c r="D68" s="91"/>
      <c r="E68" s="979"/>
      <c r="F68" s="980">
        <f>IF(E68=0,0,G68/E68)</f>
        <v>0</v>
      </c>
      <c r="G68" s="979"/>
      <c r="H68" s="981"/>
      <c r="I68" s="980">
        <f>IF(H68=0,0,J68/H68)</f>
        <v>0</v>
      </c>
      <c r="J68" s="979"/>
      <c r="K68" s="1316">
        <f>+H68*N67</f>
        <v>0</v>
      </c>
      <c r="L68" s="991">
        <f>+L67+E68-H68</f>
        <v>0</v>
      </c>
      <c r="M68" s="60">
        <f>+M67+G68-K68</f>
        <v>0</v>
      </c>
      <c r="N68" s="975">
        <f>+IF(L68=0,0,M68/L68)</f>
        <v>0</v>
      </c>
      <c r="O68" s="976">
        <f>IF(J68-K68&gt;0,J68-K68,0)</f>
        <v>0</v>
      </c>
      <c r="P68" s="976">
        <f>IF(J68-K68&lt;0,J68-K68,0)</f>
        <v>0</v>
      </c>
      <c r="Q68" s="55">
        <f t="shared" si="69"/>
        <v>0</v>
      </c>
      <c r="R68" s="55">
        <f t="shared" si="70"/>
        <v>0</v>
      </c>
      <c r="S68" s="55">
        <f t="shared" si="71"/>
        <v>0</v>
      </c>
    </row>
    <row r="69" spans="1:19">
      <c r="A69" s="20" t="s">
        <v>244</v>
      </c>
      <c r="B69" s="974"/>
      <c r="C69" s="978"/>
      <c r="D69" s="91"/>
      <c r="E69" s="979"/>
      <c r="F69" s="980">
        <f>IF(E69=0,0,G69/E69)</f>
        <v>0</v>
      </c>
      <c r="G69" s="979"/>
      <c r="H69" s="981"/>
      <c r="I69" s="980">
        <f>IF(H69=0,0,J69/H69)</f>
        <v>0</v>
      </c>
      <c r="J69" s="981"/>
      <c r="K69" s="1316">
        <f>+H69*N68</f>
        <v>0</v>
      </c>
      <c r="L69" s="991">
        <f>+L68+E69-H69</f>
        <v>0</v>
      </c>
      <c r="M69" s="60">
        <f>+M68+G69-K69</f>
        <v>0</v>
      </c>
      <c r="N69" s="975">
        <f>+IF(L69=0,0,M69/L69)</f>
        <v>0</v>
      </c>
      <c r="O69" s="976">
        <f>IF(J69-K69&gt;0,J69-K69,0)</f>
        <v>0</v>
      </c>
      <c r="P69" s="976">
        <f>IF(J69-K69&lt;0,J69-K69,0)</f>
        <v>0</v>
      </c>
      <c r="Q69" s="55">
        <f t="shared" si="69"/>
        <v>0</v>
      </c>
      <c r="R69" s="55">
        <f t="shared" si="70"/>
        <v>0</v>
      </c>
      <c r="S69" s="55">
        <f t="shared" si="71"/>
        <v>0</v>
      </c>
    </row>
    <row r="70" spans="1:19">
      <c r="A70" s="20" t="s">
        <v>244</v>
      </c>
      <c r="B70" s="974"/>
      <c r="C70" s="978"/>
      <c r="D70" s="91"/>
      <c r="E70" s="979"/>
      <c r="F70" s="980">
        <f>IF(E70=0,0,G70/E70)</f>
        <v>0</v>
      </c>
      <c r="G70" s="979"/>
      <c r="H70" s="981"/>
      <c r="I70" s="980">
        <f>IF(H70=0,0,J70/H70)</f>
        <v>0</v>
      </c>
      <c r="J70" s="981"/>
      <c r="K70" s="1316">
        <f>+H70*N69</f>
        <v>0</v>
      </c>
      <c r="L70" s="991">
        <f>+L69+E70-H70</f>
        <v>0</v>
      </c>
      <c r="M70" s="60">
        <f>+M69+G70-K70</f>
        <v>0</v>
      </c>
      <c r="N70" s="975">
        <f>+IF(L70=0,0,M70/L70)</f>
        <v>0</v>
      </c>
      <c r="O70" s="976">
        <f>IF(J70-K70&gt;0,J70-K70,0)</f>
        <v>0</v>
      </c>
      <c r="P70" s="976">
        <f>IF(J70-K70&lt;0,J70-K70,0)</f>
        <v>0</v>
      </c>
      <c r="Q70" s="55">
        <f t="shared" si="69"/>
        <v>0</v>
      </c>
      <c r="R70" s="55">
        <f t="shared" si="70"/>
        <v>0</v>
      </c>
      <c r="S70" s="55">
        <f t="shared" si="71"/>
        <v>0</v>
      </c>
    </row>
    <row r="71" spans="1:19" s="21" customFormat="1" ht="10.5" customHeight="1">
      <c r="A71" s="20" t="s">
        <v>244</v>
      </c>
      <c r="B71" s="995">
        <f>+B70</f>
        <v>0</v>
      </c>
      <c r="C71" s="986" t="s">
        <v>247</v>
      </c>
      <c r="D71" s="987">
        <f>+$K$1</f>
        <v>46022</v>
      </c>
      <c r="E71" s="988">
        <f>SUM(E68:E70)</f>
        <v>0</v>
      </c>
      <c r="F71" s="988">
        <f>+IF(E71=0,0,G71/E71)</f>
        <v>0</v>
      </c>
      <c r="G71" s="988">
        <f>SUM(G67:G70)</f>
        <v>0</v>
      </c>
      <c r="H71" s="989">
        <f>SUM(H67:H70)</f>
        <v>0</v>
      </c>
      <c r="I71" s="988">
        <f>+IF(H71=0,0,J71/H71)</f>
        <v>0</v>
      </c>
      <c r="J71" s="990">
        <f>SUM(J67:J70)</f>
        <v>0</v>
      </c>
      <c r="K71" s="990">
        <f>SUM(K67:K70)</f>
        <v>0</v>
      </c>
      <c r="L71" s="988">
        <f>+L70</f>
        <v>0</v>
      </c>
      <c r="M71" s="988">
        <f>+M70</f>
        <v>0</v>
      </c>
      <c r="N71" s="992">
        <f t="shared" ref="N71" si="72">+IF(L71=0,0,M71/L71)</f>
        <v>0</v>
      </c>
      <c r="O71" s="990">
        <f>SUM(O67:O70)</f>
        <v>0</v>
      </c>
      <c r="P71" s="990">
        <f>SUM(P67:P70)</f>
        <v>0</v>
      </c>
      <c r="Q71" s="145">
        <f t="shared" si="69"/>
        <v>0</v>
      </c>
      <c r="R71" s="145">
        <f t="shared" si="70"/>
        <v>0</v>
      </c>
      <c r="S71" s="145">
        <f t="shared" si="71"/>
        <v>0</v>
      </c>
    </row>
    <row r="72" spans="1:19">
      <c r="A72" s="20" t="s">
        <v>244</v>
      </c>
      <c r="B72" s="1318"/>
      <c r="C72" s="1308" t="s">
        <v>243</v>
      </c>
      <c r="D72" s="1309"/>
      <c r="E72" s="1310"/>
      <c r="F72" s="1311"/>
      <c r="G72" s="1310"/>
      <c r="H72" s="1312"/>
      <c r="I72" s="1311"/>
      <c r="J72" s="1310"/>
      <c r="K72" s="1313"/>
      <c r="L72" s="1314"/>
      <c r="M72" s="1315"/>
      <c r="N72" s="975"/>
      <c r="O72" s="976"/>
      <c r="P72" s="976"/>
      <c r="Q72" s="55">
        <f t="shared" ref="Q72:Q99" si="73">+J72-K72</f>
        <v>0</v>
      </c>
      <c r="R72" s="55">
        <f t="shared" ref="R72:R99" si="74">+O72+P72</f>
        <v>0</v>
      </c>
      <c r="S72" s="55">
        <f t="shared" ref="S72:S99" si="75">+Q72-R72</f>
        <v>0</v>
      </c>
    </row>
    <row r="73" spans="1:19">
      <c r="A73" s="20" t="s">
        <v>244</v>
      </c>
      <c r="B73" s="974"/>
      <c r="C73" s="978"/>
      <c r="D73" s="91"/>
      <c r="E73" s="979"/>
      <c r="F73" s="980">
        <f>IF(E73=0,0,G73/E73)</f>
        <v>0</v>
      </c>
      <c r="G73" s="979"/>
      <c r="H73" s="981"/>
      <c r="I73" s="980">
        <f>IF(H73=0,0,J73/H73)</f>
        <v>0</v>
      </c>
      <c r="J73" s="979"/>
      <c r="K73" s="1316">
        <f>+H73*N72</f>
        <v>0</v>
      </c>
      <c r="L73" s="991">
        <f>+L72+E73-H73</f>
        <v>0</v>
      </c>
      <c r="M73" s="60">
        <f>+M72+G73-K73</f>
        <v>0</v>
      </c>
      <c r="N73" s="975">
        <f>+IF(L73=0,0,M73/L73)</f>
        <v>0</v>
      </c>
      <c r="O73" s="976">
        <f>IF(J73-K73&gt;0,J73-K73,0)</f>
        <v>0</v>
      </c>
      <c r="P73" s="976">
        <f>IF(J73-K73&lt;0,J73-K73,0)</f>
        <v>0</v>
      </c>
      <c r="Q73" s="55">
        <f t="shared" si="73"/>
        <v>0</v>
      </c>
      <c r="R73" s="55">
        <f t="shared" si="74"/>
        <v>0</v>
      </c>
      <c r="S73" s="55">
        <f t="shared" si="75"/>
        <v>0</v>
      </c>
    </row>
    <row r="74" spans="1:19">
      <c r="A74" s="20" t="s">
        <v>244</v>
      </c>
      <c r="B74" s="974"/>
      <c r="C74" s="978"/>
      <c r="D74" s="91"/>
      <c r="E74" s="979"/>
      <c r="F74" s="980">
        <f>IF(E74=0,0,G74/E74)</f>
        <v>0</v>
      </c>
      <c r="G74" s="979"/>
      <c r="H74" s="981"/>
      <c r="I74" s="980">
        <f>IF(H74=0,0,J74/H74)</f>
        <v>0</v>
      </c>
      <c r="J74" s="981"/>
      <c r="K74" s="1316">
        <f>+H74*N73</f>
        <v>0</v>
      </c>
      <c r="L74" s="991">
        <f>+L73+E74-H74</f>
        <v>0</v>
      </c>
      <c r="M74" s="60">
        <f>+M73+G74-K74</f>
        <v>0</v>
      </c>
      <c r="N74" s="975">
        <f>+IF(L74=0,0,M74/L74)</f>
        <v>0</v>
      </c>
      <c r="O74" s="976">
        <f>IF(J74-K74&gt;0,J74-K74,0)</f>
        <v>0</v>
      </c>
      <c r="P74" s="976">
        <f>IF(J74-K74&lt;0,J74-K74,0)</f>
        <v>0</v>
      </c>
      <c r="Q74" s="55">
        <f t="shared" si="73"/>
        <v>0</v>
      </c>
      <c r="R74" s="55">
        <f t="shared" si="74"/>
        <v>0</v>
      </c>
      <c r="S74" s="55">
        <f t="shared" si="75"/>
        <v>0</v>
      </c>
    </row>
    <row r="75" spans="1:19">
      <c r="A75" s="20" t="s">
        <v>244</v>
      </c>
      <c r="B75" s="974"/>
      <c r="C75" s="978"/>
      <c r="D75" s="91"/>
      <c r="E75" s="979"/>
      <c r="F75" s="980">
        <f>IF(E75=0,0,G75/E75)</f>
        <v>0</v>
      </c>
      <c r="G75" s="979"/>
      <c r="H75" s="981"/>
      <c r="I75" s="980">
        <f>IF(H75=0,0,J75/H75)</f>
        <v>0</v>
      </c>
      <c r="J75" s="981"/>
      <c r="K75" s="1316">
        <f>+H75*N74</f>
        <v>0</v>
      </c>
      <c r="L75" s="991">
        <f>+L74+E75-H75</f>
        <v>0</v>
      </c>
      <c r="M75" s="60">
        <f>+M74+G75-K75</f>
        <v>0</v>
      </c>
      <c r="N75" s="975">
        <f>+IF(L75=0,0,M75/L75)</f>
        <v>0</v>
      </c>
      <c r="O75" s="976">
        <f>IF(J75-K75&gt;0,J75-K75,0)</f>
        <v>0</v>
      </c>
      <c r="P75" s="976">
        <f>IF(J75-K75&lt;0,J75-K75,0)</f>
        <v>0</v>
      </c>
      <c r="Q75" s="55">
        <f t="shared" si="73"/>
        <v>0</v>
      </c>
      <c r="R75" s="55">
        <f t="shared" si="74"/>
        <v>0</v>
      </c>
      <c r="S75" s="55">
        <f t="shared" si="75"/>
        <v>0</v>
      </c>
    </row>
    <row r="76" spans="1:19" s="21" customFormat="1" ht="10.5" customHeight="1">
      <c r="A76" s="20" t="s">
        <v>244</v>
      </c>
      <c r="B76" s="995">
        <f>+B75</f>
        <v>0</v>
      </c>
      <c r="C76" s="986" t="s">
        <v>247</v>
      </c>
      <c r="D76" s="987">
        <f>+$K$1</f>
        <v>46022</v>
      </c>
      <c r="E76" s="988">
        <f>SUM(E73:E75)</f>
        <v>0</v>
      </c>
      <c r="F76" s="988">
        <f>+IF(E76=0,0,G76/E76)</f>
        <v>0</v>
      </c>
      <c r="G76" s="988">
        <f>SUM(G72:G75)</f>
        <v>0</v>
      </c>
      <c r="H76" s="989">
        <f>SUM(H72:H75)</f>
        <v>0</v>
      </c>
      <c r="I76" s="988">
        <f>+IF(H76=0,0,J76/H76)</f>
        <v>0</v>
      </c>
      <c r="J76" s="990">
        <f>SUM(J72:J75)</f>
        <v>0</v>
      </c>
      <c r="K76" s="990">
        <f>SUM(K72:K75)</f>
        <v>0</v>
      </c>
      <c r="L76" s="988">
        <f>+L75</f>
        <v>0</v>
      </c>
      <c r="M76" s="988">
        <f>+M75</f>
        <v>0</v>
      </c>
      <c r="N76" s="992">
        <f t="shared" ref="N76" si="76">+IF(L76=0,0,M76/L76)</f>
        <v>0</v>
      </c>
      <c r="O76" s="990">
        <f>SUM(O72:O75)</f>
        <v>0</v>
      </c>
      <c r="P76" s="990">
        <f>SUM(P72:P75)</f>
        <v>0</v>
      </c>
      <c r="Q76" s="145">
        <f t="shared" si="73"/>
        <v>0</v>
      </c>
      <c r="R76" s="145">
        <f t="shared" si="74"/>
        <v>0</v>
      </c>
      <c r="S76" s="145">
        <f t="shared" si="75"/>
        <v>0</v>
      </c>
    </row>
    <row r="77" spans="1:19">
      <c r="A77" s="20" t="s">
        <v>244</v>
      </c>
      <c r="B77" s="1318"/>
      <c r="C77" s="1308" t="s">
        <v>243</v>
      </c>
      <c r="D77" s="1309"/>
      <c r="E77" s="1310"/>
      <c r="F77" s="1311"/>
      <c r="G77" s="1310"/>
      <c r="H77" s="1312"/>
      <c r="I77" s="1311"/>
      <c r="J77" s="1310"/>
      <c r="K77" s="1313"/>
      <c r="L77" s="1314"/>
      <c r="M77" s="1315"/>
      <c r="N77" s="975"/>
      <c r="O77" s="976"/>
      <c r="P77" s="976"/>
      <c r="Q77" s="55">
        <f t="shared" si="73"/>
        <v>0</v>
      </c>
      <c r="R77" s="55">
        <f t="shared" si="74"/>
        <v>0</v>
      </c>
      <c r="S77" s="55">
        <f t="shared" si="75"/>
        <v>0</v>
      </c>
    </row>
    <row r="78" spans="1:19">
      <c r="A78" s="20" t="s">
        <v>244</v>
      </c>
      <c r="B78" s="974"/>
      <c r="C78" s="978"/>
      <c r="D78" s="91"/>
      <c r="E78" s="979"/>
      <c r="F78" s="980">
        <f>IF(E78=0,0,G78/E78)</f>
        <v>0</v>
      </c>
      <c r="G78" s="979"/>
      <c r="H78" s="981"/>
      <c r="I78" s="980">
        <f>IF(H78=0,0,J78/H78)</f>
        <v>0</v>
      </c>
      <c r="J78" s="979"/>
      <c r="K78" s="1316">
        <f>+H78*N77</f>
        <v>0</v>
      </c>
      <c r="L78" s="991">
        <f>+L77+E78-H78</f>
        <v>0</v>
      </c>
      <c r="M78" s="60">
        <f>+M77+G78-K78</f>
        <v>0</v>
      </c>
      <c r="N78" s="975">
        <f>+IF(L78=0,0,M78/L78)</f>
        <v>0</v>
      </c>
      <c r="O78" s="976">
        <f>IF(J78-K78&gt;0,J78-K78,0)</f>
        <v>0</v>
      </c>
      <c r="P78" s="976">
        <f>IF(J78-K78&lt;0,J78-K78,0)</f>
        <v>0</v>
      </c>
      <c r="Q78" s="55">
        <f t="shared" si="73"/>
        <v>0</v>
      </c>
      <c r="R78" s="55">
        <f t="shared" si="74"/>
        <v>0</v>
      </c>
      <c r="S78" s="55">
        <f t="shared" si="75"/>
        <v>0</v>
      </c>
    </row>
    <row r="79" spans="1:19">
      <c r="A79" s="20" t="s">
        <v>244</v>
      </c>
      <c r="B79" s="974"/>
      <c r="C79" s="978"/>
      <c r="D79" s="91"/>
      <c r="E79" s="979"/>
      <c r="F79" s="980">
        <f t="shared" ref="F79:F82" si="77">IF(E79=0,0,G79/E79)</f>
        <v>0</v>
      </c>
      <c r="G79" s="979"/>
      <c r="H79" s="981"/>
      <c r="I79" s="980">
        <f t="shared" ref="I79:I82" si="78">IF(H79=0,0,J79/H79)</f>
        <v>0</v>
      </c>
      <c r="J79" s="981"/>
      <c r="K79" s="1316">
        <f t="shared" ref="K79:K82" si="79">+H79*N78</f>
        <v>0</v>
      </c>
      <c r="L79" s="991">
        <f t="shared" ref="L79:L81" si="80">+L78+E79-H79</f>
        <v>0</v>
      </c>
      <c r="M79" s="60">
        <f t="shared" ref="M79:M82" si="81">+M78+G79-K79</f>
        <v>0</v>
      </c>
      <c r="N79" s="975">
        <f t="shared" ref="N79:N82" si="82">+IF(L79=0,0,M79/L79)</f>
        <v>0</v>
      </c>
      <c r="O79" s="976">
        <f t="shared" ref="O79:O82" si="83">IF(J79-K79&gt;0,J79-K79,0)</f>
        <v>0</v>
      </c>
      <c r="P79" s="976">
        <f t="shared" ref="P79:P82" si="84">IF(J79-K79&lt;0,J79-K79,0)</f>
        <v>0</v>
      </c>
      <c r="Q79" s="55">
        <f t="shared" ref="Q79:Q82" si="85">+J79-K79</f>
        <v>0</v>
      </c>
      <c r="R79" s="55">
        <f t="shared" ref="R79:R82" si="86">+O79+P79</f>
        <v>0</v>
      </c>
      <c r="S79" s="55">
        <f t="shared" ref="S79:S82" si="87">+Q79-R79</f>
        <v>0</v>
      </c>
    </row>
    <row r="80" spans="1:19">
      <c r="A80" s="20"/>
      <c r="B80" s="974"/>
      <c r="C80" s="978"/>
      <c r="D80" s="91"/>
      <c r="E80" s="979"/>
      <c r="F80" s="980">
        <f t="shared" si="77"/>
        <v>0</v>
      </c>
      <c r="G80" s="979"/>
      <c r="H80" s="981"/>
      <c r="I80" s="980">
        <f t="shared" si="78"/>
        <v>0</v>
      </c>
      <c r="J80" s="981"/>
      <c r="K80" s="1316">
        <f t="shared" si="79"/>
        <v>0</v>
      </c>
      <c r="L80" s="991">
        <f t="shared" si="80"/>
        <v>0</v>
      </c>
      <c r="M80" s="60">
        <f t="shared" si="81"/>
        <v>0</v>
      </c>
      <c r="N80" s="975">
        <f t="shared" si="82"/>
        <v>0</v>
      </c>
      <c r="O80" s="976">
        <f t="shared" si="83"/>
        <v>0</v>
      </c>
      <c r="P80" s="976">
        <f t="shared" si="84"/>
        <v>0</v>
      </c>
      <c r="Q80" s="55">
        <f t="shared" si="85"/>
        <v>0</v>
      </c>
      <c r="R80" s="55">
        <f t="shared" si="86"/>
        <v>0</v>
      </c>
      <c r="S80" s="55">
        <f t="shared" si="87"/>
        <v>0</v>
      </c>
    </row>
    <row r="81" spans="1:19">
      <c r="A81" s="20"/>
      <c r="B81" s="974"/>
      <c r="C81" s="978"/>
      <c r="D81" s="91"/>
      <c r="E81" s="979"/>
      <c r="F81" s="980">
        <f t="shared" si="77"/>
        <v>0</v>
      </c>
      <c r="G81" s="979"/>
      <c r="H81" s="981"/>
      <c r="I81" s="980">
        <f t="shared" si="78"/>
        <v>0</v>
      </c>
      <c r="J81" s="981"/>
      <c r="K81" s="1316">
        <f t="shared" si="79"/>
        <v>0</v>
      </c>
      <c r="L81" s="991">
        <f t="shared" si="80"/>
        <v>0</v>
      </c>
      <c r="M81" s="60">
        <f t="shared" si="81"/>
        <v>0</v>
      </c>
      <c r="N81" s="975">
        <f t="shared" si="82"/>
        <v>0</v>
      </c>
      <c r="O81" s="976">
        <f t="shared" si="83"/>
        <v>0</v>
      </c>
      <c r="P81" s="976">
        <f t="shared" si="84"/>
        <v>0</v>
      </c>
      <c r="Q81" s="55">
        <f t="shared" si="85"/>
        <v>0</v>
      </c>
      <c r="R81" s="55">
        <f t="shared" si="86"/>
        <v>0</v>
      </c>
      <c r="S81" s="55">
        <f t="shared" si="87"/>
        <v>0</v>
      </c>
    </row>
    <row r="82" spans="1:19">
      <c r="A82" s="20" t="s">
        <v>244</v>
      </c>
      <c r="B82" s="974"/>
      <c r="C82" s="978"/>
      <c r="D82" s="91"/>
      <c r="E82" s="979"/>
      <c r="F82" s="980">
        <f t="shared" si="77"/>
        <v>0</v>
      </c>
      <c r="G82" s="979"/>
      <c r="H82" s="981"/>
      <c r="I82" s="980">
        <f t="shared" si="78"/>
        <v>0</v>
      </c>
      <c r="J82" s="981"/>
      <c r="K82" s="1316">
        <f t="shared" si="79"/>
        <v>0</v>
      </c>
      <c r="L82" s="991">
        <f>+L81+E82-H82</f>
        <v>0</v>
      </c>
      <c r="M82" s="60">
        <f t="shared" si="81"/>
        <v>0</v>
      </c>
      <c r="N82" s="975">
        <f t="shared" si="82"/>
        <v>0</v>
      </c>
      <c r="O82" s="976">
        <f t="shared" si="83"/>
        <v>0</v>
      </c>
      <c r="P82" s="976">
        <f t="shared" si="84"/>
        <v>0</v>
      </c>
      <c r="Q82" s="55">
        <f t="shared" si="85"/>
        <v>0</v>
      </c>
      <c r="R82" s="55">
        <f t="shared" si="86"/>
        <v>0</v>
      </c>
      <c r="S82" s="55">
        <f t="shared" si="87"/>
        <v>0</v>
      </c>
    </row>
    <row r="83" spans="1:19" s="21" customFormat="1" ht="10.5" customHeight="1">
      <c r="A83" s="20" t="s">
        <v>244</v>
      </c>
      <c r="B83" s="995">
        <f>B82</f>
        <v>0</v>
      </c>
      <c r="C83" s="986" t="s">
        <v>247</v>
      </c>
      <c r="D83" s="987">
        <f>+$K$1</f>
        <v>46022</v>
      </c>
      <c r="E83" s="988">
        <f>SUM(E78:E82)</f>
        <v>0</v>
      </c>
      <c r="F83" s="988">
        <f>+IF(E83=0,0,G83/E83)</f>
        <v>0</v>
      </c>
      <c r="G83" s="988">
        <f>SUM(G77:G82)</f>
        <v>0</v>
      </c>
      <c r="H83" s="989">
        <f>SUM(H77:H82)</f>
        <v>0</v>
      </c>
      <c r="I83" s="988">
        <f>+IF(H83=0,0,J83/H83)</f>
        <v>0</v>
      </c>
      <c r="J83" s="990">
        <f>SUM(J77:J82)</f>
        <v>0</v>
      </c>
      <c r="K83" s="990">
        <f>SUM(K77:K82)</f>
        <v>0</v>
      </c>
      <c r="L83" s="988">
        <f>+L82</f>
        <v>0</v>
      </c>
      <c r="M83" s="988">
        <f>+M82</f>
        <v>0</v>
      </c>
      <c r="N83" s="992">
        <f t="shared" ref="N83" si="88">+IF(L83=0,0,M83/L83)</f>
        <v>0</v>
      </c>
      <c r="O83" s="990">
        <f>SUM(O77:O82)</f>
        <v>0</v>
      </c>
      <c r="P83" s="990">
        <f>SUM(P77:P82)</f>
        <v>0</v>
      </c>
      <c r="Q83" s="145">
        <f t="shared" si="73"/>
        <v>0</v>
      </c>
      <c r="R83" s="145">
        <f t="shared" si="74"/>
        <v>0</v>
      </c>
      <c r="S83" s="145">
        <f t="shared" si="75"/>
        <v>0</v>
      </c>
    </row>
    <row r="84" spans="1:19">
      <c r="A84" s="20" t="s">
        <v>244</v>
      </c>
      <c r="B84" s="1318"/>
      <c r="C84" s="1308"/>
      <c r="D84" s="1309"/>
      <c r="E84" s="1310"/>
      <c r="F84" s="1311"/>
      <c r="G84" s="1310"/>
      <c r="H84" s="1312"/>
      <c r="I84" s="1311"/>
      <c r="J84" s="1310"/>
      <c r="K84" s="1313"/>
      <c r="L84" s="1314"/>
      <c r="M84" s="1315"/>
      <c r="N84" s="975"/>
      <c r="O84" s="976"/>
      <c r="P84" s="976"/>
      <c r="Q84" s="55">
        <f t="shared" si="73"/>
        <v>0</v>
      </c>
      <c r="R84" s="55">
        <f t="shared" si="74"/>
        <v>0</v>
      </c>
      <c r="S84" s="55">
        <f t="shared" si="75"/>
        <v>0</v>
      </c>
    </row>
    <row r="85" spans="1:19">
      <c r="A85" s="20" t="s">
        <v>244</v>
      </c>
      <c r="B85" s="974"/>
      <c r="C85" s="978"/>
      <c r="D85" s="91"/>
      <c r="E85" s="979"/>
      <c r="F85" s="980">
        <f>IF(E85=0,0,G85/E85)</f>
        <v>0</v>
      </c>
      <c r="G85" s="979"/>
      <c r="H85" s="981"/>
      <c r="I85" s="980">
        <f>IF(H85=0,0,J85/H85)</f>
        <v>0</v>
      </c>
      <c r="J85" s="979"/>
      <c r="K85" s="1316">
        <f>+H85*N84</f>
        <v>0</v>
      </c>
      <c r="L85" s="991">
        <f>+L84+E85-H85</f>
        <v>0</v>
      </c>
      <c r="M85" s="60">
        <f>+M84+G85-K85</f>
        <v>0</v>
      </c>
      <c r="N85" s="975">
        <f>+IF(L85=0,0,M85/L85)</f>
        <v>0</v>
      </c>
      <c r="O85" s="976">
        <f>IF(J85-K85&gt;0,J85-K85,0)</f>
        <v>0</v>
      </c>
      <c r="P85" s="976">
        <f>IF(J85-K85&lt;0,J85-K85,0)</f>
        <v>0</v>
      </c>
      <c r="Q85" s="55">
        <f t="shared" si="73"/>
        <v>0</v>
      </c>
      <c r="R85" s="55">
        <f t="shared" si="74"/>
        <v>0</v>
      </c>
      <c r="S85" s="55">
        <f t="shared" si="75"/>
        <v>0</v>
      </c>
    </row>
    <row r="86" spans="1:19">
      <c r="A86" s="20" t="s">
        <v>244</v>
      </c>
      <c r="B86" s="974"/>
      <c r="C86" s="978"/>
      <c r="D86" s="91"/>
      <c r="E86" s="979"/>
      <c r="F86" s="980">
        <f>IF(E86=0,0,G86/E86)</f>
        <v>0</v>
      </c>
      <c r="G86" s="979"/>
      <c r="H86" s="981"/>
      <c r="I86" s="980">
        <f>IF(H86=0,0,J86/H86)</f>
        <v>0</v>
      </c>
      <c r="J86" s="981"/>
      <c r="K86" s="1316">
        <f>+H86*N85</f>
        <v>0</v>
      </c>
      <c r="L86" s="991">
        <f>+L85+E86-H86</f>
        <v>0</v>
      </c>
      <c r="M86" s="60">
        <f>+M85+G86-K86</f>
        <v>0</v>
      </c>
      <c r="N86" s="975">
        <f>+IF(L86=0,0,M86/L86)</f>
        <v>0</v>
      </c>
      <c r="O86" s="976">
        <f>IF(J86-K86&gt;0,J86-K86,0)</f>
        <v>0</v>
      </c>
      <c r="P86" s="976">
        <f>IF(J86-K86&lt;0,J86-K86,0)</f>
        <v>0</v>
      </c>
      <c r="Q86" s="55">
        <f t="shared" si="73"/>
        <v>0</v>
      </c>
      <c r="R86" s="55">
        <f t="shared" si="74"/>
        <v>0</v>
      </c>
      <c r="S86" s="55">
        <f t="shared" si="75"/>
        <v>0</v>
      </c>
    </row>
    <row r="87" spans="1:19">
      <c r="A87" s="20"/>
      <c r="B87" s="974"/>
      <c r="C87" s="978"/>
      <c r="D87" s="91"/>
      <c r="E87" s="979"/>
      <c r="F87" s="980">
        <f t="shared" ref="F87:F90" si="89">IF(E87=0,0,G87/E87)</f>
        <v>0</v>
      </c>
      <c r="G87" s="979"/>
      <c r="H87" s="981"/>
      <c r="I87" s="980">
        <f t="shared" ref="I87:I90" si="90">IF(H87=0,0,J87/H87)</f>
        <v>0</v>
      </c>
      <c r="J87" s="981"/>
      <c r="K87" s="1316">
        <f t="shared" ref="K87:K90" si="91">+H87*N86</f>
        <v>0</v>
      </c>
      <c r="L87" s="991">
        <f t="shared" ref="L87:L90" si="92">+L86+E87-H87</f>
        <v>0</v>
      </c>
      <c r="M87" s="60">
        <f t="shared" ref="M87:M90" si="93">+M86+G87-K87</f>
        <v>0</v>
      </c>
      <c r="N87" s="975">
        <f t="shared" ref="N87:N90" si="94">+IF(L87=0,0,M87/L87)</f>
        <v>0</v>
      </c>
      <c r="O87" s="976">
        <f t="shared" ref="O87:O90" si="95">IF(J87-K87&gt;0,J87-K87,0)</f>
        <v>0</v>
      </c>
      <c r="P87" s="976">
        <f t="shared" ref="P87:P90" si="96">IF(J87-K87&lt;0,J87-K87,0)</f>
        <v>0</v>
      </c>
      <c r="Q87" s="55">
        <f t="shared" ref="Q87:Q90" si="97">+J87-K87</f>
        <v>0</v>
      </c>
      <c r="R87" s="55">
        <f t="shared" ref="R87:R90" si="98">+O87+P87</f>
        <v>0</v>
      </c>
      <c r="S87" s="55"/>
    </row>
    <row r="88" spans="1:19">
      <c r="A88" s="20"/>
      <c r="B88" s="974"/>
      <c r="C88" s="978"/>
      <c r="D88" s="91"/>
      <c r="E88" s="979"/>
      <c r="F88" s="980">
        <f t="shared" si="89"/>
        <v>0</v>
      </c>
      <c r="G88" s="979"/>
      <c r="H88" s="981"/>
      <c r="I88" s="980">
        <f t="shared" si="90"/>
        <v>0</v>
      </c>
      <c r="J88" s="981"/>
      <c r="K88" s="1316">
        <f t="shared" si="91"/>
        <v>0</v>
      </c>
      <c r="L88" s="991">
        <f t="shared" si="92"/>
        <v>0</v>
      </c>
      <c r="M88" s="60">
        <f t="shared" si="93"/>
        <v>0</v>
      </c>
      <c r="N88" s="975">
        <f t="shared" si="94"/>
        <v>0</v>
      </c>
      <c r="O88" s="976">
        <f t="shared" si="95"/>
        <v>0</v>
      </c>
      <c r="P88" s="976">
        <f t="shared" si="96"/>
        <v>0</v>
      </c>
      <c r="Q88" s="55">
        <f t="shared" si="97"/>
        <v>0</v>
      </c>
      <c r="R88" s="55">
        <f t="shared" si="98"/>
        <v>0</v>
      </c>
      <c r="S88" s="55"/>
    </row>
    <row r="89" spans="1:19">
      <c r="A89" s="20"/>
      <c r="B89" s="974"/>
      <c r="C89" s="978"/>
      <c r="D89" s="91"/>
      <c r="E89" s="979"/>
      <c r="F89" s="980">
        <f t="shared" si="89"/>
        <v>0</v>
      </c>
      <c r="G89" s="979"/>
      <c r="H89" s="981"/>
      <c r="I89" s="980">
        <f t="shared" si="90"/>
        <v>0</v>
      </c>
      <c r="J89" s="981"/>
      <c r="K89" s="1316">
        <f t="shared" si="91"/>
        <v>0</v>
      </c>
      <c r="L89" s="991">
        <f t="shared" si="92"/>
        <v>0</v>
      </c>
      <c r="M89" s="60">
        <f t="shared" si="93"/>
        <v>0</v>
      </c>
      <c r="N89" s="975">
        <f t="shared" si="94"/>
        <v>0</v>
      </c>
      <c r="O89" s="976">
        <f t="shared" si="95"/>
        <v>0</v>
      </c>
      <c r="P89" s="976">
        <f t="shared" si="96"/>
        <v>0</v>
      </c>
      <c r="Q89" s="55">
        <f t="shared" si="97"/>
        <v>0</v>
      </c>
      <c r="R89" s="55">
        <f t="shared" si="98"/>
        <v>0</v>
      </c>
      <c r="S89" s="55"/>
    </row>
    <row r="90" spans="1:19">
      <c r="A90" s="20" t="s">
        <v>244</v>
      </c>
      <c r="B90" s="974"/>
      <c r="C90" s="978"/>
      <c r="D90" s="91"/>
      <c r="E90" s="979"/>
      <c r="F90" s="980">
        <f t="shared" si="89"/>
        <v>0</v>
      </c>
      <c r="G90" s="979"/>
      <c r="H90" s="981"/>
      <c r="I90" s="980">
        <f t="shared" si="90"/>
        <v>0</v>
      </c>
      <c r="J90" s="981"/>
      <c r="K90" s="1316">
        <f t="shared" si="91"/>
        <v>0</v>
      </c>
      <c r="L90" s="991">
        <f t="shared" si="92"/>
        <v>0</v>
      </c>
      <c r="M90" s="60">
        <f t="shared" si="93"/>
        <v>0</v>
      </c>
      <c r="N90" s="975">
        <f t="shared" si="94"/>
        <v>0</v>
      </c>
      <c r="O90" s="976">
        <f t="shared" si="95"/>
        <v>0</v>
      </c>
      <c r="P90" s="976">
        <f t="shared" si="96"/>
        <v>0</v>
      </c>
      <c r="Q90" s="55">
        <f t="shared" si="97"/>
        <v>0</v>
      </c>
      <c r="R90" s="55">
        <f t="shared" si="98"/>
        <v>0</v>
      </c>
      <c r="S90" s="55">
        <f t="shared" si="75"/>
        <v>0</v>
      </c>
    </row>
    <row r="91" spans="1:19" s="21" customFormat="1" ht="10.5" customHeight="1">
      <c r="A91" s="20" t="s">
        <v>244</v>
      </c>
      <c r="B91" s="995">
        <f>B90</f>
        <v>0</v>
      </c>
      <c r="C91" s="986" t="s">
        <v>247</v>
      </c>
      <c r="D91" s="987">
        <f>+$K$1</f>
        <v>46022</v>
      </c>
      <c r="E91" s="988">
        <f>SUM(E85:E90)</f>
        <v>0</v>
      </c>
      <c r="F91" s="988">
        <f>+IF(E91=0,0,G91/E91)</f>
        <v>0</v>
      </c>
      <c r="G91" s="988">
        <f>SUM(G84:G90)</f>
        <v>0</v>
      </c>
      <c r="H91" s="989">
        <f>SUM(H84:H90)</f>
        <v>0</v>
      </c>
      <c r="I91" s="988">
        <f>+IF(H91=0,0,J91/H91)</f>
        <v>0</v>
      </c>
      <c r="J91" s="990">
        <f>SUM(J84:J90)</f>
        <v>0</v>
      </c>
      <c r="K91" s="990">
        <f>SUM(K84:K90)</f>
        <v>0</v>
      </c>
      <c r="L91" s="988">
        <f>+L90</f>
        <v>0</v>
      </c>
      <c r="M91" s="988">
        <f>+M90</f>
        <v>0</v>
      </c>
      <c r="N91" s="992">
        <f t="shared" ref="N91" si="99">+IF(L91=0,0,M91/L91)</f>
        <v>0</v>
      </c>
      <c r="O91" s="990">
        <f>SUM(O84:O90)</f>
        <v>0</v>
      </c>
      <c r="P91" s="990">
        <f>SUM(P84:P90)</f>
        <v>0</v>
      </c>
      <c r="Q91" s="145">
        <f t="shared" si="73"/>
        <v>0</v>
      </c>
      <c r="R91" s="145">
        <f t="shared" si="74"/>
        <v>0</v>
      </c>
      <c r="S91" s="145">
        <f t="shared" si="75"/>
        <v>0</v>
      </c>
    </row>
    <row r="92" spans="1:19">
      <c r="A92" s="20" t="s">
        <v>244</v>
      </c>
      <c r="B92" s="1318"/>
      <c r="C92" s="1308" t="s">
        <v>243</v>
      </c>
      <c r="D92" s="1309"/>
      <c r="E92" s="1310"/>
      <c r="F92" s="1311"/>
      <c r="G92" s="1310"/>
      <c r="H92" s="1312"/>
      <c r="I92" s="1311"/>
      <c r="J92" s="1310"/>
      <c r="K92" s="1313"/>
      <c r="L92" s="1314"/>
      <c r="M92" s="1315"/>
      <c r="N92" s="975"/>
      <c r="O92" s="976"/>
      <c r="P92" s="976"/>
      <c r="Q92" s="55">
        <f t="shared" si="73"/>
        <v>0</v>
      </c>
      <c r="R92" s="55">
        <f t="shared" si="74"/>
        <v>0</v>
      </c>
      <c r="S92" s="55">
        <f t="shared" si="75"/>
        <v>0</v>
      </c>
    </row>
    <row r="93" spans="1:19">
      <c r="A93" s="20" t="s">
        <v>244</v>
      </c>
      <c r="B93" s="974"/>
      <c r="C93" s="978"/>
      <c r="D93" s="91"/>
      <c r="E93" s="979"/>
      <c r="F93" s="980">
        <f>IF(E93=0,0,G93/E93)</f>
        <v>0</v>
      </c>
      <c r="G93" s="979"/>
      <c r="H93" s="981"/>
      <c r="I93" s="980">
        <f>IF(H93=0,0,J93/H93)</f>
        <v>0</v>
      </c>
      <c r="J93" s="979"/>
      <c r="K93" s="1316">
        <f>+H93*N92</f>
        <v>0</v>
      </c>
      <c r="L93" s="991">
        <f>+L92+E93-H93</f>
        <v>0</v>
      </c>
      <c r="M93" s="60">
        <f>+M92+G93-K93</f>
        <v>0</v>
      </c>
      <c r="N93" s="975">
        <f>+IF(L93=0,0,M93/L93)</f>
        <v>0</v>
      </c>
      <c r="O93" s="976">
        <f>IF(J93-K93&gt;0,J93-K93,0)</f>
        <v>0</v>
      </c>
      <c r="P93" s="976">
        <f>IF(J93-K93&lt;0,J93-K93,0)</f>
        <v>0</v>
      </c>
      <c r="Q93" s="55">
        <f t="shared" si="73"/>
        <v>0</v>
      </c>
      <c r="R93" s="55">
        <f t="shared" si="74"/>
        <v>0</v>
      </c>
      <c r="S93" s="55">
        <f t="shared" si="75"/>
        <v>0</v>
      </c>
    </row>
    <row r="94" spans="1:19">
      <c r="A94" s="20" t="s">
        <v>244</v>
      </c>
      <c r="B94" s="974"/>
      <c r="C94" s="978"/>
      <c r="D94" s="91"/>
      <c r="E94" s="979"/>
      <c r="F94" s="980">
        <f>IF(E94=0,0,G94/E94)</f>
        <v>0</v>
      </c>
      <c r="G94" s="979"/>
      <c r="H94" s="981"/>
      <c r="I94" s="980">
        <f>IF(H94=0,0,J94/H94)</f>
        <v>0</v>
      </c>
      <c r="J94" s="981"/>
      <c r="K94" s="1316">
        <f>+H94*N93</f>
        <v>0</v>
      </c>
      <c r="L94" s="991">
        <f>+L93+E94-H94</f>
        <v>0</v>
      </c>
      <c r="M94" s="60">
        <f>+M93+G94-K94</f>
        <v>0</v>
      </c>
      <c r="N94" s="975">
        <f>+IF(L94=0,0,M94/L94)</f>
        <v>0</v>
      </c>
      <c r="O94" s="976">
        <f>IF(J94-K94&gt;0,J94-K94,0)</f>
        <v>0</v>
      </c>
      <c r="P94" s="976">
        <f>IF(J94-K94&lt;0,J94-K94,0)</f>
        <v>0</v>
      </c>
      <c r="Q94" s="55">
        <f t="shared" si="73"/>
        <v>0</v>
      </c>
      <c r="R94" s="55">
        <f t="shared" si="74"/>
        <v>0</v>
      </c>
      <c r="S94" s="55">
        <f t="shared" si="75"/>
        <v>0</v>
      </c>
    </row>
    <row r="95" spans="1:19">
      <c r="A95" s="20"/>
      <c r="B95" s="974"/>
      <c r="C95" s="978"/>
      <c r="D95" s="91"/>
      <c r="E95" s="979"/>
      <c r="F95" s="980">
        <f t="shared" ref="F95:F98" si="100">IF(E95=0,0,G95/E95)</f>
        <v>0</v>
      </c>
      <c r="G95" s="979"/>
      <c r="H95" s="981"/>
      <c r="I95" s="980">
        <f t="shared" ref="I95:I97" si="101">IF(H95=0,0,J95/H95)</f>
        <v>0</v>
      </c>
      <c r="J95" s="981"/>
      <c r="K95" s="1316">
        <f t="shared" ref="K95:K98" si="102">+H95*N94</f>
        <v>0</v>
      </c>
      <c r="L95" s="991">
        <f t="shared" ref="L95:L98" si="103">+L94+E95-H95</f>
        <v>0</v>
      </c>
      <c r="M95" s="60">
        <f t="shared" ref="M95:M98" si="104">+M94+G95-K95</f>
        <v>0</v>
      </c>
      <c r="N95" s="975">
        <f t="shared" ref="N95:N98" si="105">+IF(L95=0,0,M95/L95)</f>
        <v>0</v>
      </c>
      <c r="O95" s="976">
        <f t="shared" ref="O95:O98" si="106">IF(J95-K95&gt;0,J95-K95,0)</f>
        <v>0</v>
      </c>
      <c r="P95" s="976">
        <f t="shared" ref="P95:P98" si="107">IF(J95-K95&lt;0,J95-K95,0)</f>
        <v>0</v>
      </c>
      <c r="Q95" s="55">
        <f t="shared" ref="Q95:Q98" si="108">+J95-K95</f>
        <v>0</v>
      </c>
      <c r="R95" s="55">
        <f t="shared" ref="R95:R98" si="109">+O95+P95</f>
        <v>0</v>
      </c>
      <c r="S95" s="55">
        <f t="shared" ref="S95:S98" si="110">+Q95-R95</f>
        <v>0</v>
      </c>
    </row>
    <row r="96" spans="1:19">
      <c r="A96" s="20"/>
      <c r="B96" s="974"/>
      <c r="C96" s="978"/>
      <c r="D96" s="91"/>
      <c r="E96" s="979"/>
      <c r="F96" s="980">
        <f t="shared" si="100"/>
        <v>0</v>
      </c>
      <c r="G96" s="979"/>
      <c r="H96" s="981"/>
      <c r="I96" s="980">
        <f t="shared" si="101"/>
        <v>0</v>
      </c>
      <c r="J96" s="981"/>
      <c r="K96" s="1316">
        <f t="shared" si="102"/>
        <v>0</v>
      </c>
      <c r="L96" s="991">
        <f t="shared" si="103"/>
        <v>0</v>
      </c>
      <c r="M96" s="60">
        <f t="shared" si="104"/>
        <v>0</v>
      </c>
      <c r="N96" s="975">
        <f t="shared" si="105"/>
        <v>0</v>
      </c>
      <c r="O96" s="976">
        <f t="shared" si="106"/>
        <v>0</v>
      </c>
      <c r="P96" s="976">
        <f t="shared" si="107"/>
        <v>0</v>
      </c>
      <c r="Q96" s="55">
        <f t="shared" si="108"/>
        <v>0</v>
      </c>
      <c r="R96" s="55">
        <f t="shared" si="109"/>
        <v>0</v>
      </c>
      <c r="S96" s="55">
        <f t="shared" si="110"/>
        <v>0</v>
      </c>
    </row>
    <row r="97" spans="1:19">
      <c r="A97" s="20"/>
      <c r="B97" s="974"/>
      <c r="C97" s="978"/>
      <c r="D97" s="91"/>
      <c r="E97" s="979"/>
      <c r="F97" s="980">
        <f t="shared" si="100"/>
        <v>0</v>
      </c>
      <c r="G97" s="979"/>
      <c r="H97" s="981"/>
      <c r="I97" s="980">
        <f t="shared" si="101"/>
        <v>0</v>
      </c>
      <c r="J97" s="981"/>
      <c r="K97" s="1316">
        <f t="shared" si="102"/>
        <v>0</v>
      </c>
      <c r="L97" s="991">
        <f t="shared" si="103"/>
        <v>0</v>
      </c>
      <c r="M97" s="60">
        <f t="shared" si="104"/>
        <v>0</v>
      </c>
      <c r="N97" s="975">
        <f t="shared" si="105"/>
        <v>0</v>
      </c>
      <c r="O97" s="976">
        <f t="shared" si="106"/>
        <v>0</v>
      </c>
      <c r="P97" s="976">
        <f t="shared" si="107"/>
        <v>0</v>
      </c>
      <c r="Q97" s="55">
        <f t="shared" si="108"/>
        <v>0</v>
      </c>
      <c r="R97" s="55">
        <f t="shared" si="109"/>
        <v>0</v>
      </c>
      <c r="S97" s="55">
        <f t="shared" si="110"/>
        <v>0</v>
      </c>
    </row>
    <row r="98" spans="1:19">
      <c r="A98" s="20" t="s">
        <v>244</v>
      </c>
      <c r="B98" s="974"/>
      <c r="C98" s="978"/>
      <c r="D98" s="91"/>
      <c r="E98" s="979"/>
      <c r="F98" s="980">
        <f t="shared" si="100"/>
        <v>0</v>
      </c>
      <c r="G98" s="979"/>
      <c r="H98" s="981"/>
      <c r="I98" s="980">
        <f>IF(H98=0,0,J98/H98)</f>
        <v>0</v>
      </c>
      <c r="J98" s="981"/>
      <c r="K98" s="1316">
        <f t="shared" si="102"/>
        <v>0</v>
      </c>
      <c r="L98" s="991">
        <f t="shared" si="103"/>
        <v>0</v>
      </c>
      <c r="M98" s="60">
        <f t="shared" si="104"/>
        <v>0</v>
      </c>
      <c r="N98" s="975">
        <f t="shared" si="105"/>
        <v>0</v>
      </c>
      <c r="O98" s="976">
        <f t="shared" si="106"/>
        <v>0</v>
      </c>
      <c r="P98" s="976">
        <f t="shared" si="107"/>
        <v>0</v>
      </c>
      <c r="Q98" s="55">
        <f t="shared" si="108"/>
        <v>0</v>
      </c>
      <c r="R98" s="55">
        <f t="shared" si="109"/>
        <v>0</v>
      </c>
      <c r="S98" s="55">
        <f t="shared" si="110"/>
        <v>0</v>
      </c>
    </row>
    <row r="99" spans="1:19" s="21" customFormat="1" ht="10.5" customHeight="1">
      <c r="A99" s="20" t="s">
        <v>244</v>
      </c>
      <c r="B99" s="995">
        <f>B98</f>
        <v>0</v>
      </c>
      <c r="C99" s="986" t="s">
        <v>247</v>
      </c>
      <c r="D99" s="987">
        <f>+$K$1</f>
        <v>46022</v>
      </c>
      <c r="E99" s="988">
        <f>SUM(E93:E98)</f>
        <v>0</v>
      </c>
      <c r="F99" s="988">
        <f>+IF(E99=0,0,G99/E99)</f>
        <v>0</v>
      </c>
      <c r="G99" s="988">
        <f>SUM(G92:G98)</f>
        <v>0</v>
      </c>
      <c r="H99" s="989">
        <f>SUM(H92:H98)</f>
        <v>0</v>
      </c>
      <c r="I99" s="988">
        <f>+IF(H99=0,0,J99/H99)</f>
        <v>0</v>
      </c>
      <c r="J99" s="990">
        <f>SUM(J92:J98)</f>
        <v>0</v>
      </c>
      <c r="K99" s="990">
        <f>SUM(K92:K98)</f>
        <v>0</v>
      </c>
      <c r="L99" s="988">
        <f>+L98</f>
        <v>0</v>
      </c>
      <c r="M99" s="988">
        <f>+M98</f>
        <v>0</v>
      </c>
      <c r="N99" s="992">
        <f t="shared" ref="N99" si="111">+IF(L99=0,0,M99/L99)</f>
        <v>0</v>
      </c>
      <c r="O99" s="990">
        <f>SUM(O92:O98)</f>
        <v>0</v>
      </c>
      <c r="P99" s="990">
        <f>SUM(P92:P98)</f>
        <v>0</v>
      </c>
      <c r="Q99" s="145">
        <f t="shared" si="73"/>
        <v>0</v>
      </c>
      <c r="R99" s="145">
        <f t="shared" si="74"/>
        <v>0</v>
      </c>
      <c r="S99" s="145">
        <f t="shared" si="75"/>
        <v>0</v>
      </c>
    </row>
    <row r="100" spans="1:19">
      <c r="A100" s="20" t="s">
        <v>244</v>
      </c>
      <c r="B100" s="1318"/>
      <c r="C100" s="1308" t="s">
        <v>243</v>
      </c>
      <c r="D100" s="1309"/>
      <c r="E100" s="1310"/>
      <c r="F100" s="1311"/>
      <c r="G100" s="1310"/>
      <c r="H100" s="1312"/>
      <c r="I100" s="1311"/>
      <c r="J100" s="1310"/>
      <c r="K100" s="1313"/>
      <c r="L100" s="1314"/>
      <c r="M100" s="1315"/>
      <c r="N100" s="975"/>
      <c r="O100" s="976"/>
      <c r="P100" s="976"/>
      <c r="Q100" s="55">
        <f t="shared" si="61"/>
        <v>0</v>
      </c>
      <c r="R100" s="55">
        <f t="shared" si="62"/>
        <v>0</v>
      </c>
      <c r="S100" s="55">
        <f t="shared" si="63"/>
        <v>0</v>
      </c>
    </row>
    <row r="101" spans="1:19">
      <c r="A101" s="20" t="s">
        <v>244</v>
      </c>
      <c r="B101" s="974"/>
      <c r="C101" s="978"/>
      <c r="D101" s="91"/>
      <c r="E101" s="979"/>
      <c r="F101" s="980">
        <f>IF(E101=0,0,G101/E101)</f>
        <v>0</v>
      </c>
      <c r="G101" s="979"/>
      <c r="H101" s="981"/>
      <c r="I101" s="980">
        <f>IF(H101=0,0,J101/H101)</f>
        <v>0</v>
      </c>
      <c r="J101" s="979"/>
      <c r="K101" s="1316">
        <f>+H101*N100</f>
        <v>0</v>
      </c>
      <c r="L101" s="991">
        <f>+L100+E101-H101</f>
        <v>0</v>
      </c>
      <c r="M101" s="60">
        <f>+M100+G101-K101</f>
        <v>0</v>
      </c>
      <c r="N101" s="975">
        <f>+IF(L101=0,0,M101/L101)</f>
        <v>0</v>
      </c>
      <c r="O101" s="976">
        <f>IF(J101-K101&gt;0,J101-K101,0)</f>
        <v>0</v>
      </c>
      <c r="P101" s="976">
        <f>IF(J101-K101&lt;0,J101-K101,0)</f>
        <v>0</v>
      </c>
      <c r="Q101" s="55">
        <f t="shared" si="61"/>
        <v>0</v>
      </c>
      <c r="R101" s="55">
        <f t="shared" si="62"/>
        <v>0</v>
      </c>
      <c r="S101" s="55">
        <f t="shared" si="63"/>
        <v>0</v>
      </c>
    </row>
    <row r="102" spans="1:19">
      <c r="A102" s="20" t="s">
        <v>244</v>
      </c>
      <c r="B102" s="974"/>
      <c r="C102" s="978"/>
      <c r="D102" s="91"/>
      <c r="E102" s="979"/>
      <c r="F102" s="980">
        <f>IF(E102=0,0,G102/E102)</f>
        <v>0</v>
      </c>
      <c r="G102" s="979"/>
      <c r="H102" s="981"/>
      <c r="I102" s="980">
        <f>IF(H102=0,0,J102/H102)</f>
        <v>0</v>
      </c>
      <c r="J102" s="981"/>
      <c r="K102" s="1316">
        <f>+H102*N101</f>
        <v>0</v>
      </c>
      <c r="L102" s="991">
        <f>+L101+E102-H102</f>
        <v>0</v>
      </c>
      <c r="M102" s="60">
        <f>+M101+G102-K102</f>
        <v>0</v>
      </c>
      <c r="N102" s="975">
        <f>+IF(L102=0,0,M102/L102)</f>
        <v>0</v>
      </c>
      <c r="O102" s="976">
        <f>IF(J102-K102&gt;0,J102-K102,0)</f>
        <v>0</v>
      </c>
      <c r="P102" s="976">
        <f>IF(J102-K102&lt;0,J102-K102,0)</f>
        <v>0</v>
      </c>
      <c r="Q102" s="55">
        <f t="shared" si="61"/>
        <v>0</v>
      </c>
      <c r="R102" s="55">
        <f t="shared" si="62"/>
        <v>0</v>
      </c>
      <c r="S102" s="55">
        <f t="shared" si="63"/>
        <v>0</v>
      </c>
    </row>
    <row r="103" spans="1:19">
      <c r="A103" s="20" t="s">
        <v>244</v>
      </c>
      <c r="B103" s="974"/>
      <c r="C103" s="978"/>
      <c r="D103" s="91"/>
      <c r="E103" s="979"/>
      <c r="F103" s="980">
        <f>IF(E103=0,0,G103/E103)</f>
        <v>0</v>
      </c>
      <c r="G103" s="979"/>
      <c r="H103" s="981"/>
      <c r="I103" s="980">
        <f>IF(H103=0,0,J103/H103)</f>
        <v>0</v>
      </c>
      <c r="J103" s="981"/>
      <c r="K103" s="1316">
        <f>+H103*N102</f>
        <v>0</v>
      </c>
      <c r="L103" s="991">
        <f>+L102+E103-H103</f>
        <v>0</v>
      </c>
      <c r="M103" s="60">
        <f>+M102+G103-K103</f>
        <v>0</v>
      </c>
      <c r="N103" s="975">
        <f>+IF(L103=0,0,M103/L103)</f>
        <v>0</v>
      </c>
      <c r="O103" s="976">
        <f>IF(J103-K103&gt;0,J103-K103,0)</f>
        <v>0</v>
      </c>
      <c r="P103" s="976">
        <f>IF(J103-K103&lt;0,J103-K103,0)</f>
        <v>0</v>
      </c>
      <c r="Q103" s="55">
        <f t="shared" si="61"/>
        <v>0</v>
      </c>
      <c r="R103" s="55">
        <f t="shared" si="62"/>
        <v>0</v>
      </c>
      <c r="S103" s="55">
        <f t="shared" si="63"/>
        <v>0</v>
      </c>
    </row>
    <row r="104" spans="1:19" s="21" customFormat="1" ht="10.5" customHeight="1">
      <c r="A104" s="20" t="s">
        <v>244</v>
      </c>
      <c r="B104" s="995">
        <f>B103</f>
        <v>0</v>
      </c>
      <c r="C104" s="986" t="s">
        <v>247</v>
      </c>
      <c r="D104" s="987">
        <f>+$K$1</f>
        <v>46022</v>
      </c>
      <c r="E104" s="988">
        <f>SUM(E101:E103)</f>
        <v>0</v>
      </c>
      <c r="F104" s="988">
        <f>+IF(E104=0,0,G104/E104)</f>
        <v>0</v>
      </c>
      <c r="G104" s="988">
        <f>SUM(G100:G103)</f>
        <v>0</v>
      </c>
      <c r="H104" s="989">
        <f>SUM(H100:H103)</f>
        <v>0</v>
      </c>
      <c r="I104" s="988">
        <f>+IF(H104=0,0,J104/H104)</f>
        <v>0</v>
      </c>
      <c r="J104" s="990">
        <f>SUM(J100:J103)</f>
        <v>0</v>
      </c>
      <c r="K104" s="990">
        <f>SUM(K100:K103)</f>
        <v>0</v>
      </c>
      <c r="L104" s="988">
        <f>+L103</f>
        <v>0</v>
      </c>
      <c r="M104" s="988">
        <f>+M103</f>
        <v>0</v>
      </c>
      <c r="N104" s="992">
        <f t="shared" ref="N104" si="112">+IF(L104=0,0,M104/L104)</f>
        <v>0</v>
      </c>
      <c r="O104" s="990">
        <f>SUM(O100:O103)</f>
        <v>0</v>
      </c>
      <c r="P104" s="990">
        <f>SUM(P100:P103)</f>
        <v>0</v>
      </c>
      <c r="Q104" s="145">
        <f t="shared" si="61"/>
        <v>0</v>
      </c>
      <c r="R104" s="145">
        <f t="shared" si="62"/>
        <v>0</v>
      </c>
      <c r="S104" s="145">
        <f t="shared" si="63"/>
        <v>0</v>
      </c>
    </row>
    <row r="105" spans="1:19">
      <c r="A105" s="20" t="s">
        <v>244</v>
      </c>
      <c r="B105" s="1318"/>
      <c r="C105" s="1308" t="s">
        <v>243</v>
      </c>
      <c r="D105" s="1309"/>
      <c r="E105" s="1310"/>
      <c r="F105" s="1311"/>
      <c r="G105" s="1310"/>
      <c r="H105" s="1312"/>
      <c r="I105" s="1311"/>
      <c r="J105" s="1310"/>
      <c r="K105" s="1313"/>
      <c r="L105" s="1314"/>
      <c r="M105" s="1315"/>
      <c r="N105" s="975"/>
      <c r="O105" s="976"/>
      <c r="P105" s="976"/>
      <c r="Q105" s="55">
        <f t="shared" si="61"/>
        <v>0</v>
      </c>
      <c r="R105" s="55">
        <f t="shared" si="62"/>
        <v>0</v>
      </c>
      <c r="S105" s="55">
        <f t="shared" si="63"/>
        <v>0</v>
      </c>
    </row>
    <row r="106" spans="1:19">
      <c r="A106" s="20" t="s">
        <v>244</v>
      </c>
      <c r="B106" s="974"/>
      <c r="C106" s="978"/>
      <c r="D106" s="91"/>
      <c r="E106" s="979"/>
      <c r="F106" s="980">
        <f>IF(E106=0,0,G106/E106)</f>
        <v>0</v>
      </c>
      <c r="G106" s="979"/>
      <c r="H106" s="981"/>
      <c r="I106" s="980">
        <f>IF(H106=0,0,J106/H106)</f>
        <v>0</v>
      </c>
      <c r="J106" s="979"/>
      <c r="K106" s="1316">
        <f>+H106*N105</f>
        <v>0</v>
      </c>
      <c r="L106" s="991">
        <f>+L105+E106-H106</f>
        <v>0</v>
      </c>
      <c r="M106" s="60">
        <f>+M105+G106-K106</f>
        <v>0</v>
      </c>
      <c r="N106" s="975">
        <f>+IF(L106=0,0,M106/L106)</f>
        <v>0</v>
      </c>
      <c r="O106" s="976">
        <f>IF(J106-K106&gt;0,J106-K106,0)</f>
        <v>0</v>
      </c>
      <c r="P106" s="976">
        <f>IF(J106-K106&lt;0,J106-K106,0)</f>
        <v>0</v>
      </c>
      <c r="Q106" s="55">
        <f t="shared" si="61"/>
        <v>0</v>
      </c>
      <c r="R106" s="55">
        <f t="shared" si="62"/>
        <v>0</v>
      </c>
      <c r="S106" s="55">
        <f t="shared" si="63"/>
        <v>0</v>
      </c>
    </row>
    <row r="107" spans="1:19">
      <c r="A107" s="20" t="s">
        <v>244</v>
      </c>
      <c r="B107" s="974"/>
      <c r="C107" s="978"/>
      <c r="D107" s="91"/>
      <c r="E107" s="979"/>
      <c r="F107" s="980">
        <f>IF(E107=0,0,G107/E107)</f>
        <v>0</v>
      </c>
      <c r="G107" s="979"/>
      <c r="H107" s="981"/>
      <c r="I107" s="980">
        <f>IF(H107=0,0,J107/H107)</f>
        <v>0</v>
      </c>
      <c r="J107" s="981"/>
      <c r="K107" s="1316">
        <f>+H107*N106</f>
        <v>0</v>
      </c>
      <c r="L107" s="991">
        <f>+L106+E107-H107</f>
        <v>0</v>
      </c>
      <c r="M107" s="60">
        <f>+M106+G107-K107</f>
        <v>0</v>
      </c>
      <c r="N107" s="975">
        <f>+IF(L107=0,0,M107/L107)</f>
        <v>0</v>
      </c>
      <c r="O107" s="976">
        <f>IF(J107-K107&gt;0,J107-K107,0)</f>
        <v>0</v>
      </c>
      <c r="P107" s="976">
        <f>IF(J107-K107&lt;0,J107-K107,0)</f>
        <v>0</v>
      </c>
      <c r="Q107" s="55">
        <f t="shared" si="61"/>
        <v>0</v>
      </c>
      <c r="R107" s="55">
        <f t="shared" si="62"/>
        <v>0</v>
      </c>
      <c r="S107" s="55">
        <f t="shared" si="63"/>
        <v>0</v>
      </c>
    </row>
    <row r="108" spans="1:19">
      <c r="A108" s="20" t="s">
        <v>244</v>
      </c>
      <c r="B108" s="974"/>
      <c r="C108" s="978"/>
      <c r="D108" s="91"/>
      <c r="E108" s="979"/>
      <c r="F108" s="980">
        <f>IF(E108=0,0,G108/E108)</f>
        <v>0</v>
      </c>
      <c r="G108" s="979"/>
      <c r="H108" s="981"/>
      <c r="I108" s="980">
        <f>IF(H108=0,0,J108/H108)</f>
        <v>0</v>
      </c>
      <c r="J108" s="981"/>
      <c r="K108" s="1316">
        <f>+H108*N107</f>
        <v>0</v>
      </c>
      <c r="L108" s="991">
        <f>+L107+E108-H108</f>
        <v>0</v>
      </c>
      <c r="M108" s="60">
        <f>+M107+G108-K108</f>
        <v>0</v>
      </c>
      <c r="N108" s="975">
        <f>+IF(L108=0,0,M108/L108)</f>
        <v>0</v>
      </c>
      <c r="O108" s="976">
        <f>IF(J108-K108&gt;0,J108-K108,0)</f>
        <v>0</v>
      </c>
      <c r="P108" s="976">
        <f>IF(J108-K108&lt;0,J108-K108,0)</f>
        <v>0</v>
      </c>
      <c r="Q108" s="55">
        <f t="shared" si="61"/>
        <v>0</v>
      </c>
      <c r="R108" s="55">
        <f t="shared" si="62"/>
        <v>0</v>
      </c>
      <c r="S108" s="55">
        <f t="shared" si="63"/>
        <v>0</v>
      </c>
    </row>
    <row r="109" spans="1:19" s="21" customFormat="1" ht="10.5" customHeight="1">
      <c r="A109" s="20" t="s">
        <v>244</v>
      </c>
      <c r="B109" s="995">
        <f>B108</f>
        <v>0</v>
      </c>
      <c r="C109" s="986" t="s">
        <v>247</v>
      </c>
      <c r="D109" s="987">
        <f>+$K$1</f>
        <v>46022</v>
      </c>
      <c r="E109" s="988">
        <f>SUM(E106:E108)</f>
        <v>0</v>
      </c>
      <c r="F109" s="988">
        <f>+IF(E109=0,0,G109/E109)</f>
        <v>0</v>
      </c>
      <c r="G109" s="988">
        <f>SUM(G105:G108)</f>
        <v>0</v>
      </c>
      <c r="H109" s="989">
        <f>SUM(H105:H108)</f>
        <v>0</v>
      </c>
      <c r="I109" s="988">
        <f>+IF(H109=0,0,J109/H109)</f>
        <v>0</v>
      </c>
      <c r="J109" s="990">
        <f>SUM(J105:J108)</f>
        <v>0</v>
      </c>
      <c r="K109" s="990">
        <f>SUM(K105:K108)</f>
        <v>0</v>
      </c>
      <c r="L109" s="988">
        <f>+L108</f>
        <v>0</v>
      </c>
      <c r="M109" s="988">
        <f>+M108</f>
        <v>0</v>
      </c>
      <c r="N109" s="992">
        <f t="shared" ref="N109" si="113">+IF(L109=0,0,M109/L109)</f>
        <v>0</v>
      </c>
      <c r="O109" s="990">
        <f>SUM(O105:O108)</f>
        <v>0</v>
      </c>
      <c r="P109" s="990">
        <f>SUM(P105:P108)</f>
        <v>0</v>
      </c>
      <c r="Q109" s="145">
        <f t="shared" si="61"/>
        <v>0</v>
      </c>
      <c r="R109" s="145">
        <f t="shared" si="62"/>
        <v>0</v>
      </c>
      <c r="S109" s="145">
        <f t="shared" si="63"/>
        <v>0</v>
      </c>
    </row>
    <row r="110" spans="1:19">
      <c r="A110" s="20" t="s">
        <v>244</v>
      </c>
      <c r="B110" s="1318"/>
      <c r="C110" s="1308" t="s">
        <v>243</v>
      </c>
      <c r="D110" s="1309"/>
      <c r="E110" s="1310"/>
      <c r="F110" s="1311"/>
      <c r="G110" s="1310"/>
      <c r="H110" s="1312"/>
      <c r="I110" s="1311"/>
      <c r="J110" s="1310"/>
      <c r="K110" s="1313"/>
      <c r="L110" s="1314"/>
      <c r="M110" s="1315"/>
      <c r="N110" s="975"/>
      <c r="O110" s="976"/>
      <c r="P110" s="976"/>
      <c r="Q110" s="55">
        <f t="shared" ref="Q110:Q114" si="114">+J110-K110</f>
        <v>0</v>
      </c>
      <c r="R110" s="55">
        <f t="shared" ref="R110:R114" si="115">+O110+P110</f>
        <v>0</v>
      </c>
      <c r="S110" s="55">
        <f t="shared" ref="S110:S114" si="116">+Q110-R110</f>
        <v>0</v>
      </c>
    </row>
    <row r="111" spans="1:19">
      <c r="A111" s="20" t="s">
        <v>244</v>
      </c>
      <c r="B111" s="974"/>
      <c r="C111" s="978"/>
      <c r="D111" s="91"/>
      <c r="E111" s="979"/>
      <c r="F111" s="980">
        <f>IF(E111=0,0,G111/E111)</f>
        <v>0</v>
      </c>
      <c r="G111" s="979"/>
      <c r="H111" s="981"/>
      <c r="I111" s="980">
        <f>IF(H111=0,0,J111/H111)</f>
        <v>0</v>
      </c>
      <c r="J111" s="979"/>
      <c r="K111" s="1316">
        <f>+H111*N110</f>
        <v>0</v>
      </c>
      <c r="L111" s="991">
        <f>+L110+E111-H111</f>
        <v>0</v>
      </c>
      <c r="M111" s="60">
        <f>+M110+G111-K111</f>
        <v>0</v>
      </c>
      <c r="N111" s="975">
        <f>+IF(L111=0,0,M111/L111)</f>
        <v>0</v>
      </c>
      <c r="O111" s="976">
        <f>IF(J111-K111&gt;0,J111-K111,0)</f>
        <v>0</v>
      </c>
      <c r="P111" s="976">
        <f>IF(J111-K111&lt;0,J111-K111,0)</f>
        <v>0</v>
      </c>
      <c r="Q111" s="55">
        <f t="shared" si="114"/>
        <v>0</v>
      </c>
      <c r="R111" s="55">
        <f t="shared" si="115"/>
        <v>0</v>
      </c>
      <c r="S111" s="55">
        <f t="shared" si="116"/>
        <v>0</v>
      </c>
    </row>
    <row r="112" spans="1:19">
      <c r="A112" s="20" t="s">
        <v>244</v>
      </c>
      <c r="B112" s="974"/>
      <c r="C112" s="978"/>
      <c r="D112" s="91"/>
      <c r="E112" s="979"/>
      <c r="F112" s="980">
        <f>IF(E112=0,0,G112/E112)</f>
        <v>0</v>
      </c>
      <c r="G112" s="979"/>
      <c r="H112" s="981"/>
      <c r="I112" s="980">
        <f>IF(H112=0,0,J112/H112)</f>
        <v>0</v>
      </c>
      <c r="J112" s="981"/>
      <c r="K112" s="1316">
        <f>+H112*N111</f>
        <v>0</v>
      </c>
      <c r="L112" s="991">
        <f>+L111+E112-H112</f>
        <v>0</v>
      </c>
      <c r="M112" s="60">
        <f>+M111+G112-K112</f>
        <v>0</v>
      </c>
      <c r="N112" s="975">
        <f>+IF(L112=0,0,M112/L112)</f>
        <v>0</v>
      </c>
      <c r="O112" s="976">
        <f>IF(J112-K112&gt;0,J112-K112,0)</f>
        <v>0</v>
      </c>
      <c r="P112" s="976">
        <f>IF(J112-K112&lt;0,J112-K112,0)</f>
        <v>0</v>
      </c>
      <c r="Q112" s="55">
        <f t="shared" si="114"/>
        <v>0</v>
      </c>
      <c r="R112" s="55">
        <f t="shared" si="115"/>
        <v>0</v>
      </c>
      <c r="S112" s="55">
        <f t="shared" si="116"/>
        <v>0</v>
      </c>
    </row>
    <row r="113" spans="1:19">
      <c r="A113" s="20" t="s">
        <v>244</v>
      </c>
      <c r="B113" s="974"/>
      <c r="C113" s="978"/>
      <c r="D113" s="91"/>
      <c r="E113" s="979"/>
      <c r="F113" s="980">
        <f>IF(E113=0,0,G113/E113)</f>
        <v>0</v>
      </c>
      <c r="G113" s="979"/>
      <c r="H113" s="981"/>
      <c r="I113" s="980">
        <f>IF(H113=0,0,J113/H113)</f>
        <v>0</v>
      </c>
      <c r="J113" s="981"/>
      <c r="K113" s="1316">
        <f>+H113*N112</f>
        <v>0</v>
      </c>
      <c r="L113" s="991">
        <f>+L112+E113-H113</f>
        <v>0</v>
      </c>
      <c r="M113" s="60">
        <f>+M112+G113-K113</f>
        <v>0</v>
      </c>
      <c r="N113" s="975">
        <f>+IF(L113=0,0,M113/L113)</f>
        <v>0</v>
      </c>
      <c r="O113" s="976">
        <f>IF(J113-K113&gt;0,J113-K113,0)</f>
        <v>0</v>
      </c>
      <c r="P113" s="976">
        <f>IF(J113-K113&lt;0,J113-K113,0)</f>
        <v>0</v>
      </c>
      <c r="Q113" s="55">
        <f t="shared" si="114"/>
        <v>0</v>
      </c>
      <c r="R113" s="55">
        <f t="shared" si="115"/>
        <v>0</v>
      </c>
      <c r="S113" s="55">
        <f t="shared" si="116"/>
        <v>0</v>
      </c>
    </row>
    <row r="114" spans="1:19" s="21" customFormat="1" ht="10.5" customHeight="1">
      <c r="A114" s="20" t="s">
        <v>244</v>
      </c>
      <c r="B114" s="995">
        <f>B113</f>
        <v>0</v>
      </c>
      <c r="C114" s="986" t="s">
        <v>247</v>
      </c>
      <c r="D114" s="987">
        <f>+$K$1</f>
        <v>46022</v>
      </c>
      <c r="E114" s="988">
        <f>SUM(E111:E113)</f>
        <v>0</v>
      </c>
      <c r="F114" s="988">
        <f>+IF(E114=0,0,G114/E114)</f>
        <v>0</v>
      </c>
      <c r="G114" s="988">
        <f>SUM(G110:G113)</f>
        <v>0</v>
      </c>
      <c r="H114" s="989">
        <f>SUM(H110:H113)</f>
        <v>0</v>
      </c>
      <c r="I114" s="988">
        <f>+IF(H114=0,0,J114/H114)</f>
        <v>0</v>
      </c>
      <c r="J114" s="990">
        <f>SUM(J110:J113)</f>
        <v>0</v>
      </c>
      <c r="K114" s="990">
        <f>SUM(K110:K113)</f>
        <v>0</v>
      </c>
      <c r="L114" s="988">
        <f>+L113</f>
        <v>0</v>
      </c>
      <c r="M114" s="988">
        <f>+M113</f>
        <v>0</v>
      </c>
      <c r="N114" s="992">
        <f t="shared" ref="N114" si="117">+IF(L114=0,0,M114/L114)</f>
        <v>0</v>
      </c>
      <c r="O114" s="990">
        <f>SUM(O110:O113)</f>
        <v>0</v>
      </c>
      <c r="P114" s="990">
        <f>SUM(P110:P113)</f>
        <v>0</v>
      </c>
      <c r="Q114" s="145">
        <f t="shared" si="114"/>
        <v>0</v>
      </c>
      <c r="R114" s="145">
        <f t="shared" si="115"/>
        <v>0</v>
      </c>
      <c r="S114" s="145">
        <f t="shared" si="116"/>
        <v>0</v>
      </c>
    </row>
    <row r="115" spans="1:19">
      <c r="A115" s="20" t="s">
        <v>244</v>
      </c>
      <c r="B115" s="1318"/>
      <c r="C115" s="1308" t="s">
        <v>243</v>
      </c>
      <c r="D115" s="1309"/>
      <c r="E115" s="1310"/>
      <c r="F115" s="1311"/>
      <c r="G115" s="1310"/>
      <c r="H115" s="1312"/>
      <c r="I115" s="1311"/>
      <c r="J115" s="1310"/>
      <c r="K115" s="1313"/>
      <c r="L115" s="1314"/>
      <c r="M115" s="1315"/>
      <c r="N115" s="975"/>
      <c r="O115" s="976"/>
      <c r="P115" s="976"/>
      <c r="Q115" s="55">
        <f t="shared" ref="Q115:Q119" si="118">+J115-K115</f>
        <v>0</v>
      </c>
      <c r="R115" s="55">
        <f t="shared" ref="R115:R119" si="119">+O115+P115</f>
        <v>0</v>
      </c>
      <c r="S115" s="55">
        <f t="shared" ref="S115:S119" si="120">+Q115-R115</f>
        <v>0</v>
      </c>
    </row>
    <row r="116" spans="1:19">
      <c r="A116" s="20" t="s">
        <v>244</v>
      </c>
      <c r="B116" s="974"/>
      <c r="C116" s="978"/>
      <c r="D116" s="91"/>
      <c r="E116" s="979"/>
      <c r="F116" s="980">
        <f>IF(E116=0,0,G116/E116)</f>
        <v>0</v>
      </c>
      <c r="G116" s="979"/>
      <c r="H116" s="981"/>
      <c r="I116" s="980">
        <f>IF(H116=0,0,J116/H116)</f>
        <v>0</v>
      </c>
      <c r="J116" s="979"/>
      <c r="K116" s="1316">
        <f>+H116*N115</f>
        <v>0</v>
      </c>
      <c r="L116" s="991">
        <f>+L115+E116-H116</f>
        <v>0</v>
      </c>
      <c r="M116" s="60">
        <f>+M115+G116-K116</f>
        <v>0</v>
      </c>
      <c r="N116" s="975">
        <f>+IF(L116=0,0,M116/L116)</f>
        <v>0</v>
      </c>
      <c r="O116" s="976">
        <f>IF(J116-K116&gt;0,J116-K116,0)</f>
        <v>0</v>
      </c>
      <c r="P116" s="976">
        <f>IF(J116-K116&lt;0,J116-K116,0)</f>
        <v>0</v>
      </c>
      <c r="Q116" s="55">
        <f t="shared" si="118"/>
        <v>0</v>
      </c>
      <c r="R116" s="55">
        <f t="shared" si="119"/>
        <v>0</v>
      </c>
      <c r="S116" s="55">
        <f t="shared" si="120"/>
        <v>0</v>
      </c>
    </row>
    <row r="117" spans="1:19">
      <c r="A117" s="20" t="s">
        <v>244</v>
      </c>
      <c r="B117" s="974"/>
      <c r="C117" s="978"/>
      <c r="D117" s="91"/>
      <c r="E117" s="979"/>
      <c r="F117" s="980">
        <f>IF(E117=0,0,G117/E117)</f>
        <v>0</v>
      </c>
      <c r="G117" s="979"/>
      <c r="H117" s="981"/>
      <c r="I117" s="980">
        <f>IF(H117=0,0,J117/H117)</f>
        <v>0</v>
      </c>
      <c r="J117" s="981"/>
      <c r="K117" s="1316">
        <f>+H117*N116</f>
        <v>0</v>
      </c>
      <c r="L117" s="991">
        <f>+L116+E117-H117</f>
        <v>0</v>
      </c>
      <c r="M117" s="60">
        <f>+M116+G117-K117</f>
        <v>0</v>
      </c>
      <c r="N117" s="975">
        <f>+IF(L117=0,0,M117/L117)</f>
        <v>0</v>
      </c>
      <c r="O117" s="976">
        <f>IF(J117-K117&gt;0,J117-K117,0)</f>
        <v>0</v>
      </c>
      <c r="P117" s="976">
        <f>IF(J117-K117&lt;0,J117-K117,0)</f>
        <v>0</v>
      </c>
      <c r="Q117" s="55">
        <f t="shared" si="118"/>
        <v>0</v>
      </c>
      <c r="R117" s="55">
        <f t="shared" si="119"/>
        <v>0</v>
      </c>
      <c r="S117" s="55">
        <f t="shared" si="120"/>
        <v>0</v>
      </c>
    </row>
    <row r="118" spans="1:19">
      <c r="A118" s="20" t="s">
        <v>244</v>
      </c>
      <c r="B118" s="974"/>
      <c r="C118" s="978"/>
      <c r="D118" s="91"/>
      <c r="E118" s="979"/>
      <c r="F118" s="980">
        <f>IF(E118=0,0,G118/E118)</f>
        <v>0</v>
      </c>
      <c r="G118" s="979"/>
      <c r="H118" s="981"/>
      <c r="I118" s="980">
        <f>IF(H118=0,0,J118/H118)</f>
        <v>0</v>
      </c>
      <c r="J118" s="981"/>
      <c r="K118" s="1316">
        <f>+H118*N117</f>
        <v>0</v>
      </c>
      <c r="L118" s="991">
        <f>+L117+E118-H118</f>
        <v>0</v>
      </c>
      <c r="M118" s="60">
        <f>+M117+G118-K118</f>
        <v>0</v>
      </c>
      <c r="N118" s="975">
        <f>+IF(L118=0,0,M118/L118)</f>
        <v>0</v>
      </c>
      <c r="O118" s="976">
        <f>IF(J118-K118&gt;0,J118-K118,0)</f>
        <v>0</v>
      </c>
      <c r="P118" s="976">
        <f>IF(J118-K118&lt;0,J118-K118,0)</f>
        <v>0</v>
      </c>
      <c r="Q118" s="55">
        <f t="shared" si="118"/>
        <v>0</v>
      </c>
      <c r="R118" s="55">
        <f t="shared" si="119"/>
        <v>0</v>
      </c>
      <c r="S118" s="55">
        <f t="shared" si="120"/>
        <v>0</v>
      </c>
    </row>
    <row r="119" spans="1:19" s="21" customFormat="1" ht="10.5" customHeight="1">
      <c r="A119" s="20" t="s">
        <v>244</v>
      </c>
      <c r="B119" s="995">
        <f>B118</f>
        <v>0</v>
      </c>
      <c r="C119" s="986" t="s">
        <v>247</v>
      </c>
      <c r="D119" s="987">
        <f>+$K$1</f>
        <v>46022</v>
      </c>
      <c r="E119" s="988">
        <f>SUM(E116:E118)</f>
        <v>0</v>
      </c>
      <c r="F119" s="988">
        <f>+IF(E119=0,0,G119/E119)</f>
        <v>0</v>
      </c>
      <c r="G119" s="988">
        <f>SUM(G115:G118)</f>
        <v>0</v>
      </c>
      <c r="H119" s="989">
        <f>SUM(H115:H118)</f>
        <v>0</v>
      </c>
      <c r="I119" s="988">
        <f>+IF(H119=0,0,J119/H119)</f>
        <v>0</v>
      </c>
      <c r="J119" s="990">
        <f>SUM(J115:J118)</f>
        <v>0</v>
      </c>
      <c r="K119" s="990">
        <f>SUM(K115:K118)</f>
        <v>0</v>
      </c>
      <c r="L119" s="988">
        <f>+L118</f>
        <v>0</v>
      </c>
      <c r="M119" s="988">
        <f>+M118</f>
        <v>0</v>
      </c>
      <c r="N119" s="992">
        <f t="shared" ref="N119" si="121">+IF(L119=0,0,M119/L119)</f>
        <v>0</v>
      </c>
      <c r="O119" s="990">
        <f>SUM(O115:O118)</f>
        <v>0</v>
      </c>
      <c r="P119" s="990">
        <f>SUM(P115:P118)</f>
        <v>0</v>
      </c>
      <c r="Q119" s="145">
        <f t="shared" si="118"/>
        <v>0</v>
      </c>
      <c r="R119" s="145">
        <f t="shared" si="119"/>
        <v>0</v>
      </c>
      <c r="S119" s="145">
        <f t="shared" si="120"/>
        <v>0</v>
      </c>
    </row>
    <row r="120" spans="1:19" s="163" customFormat="1">
      <c r="A120" s="20" t="s">
        <v>244</v>
      </c>
      <c r="B120" s="1318"/>
      <c r="C120" s="1319" t="s">
        <v>243</v>
      </c>
      <c r="D120" s="1320"/>
      <c r="E120" s="1321"/>
      <c r="F120" s="1322"/>
      <c r="G120" s="1321"/>
      <c r="H120" s="1321"/>
      <c r="I120" s="1322"/>
      <c r="J120" s="1321"/>
      <c r="K120" s="980"/>
      <c r="L120" s="980"/>
      <c r="M120" s="980"/>
      <c r="N120" s="980">
        <f t="shared" ref="N120:N127" si="122">+IF(L120=0,0,M120/L120)</f>
        <v>0</v>
      </c>
      <c r="O120" s="980">
        <f>IF(J120-K120&gt;0,J120-K120,0)</f>
        <v>0</v>
      </c>
      <c r="P120" s="980">
        <f>IF(J120-K120&lt;0,J120-K120,0)</f>
        <v>0</v>
      </c>
      <c r="Q120" s="55">
        <f t="shared" si="0"/>
        <v>0</v>
      </c>
      <c r="R120" s="55">
        <f t="shared" si="1"/>
        <v>0</v>
      </c>
      <c r="S120" s="55">
        <f t="shared" si="2"/>
        <v>0</v>
      </c>
    </row>
    <row r="121" spans="1:19" s="163" customFormat="1">
      <c r="A121" s="20" t="s">
        <v>244</v>
      </c>
      <c r="B121" s="974"/>
      <c r="C121" s="978"/>
      <c r="D121" s="91"/>
      <c r="E121" s="979"/>
      <c r="F121" s="980">
        <f>IF(E121=0,0,G121/E121)</f>
        <v>0</v>
      </c>
      <c r="G121" s="979"/>
      <c r="H121" s="996"/>
      <c r="I121" s="980">
        <f>IF(H121=0,0,J121/H121)</f>
        <v>0</v>
      </c>
      <c r="J121" s="996"/>
      <c r="K121" s="980">
        <f>+H121*N120</f>
        <v>0</v>
      </c>
      <c r="L121" s="980">
        <f>+L120+E121-H121</f>
        <v>0</v>
      </c>
      <c r="M121" s="980">
        <f>+M120+G121-K121</f>
        <v>0</v>
      </c>
      <c r="N121" s="980">
        <f t="shared" si="122"/>
        <v>0</v>
      </c>
      <c r="O121" s="980">
        <f>IF(J121-K121&gt;0,J121-K121,0)</f>
        <v>0</v>
      </c>
      <c r="P121" s="980">
        <f>IF(J121-K121&lt;0,J121-K121,0)</f>
        <v>0</v>
      </c>
      <c r="Q121" s="55">
        <f t="shared" si="0"/>
        <v>0</v>
      </c>
      <c r="R121" s="55">
        <f t="shared" si="1"/>
        <v>0</v>
      </c>
      <c r="S121" s="55">
        <f t="shared" si="2"/>
        <v>0</v>
      </c>
    </row>
    <row r="122" spans="1:19" s="163" customFormat="1">
      <c r="A122" s="20" t="s">
        <v>244</v>
      </c>
      <c r="B122" s="974"/>
      <c r="C122" s="997"/>
      <c r="D122" s="91"/>
      <c r="E122" s="996"/>
      <c r="F122" s="980">
        <f>IF(E122=0,0,G122/E122)</f>
        <v>0</v>
      </c>
      <c r="G122" s="979"/>
      <c r="H122" s="979"/>
      <c r="I122" s="980">
        <f>IF(H122=0,0,J122/H122)</f>
        <v>0</v>
      </c>
      <c r="J122" s="979"/>
      <c r="K122" s="980">
        <f>+H122*N121</f>
        <v>0</v>
      </c>
      <c r="L122" s="980">
        <f t="shared" ref="L122:L127" si="123">+L121+E122-H122</f>
        <v>0</v>
      </c>
      <c r="M122" s="980">
        <f>+M121+G122-K122</f>
        <v>0</v>
      </c>
      <c r="N122" s="980">
        <f t="shared" si="122"/>
        <v>0</v>
      </c>
      <c r="O122" s="980">
        <f>IF(J122-K122&gt;0,J122-K122,0)</f>
        <v>0</v>
      </c>
      <c r="P122" s="980">
        <f>IF(J122-K122&lt;0,J122-K122,0)</f>
        <v>0</v>
      </c>
      <c r="Q122" s="55">
        <f t="shared" si="0"/>
        <v>0</v>
      </c>
      <c r="R122" s="55">
        <f t="shared" si="1"/>
        <v>0</v>
      </c>
      <c r="S122" s="55">
        <f t="shared" si="2"/>
        <v>0</v>
      </c>
    </row>
    <row r="123" spans="1:19" s="163" customFormat="1">
      <c r="A123" s="20" t="s">
        <v>244</v>
      </c>
      <c r="B123" s="974"/>
      <c r="C123" s="997"/>
      <c r="D123" s="91"/>
      <c r="E123" s="996"/>
      <c r="F123" s="980">
        <f>IF(E123=0,0,G123/E123)</f>
        <v>0</v>
      </c>
      <c r="G123" s="979"/>
      <c r="H123" s="979"/>
      <c r="I123" s="980">
        <f>IF(H123=0,0,J123/H123)</f>
        <v>0</v>
      </c>
      <c r="J123" s="979"/>
      <c r="K123" s="980">
        <f t="shared" ref="K123:K136" si="124">+H123*N122</f>
        <v>0</v>
      </c>
      <c r="L123" s="980">
        <f t="shared" si="123"/>
        <v>0</v>
      </c>
      <c r="M123" s="980">
        <f t="shared" ref="M123:M127" si="125">+M122+G123-K123</f>
        <v>0</v>
      </c>
      <c r="N123" s="980">
        <f t="shared" si="122"/>
        <v>0</v>
      </c>
      <c r="O123" s="980">
        <f t="shared" ref="O123:O127" si="126">IF(J123-K123&gt;0,J123-K123,0)</f>
        <v>0</v>
      </c>
      <c r="P123" s="980">
        <f t="shared" ref="P123:P127" si="127">IF(J123-K123&lt;0,J123-K123,0)</f>
        <v>0</v>
      </c>
      <c r="Q123" s="55">
        <f t="shared" ref="Q123:Q127" si="128">+J123-K123</f>
        <v>0</v>
      </c>
      <c r="R123" s="55">
        <f t="shared" ref="R123:R127" si="129">+O123+P123</f>
        <v>0</v>
      </c>
      <c r="S123" s="55">
        <f t="shared" ref="S123:S127" si="130">+Q123-R123</f>
        <v>0</v>
      </c>
    </row>
    <row r="124" spans="1:19" s="163" customFormat="1">
      <c r="A124" s="20" t="s">
        <v>244</v>
      </c>
      <c r="B124" s="974"/>
      <c r="C124" s="997"/>
      <c r="D124" s="91"/>
      <c r="E124" s="996"/>
      <c r="F124" s="980">
        <f t="shared" ref="F124:F126" si="131">IF(E124=0,0,G124/E124)</f>
        <v>0</v>
      </c>
      <c r="G124" s="979"/>
      <c r="H124" s="979"/>
      <c r="I124" s="980">
        <f t="shared" ref="I124:I126" si="132">IF(H124=0,0,J124/H124)</f>
        <v>0</v>
      </c>
      <c r="J124" s="979"/>
      <c r="K124" s="980">
        <f t="shared" si="124"/>
        <v>0</v>
      </c>
      <c r="L124" s="980">
        <f t="shared" si="123"/>
        <v>0</v>
      </c>
      <c r="M124" s="980">
        <f t="shared" si="125"/>
        <v>0</v>
      </c>
      <c r="N124" s="980">
        <f t="shared" si="122"/>
        <v>0</v>
      </c>
      <c r="O124" s="980">
        <f t="shared" si="126"/>
        <v>0</v>
      </c>
      <c r="P124" s="980">
        <f>ROUND(IF(J124-K124&lt;0,J124-K124,0),2)</f>
        <v>0</v>
      </c>
      <c r="Q124" s="55">
        <f t="shared" si="128"/>
        <v>0</v>
      </c>
      <c r="R124" s="55">
        <f t="shared" si="129"/>
        <v>0</v>
      </c>
      <c r="S124" s="55">
        <f t="shared" si="130"/>
        <v>0</v>
      </c>
    </row>
    <row r="125" spans="1:19" s="163" customFormat="1">
      <c r="A125" s="20" t="s">
        <v>244</v>
      </c>
      <c r="B125" s="974"/>
      <c r="C125" s="997"/>
      <c r="D125" s="91"/>
      <c r="E125" s="996"/>
      <c r="F125" s="980">
        <f t="shared" si="131"/>
        <v>0</v>
      </c>
      <c r="G125" s="979"/>
      <c r="H125" s="979"/>
      <c r="I125" s="980">
        <f t="shared" si="132"/>
        <v>0</v>
      </c>
      <c r="J125" s="979"/>
      <c r="K125" s="980">
        <f t="shared" si="124"/>
        <v>0</v>
      </c>
      <c r="L125" s="980">
        <f t="shared" si="123"/>
        <v>0</v>
      </c>
      <c r="M125" s="980">
        <f t="shared" si="125"/>
        <v>0</v>
      </c>
      <c r="N125" s="980">
        <f t="shared" si="122"/>
        <v>0</v>
      </c>
      <c r="O125" s="980">
        <f t="shared" si="126"/>
        <v>0</v>
      </c>
      <c r="P125" s="980">
        <f>ROUND(IF(J125-K125&lt;0,J125-K125,0),2)</f>
        <v>0</v>
      </c>
      <c r="Q125" s="55">
        <f t="shared" si="128"/>
        <v>0</v>
      </c>
      <c r="R125" s="55">
        <f t="shared" si="129"/>
        <v>0</v>
      </c>
      <c r="S125" s="55">
        <f t="shared" si="130"/>
        <v>0</v>
      </c>
    </row>
    <row r="126" spans="1:19" s="163" customFormat="1">
      <c r="A126" s="20" t="s">
        <v>244</v>
      </c>
      <c r="B126" s="974"/>
      <c r="C126" s="997"/>
      <c r="D126" s="91"/>
      <c r="E126" s="996"/>
      <c r="F126" s="980">
        <f t="shared" si="131"/>
        <v>0</v>
      </c>
      <c r="G126" s="979"/>
      <c r="H126" s="979"/>
      <c r="I126" s="980">
        <f t="shared" si="132"/>
        <v>0</v>
      </c>
      <c r="J126" s="979"/>
      <c r="K126" s="980">
        <f t="shared" si="124"/>
        <v>0</v>
      </c>
      <c r="L126" s="980">
        <f t="shared" si="123"/>
        <v>0</v>
      </c>
      <c r="M126" s="980">
        <f t="shared" si="125"/>
        <v>0</v>
      </c>
      <c r="N126" s="980">
        <f t="shared" si="122"/>
        <v>0</v>
      </c>
      <c r="O126" s="980">
        <f t="shared" si="126"/>
        <v>0</v>
      </c>
      <c r="P126" s="980">
        <f>ROUND(IF(J126-K126&lt;0,J126-K126,0),2)</f>
        <v>0</v>
      </c>
      <c r="Q126" s="55">
        <f t="shared" si="128"/>
        <v>0</v>
      </c>
      <c r="R126" s="55">
        <f t="shared" si="129"/>
        <v>0</v>
      </c>
      <c r="S126" s="55">
        <f t="shared" si="130"/>
        <v>0</v>
      </c>
    </row>
    <row r="127" spans="1:19" s="163" customFormat="1">
      <c r="A127" s="20" t="s">
        <v>244</v>
      </c>
      <c r="B127" s="974"/>
      <c r="C127" s="997"/>
      <c r="D127" s="91"/>
      <c r="E127" s="996"/>
      <c r="F127" s="980"/>
      <c r="G127" s="979"/>
      <c r="H127" s="979"/>
      <c r="I127" s="980">
        <f>IF(H127=0,0,J127/H127)</f>
        <v>0</v>
      </c>
      <c r="J127" s="979"/>
      <c r="K127" s="980">
        <f t="shared" si="124"/>
        <v>0</v>
      </c>
      <c r="L127" s="980">
        <f t="shared" si="123"/>
        <v>0</v>
      </c>
      <c r="M127" s="980">
        <f t="shared" si="125"/>
        <v>0</v>
      </c>
      <c r="N127" s="980">
        <f t="shared" si="122"/>
        <v>0</v>
      </c>
      <c r="O127" s="980">
        <f t="shared" si="126"/>
        <v>0</v>
      </c>
      <c r="P127" s="980">
        <f t="shared" si="127"/>
        <v>0</v>
      </c>
      <c r="Q127" s="55">
        <f t="shared" si="128"/>
        <v>0</v>
      </c>
      <c r="R127" s="55">
        <f t="shared" si="129"/>
        <v>0</v>
      </c>
      <c r="S127" s="55">
        <f t="shared" si="130"/>
        <v>0</v>
      </c>
    </row>
    <row r="128" spans="1:19" s="163" customFormat="1">
      <c r="A128" s="20" t="s">
        <v>244</v>
      </c>
      <c r="B128" s="974"/>
      <c r="C128" s="997"/>
      <c r="D128" s="91"/>
      <c r="E128" s="996"/>
      <c r="F128" s="980"/>
      <c r="G128" s="979"/>
      <c r="H128" s="979"/>
      <c r="I128" s="980">
        <f t="shared" ref="I128:I139" si="133">IF(H128=0,0,J128/H128)</f>
        <v>0</v>
      </c>
      <c r="J128" s="979"/>
      <c r="K128" s="980">
        <f t="shared" si="124"/>
        <v>0</v>
      </c>
      <c r="L128" s="980">
        <f t="shared" ref="L128:L138" si="134">+L127+E128-H128</f>
        <v>0</v>
      </c>
      <c r="M128" s="980">
        <f t="shared" ref="M128:M138" si="135">+M127+G128-K128</f>
        <v>0</v>
      </c>
      <c r="N128" s="980">
        <f t="shared" ref="N128:N139" si="136">+IF(L128=0,0,M128/L128)</f>
        <v>0</v>
      </c>
      <c r="O128" s="980">
        <f t="shared" ref="O128:O139" si="137">IF(J128-K128&gt;0,J128-K128,0)</f>
        <v>0</v>
      </c>
      <c r="P128" s="980">
        <f t="shared" ref="P128:P139" si="138">IF(J128-K128&lt;0,J128-K128,0)</f>
        <v>0</v>
      </c>
      <c r="Q128" s="55">
        <f t="shared" ref="Q128:Q139" si="139">+J128-K128</f>
        <v>0</v>
      </c>
      <c r="R128" s="55">
        <f t="shared" ref="R128:R139" si="140">+O128+P128</f>
        <v>0</v>
      </c>
      <c r="S128" s="55">
        <f t="shared" ref="S128:S139" si="141">+Q128-R128</f>
        <v>0</v>
      </c>
    </row>
    <row r="129" spans="1:19" s="163" customFormat="1">
      <c r="A129" s="20" t="s">
        <v>244</v>
      </c>
      <c r="B129" s="974"/>
      <c r="C129" s="997"/>
      <c r="D129" s="91"/>
      <c r="E129" s="996"/>
      <c r="F129" s="980">
        <f t="shared" ref="F129:F139" si="142">IF(E129=0,0,G129/E129)</f>
        <v>0</v>
      </c>
      <c r="G129" s="979"/>
      <c r="H129" s="979"/>
      <c r="I129" s="980">
        <f t="shared" si="133"/>
        <v>0</v>
      </c>
      <c r="J129" s="979"/>
      <c r="K129" s="980">
        <f t="shared" si="124"/>
        <v>0</v>
      </c>
      <c r="L129" s="980">
        <f t="shared" si="134"/>
        <v>0</v>
      </c>
      <c r="M129" s="980">
        <f t="shared" si="135"/>
        <v>0</v>
      </c>
      <c r="N129" s="980">
        <f t="shared" si="136"/>
        <v>0</v>
      </c>
      <c r="O129" s="980">
        <f t="shared" si="137"/>
        <v>0</v>
      </c>
      <c r="P129" s="980">
        <f t="shared" si="138"/>
        <v>0</v>
      </c>
      <c r="Q129" s="55">
        <f t="shared" si="139"/>
        <v>0</v>
      </c>
      <c r="R129" s="55">
        <f t="shared" si="140"/>
        <v>0</v>
      </c>
      <c r="S129" s="55">
        <f t="shared" si="141"/>
        <v>0</v>
      </c>
    </row>
    <row r="130" spans="1:19" s="163" customFormat="1">
      <c r="A130" s="20" t="s">
        <v>244</v>
      </c>
      <c r="B130" s="974"/>
      <c r="C130" s="997"/>
      <c r="D130" s="91"/>
      <c r="E130" s="996"/>
      <c r="F130" s="980">
        <f t="shared" si="142"/>
        <v>0</v>
      </c>
      <c r="G130" s="979"/>
      <c r="H130" s="979"/>
      <c r="I130" s="980">
        <f t="shared" si="133"/>
        <v>0</v>
      </c>
      <c r="J130" s="979"/>
      <c r="K130" s="980">
        <f t="shared" si="124"/>
        <v>0</v>
      </c>
      <c r="L130" s="980">
        <f t="shared" si="134"/>
        <v>0</v>
      </c>
      <c r="M130" s="980">
        <f t="shared" si="135"/>
        <v>0</v>
      </c>
      <c r="N130" s="980">
        <f t="shared" si="136"/>
        <v>0</v>
      </c>
      <c r="O130" s="980">
        <f t="shared" si="137"/>
        <v>0</v>
      </c>
      <c r="P130" s="980">
        <f t="shared" si="138"/>
        <v>0</v>
      </c>
      <c r="Q130" s="55">
        <f t="shared" si="139"/>
        <v>0</v>
      </c>
      <c r="R130" s="55">
        <f t="shared" si="140"/>
        <v>0</v>
      </c>
      <c r="S130" s="55">
        <f t="shared" si="141"/>
        <v>0</v>
      </c>
    </row>
    <row r="131" spans="1:19" s="163" customFormat="1">
      <c r="A131" s="20" t="s">
        <v>244</v>
      </c>
      <c r="B131" s="974"/>
      <c r="C131" s="997"/>
      <c r="D131" s="91"/>
      <c r="E131" s="996"/>
      <c r="F131" s="980">
        <f t="shared" si="142"/>
        <v>0</v>
      </c>
      <c r="G131" s="979"/>
      <c r="H131" s="979"/>
      <c r="I131" s="980">
        <f t="shared" si="133"/>
        <v>0</v>
      </c>
      <c r="J131" s="979"/>
      <c r="K131" s="980">
        <f t="shared" si="124"/>
        <v>0</v>
      </c>
      <c r="L131" s="980">
        <f t="shared" si="134"/>
        <v>0</v>
      </c>
      <c r="M131" s="980">
        <f t="shared" si="135"/>
        <v>0</v>
      </c>
      <c r="N131" s="980">
        <f t="shared" si="136"/>
        <v>0</v>
      </c>
      <c r="O131" s="980">
        <f t="shared" si="137"/>
        <v>0</v>
      </c>
      <c r="P131" s="980">
        <f t="shared" si="138"/>
        <v>0</v>
      </c>
      <c r="Q131" s="55">
        <f t="shared" si="139"/>
        <v>0</v>
      </c>
      <c r="R131" s="55">
        <f t="shared" si="140"/>
        <v>0</v>
      </c>
      <c r="S131" s="55">
        <f t="shared" si="141"/>
        <v>0</v>
      </c>
    </row>
    <row r="132" spans="1:19" s="163" customFormat="1">
      <c r="A132" s="20" t="s">
        <v>244</v>
      </c>
      <c r="B132" s="974"/>
      <c r="C132" s="997"/>
      <c r="D132" s="91"/>
      <c r="E132" s="996"/>
      <c r="F132" s="980">
        <f t="shared" si="142"/>
        <v>0</v>
      </c>
      <c r="G132" s="979"/>
      <c r="H132" s="979"/>
      <c r="I132" s="980">
        <f t="shared" si="133"/>
        <v>0</v>
      </c>
      <c r="J132" s="979"/>
      <c r="K132" s="980">
        <f t="shared" si="124"/>
        <v>0</v>
      </c>
      <c r="L132" s="980">
        <f t="shared" si="134"/>
        <v>0</v>
      </c>
      <c r="M132" s="980">
        <f t="shared" si="135"/>
        <v>0</v>
      </c>
      <c r="N132" s="980">
        <f t="shared" si="136"/>
        <v>0</v>
      </c>
      <c r="O132" s="980">
        <f t="shared" si="137"/>
        <v>0</v>
      </c>
      <c r="P132" s="980">
        <f t="shared" si="138"/>
        <v>0</v>
      </c>
      <c r="Q132" s="55">
        <f t="shared" si="139"/>
        <v>0</v>
      </c>
      <c r="R132" s="55">
        <f t="shared" si="140"/>
        <v>0</v>
      </c>
      <c r="S132" s="55">
        <f t="shared" si="141"/>
        <v>0</v>
      </c>
    </row>
    <row r="133" spans="1:19" s="163" customFormat="1">
      <c r="A133" s="20" t="s">
        <v>244</v>
      </c>
      <c r="B133" s="974"/>
      <c r="C133" s="997"/>
      <c r="D133" s="91"/>
      <c r="E133" s="996"/>
      <c r="F133" s="980">
        <f t="shared" si="142"/>
        <v>0</v>
      </c>
      <c r="G133" s="979"/>
      <c r="H133" s="979"/>
      <c r="I133" s="980">
        <f t="shared" si="133"/>
        <v>0</v>
      </c>
      <c r="J133" s="979"/>
      <c r="K133" s="980">
        <f t="shared" si="124"/>
        <v>0</v>
      </c>
      <c r="L133" s="980">
        <f t="shared" si="134"/>
        <v>0</v>
      </c>
      <c r="M133" s="980">
        <f t="shared" si="135"/>
        <v>0</v>
      </c>
      <c r="N133" s="980">
        <f t="shared" si="136"/>
        <v>0</v>
      </c>
      <c r="O133" s="998">
        <f t="shared" si="137"/>
        <v>0</v>
      </c>
      <c r="P133" s="998">
        <f t="shared" si="138"/>
        <v>0</v>
      </c>
      <c r="Q133" s="55">
        <f t="shared" si="139"/>
        <v>0</v>
      </c>
      <c r="R133" s="55">
        <f t="shared" si="140"/>
        <v>0</v>
      </c>
      <c r="S133" s="55">
        <f t="shared" si="141"/>
        <v>0</v>
      </c>
    </row>
    <row r="134" spans="1:19" s="163" customFormat="1">
      <c r="A134" s="20" t="s">
        <v>244</v>
      </c>
      <c r="B134" s="974"/>
      <c r="C134" s="997"/>
      <c r="D134" s="91"/>
      <c r="E134" s="996"/>
      <c r="F134" s="980">
        <f t="shared" si="142"/>
        <v>0</v>
      </c>
      <c r="G134" s="979"/>
      <c r="H134" s="979"/>
      <c r="I134" s="980">
        <f t="shared" si="133"/>
        <v>0</v>
      </c>
      <c r="J134" s="979"/>
      <c r="K134" s="980">
        <f t="shared" si="124"/>
        <v>0</v>
      </c>
      <c r="L134" s="980">
        <f t="shared" si="134"/>
        <v>0</v>
      </c>
      <c r="M134" s="980">
        <f t="shared" si="135"/>
        <v>0</v>
      </c>
      <c r="N134" s="980">
        <f t="shared" si="136"/>
        <v>0</v>
      </c>
      <c r="O134" s="998">
        <f t="shared" si="137"/>
        <v>0</v>
      </c>
      <c r="P134" s="998">
        <f t="shared" si="138"/>
        <v>0</v>
      </c>
      <c r="Q134" s="55">
        <f t="shared" si="139"/>
        <v>0</v>
      </c>
      <c r="R134" s="55">
        <f t="shared" si="140"/>
        <v>0</v>
      </c>
      <c r="S134" s="55">
        <f t="shared" si="141"/>
        <v>0</v>
      </c>
    </row>
    <row r="135" spans="1:19" s="163" customFormat="1">
      <c r="A135" s="20" t="s">
        <v>244</v>
      </c>
      <c r="B135" s="974"/>
      <c r="C135" s="997"/>
      <c r="D135" s="91"/>
      <c r="E135" s="996"/>
      <c r="F135" s="980">
        <f t="shared" si="142"/>
        <v>0</v>
      </c>
      <c r="G135" s="979"/>
      <c r="H135" s="979"/>
      <c r="I135" s="980">
        <f t="shared" si="133"/>
        <v>0</v>
      </c>
      <c r="J135" s="979"/>
      <c r="K135" s="980">
        <f t="shared" si="124"/>
        <v>0</v>
      </c>
      <c r="L135" s="980">
        <f t="shared" si="134"/>
        <v>0</v>
      </c>
      <c r="M135" s="980">
        <f t="shared" si="135"/>
        <v>0</v>
      </c>
      <c r="N135" s="980">
        <f t="shared" si="136"/>
        <v>0</v>
      </c>
      <c r="O135" s="998">
        <f t="shared" si="137"/>
        <v>0</v>
      </c>
      <c r="P135" s="998">
        <f t="shared" si="138"/>
        <v>0</v>
      </c>
      <c r="Q135" s="55">
        <f t="shared" si="139"/>
        <v>0</v>
      </c>
      <c r="R135" s="55">
        <f t="shared" si="140"/>
        <v>0</v>
      </c>
      <c r="S135" s="55">
        <f t="shared" si="141"/>
        <v>0</v>
      </c>
    </row>
    <row r="136" spans="1:19" s="163" customFormat="1">
      <c r="A136" s="20" t="s">
        <v>244</v>
      </c>
      <c r="B136" s="974"/>
      <c r="C136" s="997"/>
      <c r="D136" s="91"/>
      <c r="E136" s="979"/>
      <c r="F136" s="980">
        <f t="shared" si="142"/>
        <v>0</v>
      </c>
      <c r="G136" s="979"/>
      <c r="H136" s="979"/>
      <c r="I136" s="980">
        <f t="shared" si="133"/>
        <v>0</v>
      </c>
      <c r="J136" s="979"/>
      <c r="K136" s="980">
        <f t="shared" si="124"/>
        <v>0</v>
      </c>
      <c r="L136" s="980">
        <f t="shared" si="134"/>
        <v>0</v>
      </c>
      <c r="M136" s="980">
        <f t="shared" si="135"/>
        <v>0</v>
      </c>
      <c r="N136" s="980">
        <f t="shared" si="136"/>
        <v>0</v>
      </c>
      <c r="O136" s="998">
        <f t="shared" si="137"/>
        <v>0</v>
      </c>
      <c r="P136" s="998">
        <f t="shared" si="138"/>
        <v>0</v>
      </c>
      <c r="Q136" s="55">
        <f t="shared" si="139"/>
        <v>0</v>
      </c>
      <c r="R136" s="55">
        <f t="shared" si="140"/>
        <v>0</v>
      </c>
      <c r="S136" s="55">
        <f t="shared" si="141"/>
        <v>0</v>
      </c>
    </row>
    <row r="137" spans="1:19" s="163" customFormat="1">
      <c r="A137" s="20" t="s">
        <v>244</v>
      </c>
      <c r="B137" s="974"/>
      <c r="C137" s="997"/>
      <c r="D137" s="91"/>
      <c r="E137" s="979"/>
      <c r="F137" s="980">
        <f t="shared" si="142"/>
        <v>0</v>
      </c>
      <c r="G137" s="979"/>
      <c r="H137" s="979"/>
      <c r="I137" s="980">
        <f t="shared" si="133"/>
        <v>0</v>
      </c>
      <c r="J137" s="979"/>
      <c r="K137" s="980">
        <f t="shared" ref="K137:K138" si="143">+H137*N132</f>
        <v>0</v>
      </c>
      <c r="L137" s="980">
        <f t="shared" si="134"/>
        <v>0</v>
      </c>
      <c r="M137" s="980">
        <f t="shared" si="135"/>
        <v>0</v>
      </c>
      <c r="N137" s="980">
        <f t="shared" si="136"/>
        <v>0</v>
      </c>
      <c r="O137" s="980">
        <f t="shared" si="137"/>
        <v>0</v>
      </c>
      <c r="P137" s="980">
        <f t="shared" si="138"/>
        <v>0</v>
      </c>
      <c r="Q137" s="55">
        <f t="shared" si="139"/>
        <v>0</v>
      </c>
      <c r="R137" s="55">
        <f t="shared" si="140"/>
        <v>0</v>
      </c>
      <c r="S137" s="55">
        <f t="shared" si="141"/>
        <v>0</v>
      </c>
    </row>
    <row r="138" spans="1:19" s="163" customFormat="1">
      <c r="A138" s="20" t="s">
        <v>244</v>
      </c>
      <c r="B138" s="974"/>
      <c r="C138" s="997"/>
      <c r="D138" s="91"/>
      <c r="E138" s="996"/>
      <c r="F138" s="980">
        <f t="shared" si="142"/>
        <v>0</v>
      </c>
      <c r="G138" s="979"/>
      <c r="H138" s="979"/>
      <c r="I138" s="980">
        <f t="shared" si="133"/>
        <v>0</v>
      </c>
      <c r="J138" s="979"/>
      <c r="K138" s="980">
        <f t="shared" si="143"/>
        <v>0</v>
      </c>
      <c r="L138" s="980">
        <f t="shared" si="134"/>
        <v>0</v>
      </c>
      <c r="M138" s="980">
        <f t="shared" si="135"/>
        <v>0</v>
      </c>
      <c r="N138" s="980">
        <f t="shared" si="136"/>
        <v>0</v>
      </c>
      <c r="O138" s="980">
        <f t="shared" si="137"/>
        <v>0</v>
      </c>
      <c r="P138" s="980">
        <f t="shared" si="138"/>
        <v>0</v>
      </c>
      <c r="Q138" s="55">
        <f t="shared" si="139"/>
        <v>0</v>
      </c>
      <c r="R138" s="55">
        <f t="shared" si="140"/>
        <v>0</v>
      </c>
      <c r="S138" s="55">
        <f t="shared" si="141"/>
        <v>0</v>
      </c>
    </row>
    <row r="139" spans="1:19" s="163" customFormat="1">
      <c r="A139" s="20" t="s">
        <v>244</v>
      </c>
      <c r="B139" s="974"/>
      <c r="C139" s="997"/>
      <c r="D139" s="91"/>
      <c r="E139" s="996"/>
      <c r="F139" s="980">
        <f t="shared" si="142"/>
        <v>0</v>
      </c>
      <c r="G139" s="979"/>
      <c r="H139" s="979"/>
      <c r="I139" s="980">
        <f t="shared" si="133"/>
        <v>0</v>
      </c>
      <c r="J139" s="979"/>
      <c r="K139" s="980">
        <f>+H139*N134</f>
        <v>0</v>
      </c>
      <c r="L139" s="980">
        <f>+L138+E139-H139</f>
        <v>0</v>
      </c>
      <c r="M139" s="980">
        <f>+M138+G139-K139</f>
        <v>0</v>
      </c>
      <c r="N139" s="980">
        <f t="shared" si="136"/>
        <v>0</v>
      </c>
      <c r="O139" s="980">
        <f t="shared" si="137"/>
        <v>0</v>
      </c>
      <c r="P139" s="980">
        <f t="shared" si="138"/>
        <v>0</v>
      </c>
      <c r="Q139" s="55">
        <f t="shared" si="139"/>
        <v>0</v>
      </c>
      <c r="R139" s="55">
        <f t="shared" si="140"/>
        <v>0</v>
      </c>
      <c r="S139" s="55">
        <f t="shared" si="141"/>
        <v>0</v>
      </c>
    </row>
    <row r="140" spans="1:19" s="163" customFormat="1">
      <c r="A140" s="20"/>
      <c r="B140" s="974"/>
      <c r="C140" s="997"/>
      <c r="D140" s="91"/>
      <c r="E140" s="996"/>
      <c r="F140" s="980">
        <f t="shared" ref="F140:F144" si="144">IF(E140=0,0,G140/E140)</f>
        <v>0</v>
      </c>
      <c r="G140" s="979"/>
      <c r="H140" s="979"/>
      <c r="I140" s="980">
        <f t="shared" ref="I140:I144" si="145">IF(H140=0,0,J140/H140)</f>
        <v>0</v>
      </c>
      <c r="J140" s="979"/>
      <c r="K140" s="980">
        <f t="shared" ref="K140:K144" si="146">+H140*N135</f>
        <v>0</v>
      </c>
      <c r="L140" s="980">
        <f t="shared" ref="L140:L143" si="147">+L139+E140-H140</f>
        <v>0</v>
      </c>
      <c r="M140" s="980">
        <f t="shared" ref="M140:M143" si="148">+M139+G140-K140</f>
        <v>0</v>
      </c>
      <c r="N140" s="980">
        <f t="shared" ref="N140:N144" si="149">+IF(L140=0,0,M140/L140)</f>
        <v>0</v>
      </c>
      <c r="O140" s="980">
        <f t="shared" ref="O140:O144" si="150">IF(J140-K140&gt;0,J140-K140,0)</f>
        <v>0</v>
      </c>
      <c r="P140" s="980">
        <f t="shared" ref="P140:P144" si="151">IF(J140-K140&lt;0,J140-K140,0)</f>
        <v>0</v>
      </c>
      <c r="Q140" s="55">
        <f t="shared" ref="Q140:Q144" si="152">+J140-K140</f>
        <v>0</v>
      </c>
      <c r="R140" s="55">
        <f t="shared" ref="R140:R144" si="153">+O140+P140</f>
        <v>0</v>
      </c>
      <c r="S140" s="55">
        <f t="shared" ref="S140:S144" si="154">+Q140-R140</f>
        <v>0</v>
      </c>
    </row>
    <row r="141" spans="1:19" s="163" customFormat="1">
      <c r="A141" s="20"/>
      <c r="B141" s="974"/>
      <c r="C141" s="997"/>
      <c r="D141" s="91"/>
      <c r="E141" s="996"/>
      <c r="F141" s="980">
        <f t="shared" si="144"/>
        <v>0</v>
      </c>
      <c r="G141" s="979"/>
      <c r="H141" s="979"/>
      <c r="I141" s="980">
        <f t="shared" si="145"/>
        <v>0</v>
      </c>
      <c r="J141" s="979"/>
      <c r="K141" s="980">
        <f t="shared" si="146"/>
        <v>0</v>
      </c>
      <c r="L141" s="980">
        <f t="shared" si="147"/>
        <v>0</v>
      </c>
      <c r="M141" s="980">
        <f t="shared" si="148"/>
        <v>0</v>
      </c>
      <c r="N141" s="980">
        <f t="shared" si="149"/>
        <v>0</v>
      </c>
      <c r="O141" s="980">
        <f t="shared" si="150"/>
        <v>0</v>
      </c>
      <c r="P141" s="980">
        <f t="shared" si="151"/>
        <v>0</v>
      </c>
      <c r="Q141" s="55">
        <f t="shared" si="152"/>
        <v>0</v>
      </c>
      <c r="R141" s="55">
        <f t="shared" si="153"/>
        <v>0</v>
      </c>
      <c r="S141" s="55">
        <f t="shared" si="154"/>
        <v>0</v>
      </c>
    </row>
    <row r="142" spans="1:19" s="163" customFormat="1">
      <c r="A142" s="20"/>
      <c r="B142" s="974"/>
      <c r="C142" s="997"/>
      <c r="D142" s="91"/>
      <c r="E142" s="996"/>
      <c r="F142" s="980">
        <f t="shared" si="144"/>
        <v>0</v>
      </c>
      <c r="G142" s="979"/>
      <c r="H142" s="979"/>
      <c r="I142" s="980">
        <f t="shared" si="145"/>
        <v>0</v>
      </c>
      <c r="J142" s="979"/>
      <c r="K142" s="980">
        <f t="shared" si="146"/>
        <v>0</v>
      </c>
      <c r="L142" s="980">
        <f t="shared" si="147"/>
        <v>0</v>
      </c>
      <c r="M142" s="980">
        <f t="shared" si="148"/>
        <v>0</v>
      </c>
      <c r="N142" s="980">
        <f t="shared" si="149"/>
        <v>0</v>
      </c>
      <c r="O142" s="980">
        <f t="shared" si="150"/>
        <v>0</v>
      </c>
      <c r="P142" s="980">
        <f t="shared" si="151"/>
        <v>0</v>
      </c>
      <c r="Q142" s="55">
        <f t="shared" si="152"/>
        <v>0</v>
      </c>
      <c r="R142" s="55">
        <f t="shared" si="153"/>
        <v>0</v>
      </c>
      <c r="S142" s="55">
        <f t="shared" si="154"/>
        <v>0</v>
      </c>
    </row>
    <row r="143" spans="1:19" s="163" customFormat="1">
      <c r="A143" s="20"/>
      <c r="B143" s="974"/>
      <c r="C143" s="997"/>
      <c r="D143" s="91"/>
      <c r="E143" s="996"/>
      <c r="F143" s="980">
        <f t="shared" si="144"/>
        <v>0</v>
      </c>
      <c r="G143" s="979"/>
      <c r="H143" s="979"/>
      <c r="I143" s="980">
        <f t="shared" si="145"/>
        <v>0</v>
      </c>
      <c r="J143" s="979"/>
      <c r="K143" s="980">
        <f t="shared" si="146"/>
        <v>0</v>
      </c>
      <c r="L143" s="980">
        <f t="shared" si="147"/>
        <v>0</v>
      </c>
      <c r="M143" s="980">
        <f t="shared" si="148"/>
        <v>0</v>
      </c>
      <c r="N143" s="980">
        <f t="shared" si="149"/>
        <v>0</v>
      </c>
      <c r="O143" s="980">
        <f t="shared" si="150"/>
        <v>0</v>
      </c>
      <c r="P143" s="980">
        <f t="shared" si="151"/>
        <v>0</v>
      </c>
      <c r="Q143" s="55">
        <f t="shared" si="152"/>
        <v>0</v>
      </c>
      <c r="R143" s="55">
        <f t="shared" si="153"/>
        <v>0</v>
      </c>
      <c r="S143" s="55">
        <f t="shared" si="154"/>
        <v>0</v>
      </c>
    </row>
    <row r="144" spans="1:19" s="163" customFormat="1">
      <c r="A144" s="20"/>
      <c r="B144" s="974"/>
      <c r="C144" s="997"/>
      <c r="D144" s="91"/>
      <c r="E144" s="996"/>
      <c r="F144" s="980">
        <f t="shared" si="144"/>
        <v>0</v>
      </c>
      <c r="G144" s="979"/>
      <c r="H144" s="979"/>
      <c r="I144" s="980">
        <f t="shared" si="145"/>
        <v>0</v>
      </c>
      <c r="J144" s="979"/>
      <c r="K144" s="980">
        <f t="shared" si="146"/>
        <v>0</v>
      </c>
      <c r="L144" s="980">
        <f>+L143+E144-H144</f>
        <v>0</v>
      </c>
      <c r="M144" s="980">
        <f>+M143+G144-K144</f>
        <v>0</v>
      </c>
      <c r="N144" s="980">
        <f t="shared" si="149"/>
        <v>0</v>
      </c>
      <c r="O144" s="980">
        <f t="shared" si="150"/>
        <v>0</v>
      </c>
      <c r="P144" s="980">
        <f t="shared" si="151"/>
        <v>0</v>
      </c>
      <c r="Q144" s="55">
        <f t="shared" si="152"/>
        <v>0</v>
      </c>
      <c r="R144" s="55">
        <f t="shared" si="153"/>
        <v>0</v>
      </c>
      <c r="S144" s="55">
        <f t="shared" si="154"/>
        <v>0</v>
      </c>
    </row>
    <row r="145" spans="1:19" s="162" customFormat="1" ht="10.5" customHeight="1">
      <c r="A145" s="20" t="s">
        <v>244</v>
      </c>
      <c r="B145" s="995">
        <f>B127</f>
        <v>0</v>
      </c>
      <c r="C145" s="999" t="s">
        <v>247</v>
      </c>
      <c r="D145" s="987">
        <f>+$K$1</f>
        <v>46022</v>
      </c>
      <c r="E145" s="988">
        <f>SUM(E121:E144)</f>
        <v>0</v>
      </c>
      <c r="F145" s="988">
        <f>+IF(E145=0,0,G145/E145)</f>
        <v>0</v>
      </c>
      <c r="G145" s="988">
        <f>SUM(G121:G144)</f>
        <v>0</v>
      </c>
      <c r="H145" s="988">
        <f>SUM(H121:H144)</f>
        <v>0</v>
      </c>
      <c r="I145" s="988">
        <f>+IF(H145=0,0,J145/H145)</f>
        <v>0</v>
      </c>
      <c r="J145" s="988">
        <f>SUM(J121:J144)</f>
        <v>0</v>
      </c>
      <c r="K145" s="988">
        <f>SUM(K121:K144)</f>
        <v>0</v>
      </c>
      <c r="L145" s="988">
        <f>L144</f>
        <v>0</v>
      </c>
      <c r="M145" s="988">
        <f>M144</f>
        <v>0</v>
      </c>
      <c r="N145" s="988">
        <f>N144</f>
        <v>0</v>
      </c>
      <c r="O145" s="990">
        <f>SUM(O120:O144)</f>
        <v>0</v>
      </c>
      <c r="P145" s="990">
        <f>SUM(P120:P144)</f>
        <v>0</v>
      </c>
      <c r="Q145" s="55">
        <f t="shared" si="0"/>
        <v>0</v>
      </c>
      <c r="R145" s="55">
        <f t="shared" si="1"/>
        <v>0</v>
      </c>
      <c r="S145" s="55">
        <f t="shared" si="2"/>
        <v>0</v>
      </c>
    </row>
    <row r="146" spans="1:19" s="163" customFormat="1">
      <c r="A146" s="20" t="s">
        <v>244</v>
      </c>
      <c r="B146" s="1318"/>
      <c r="C146" s="1319" t="s">
        <v>243</v>
      </c>
      <c r="D146" s="1320"/>
      <c r="E146" s="1321"/>
      <c r="F146" s="1322"/>
      <c r="G146" s="1321"/>
      <c r="H146" s="1321"/>
      <c r="I146" s="1322"/>
      <c r="J146" s="1321"/>
      <c r="K146" s="980"/>
      <c r="L146" s="980"/>
      <c r="M146" s="980"/>
      <c r="N146" s="980">
        <f t="shared" ref="N146:N160" si="155">+IF(L146=0,0,M146/L146)</f>
        <v>0</v>
      </c>
      <c r="O146" s="980">
        <f>IF(J146-K146&gt;0,J146-K146,0)</f>
        <v>0</v>
      </c>
      <c r="P146" s="980">
        <f>IF(J146-K146&lt;0,J146-K146,0)</f>
        <v>0</v>
      </c>
      <c r="Q146" s="55">
        <f t="shared" si="0"/>
        <v>0</v>
      </c>
      <c r="R146" s="55">
        <f t="shared" si="1"/>
        <v>0</v>
      </c>
      <c r="S146" s="55">
        <f t="shared" si="2"/>
        <v>0</v>
      </c>
    </row>
    <row r="147" spans="1:19" s="163" customFormat="1">
      <c r="A147" s="20" t="s">
        <v>244</v>
      </c>
      <c r="B147" s="974"/>
      <c r="C147" s="978"/>
      <c r="D147" s="91"/>
      <c r="E147" s="979"/>
      <c r="F147" s="980">
        <f>IF(E147=0,0,G147/E147)</f>
        <v>0</v>
      </c>
      <c r="G147" s="979"/>
      <c r="H147" s="996"/>
      <c r="I147" s="980">
        <f>IF(H147=0,0,J147/H147)</f>
        <v>0</v>
      </c>
      <c r="J147" s="996"/>
      <c r="K147" s="980">
        <f>+H147*N146</f>
        <v>0</v>
      </c>
      <c r="L147" s="980">
        <f>+L146+E147-H147</f>
        <v>0</v>
      </c>
      <c r="M147" s="980">
        <f>+M146+G147-K147</f>
        <v>0</v>
      </c>
      <c r="N147" s="980">
        <f t="shared" si="155"/>
        <v>0</v>
      </c>
      <c r="O147" s="980">
        <f>IF(J147-K147&gt;0,J147-K147,0)</f>
        <v>0</v>
      </c>
      <c r="P147" s="980">
        <f>IF(J147-K147&lt;0,J147-K147,0)</f>
        <v>0</v>
      </c>
      <c r="Q147" s="55">
        <f t="shared" si="0"/>
        <v>0</v>
      </c>
      <c r="R147" s="55">
        <f t="shared" si="1"/>
        <v>0</v>
      </c>
      <c r="S147" s="55">
        <f t="shared" si="2"/>
        <v>0</v>
      </c>
    </row>
    <row r="148" spans="1:19" s="163" customFormat="1">
      <c r="A148" s="20" t="s">
        <v>244</v>
      </c>
      <c r="B148" s="974"/>
      <c r="C148" s="997"/>
      <c r="D148" s="91"/>
      <c r="E148" s="996"/>
      <c r="F148" s="980">
        <f>IF(E148=0,0,G148/E148)</f>
        <v>0</v>
      </c>
      <c r="G148" s="979"/>
      <c r="H148" s="979"/>
      <c r="I148" s="980">
        <f>IF(H148=0,0,J148/H148)</f>
        <v>0</v>
      </c>
      <c r="J148" s="979"/>
      <c r="K148" s="980">
        <f>+H148*N147</f>
        <v>0</v>
      </c>
      <c r="L148" s="980">
        <f>+L147+E148-H148</f>
        <v>0</v>
      </c>
      <c r="M148" s="980">
        <f>+M147+G148-K148</f>
        <v>0</v>
      </c>
      <c r="N148" s="980">
        <f t="shared" si="155"/>
        <v>0</v>
      </c>
      <c r="O148" s="980">
        <f>IF(J148-K148&gt;0,J148-K148,0)</f>
        <v>0</v>
      </c>
      <c r="P148" s="980">
        <f>IF(J148-K148&lt;0,J148-K148,0)</f>
        <v>0</v>
      </c>
      <c r="Q148" s="55">
        <f t="shared" si="0"/>
        <v>0</v>
      </c>
      <c r="R148" s="55">
        <f t="shared" si="1"/>
        <v>0</v>
      </c>
      <c r="S148" s="55">
        <f t="shared" si="2"/>
        <v>0</v>
      </c>
    </row>
    <row r="149" spans="1:19" s="163" customFormat="1">
      <c r="A149" s="20" t="s">
        <v>244</v>
      </c>
      <c r="B149" s="974"/>
      <c r="C149" s="997"/>
      <c r="D149" s="164"/>
      <c r="E149" s="996"/>
      <c r="F149" s="980">
        <f>IF(E149=0,0,G149/E149)</f>
        <v>0</v>
      </c>
      <c r="G149" s="996"/>
      <c r="H149" s="769"/>
      <c r="I149" s="980">
        <f>IF(H149=0,0,J149/H149)</f>
        <v>0</v>
      </c>
      <c r="J149" s="769"/>
      <c r="K149" s="980">
        <f>+H149*N148</f>
        <v>0</v>
      </c>
      <c r="L149" s="980">
        <f>+L148+E149-H149</f>
        <v>0</v>
      </c>
      <c r="M149" s="980">
        <f>+M148+G149-K149</f>
        <v>0</v>
      </c>
      <c r="N149" s="980">
        <f t="shared" si="155"/>
        <v>0</v>
      </c>
      <c r="O149" s="980">
        <f>IF(J149-K149&gt;0,J149-K149,0)</f>
        <v>0</v>
      </c>
      <c r="P149" s="980">
        <f>IF(J149-K149&lt;0,J149-K149,0)</f>
        <v>0</v>
      </c>
      <c r="Q149" s="55">
        <f t="shared" si="0"/>
        <v>0</v>
      </c>
      <c r="R149" s="55">
        <f t="shared" si="1"/>
        <v>0</v>
      </c>
      <c r="S149" s="55">
        <f t="shared" si="2"/>
        <v>0</v>
      </c>
    </row>
    <row r="150" spans="1:19" s="162" customFormat="1" ht="10.5" customHeight="1">
      <c r="A150" s="20" t="s">
        <v>244</v>
      </c>
      <c r="B150" s="995">
        <f>B149</f>
        <v>0</v>
      </c>
      <c r="C150" s="999" t="s">
        <v>247</v>
      </c>
      <c r="D150" s="987">
        <f>+$K$1</f>
        <v>46022</v>
      </c>
      <c r="E150" s="988">
        <f>SUM(E147:E149)</f>
        <v>0</v>
      </c>
      <c r="F150" s="988">
        <f>+IF(E150=0,0,G150/E150)</f>
        <v>0</v>
      </c>
      <c r="G150" s="988">
        <f>SUM(G146:G149)</f>
        <v>0</v>
      </c>
      <c r="H150" s="988">
        <f>SUM(H146:H149)</f>
        <v>0</v>
      </c>
      <c r="I150" s="988">
        <f>+IF(H150=0,0,J150/H150)</f>
        <v>0</v>
      </c>
      <c r="J150" s="988">
        <f>SUM(J146:J149)</f>
        <v>0</v>
      </c>
      <c r="K150" s="988">
        <f>SUM(K146:K149)</f>
        <v>0</v>
      </c>
      <c r="L150" s="988">
        <f>+L149</f>
        <v>0</v>
      </c>
      <c r="M150" s="988">
        <f>+M149</f>
        <v>0</v>
      </c>
      <c r="N150" s="992">
        <f>+IF(L150=0,0,M150/L150)</f>
        <v>0</v>
      </c>
      <c r="O150" s="990">
        <f>SUM(O146:O149)</f>
        <v>0</v>
      </c>
      <c r="P150" s="990">
        <f>SUM(P146:P149)</f>
        <v>0</v>
      </c>
      <c r="Q150" s="55">
        <f t="shared" si="0"/>
        <v>0</v>
      </c>
      <c r="R150" s="55">
        <f t="shared" si="1"/>
        <v>0</v>
      </c>
      <c r="S150" s="55">
        <f t="shared" si="2"/>
        <v>0</v>
      </c>
    </row>
    <row r="151" spans="1:19" s="163" customFormat="1">
      <c r="A151" s="161"/>
      <c r="B151" s="1318"/>
      <c r="C151" s="1319" t="s">
        <v>243</v>
      </c>
      <c r="D151" s="1320"/>
      <c r="E151" s="1321"/>
      <c r="F151" s="1322"/>
      <c r="G151" s="1321"/>
      <c r="H151" s="1321"/>
      <c r="I151" s="1322"/>
      <c r="J151" s="1321"/>
      <c r="K151" s="980"/>
      <c r="L151" s="980"/>
      <c r="M151" s="991"/>
      <c r="N151" s="980">
        <f t="shared" si="155"/>
        <v>0</v>
      </c>
      <c r="O151" s="980">
        <f>IF(J151-K151&gt;0,J151-K151,0)</f>
        <v>0</v>
      </c>
      <c r="P151" s="980">
        <f>IF(J151-K151&lt;0,J151-K151,0)</f>
        <v>0</v>
      </c>
      <c r="Q151" s="55">
        <f t="shared" si="0"/>
        <v>0</v>
      </c>
      <c r="R151" s="55">
        <f t="shared" si="1"/>
        <v>0</v>
      </c>
      <c r="S151" s="55">
        <f t="shared" si="2"/>
        <v>0</v>
      </c>
    </row>
    <row r="152" spans="1:19" s="163" customFormat="1">
      <c r="A152" s="161" t="s">
        <v>148</v>
      </c>
      <c r="B152" s="974"/>
      <c r="C152" s="978"/>
      <c r="D152" s="91"/>
      <c r="E152" s="979"/>
      <c r="F152" s="980">
        <f>IF(E152=0,0,G152/E152)</f>
        <v>0</v>
      </c>
      <c r="G152" s="979"/>
      <c r="H152" s="996"/>
      <c r="I152" s="980">
        <f>IF(H152=0,0,J152/H152)</f>
        <v>0</v>
      </c>
      <c r="J152" s="996"/>
      <c r="K152" s="980">
        <f>+H152*N151</f>
        <v>0</v>
      </c>
      <c r="L152" s="980">
        <f>+L151+E152-H152</f>
        <v>0</v>
      </c>
      <c r="M152" s="980">
        <f>+M151+G152-K152</f>
        <v>0</v>
      </c>
      <c r="N152" s="980">
        <f t="shared" si="155"/>
        <v>0</v>
      </c>
      <c r="O152" s="980">
        <f>IF(J152-K152&gt;0,J152-K152,0)</f>
        <v>0</v>
      </c>
      <c r="P152" s="980">
        <f>IF(J152-K152&lt;0,J152-K152,0)</f>
        <v>0</v>
      </c>
      <c r="Q152" s="55">
        <f t="shared" si="0"/>
        <v>0</v>
      </c>
      <c r="R152" s="55">
        <f t="shared" si="1"/>
        <v>0</v>
      </c>
      <c r="S152" s="55">
        <f t="shared" si="2"/>
        <v>0</v>
      </c>
    </row>
    <row r="153" spans="1:19" s="163" customFormat="1">
      <c r="A153" s="161" t="s">
        <v>148</v>
      </c>
      <c r="B153" s="974"/>
      <c r="C153" s="997"/>
      <c r="D153" s="91"/>
      <c r="E153" s="979"/>
      <c r="F153" s="980">
        <f>IF(E153=0,0,G153/E153)</f>
        <v>0</v>
      </c>
      <c r="G153" s="979"/>
      <c r="H153" s="996"/>
      <c r="I153" s="980">
        <f>IF(H153=0,0,J153/H153)</f>
        <v>0</v>
      </c>
      <c r="J153" s="996"/>
      <c r="K153" s="980">
        <f>+H153*N152</f>
        <v>0</v>
      </c>
      <c r="L153" s="980">
        <f>+L152+E153-H153</f>
        <v>0</v>
      </c>
      <c r="M153" s="980">
        <f>+M152+G153-K153</f>
        <v>0</v>
      </c>
      <c r="N153" s="980">
        <f t="shared" si="155"/>
        <v>0</v>
      </c>
      <c r="O153" s="980">
        <f>IF(J153-K153&gt;0,J153-K153,0)</f>
        <v>0</v>
      </c>
      <c r="P153" s="980">
        <f>IF(J153-K153&lt;0,J153-K153,0)</f>
        <v>0</v>
      </c>
      <c r="Q153" s="55">
        <f t="shared" si="0"/>
        <v>0</v>
      </c>
      <c r="R153" s="55">
        <f t="shared" si="1"/>
        <v>0</v>
      </c>
      <c r="S153" s="55">
        <f t="shared" si="2"/>
        <v>0</v>
      </c>
    </row>
    <row r="154" spans="1:19" s="163" customFormat="1">
      <c r="A154" s="161" t="s">
        <v>148</v>
      </c>
      <c r="B154" s="974"/>
      <c r="C154" s="997"/>
      <c r="D154" s="91"/>
      <c r="E154" s="979"/>
      <c r="F154" s="980">
        <f>IF(E154=0,0,G154/E154)</f>
        <v>0</v>
      </c>
      <c r="G154" s="979"/>
      <c r="H154" s="996"/>
      <c r="I154" s="980">
        <f>IF(H154=0,0,J154/H154)</f>
        <v>0</v>
      </c>
      <c r="J154" s="996"/>
      <c r="K154" s="980">
        <f>+H154*N153</f>
        <v>0</v>
      </c>
      <c r="L154" s="980">
        <f>+L153+E154-H154</f>
        <v>0</v>
      </c>
      <c r="M154" s="980">
        <f>+M153+G154-K154</f>
        <v>0</v>
      </c>
      <c r="N154" s="980">
        <f t="shared" si="155"/>
        <v>0</v>
      </c>
      <c r="O154" s="980">
        <f>IF(J154-K154&gt;0,J154-K154,0)</f>
        <v>0</v>
      </c>
      <c r="P154" s="980">
        <f>IF(J154-K154&lt;0,J154-K154,0)</f>
        <v>0</v>
      </c>
      <c r="Q154" s="55">
        <f t="shared" si="0"/>
        <v>0</v>
      </c>
      <c r="R154" s="55">
        <f t="shared" si="1"/>
        <v>0</v>
      </c>
      <c r="S154" s="55">
        <f t="shared" si="2"/>
        <v>0</v>
      </c>
    </row>
    <row r="155" spans="1:19" s="162" customFormat="1" ht="10.5" customHeight="1">
      <c r="A155" s="161" t="s">
        <v>148</v>
      </c>
      <c r="B155" s="995">
        <f>B154</f>
        <v>0</v>
      </c>
      <c r="C155" s="999" t="s">
        <v>247</v>
      </c>
      <c r="D155" s="987">
        <f>+$K$1</f>
        <v>46022</v>
      </c>
      <c r="E155" s="988">
        <f>SUM(E152:E154)</f>
        <v>0</v>
      </c>
      <c r="F155" s="988">
        <f>+IF(E155=0,0,G155/E155)</f>
        <v>0</v>
      </c>
      <c r="G155" s="988">
        <f>SUM(G151:G154)</f>
        <v>0</v>
      </c>
      <c r="H155" s="988">
        <f>SUM(H151:H154)</f>
        <v>0</v>
      </c>
      <c r="I155" s="988">
        <f>+IF(H155=0,0,J155/H155)</f>
        <v>0</v>
      </c>
      <c r="J155" s="988">
        <f>SUM(J151:J154)</f>
        <v>0</v>
      </c>
      <c r="K155" s="988">
        <f>SUM(K151:K154)</f>
        <v>0</v>
      </c>
      <c r="L155" s="988">
        <f>+L154</f>
        <v>0</v>
      </c>
      <c r="M155" s="988">
        <f>+M154</f>
        <v>0</v>
      </c>
      <c r="N155" s="992">
        <f t="shared" si="155"/>
        <v>0</v>
      </c>
      <c r="O155" s="990">
        <f>SUM(O151:O154)</f>
        <v>0</v>
      </c>
      <c r="P155" s="990">
        <f>SUM(P151:P154)</f>
        <v>0</v>
      </c>
      <c r="Q155" s="55">
        <f t="shared" si="0"/>
        <v>0</v>
      </c>
      <c r="R155" s="55">
        <f t="shared" si="1"/>
        <v>0</v>
      </c>
      <c r="S155" s="55">
        <f t="shared" si="2"/>
        <v>0</v>
      </c>
    </row>
    <row r="156" spans="1:19" s="163" customFormat="1">
      <c r="A156" s="161"/>
      <c r="B156" s="1323"/>
      <c r="C156" s="1319" t="s">
        <v>243</v>
      </c>
      <c r="D156" s="1320"/>
      <c r="E156" s="1321"/>
      <c r="F156" s="1322"/>
      <c r="G156" s="1321"/>
      <c r="H156" s="1321"/>
      <c r="I156" s="1322"/>
      <c r="J156" s="1321"/>
      <c r="K156" s="980"/>
      <c r="L156" s="980"/>
      <c r="M156" s="991"/>
      <c r="N156" s="980">
        <f t="shared" si="155"/>
        <v>0</v>
      </c>
      <c r="O156" s="980">
        <f>IF(J156-K156&gt;0,J156-K156,0)</f>
        <v>0</v>
      </c>
      <c r="P156" s="980">
        <f>IF(J156-K156&lt;0,J156-K156,0)</f>
        <v>0</v>
      </c>
      <c r="Q156" s="55">
        <f t="shared" si="0"/>
        <v>0</v>
      </c>
      <c r="R156" s="55">
        <f t="shared" si="1"/>
        <v>0</v>
      </c>
      <c r="S156" s="55">
        <f t="shared" si="2"/>
        <v>0</v>
      </c>
    </row>
    <row r="157" spans="1:19" s="163" customFormat="1">
      <c r="A157" s="161"/>
      <c r="B157" s="974"/>
      <c r="C157" s="997"/>
      <c r="D157" s="91"/>
      <c r="E157" s="979"/>
      <c r="F157" s="980">
        <f>IF(E157=0,0,G157/E157)</f>
        <v>0</v>
      </c>
      <c r="G157" s="979"/>
      <c r="H157" s="996"/>
      <c r="I157" s="980">
        <f>IF(H157=0,0,J157/H157)</f>
        <v>0</v>
      </c>
      <c r="J157" s="996"/>
      <c r="K157" s="980">
        <f>+H157*N156</f>
        <v>0</v>
      </c>
      <c r="L157" s="980">
        <f>+L156+E157-H157</f>
        <v>0</v>
      </c>
      <c r="M157" s="980">
        <f>+M156+G157-K157</f>
        <v>0</v>
      </c>
      <c r="N157" s="980">
        <f t="shared" si="155"/>
        <v>0</v>
      </c>
      <c r="O157" s="980">
        <f>IF(J157-K157&gt;0,J157-K157,0)</f>
        <v>0</v>
      </c>
      <c r="P157" s="980">
        <f>IF(J157-K157&lt;0,J157-K157,0)</f>
        <v>0</v>
      </c>
      <c r="Q157" s="55">
        <f t="shared" si="0"/>
        <v>0</v>
      </c>
      <c r="R157" s="55">
        <f t="shared" si="1"/>
        <v>0</v>
      </c>
      <c r="S157" s="55">
        <f t="shared" si="2"/>
        <v>0</v>
      </c>
    </row>
    <row r="158" spans="1:19" s="163" customFormat="1">
      <c r="A158" s="161"/>
      <c r="B158" s="974"/>
      <c r="C158" s="997"/>
      <c r="D158" s="91"/>
      <c r="E158" s="979"/>
      <c r="F158" s="980">
        <f>IF(E158=0,0,G158/E158)</f>
        <v>0</v>
      </c>
      <c r="G158" s="979"/>
      <c r="H158" s="996"/>
      <c r="I158" s="980">
        <f>IF(H158=0,0,J158/H158)</f>
        <v>0</v>
      </c>
      <c r="J158" s="996"/>
      <c r="K158" s="980">
        <f>+H158*N157</f>
        <v>0</v>
      </c>
      <c r="L158" s="980">
        <f>+L157+E158-H158</f>
        <v>0</v>
      </c>
      <c r="M158" s="980">
        <f>+M157+G158-K158</f>
        <v>0</v>
      </c>
      <c r="N158" s="980">
        <f t="shared" si="155"/>
        <v>0</v>
      </c>
      <c r="O158" s="980">
        <f>IF(J158-K158&gt;0,J158-K158,0)</f>
        <v>0</v>
      </c>
      <c r="P158" s="980">
        <f>IF(J158-K158&lt;0,J158-K158,0)</f>
        <v>0</v>
      </c>
      <c r="Q158" s="55">
        <f t="shared" si="0"/>
        <v>0</v>
      </c>
      <c r="R158" s="55">
        <f t="shared" si="1"/>
        <v>0</v>
      </c>
      <c r="S158" s="55">
        <f t="shared" si="2"/>
        <v>0</v>
      </c>
    </row>
    <row r="159" spans="1:19" s="163" customFormat="1">
      <c r="A159" s="161"/>
      <c r="B159" s="974"/>
      <c r="C159" s="997"/>
      <c r="D159" s="164"/>
      <c r="E159" s="996"/>
      <c r="F159" s="980">
        <f>IF(E159=0,0,G159/E159)</f>
        <v>0</v>
      </c>
      <c r="G159" s="996"/>
      <c r="H159" s="769"/>
      <c r="I159" s="980">
        <f>IF(H159=0,0,J159/H159)</f>
        <v>0</v>
      </c>
      <c r="J159" s="769"/>
      <c r="K159" s="980">
        <f>+H159*N158</f>
        <v>0</v>
      </c>
      <c r="L159" s="980">
        <f>+L158+E159-H159</f>
        <v>0</v>
      </c>
      <c r="M159" s="980">
        <f>+M158+G159-K159</f>
        <v>0</v>
      </c>
      <c r="N159" s="980">
        <f t="shared" si="155"/>
        <v>0</v>
      </c>
      <c r="O159" s="980">
        <f>IF(J159-K159&gt;0,J159-K159,0)</f>
        <v>0</v>
      </c>
      <c r="P159" s="980">
        <f>IF(J159-K159&lt;0,J159-K159,0)</f>
        <v>0</v>
      </c>
      <c r="Q159" s="55">
        <f t="shared" si="0"/>
        <v>0</v>
      </c>
      <c r="R159" s="55">
        <f t="shared" si="1"/>
        <v>0</v>
      </c>
      <c r="S159" s="55">
        <f t="shared" si="2"/>
        <v>0</v>
      </c>
    </row>
    <row r="160" spans="1:19" s="162" customFormat="1" ht="10.5" customHeight="1">
      <c r="A160" s="161"/>
      <c r="B160" s="995"/>
      <c r="C160" s="999" t="s">
        <v>247</v>
      </c>
      <c r="D160" s="987">
        <f>+$K$1</f>
        <v>46022</v>
      </c>
      <c r="E160" s="988">
        <f>SUM(E157:E159)</f>
        <v>0</v>
      </c>
      <c r="F160" s="988">
        <f>+IF(E160=0,0,G160/E160)</f>
        <v>0</v>
      </c>
      <c r="G160" s="988">
        <f>SUM(G156:G159)</f>
        <v>0</v>
      </c>
      <c r="H160" s="988">
        <f>SUM(H156:H159)</f>
        <v>0</v>
      </c>
      <c r="I160" s="988">
        <f>+IF(H160=0,0,J160/H160)</f>
        <v>0</v>
      </c>
      <c r="J160" s="988">
        <f>SUM(J156:J159)</f>
        <v>0</v>
      </c>
      <c r="K160" s="988">
        <f>SUM(K156:K159)</f>
        <v>0</v>
      </c>
      <c r="L160" s="988">
        <f>+L159</f>
        <v>0</v>
      </c>
      <c r="M160" s="988">
        <f>+M159</f>
        <v>0</v>
      </c>
      <c r="N160" s="992">
        <f t="shared" si="155"/>
        <v>0</v>
      </c>
      <c r="O160" s="990">
        <f>SUM(O156:O159)</f>
        <v>0</v>
      </c>
      <c r="P160" s="990">
        <f>SUM(P156:P159)</f>
        <v>0</v>
      </c>
      <c r="Q160" s="55">
        <f t="shared" si="0"/>
        <v>0</v>
      </c>
      <c r="R160" s="55">
        <f t="shared" si="1"/>
        <v>0</v>
      </c>
      <c r="S160" s="55">
        <f t="shared" si="2"/>
        <v>0</v>
      </c>
    </row>
    <row r="161" spans="1:19">
      <c r="A161" s="20"/>
      <c r="B161" s="994" t="s">
        <v>254</v>
      </c>
      <c r="C161" s="986"/>
      <c r="D161" s="987">
        <f>+$K$1</f>
        <v>46022</v>
      </c>
      <c r="E161" s="989"/>
      <c r="F161" s="989"/>
      <c r="G161" s="988">
        <f>SUM(G13:G160)/2</f>
        <v>149530000</v>
      </c>
      <c r="H161" s="989"/>
      <c r="I161" s="989"/>
      <c r="J161" s="988">
        <f>SUM(J13:J160)/2</f>
        <v>0</v>
      </c>
      <c r="K161" s="988">
        <f>SUM(K13:K160)/2</f>
        <v>0</v>
      </c>
      <c r="L161" s="988"/>
      <c r="M161" s="988">
        <f>+M20+M145+M35++M40+M45+M51+M56+M61+M104+M109+M114+M119+M150+M155+M160+M71+M66+M76+M83+M91+M99</f>
        <v>149530000</v>
      </c>
      <c r="N161" s="989"/>
      <c r="O161" s="988">
        <f>SUM(O13:O160)/2</f>
        <v>0</v>
      </c>
      <c r="P161" s="988">
        <f>SUM(P13:P160)/2</f>
        <v>0</v>
      </c>
      <c r="S161" s="55">
        <f>SUM(S13:S160)</f>
        <v>0</v>
      </c>
    </row>
    <row r="162" spans="1:19">
      <c r="A162" s="20"/>
      <c r="B162" s="290"/>
      <c r="C162" s="291"/>
      <c r="D162" s="76"/>
      <c r="E162" s="292"/>
      <c r="F162" s="292"/>
      <c r="G162" s="293"/>
      <c r="H162" s="292"/>
      <c r="I162" s="292"/>
      <c r="J162" s="293"/>
      <c r="K162" s="293"/>
      <c r="L162" s="293"/>
      <c r="M162" s="293"/>
      <c r="N162" s="292"/>
      <c r="O162" s="293"/>
      <c r="P162" s="293"/>
      <c r="S162" s="55"/>
    </row>
    <row r="163" spans="1:19" ht="12.75">
      <c r="C163" s="71"/>
      <c r="H163" s="70" t="s">
        <v>255</v>
      </c>
      <c r="I163" s="69"/>
      <c r="J163" s="70" t="s">
        <v>256</v>
      </c>
      <c r="L163" s="70"/>
      <c r="M163" s="166">
        <f>+ROUND(G161-K161,2)</f>
        <v>149530000</v>
      </c>
      <c r="N163" s="464" t="s">
        <v>257</v>
      </c>
      <c r="O163" s="464"/>
      <c r="P163" s="464"/>
      <c r="Q163" s="464"/>
      <c r="S163" s="147" t="str">
        <f>IF(ABS(S161)&lt;0.01,"OK","ANOMALIE")</f>
        <v>OK</v>
      </c>
    </row>
    <row r="164" spans="1:19">
      <c r="C164" s="56"/>
      <c r="J164" s="70" t="s">
        <v>258</v>
      </c>
      <c r="L164" s="70"/>
      <c r="M164" s="166">
        <f>+M161-M163</f>
        <v>0</v>
      </c>
      <c r="N164" s="464" t="s">
        <v>258</v>
      </c>
      <c r="O164" s="464">
        <f>O161-O163</f>
        <v>0</v>
      </c>
      <c r="P164" s="464">
        <f>P161-P163</f>
        <v>0</v>
      </c>
      <c r="Q164" s="464"/>
    </row>
    <row r="165" spans="1:19" ht="12.75">
      <c r="C165" s="56"/>
      <c r="J165" s="70" t="s">
        <v>259</v>
      </c>
      <c r="L165" s="70"/>
      <c r="M165" s="166">
        <f>Inventaire!H25</f>
        <v>149530000</v>
      </c>
      <c r="N165" s="464"/>
      <c r="O165" s="465" t="str">
        <f>IF(ABS(O164)&lt;0.01,"OK","ANOMALIE")</f>
        <v>OK</v>
      </c>
      <c r="P165" s="465" t="str">
        <f>IF(ABS(P164)&lt;0.01,"OK","ANOMALIE")</f>
        <v>OK</v>
      </c>
      <c r="Q165" s="465"/>
    </row>
    <row r="166" spans="1:19">
      <c r="C166" s="56"/>
      <c r="J166" s="70" t="s">
        <v>258</v>
      </c>
      <c r="L166" s="70"/>
      <c r="M166" s="166">
        <f>+M161-M165</f>
        <v>0</v>
      </c>
      <c r="N166" s="464"/>
      <c r="O166" s="466"/>
      <c r="P166" s="464"/>
      <c r="Q166" s="467"/>
    </row>
    <row r="167" spans="1:19">
      <c r="M167" s="213" t="str">
        <f>IF(AND(M166=0,M164=0),"OK","ANOMALIE")</f>
        <v>OK</v>
      </c>
    </row>
    <row r="168" spans="1:19">
      <c r="M168" s="56"/>
    </row>
    <row r="169" spans="1:19">
      <c r="J169" s="73" t="s">
        <v>260</v>
      </c>
      <c r="M169" s="74">
        <f>+M165+'Intérêts Obligations'!F101</f>
        <v>149530000</v>
      </c>
    </row>
    <row r="170" spans="1:19">
      <c r="N170" s="74" t="s">
        <v>257</v>
      </c>
      <c r="O170" s="165"/>
    </row>
    <row r="171" spans="1:19" ht="12.75" customHeight="1">
      <c r="M171" s="1161" t="s">
        <v>261</v>
      </c>
      <c r="N171" s="1161"/>
      <c r="O171" s="165"/>
    </row>
    <row r="172" spans="1:19" ht="12.75">
      <c r="C172" s="194"/>
      <c r="D172" s="195"/>
      <c r="N172" s="74" t="s">
        <v>262</v>
      </c>
      <c r="O172" s="71">
        <f>O161+P161-O170-O171</f>
        <v>0</v>
      </c>
    </row>
    <row r="173" spans="1:19" ht="12.75">
      <c r="C173" s="194"/>
      <c r="D173" s="195"/>
      <c r="O173" s="147" t="str">
        <f>IF(ABS(O172)&lt;0.01,"OK","ANOMALIE")</f>
        <v>OK</v>
      </c>
    </row>
    <row r="174" spans="1:19" ht="12.75">
      <c r="C174" s="194"/>
      <c r="D174" s="195"/>
    </row>
    <row r="175" spans="1:19" ht="12.75">
      <c r="C175" s="194"/>
      <c r="D175" s="195"/>
      <c r="E175" s="56"/>
      <c r="F175" s="56"/>
      <c r="G175" s="56"/>
      <c r="H175" s="56"/>
      <c r="I175" s="56"/>
      <c r="J175" s="56"/>
      <c r="K175" s="56"/>
      <c r="M175" s="56"/>
      <c r="N175" s="56"/>
      <c r="O175" s="56"/>
      <c r="P175" s="56"/>
    </row>
    <row r="176" spans="1:19" ht="12.75">
      <c r="C176" s="194"/>
      <c r="D176" s="195"/>
      <c r="E176" s="56"/>
      <c r="F176" s="56"/>
      <c r="G176" s="56"/>
      <c r="H176" s="56"/>
      <c r="I176" s="56"/>
      <c r="J176" s="56"/>
      <c r="K176" s="56"/>
      <c r="M176" s="56"/>
      <c r="N176" s="56"/>
      <c r="O176" s="56"/>
      <c r="P176" s="56"/>
    </row>
    <row r="177" spans="3:16" ht="12.75">
      <c r="C177" s="194"/>
      <c r="D177" s="195"/>
      <c r="E177" s="56"/>
      <c r="F177" s="56"/>
      <c r="G177" s="56"/>
      <c r="H177" s="56"/>
      <c r="I177" s="56"/>
      <c r="J177" s="56"/>
      <c r="K177" s="56"/>
      <c r="M177" s="56"/>
      <c r="N177" s="56"/>
      <c r="O177" s="56"/>
      <c r="P177" s="56"/>
    </row>
    <row r="178" spans="3:16" ht="12.75">
      <c r="C178" s="194"/>
      <c r="D178" s="195"/>
      <c r="E178" s="56"/>
      <c r="F178" s="56"/>
      <c r="G178" s="56"/>
      <c r="H178" s="56"/>
      <c r="I178" s="56"/>
      <c r="J178" s="56"/>
      <c r="K178" s="56"/>
      <c r="M178" s="56"/>
      <c r="N178" s="56"/>
      <c r="O178" s="56"/>
      <c r="P178" s="56"/>
    </row>
    <row r="179" spans="3:16" ht="12.75">
      <c r="C179" s="194"/>
      <c r="D179" s="195"/>
      <c r="E179" s="56"/>
      <c r="F179" s="56"/>
      <c r="G179" s="56"/>
      <c r="H179" s="56"/>
      <c r="I179" s="56"/>
      <c r="J179" s="56"/>
      <c r="K179" s="56"/>
      <c r="M179" s="56"/>
      <c r="N179" s="56"/>
      <c r="O179" s="56"/>
      <c r="P179" s="56"/>
    </row>
    <row r="180" spans="3:16" ht="12.75">
      <c r="C180" s="194"/>
      <c r="D180" s="195"/>
      <c r="E180" s="56"/>
      <c r="F180" s="56"/>
      <c r="G180" s="56"/>
      <c r="H180" s="56"/>
      <c r="I180" s="56"/>
      <c r="J180" s="56"/>
      <c r="K180" s="56"/>
      <c r="M180" s="56"/>
      <c r="N180" s="56"/>
      <c r="O180" s="56"/>
      <c r="P180" s="56"/>
    </row>
  </sheetData>
  <autoFilter ref="A12:T166" xr:uid="{00000000-0009-0000-0000-000007000000}"/>
  <mergeCells count="9">
    <mergeCell ref="M171:N171"/>
    <mergeCell ref="Q11:Q12"/>
    <mergeCell ref="S11:S12"/>
    <mergeCell ref="E11:G11"/>
    <mergeCell ref="H11:K11"/>
    <mergeCell ref="L11:N11"/>
    <mergeCell ref="O11:O12"/>
    <mergeCell ref="P11:P12"/>
    <mergeCell ref="R11:R12"/>
  </mergeCells>
  <phoneticPr fontId="0" type="noConversion"/>
  <pageMargins left="0.15748031496062992" right="0.23622047244094491" top="0.34" bottom="0.42" header="0.51181102362204722" footer="0.25"/>
  <pageSetup paperSize="9" scale="51" fitToHeight="0" orientation="landscape" r:id="rId1"/>
  <headerFooter alignWithMargins="0"/>
  <rowBreaks count="1" manualBreakCount="1">
    <brk id="79" max="1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0">
    <pageSetUpPr fitToPage="1"/>
  </sheetPr>
  <dimension ref="B1:R110"/>
  <sheetViews>
    <sheetView view="pageBreakPreview" topLeftCell="A5" zoomScaleNormal="100" zoomScaleSheetLayoutView="100" workbookViewId="0">
      <selection activeCell="F72" sqref="F72"/>
    </sheetView>
  </sheetViews>
  <sheetFormatPr defaultColWidth="11.42578125" defaultRowHeight="12.75"/>
  <cols>
    <col min="1" max="1" width="2.5703125" style="58" customWidth="1"/>
    <col min="2" max="3" width="12" style="58" customWidth="1"/>
    <col min="4" max="4" width="10.42578125" style="58" customWidth="1"/>
    <col min="5" max="5" width="10" style="58" customWidth="1"/>
    <col min="6" max="6" width="18.5703125" style="58" customWidth="1"/>
    <col min="7" max="7" width="19" style="58" customWidth="1"/>
    <col min="8" max="8" width="17.28515625" style="58" customWidth="1"/>
    <col min="9" max="9" width="14.5703125" style="58" bestFit="1" customWidth="1"/>
    <col min="10" max="10" width="17.28515625" style="58" customWidth="1"/>
    <col min="11" max="11" width="16.7109375" style="58" customWidth="1"/>
    <col min="12" max="12" width="15.140625" style="58" customWidth="1"/>
    <col min="13" max="13" width="1.42578125" style="58" customWidth="1"/>
    <col min="14" max="14" width="17" style="58" bestFit="1" customWidth="1"/>
    <col min="15" max="15" width="10" style="58" customWidth="1"/>
    <col min="16" max="16" width="19" style="58" customWidth="1"/>
    <col min="17" max="17" width="10.42578125" style="58" customWidth="1"/>
    <col min="18" max="18" width="19.42578125" style="58" customWidth="1"/>
    <col min="19" max="19" width="15.42578125" style="58" customWidth="1"/>
    <col min="20" max="20" width="14.5703125" style="58" bestFit="1" customWidth="1"/>
    <col min="21" max="21" width="18" style="58" customWidth="1"/>
    <col min="22" max="22" width="14.5703125" style="58" bestFit="1" customWidth="1"/>
    <col min="23" max="16383" width="11.42578125" style="58"/>
    <col min="16384" max="16384" width="11.42578125" style="58" bestFit="1"/>
  </cols>
  <sheetData>
    <row r="1" spans="2:12" ht="15">
      <c r="B1" s="856" t="str">
        <f>Sommaire!A1</f>
        <v>BOLZEN - SLP</v>
      </c>
      <c r="D1" s="294"/>
      <c r="E1" s="294"/>
      <c r="F1" s="294" t="s">
        <v>263</v>
      </c>
      <c r="G1" s="294"/>
      <c r="I1" s="651">
        <f>+Sommaire!C1</f>
        <v>46022</v>
      </c>
      <c r="J1" s="294"/>
      <c r="K1" s="294"/>
      <c r="L1" s="182"/>
    </row>
    <row r="2" spans="2:12" ht="15">
      <c r="B2" s="181"/>
      <c r="D2" s="289"/>
      <c r="E2" s="289"/>
      <c r="F2" s="289"/>
      <c r="G2" s="289"/>
      <c r="H2" s="289"/>
      <c r="L2" s="182"/>
    </row>
    <row r="3" spans="2:12" ht="15.75">
      <c r="B3" s="79"/>
      <c r="C3" s="114"/>
      <c r="D3" s="114"/>
      <c r="E3" s="88"/>
      <c r="F3" s="115"/>
      <c r="G3" s="101"/>
      <c r="H3" s="88"/>
      <c r="I3" s="88"/>
      <c r="J3" s="116"/>
      <c r="K3" s="114"/>
      <c r="L3" s="114"/>
    </row>
    <row r="4" spans="2:12">
      <c r="B4" s="426" t="s">
        <v>245</v>
      </c>
      <c r="C4" s="183"/>
      <c r="D4" s="602"/>
      <c r="E4" s="600"/>
      <c r="F4" s="183"/>
      <c r="G4" s="183"/>
      <c r="H4" s="190" t="s">
        <v>264</v>
      </c>
      <c r="I4" s="184"/>
      <c r="J4" s="600"/>
      <c r="K4" s="601"/>
      <c r="L4" s="602"/>
    </row>
    <row r="5" spans="2:12" ht="25.5">
      <c r="B5" s="859" t="s">
        <v>265</v>
      </c>
      <c r="C5" s="859" t="s">
        <v>266</v>
      </c>
      <c r="D5" s="863" t="s">
        <v>267</v>
      </c>
      <c r="E5" s="1324" t="s">
        <v>268</v>
      </c>
      <c r="F5" s="859" t="s">
        <v>269</v>
      </c>
      <c r="G5" s="1000" t="s">
        <v>270</v>
      </c>
      <c r="H5" s="865" t="s">
        <v>271</v>
      </c>
      <c r="I5" s="865" t="s">
        <v>272</v>
      </c>
      <c r="J5" s="865" t="s">
        <v>273</v>
      </c>
      <c r="K5" s="866" t="s">
        <v>274</v>
      </c>
      <c r="L5" s="1325" t="s">
        <v>275</v>
      </c>
    </row>
    <row r="6" spans="2:12">
      <c r="B6" s="867"/>
      <c r="C6" s="1326"/>
      <c r="D6" s="1327"/>
      <c r="E6" s="286" t="s">
        <v>98</v>
      </c>
      <c r="F6" s="1328"/>
      <c r="G6" s="1329"/>
      <c r="H6" s="1329"/>
      <c r="I6" s="1329"/>
      <c r="J6" s="1329"/>
      <c r="K6" s="1330"/>
      <c r="L6" s="1331"/>
    </row>
    <row r="7" spans="2:12">
      <c r="B7" s="868">
        <v>45867</v>
      </c>
      <c r="C7" s="1001">
        <v>45930</v>
      </c>
      <c r="D7" s="869">
        <f t="shared" ref="D7:D8" si="0">+C7-B7</f>
        <v>63</v>
      </c>
      <c r="E7" s="603">
        <v>365</v>
      </c>
      <c r="F7" s="870">
        <v>40320000</v>
      </c>
      <c r="G7" s="871"/>
      <c r="H7" s="871">
        <f>+H6+F7+G7</f>
        <v>40320000</v>
      </c>
      <c r="I7" s="872">
        <v>0.1</v>
      </c>
      <c r="J7" s="872"/>
      <c r="K7" s="873">
        <f>ROUND((H7*D7*(I7+J7))/E7,2)</f>
        <v>695934.25</v>
      </c>
      <c r="L7" s="1002">
        <f>+K7</f>
        <v>695934.25</v>
      </c>
    </row>
    <row r="8" spans="2:12">
      <c r="B8" s="875">
        <f>C7</f>
        <v>45930</v>
      </c>
      <c r="C8" s="868">
        <v>46022</v>
      </c>
      <c r="D8" s="869">
        <f t="shared" si="0"/>
        <v>92</v>
      </c>
      <c r="E8" s="603">
        <v>365</v>
      </c>
      <c r="F8" s="876"/>
      <c r="G8" s="871"/>
      <c r="H8" s="871">
        <f>+H7+F8+G8</f>
        <v>40320000</v>
      </c>
      <c r="I8" s="872">
        <v>0.1</v>
      </c>
      <c r="J8" s="872"/>
      <c r="K8" s="873">
        <f>ROUND((H8*D8*(I8+J8))/E8,2)</f>
        <v>1016284.93</v>
      </c>
      <c r="L8" s="1002">
        <f>+K8</f>
        <v>1016284.93</v>
      </c>
    </row>
    <row r="9" spans="2:12">
      <c r="B9" s="868"/>
      <c r="C9" s="868"/>
      <c r="D9" s="869"/>
      <c r="E9" s="603"/>
      <c r="F9" s="876"/>
      <c r="G9" s="871"/>
      <c r="H9" s="871"/>
      <c r="I9" s="872"/>
      <c r="J9" s="872"/>
      <c r="K9" s="1003"/>
      <c r="L9" s="1004"/>
    </row>
    <row r="10" spans="2:12">
      <c r="B10" s="868"/>
      <c r="C10" s="868"/>
      <c r="D10" s="869"/>
      <c r="E10" s="603"/>
      <c r="F10" s="876"/>
      <c r="G10" s="871"/>
      <c r="H10" s="871"/>
      <c r="I10" s="872"/>
      <c r="J10" s="872"/>
      <c r="K10" s="1003"/>
      <c r="L10" s="1004"/>
    </row>
    <row r="11" spans="2:12">
      <c r="B11" s="868"/>
      <c r="C11" s="868"/>
      <c r="D11" s="869"/>
      <c r="E11" s="603"/>
      <c r="F11" s="876"/>
      <c r="G11" s="871"/>
      <c r="H11" s="871"/>
      <c r="I11" s="872"/>
      <c r="J11" s="872"/>
      <c r="K11" s="1003"/>
      <c r="L11" s="1004"/>
    </row>
    <row r="12" spans="2:12">
      <c r="B12" s="868"/>
      <c r="C12" s="877"/>
      <c r="D12" s="869"/>
      <c r="E12" s="603"/>
      <c r="F12" s="876"/>
      <c r="G12" s="871"/>
      <c r="H12" s="871"/>
      <c r="I12" s="872"/>
      <c r="J12" s="872"/>
      <c r="K12" s="1003"/>
      <c r="L12" s="1002"/>
    </row>
    <row r="13" spans="2:12">
      <c r="B13" s="868"/>
      <c r="C13" s="877"/>
      <c r="D13" s="869"/>
      <c r="E13" s="603"/>
      <c r="F13" s="876"/>
      <c r="G13" s="871"/>
      <c r="H13" s="871"/>
      <c r="I13" s="872"/>
      <c r="J13" s="872"/>
      <c r="K13" s="1003"/>
      <c r="L13" s="1002"/>
    </row>
    <row r="14" spans="2:12">
      <c r="B14" s="877"/>
      <c r="C14" s="868"/>
      <c r="D14" s="869"/>
      <c r="E14" s="603"/>
      <c r="F14" s="876"/>
      <c r="G14" s="871"/>
      <c r="H14" s="871"/>
      <c r="I14" s="872"/>
      <c r="J14" s="872"/>
      <c r="K14" s="1003"/>
      <c r="L14" s="1004"/>
    </row>
    <row r="15" spans="2:12">
      <c r="B15" s="868"/>
      <c r="C15" s="868"/>
      <c r="D15" s="869"/>
      <c r="E15" s="603"/>
      <c r="F15" s="876"/>
      <c r="G15" s="871"/>
      <c r="H15" s="871"/>
      <c r="I15" s="872"/>
      <c r="J15" s="872"/>
      <c r="K15" s="1003"/>
      <c r="L15" s="1004"/>
    </row>
    <row r="16" spans="2:12">
      <c r="B16" s="868"/>
      <c r="C16" s="868"/>
      <c r="D16" s="869"/>
      <c r="E16" s="603"/>
      <c r="F16" s="876"/>
      <c r="G16" s="871"/>
      <c r="H16" s="871"/>
      <c r="I16" s="872"/>
      <c r="J16" s="872"/>
      <c r="K16" s="1003"/>
      <c r="L16" s="1004"/>
    </row>
    <row r="17" spans="2:12">
      <c r="B17" s="868"/>
      <c r="C17" s="868"/>
      <c r="D17" s="869"/>
      <c r="E17" s="603"/>
      <c r="F17" s="876"/>
      <c r="G17" s="871"/>
      <c r="H17" s="871"/>
      <c r="I17" s="872"/>
      <c r="J17" s="872"/>
      <c r="K17" s="873"/>
      <c r="L17" s="1004"/>
    </row>
    <row r="18" spans="2:12">
      <c r="B18" s="868"/>
      <c r="C18" s="868"/>
      <c r="D18" s="869"/>
      <c r="E18" s="603"/>
      <c r="F18" s="876"/>
      <c r="G18" s="871"/>
      <c r="H18" s="871"/>
      <c r="I18" s="871"/>
      <c r="J18" s="872"/>
      <c r="K18" s="873"/>
      <c r="L18" s="1004"/>
    </row>
    <row r="19" spans="2:12">
      <c r="B19" s="868"/>
      <c r="C19" s="868"/>
      <c r="D19" s="869"/>
      <c r="E19" s="603"/>
      <c r="F19" s="876"/>
      <c r="G19" s="871"/>
      <c r="H19" s="871"/>
      <c r="I19" s="871"/>
      <c r="J19" s="872"/>
      <c r="K19" s="873"/>
      <c r="L19" s="1004"/>
    </row>
    <row r="20" spans="2:12">
      <c r="B20" s="868"/>
      <c r="C20" s="868"/>
      <c r="D20" s="869"/>
      <c r="E20" s="603"/>
      <c r="F20" s="876"/>
      <c r="G20" s="871"/>
      <c r="H20" s="871"/>
      <c r="I20" s="871"/>
      <c r="J20" s="872"/>
      <c r="K20" s="873"/>
      <c r="L20" s="770"/>
    </row>
    <row r="21" spans="2:12">
      <c r="B21" s="878" t="s">
        <v>96</v>
      </c>
      <c r="C21" s="857"/>
      <c r="D21" s="879"/>
      <c r="E21" s="1332"/>
      <c r="F21" s="880">
        <f>SUM(F6:F20)</f>
        <v>40320000</v>
      </c>
      <c r="G21" s="881">
        <f>SUM(G7:G20)</f>
        <v>0</v>
      </c>
      <c r="H21" s="881">
        <f>+VLOOKUP($I$1,C5:H20,6,FALSE)</f>
        <v>40320000</v>
      </c>
      <c r="I21" s="879"/>
      <c r="J21" s="879"/>
      <c r="K21" s="881">
        <f>SUM(K6:K20)</f>
        <v>1712219.1800000002</v>
      </c>
      <c r="L21" s="881">
        <f>SUM(L6:L20)</f>
        <v>1712219.1800000002</v>
      </c>
    </row>
    <row r="22" spans="2:12" ht="15">
      <c r="B22" s="97" t="s">
        <v>276</v>
      </c>
      <c r="C22" s="602"/>
      <c r="D22" s="602"/>
      <c r="E22" s="88"/>
      <c r="F22" s="602"/>
      <c r="G22" s="115"/>
      <c r="H22" s="101"/>
      <c r="I22" s="114"/>
      <c r="J22" s="88" t="s">
        <v>277</v>
      </c>
      <c r="K22" s="617">
        <v>0</v>
      </c>
      <c r="L22" s="1333">
        <f>K22*L21</f>
        <v>0</v>
      </c>
    </row>
    <row r="23" spans="2:12" ht="15">
      <c r="B23" s="154"/>
      <c r="C23" s="189"/>
      <c r="D23" s="188"/>
      <c r="F23" s="97"/>
      <c r="G23" s="97"/>
      <c r="K23" s="160"/>
      <c r="L23" s="160">
        <f>L21-L22</f>
        <v>1712219.1800000002</v>
      </c>
    </row>
    <row r="24" spans="2:12" ht="15">
      <c r="B24" s="154"/>
      <c r="C24" s="189"/>
      <c r="D24" s="188"/>
      <c r="F24" s="97"/>
      <c r="G24" s="97"/>
      <c r="K24" s="160"/>
      <c r="L24" s="160"/>
    </row>
    <row r="25" spans="2:12" ht="15">
      <c r="B25" s="154"/>
      <c r="C25" s="189"/>
      <c r="D25" s="188"/>
      <c r="F25" s="97"/>
      <c r="G25" s="97"/>
      <c r="K25" s="160"/>
      <c r="L25" s="160"/>
    </row>
    <row r="26" spans="2:12" ht="15">
      <c r="B26" s="154"/>
      <c r="C26" s="189"/>
      <c r="D26" s="188"/>
      <c r="F26" s="97"/>
      <c r="G26" s="97"/>
      <c r="K26" s="160"/>
      <c r="L26" s="160"/>
    </row>
    <row r="27" spans="2:12">
      <c r="B27" s="426" t="s">
        <v>278</v>
      </c>
      <c r="C27" s="183"/>
      <c r="D27" s="602"/>
      <c r="E27" s="600"/>
      <c r="F27" s="183"/>
      <c r="G27" s="183"/>
      <c r="H27" s="190" t="s">
        <v>279</v>
      </c>
      <c r="I27" s="184"/>
      <c r="J27" s="600"/>
      <c r="K27" s="601"/>
      <c r="L27" s="602"/>
    </row>
    <row r="28" spans="2:12" ht="25.5">
      <c r="B28" s="859" t="s">
        <v>265</v>
      </c>
      <c r="C28" s="859" t="s">
        <v>266</v>
      </c>
      <c r="D28" s="863" t="s">
        <v>267</v>
      </c>
      <c r="E28" s="1324" t="s">
        <v>268</v>
      </c>
      <c r="F28" s="859" t="s">
        <v>269</v>
      </c>
      <c r="G28" s="864" t="s">
        <v>270</v>
      </c>
      <c r="H28" s="865" t="s">
        <v>271</v>
      </c>
      <c r="I28" s="865" t="s">
        <v>272</v>
      </c>
      <c r="J28" s="865" t="s">
        <v>280</v>
      </c>
      <c r="K28" s="866" t="s">
        <v>274</v>
      </c>
      <c r="L28" s="1334" t="s">
        <v>275</v>
      </c>
    </row>
    <row r="29" spans="2:12">
      <c r="B29" s="867"/>
      <c r="C29" s="1326"/>
      <c r="D29" s="1327"/>
      <c r="E29" s="286" t="s">
        <v>98</v>
      </c>
      <c r="F29" s="1328"/>
      <c r="G29" s="1329"/>
      <c r="H29" s="1329"/>
      <c r="I29" s="1329"/>
      <c r="J29" s="1329"/>
      <c r="K29" s="1330"/>
      <c r="L29" s="1335"/>
    </row>
    <row r="30" spans="2:12">
      <c r="B30" s="868">
        <v>45988</v>
      </c>
      <c r="C30" s="868">
        <v>46022</v>
      </c>
      <c r="D30" s="869">
        <f>+C30-B30</f>
        <v>34</v>
      </c>
      <c r="E30" s="603">
        <v>360</v>
      </c>
      <c r="F30" s="870">
        <v>8720000</v>
      </c>
      <c r="G30" s="871"/>
      <c r="H30" s="871">
        <f>+H29+F30+G30</f>
        <v>8720000</v>
      </c>
      <c r="I30" s="872">
        <v>0.11</v>
      </c>
      <c r="J30" s="872"/>
      <c r="K30" s="873">
        <f>ROUND((H30*D30*(I30+J30))/E30,2)</f>
        <v>90591.11</v>
      </c>
      <c r="L30" s="874">
        <f>+K30</f>
        <v>90591.11</v>
      </c>
    </row>
    <row r="31" spans="2:12">
      <c r="B31" s="875"/>
      <c r="C31" s="868"/>
      <c r="D31" s="869"/>
      <c r="E31" s="603"/>
      <c r="F31" s="876"/>
      <c r="G31" s="871"/>
      <c r="H31" s="871"/>
      <c r="I31" s="872"/>
      <c r="J31" s="872"/>
      <c r="K31" s="873"/>
      <c r="L31" s="874"/>
    </row>
    <row r="32" spans="2:12">
      <c r="B32" s="868"/>
      <c r="C32" s="868"/>
      <c r="D32" s="869"/>
      <c r="E32" s="603"/>
      <c r="F32" s="876"/>
      <c r="G32" s="871"/>
      <c r="H32" s="871"/>
      <c r="I32" s="872"/>
      <c r="J32" s="872"/>
      <c r="K32" s="873"/>
      <c r="L32" s="858"/>
    </row>
    <row r="33" spans="2:12">
      <c r="B33" s="868"/>
      <c r="C33" s="868"/>
      <c r="D33" s="869"/>
      <c r="E33" s="603"/>
      <c r="F33" s="876"/>
      <c r="G33" s="871"/>
      <c r="H33" s="871"/>
      <c r="I33" s="872"/>
      <c r="J33" s="872"/>
      <c r="K33" s="873"/>
      <c r="L33" s="858"/>
    </row>
    <row r="34" spans="2:12">
      <c r="B34" s="868"/>
      <c r="C34" s="868"/>
      <c r="D34" s="869"/>
      <c r="E34" s="603"/>
      <c r="F34" s="876"/>
      <c r="G34" s="871"/>
      <c r="H34" s="871"/>
      <c r="I34" s="872"/>
      <c r="J34" s="872"/>
      <c r="K34" s="873"/>
      <c r="L34" s="858"/>
    </row>
    <row r="35" spans="2:12">
      <c r="B35" s="868"/>
      <c r="C35" s="877"/>
      <c r="D35" s="869"/>
      <c r="E35" s="603"/>
      <c r="F35" s="876"/>
      <c r="G35" s="871"/>
      <c r="H35" s="871"/>
      <c r="I35" s="872"/>
      <c r="J35" s="872"/>
      <c r="K35" s="873"/>
      <c r="L35" s="874"/>
    </row>
    <row r="36" spans="2:12">
      <c r="B36" s="868"/>
      <c r="C36" s="877"/>
      <c r="D36" s="869"/>
      <c r="E36" s="603"/>
      <c r="F36" s="876"/>
      <c r="G36" s="871"/>
      <c r="H36" s="871"/>
      <c r="I36" s="872"/>
      <c r="J36" s="872"/>
      <c r="K36" s="873"/>
      <c r="L36" s="874"/>
    </row>
    <row r="37" spans="2:12">
      <c r="B37" s="877"/>
      <c r="C37" s="868"/>
      <c r="D37" s="869"/>
      <c r="E37" s="603"/>
      <c r="F37" s="876"/>
      <c r="G37" s="871"/>
      <c r="H37" s="871"/>
      <c r="I37" s="872"/>
      <c r="J37" s="872"/>
      <c r="K37" s="873"/>
      <c r="L37" s="858"/>
    </row>
    <row r="38" spans="2:12">
      <c r="B38" s="868"/>
      <c r="C38" s="868"/>
      <c r="D38" s="869"/>
      <c r="E38" s="603"/>
      <c r="F38" s="876"/>
      <c r="G38" s="871"/>
      <c r="H38" s="871"/>
      <c r="I38" s="872"/>
      <c r="J38" s="872"/>
      <c r="K38" s="873"/>
      <c r="L38" s="858"/>
    </row>
    <row r="39" spans="2:12">
      <c r="B39" s="868"/>
      <c r="C39" s="868"/>
      <c r="D39" s="869"/>
      <c r="E39" s="603"/>
      <c r="F39" s="876"/>
      <c r="G39" s="871"/>
      <c r="H39" s="871"/>
      <c r="I39" s="872"/>
      <c r="J39" s="872"/>
      <c r="K39" s="873"/>
      <c r="L39" s="858"/>
    </row>
    <row r="40" spans="2:12">
      <c r="B40" s="868"/>
      <c r="C40" s="868"/>
      <c r="D40" s="869"/>
      <c r="E40" s="603"/>
      <c r="F40" s="876"/>
      <c r="G40" s="871"/>
      <c r="H40" s="871"/>
      <c r="I40" s="872"/>
      <c r="J40" s="872"/>
      <c r="K40" s="873"/>
      <c r="L40" s="858"/>
    </row>
    <row r="41" spans="2:12">
      <c r="B41" s="868"/>
      <c r="C41" s="868"/>
      <c r="D41" s="869"/>
      <c r="E41" s="603"/>
      <c r="F41" s="876"/>
      <c r="G41" s="871"/>
      <c r="H41" s="871"/>
      <c r="I41" s="871"/>
      <c r="J41" s="872"/>
      <c r="K41" s="873"/>
      <c r="L41" s="858"/>
    </row>
    <row r="42" spans="2:12">
      <c r="B42" s="868"/>
      <c r="C42" s="868"/>
      <c r="D42" s="869"/>
      <c r="E42" s="603"/>
      <c r="F42" s="876"/>
      <c r="G42" s="871"/>
      <c r="H42" s="871"/>
      <c r="I42" s="871"/>
      <c r="J42" s="872"/>
      <c r="K42" s="873"/>
      <c r="L42" s="858"/>
    </row>
    <row r="43" spans="2:12">
      <c r="B43" s="868"/>
      <c r="C43" s="868"/>
      <c r="D43" s="869"/>
      <c r="E43" s="603"/>
      <c r="F43" s="876"/>
      <c r="G43" s="871"/>
      <c r="H43" s="871"/>
      <c r="I43" s="871"/>
      <c r="J43" s="872"/>
      <c r="K43" s="873"/>
      <c r="L43" s="802"/>
    </row>
    <row r="44" spans="2:12">
      <c r="B44" s="878" t="s">
        <v>96</v>
      </c>
      <c r="C44" s="857"/>
      <c r="D44" s="879"/>
      <c r="E44" s="1332"/>
      <c r="F44" s="880">
        <f>SUM(F29:F43)</f>
        <v>8720000</v>
      </c>
      <c r="G44" s="881">
        <f>SUM(G30:G43)</f>
        <v>0</v>
      </c>
      <c r="H44" s="881">
        <f>+VLOOKUP($I$1,C28:H43,6,FALSE)</f>
        <v>8720000</v>
      </c>
      <c r="I44" s="879"/>
      <c r="J44" s="879"/>
      <c r="K44" s="881">
        <f>SUM(K29:K43)</f>
        <v>90591.11</v>
      </c>
      <c r="L44" s="881">
        <f>SUM(L29:L43)</f>
        <v>90591.11</v>
      </c>
    </row>
    <row r="45" spans="2:12" ht="15">
      <c r="B45" s="97"/>
      <c r="C45" s="602"/>
      <c r="D45" s="602"/>
      <c r="E45" s="88"/>
      <c r="F45" s="602"/>
      <c r="G45" s="115"/>
      <c r="H45" s="101"/>
      <c r="I45" s="602"/>
      <c r="J45" s="88" t="s">
        <v>277</v>
      </c>
      <c r="K45" s="617">
        <v>0</v>
      </c>
      <c r="L45" s="1336">
        <f>K45*L44</f>
        <v>0</v>
      </c>
    </row>
    <row r="46" spans="2:12" ht="15">
      <c r="B46" s="861"/>
      <c r="C46" s="862"/>
      <c r="D46" s="188"/>
      <c r="E46"/>
      <c r="F46" s="97"/>
      <c r="G46" s="97"/>
      <c r="H46"/>
      <c r="I46"/>
      <c r="J46"/>
      <c r="K46" s="92"/>
      <c r="L46" s="92">
        <f>L44-L45</f>
        <v>90591.11</v>
      </c>
    </row>
    <row r="47" spans="2:12" ht="15">
      <c r="B47" s="154"/>
      <c r="C47" s="189"/>
      <c r="D47" s="188"/>
      <c r="F47" s="97"/>
      <c r="G47" s="97"/>
      <c r="K47" s="160"/>
      <c r="L47" s="160"/>
    </row>
    <row r="48" spans="2:12" ht="15">
      <c r="B48" s="154"/>
      <c r="C48" s="189"/>
      <c r="D48" s="188"/>
      <c r="F48" s="97"/>
      <c r="G48" s="97"/>
      <c r="K48" s="160"/>
      <c r="L48" s="160"/>
    </row>
    <row r="49" spans="2:18" ht="15">
      <c r="B49" s="154"/>
      <c r="C49" s="189"/>
      <c r="D49" s="188"/>
      <c r="F49" s="97"/>
      <c r="G49" s="97"/>
      <c r="K49" s="160"/>
      <c r="L49" s="160"/>
    </row>
    <row r="50" spans="2:18" ht="15">
      <c r="B50" s="154"/>
      <c r="C50" s="189"/>
      <c r="D50" s="188"/>
      <c r="F50" s="97"/>
      <c r="G50" s="97"/>
      <c r="K50" s="160"/>
      <c r="L50" s="160"/>
    </row>
    <row r="51" spans="2:18">
      <c r="B51" s="426"/>
      <c r="C51" s="183"/>
      <c r="D51" s="602"/>
      <c r="E51" s="600"/>
      <c r="F51" s="183"/>
      <c r="G51" s="183"/>
      <c r="H51" s="190"/>
      <c r="I51" s="184"/>
      <c r="J51" s="600"/>
      <c r="K51" s="601"/>
      <c r="L51" s="602"/>
    </row>
    <row r="52" spans="2:18">
      <c r="B52" s="426" t="s">
        <v>281</v>
      </c>
      <c r="C52" s="183"/>
      <c r="D52" s="602"/>
      <c r="E52" s="600"/>
      <c r="F52" s="183"/>
      <c r="G52" s="183"/>
      <c r="H52" s="190" t="s">
        <v>282</v>
      </c>
      <c r="I52" s="184"/>
      <c r="J52" s="600"/>
      <c r="K52" s="601"/>
      <c r="L52" s="602"/>
    </row>
    <row r="53" spans="2:18" ht="25.5">
      <c r="B53" s="859" t="s">
        <v>265</v>
      </c>
      <c r="C53" s="859" t="s">
        <v>266</v>
      </c>
      <c r="D53" s="863" t="s">
        <v>267</v>
      </c>
      <c r="E53" s="1324" t="s">
        <v>268</v>
      </c>
      <c r="F53" s="859" t="s">
        <v>269</v>
      </c>
      <c r="G53" s="864" t="s">
        <v>270</v>
      </c>
      <c r="H53" s="865" t="s">
        <v>271</v>
      </c>
      <c r="I53" s="865" t="s">
        <v>272</v>
      </c>
      <c r="J53" s="865" t="s">
        <v>280</v>
      </c>
      <c r="K53" s="866" t="s">
        <v>274</v>
      </c>
      <c r="L53" s="1334" t="s">
        <v>275</v>
      </c>
    </row>
    <row r="54" spans="2:18">
      <c r="B54" s="867"/>
      <c r="C54" s="1326"/>
      <c r="D54" s="1327"/>
      <c r="E54" s="286" t="s">
        <v>98</v>
      </c>
      <c r="F54" s="1328"/>
      <c r="G54" s="1329"/>
      <c r="H54" s="1329"/>
      <c r="I54" s="1329"/>
      <c r="J54" s="1329"/>
      <c r="K54" s="1330"/>
      <c r="L54" s="1335"/>
    </row>
    <row r="55" spans="2:18">
      <c r="B55" s="868">
        <v>45986</v>
      </c>
      <c r="C55" s="868">
        <v>46022</v>
      </c>
      <c r="D55" s="869">
        <f>+C55-B55</f>
        <v>36</v>
      </c>
      <c r="E55" s="603">
        <v>365</v>
      </c>
      <c r="F55" s="870">
        <v>26160000</v>
      </c>
      <c r="G55" s="871"/>
      <c r="H55" s="871">
        <f>+H54+F55+G55</f>
        <v>26160000</v>
      </c>
      <c r="I55" s="872">
        <v>0</v>
      </c>
      <c r="J55" s="872"/>
      <c r="K55" s="873">
        <f>ROUND((H55*D55*(I55+J55))/E55,2)</f>
        <v>0</v>
      </c>
      <c r="L55" s="874">
        <f>+K55</f>
        <v>0</v>
      </c>
    </row>
    <row r="56" spans="2:18">
      <c r="B56" s="875"/>
      <c r="C56" s="868"/>
      <c r="D56" s="869"/>
      <c r="E56" s="603"/>
      <c r="F56" s="876"/>
      <c r="G56" s="871"/>
      <c r="H56" s="871"/>
      <c r="I56" s="872"/>
      <c r="J56" s="872"/>
      <c r="K56" s="873"/>
      <c r="L56" s="874"/>
    </row>
    <row r="57" spans="2:18">
      <c r="B57" s="868"/>
      <c r="C57" s="868"/>
      <c r="D57" s="869"/>
      <c r="E57" s="603"/>
      <c r="F57" s="895" t="s">
        <v>283</v>
      </c>
      <c r="G57" s="871"/>
      <c r="H57" s="871"/>
      <c r="I57" s="872"/>
      <c r="J57" s="872"/>
      <c r="K57" s="873"/>
      <c r="L57" s="858"/>
    </row>
    <row r="58" spans="2:18">
      <c r="B58" s="868"/>
      <c r="C58" s="868"/>
      <c r="D58" s="869"/>
      <c r="E58" s="603"/>
      <c r="F58" s="876"/>
      <c r="G58" s="871"/>
      <c r="H58" s="871"/>
      <c r="I58" s="871"/>
      <c r="J58" s="872"/>
      <c r="K58" s="873"/>
      <c r="L58" s="858"/>
    </row>
    <row r="59" spans="2:18">
      <c r="B59" s="868"/>
      <c r="C59" s="868"/>
      <c r="D59" s="869"/>
      <c r="E59" s="603"/>
      <c r="F59" s="876"/>
      <c r="G59" s="871"/>
      <c r="H59" s="871"/>
      <c r="I59" s="871"/>
      <c r="J59" s="872"/>
      <c r="K59" s="873"/>
      <c r="L59" s="802"/>
    </row>
    <row r="60" spans="2:18">
      <c r="B60" s="878" t="s">
        <v>96</v>
      </c>
      <c r="C60" s="857"/>
      <c r="D60" s="879"/>
      <c r="E60" s="1332"/>
      <c r="F60" s="880">
        <f>SUM(F54:F59)</f>
        <v>26160000</v>
      </c>
      <c r="G60" s="881">
        <f>SUM(G55:G59)</f>
        <v>0</v>
      </c>
      <c r="H60" s="881">
        <f>+VLOOKUP($I$1,C53:H59,6,FALSE)</f>
        <v>26160000</v>
      </c>
      <c r="I60" s="879"/>
      <c r="J60" s="879"/>
      <c r="K60" s="881">
        <f>SUM(K54:K59)</f>
        <v>0</v>
      </c>
      <c r="L60" s="881">
        <f>SUM(L54:L59)</f>
        <v>0</v>
      </c>
    </row>
    <row r="61" spans="2:18" ht="15">
      <c r="B61" s="97"/>
      <c r="C61" s="602"/>
      <c r="D61" s="602"/>
      <c r="E61" s="88"/>
      <c r="F61" s="602"/>
      <c r="G61" s="115"/>
      <c r="H61" s="101"/>
      <c r="I61" s="602"/>
      <c r="J61" s="88" t="s">
        <v>277</v>
      </c>
      <c r="K61" s="617">
        <v>0</v>
      </c>
      <c r="L61" s="1336">
        <f>K61*L60</f>
        <v>0</v>
      </c>
    </row>
    <row r="62" spans="2:18" ht="15">
      <c r="B62" s="861" t="s">
        <v>284</v>
      </c>
      <c r="C62" s="862"/>
      <c r="D62" s="188"/>
      <c r="E62"/>
      <c r="F62" s="97"/>
      <c r="G62" s="97"/>
      <c r="H62"/>
      <c r="I62"/>
      <c r="J62"/>
      <c r="K62" s="92"/>
      <c r="L62" s="92">
        <f>L60-L61</f>
        <v>0</v>
      </c>
    </row>
    <row r="63" spans="2:18" ht="15">
      <c r="B63" s="154"/>
      <c r="C63" s="189"/>
      <c r="D63" s="188"/>
      <c r="F63" s="97"/>
      <c r="G63" s="97"/>
      <c r="K63" s="160"/>
      <c r="L63" s="160"/>
      <c r="R63" s="196"/>
    </row>
    <row r="64" spans="2:18" ht="15">
      <c r="B64" s="154"/>
      <c r="C64" s="189"/>
      <c r="D64" s="188"/>
      <c r="F64" s="97"/>
      <c r="G64" s="97"/>
      <c r="K64" s="160"/>
      <c r="L64" s="160"/>
      <c r="R64" s="882"/>
    </row>
    <row r="65" spans="2:18" ht="15">
      <c r="B65" s="154"/>
      <c r="C65" s="189"/>
      <c r="D65" s="188"/>
      <c r="F65" s="97"/>
      <c r="G65" s="97"/>
      <c r="K65" s="160"/>
      <c r="L65" s="160"/>
      <c r="R65" s="883"/>
    </row>
    <row r="66" spans="2:18" ht="15">
      <c r="B66" s="154"/>
      <c r="C66" s="189"/>
      <c r="D66" s="188"/>
      <c r="F66" s="97"/>
      <c r="G66" s="97"/>
      <c r="K66" s="160"/>
      <c r="L66" s="160"/>
      <c r="R66" s="196"/>
    </row>
    <row r="67" spans="2:18">
      <c r="B67" s="426" t="s">
        <v>285</v>
      </c>
      <c r="C67" s="183"/>
      <c r="D67" s="602"/>
      <c r="E67" s="600"/>
      <c r="F67" s="183"/>
      <c r="G67" s="183"/>
      <c r="H67" s="190" t="s">
        <v>282</v>
      </c>
      <c r="I67" s="184"/>
      <c r="J67" s="600"/>
      <c r="K67" s="601"/>
      <c r="L67" s="602"/>
      <c r="R67" s="196"/>
    </row>
    <row r="68" spans="2:18" ht="25.5">
      <c r="B68" s="859" t="s">
        <v>265</v>
      </c>
      <c r="C68" s="859" t="s">
        <v>266</v>
      </c>
      <c r="D68" s="863" t="s">
        <v>267</v>
      </c>
      <c r="E68" s="1324" t="s">
        <v>268</v>
      </c>
      <c r="F68" s="859" t="s">
        <v>269</v>
      </c>
      <c r="G68" s="864" t="s">
        <v>270</v>
      </c>
      <c r="H68" s="865" t="s">
        <v>271</v>
      </c>
      <c r="I68" s="865" t="s">
        <v>272</v>
      </c>
      <c r="J68" s="865" t="s">
        <v>280</v>
      </c>
      <c r="K68" s="866" t="s">
        <v>274</v>
      </c>
      <c r="L68" s="1334" t="s">
        <v>275</v>
      </c>
      <c r="R68" s="196"/>
    </row>
    <row r="69" spans="2:18">
      <c r="B69" s="867"/>
      <c r="C69" s="1326"/>
      <c r="D69" s="1327"/>
      <c r="E69" s="286" t="s">
        <v>98</v>
      </c>
      <c r="F69" s="1328"/>
      <c r="G69" s="1329"/>
      <c r="H69" s="1329"/>
      <c r="I69" s="1329"/>
      <c r="J69" s="1329"/>
      <c r="K69" s="1330"/>
      <c r="L69" s="1335"/>
      <c r="R69" s="196"/>
    </row>
    <row r="70" spans="2:18">
      <c r="B70" s="868">
        <v>45986</v>
      </c>
      <c r="C70" s="868">
        <v>46022</v>
      </c>
      <c r="D70" s="869">
        <f>+C70-B70</f>
        <v>36</v>
      </c>
      <c r="E70" s="603">
        <v>365</v>
      </c>
      <c r="F70" s="870">
        <v>500000</v>
      </c>
      <c r="G70" s="871"/>
      <c r="H70" s="871">
        <f>+H69+F70+G70</f>
        <v>500000</v>
      </c>
      <c r="I70" s="872"/>
      <c r="J70" s="872"/>
      <c r="K70" s="873">
        <f>ROUND((H70*D70*(I70+J70))/E70,2)</f>
        <v>0</v>
      </c>
      <c r="L70" s="874">
        <f>+K70</f>
        <v>0</v>
      </c>
      <c r="R70" s="196"/>
    </row>
    <row r="71" spans="2:18">
      <c r="B71" s="875"/>
      <c r="C71" s="868"/>
      <c r="D71" s="869"/>
      <c r="E71" s="603"/>
      <c r="F71" s="876"/>
      <c r="G71" s="871"/>
      <c r="H71" s="871"/>
      <c r="I71" s="872"/>
      <c r="J71" s="872"/>
      <c r="K71" s="873"/>
      <c r="L71" s="874"/>
      <c r="R71" s="196"/>
    </row>
    <row r="72" spans="2:18">
      <c r="B72" s="868"/>
      <c r="C72" s="868"/>
      <c r="D72" s="869"/>
      <c r="E72" s="603"/>
      <c r="F72" s="895" t="s">
        <v>283</v>
      </c>
      <c r="G72" s="871"/>
      <c r="H72" s="871"/>
      <c r="I72" s="871"/>
      <c r="J72" s="872"/>
      <c r="K72" s="873"/>
      <c r="L72" s="858"/>
    </row>
    <row r="73" spans="2:18">
      <c r="B73" s="868"/>
      <c r="C73" s="868"/>
      <c r="D73" s="869"/>
      <c r="E73" s="603"/>
      <c r="F73" s="876"/>
      <c r="G73" s="871"/>
      <c r="H73" s="871"/>
      <c r="I73" s="871"/>
      <c r="J73" s="872"/>
      <c r="K73" s="873"/>
      <c r="L73" s="858"/>
    </row>
    <row r="74" spans="2:18">
      <c r="B74" s="868"/>
      <c r="C74" s="868"/>
      <c r="D74" s="869"/>
      <c r="E74" s="603"/>
      <c r="F74" s="876"/>
      <c r="G74" s="871"/>
      <c r="H74" s="871"/>
      <c r="I74" s="871"/>
      <c r="J74" s="872"/>
      <c r="K74" s="873"/>
      <c r="L74" s="802"/>
    </row>
    <row r="75" spans="2:18">
      <c r="B75" s="878" t="s">
        <v>96</v>
      </c>
      <c r="C75" s="857"/>
      <c r="D75" s="879"/>
      <c r="E75" s="1332"/>
      <c r="F75" s="880">
        <f>SUM(F69:F74)</f>
        <v>500000</v>
      </c>
      <c r="G75" s="881">
        <f>SUM(G70:G74)</f>
        <v>0</v>
      </c>
      <c r="H75" s="881">
        <f>+VLOOKUP($I$1,C68:H74,6,FALSE)</f>
        <v>500000</v>
      </c>
      <c r="I75" s="879"/>
      <c r="J75" s="879"/>
      <c r="K75" s="881">
        <f>SUM(K69:K74)</f>
        <v>0</v>
      </c>
      <c r="L75" s="881">
        <f>SUM(L69:L74)</f>
        <v>0</v>
      </c>
    </row>
    <row r="76" spans="2:18" ht="15">
      <c r="B76" s="97"/>
      <c r="C76" s="602"/>
      <c r="D76" s="602"/>
      <c r="E76" s="88"/>
      <c r="F76" s="602"/>
      <c r="G76" s="115"/>
      <c r="H76" s="101"/>
      <c r="I76" s="602"/>
      <c r="J76" s="88" t="s">
        <v>277</v>
      </c>
      <c r="K76" s="617">
        <v>0</v>
      </c>
      <c r="L76" s="1336">
        <f>K76*L75</f>
        <v>0</v>
      </c>
    </row>
    <row r="77" spans="2:18" ht="15">
      <c r="B77" s="861" t="s">
        <v>286</v>
      </c>
      <c r="C77" s="862"/>
      <c r="D77" s="188"/>
      <c r="E77"/>
      <c r="F77" s="97"/>
      <c r="G77" s="97"/>
      <c r="H77"/>
      <c r="I77"/>
      <c r="J77"/>
      <c r="K77" s="92"/>
      <c r="L77" s="92">
        <f>L75-L76</f>
        <v>0</v>
      </c>
    </row>
    <row r="78" spans="2:18" ht="15">
      <c r="B78" s="154" t="s">
        <v>287</v>
      </c>
      <c r="C78" s="189"/>
      <c r="D78" s="188"/>
      <c r="F78" s="97"/>
      <c r="G78" s="97"/>
      <c r="K78" s="160"/>
      <c r="L78" s="160"/>
    </row>
    <row r="79" spans="2:18" ht="15">
      <c r="B79" s="154"/>
      <c r="C79" s="189"/>
      <c r="D79" s="188"/>
      <c r="F79" s="97"/>
      <c r="G79" s="97"/>
      <c r="K79" s="160"/>
      <c r="L79" s="160"/>
    </row>
    <row r="80" spans="2:18" ht="15">
      <c r="B80" s="154"/>
      <c r="C80" s="189"/>
      <c r="D80" s="188"/>
      <c r="F80" s="97"/>
      <c r="G80" s="97"/>
      <c r="K80" s="160"/>
      <c r="L80" s="160"/>
    </row>
    <row r="81" spans="2:18">
      <c r="B81" s="426" t="s">
        <v>288</v>
      </c>
      <c r="C81" s="183"/>
      <c r="D81" s="602"/>
      <c r="E81" s="600"/>
      <c r="F81" s="183"/>
      <c r="G81" s="183"/>
      <c r="H81" s="190" t="s">
        <v>289</v>
      </c>
      <c r="I81" s="184"/>
      <c r="J81" s="600"/>
      <c r="K81" s="601"/>
      <c r="L81" s="602"/>
      <c r="M81"/>
      <c r="N81"/>
      <c r="O81"/>
      <c r="P81"/>
      <c r="Q81"/>
      <c r="R81" s="28"/>
    </row>
    <row r="82" spans="2:18" ht="25.5">
      <c r="B82" s="859" t="s">
        <v>265</v>
      </c>
      <c r="C82" s="859" t="s">
        <v>266</v>
      </c>
      <c r="D82" s="863" t="s">
        <v>267</v>
      </c>
      <c r="E82" s="1324" t="s">
        <v>268</v>
      </c>
      <c r="F82" s="859" t="s">
        <v>269</v>
      </c>
      <c r="G82" s="864" t="s">
        <v>270</v>
      </c>
      <c r="H82" s="865" t="s">
        <v>271</v>
      </c>
      <c r="I82" s="865" t="s">
        <v>272</v>
      </c>
      <c r="J82" s="865" t="s">
        <v>280</v>
      </c>
      <c r="K82" s="866" t="s">
        <v>274</v>
      </c>
      <c r="L82" s="1334" t="s">
        <v>275</v>
      </c>
      <c r="M82"/>
      <c r="N82"/>
      <c r="O82"/>
      <c r="P82"/>
      <c r="Q82"/>
      <c r="R82" s="28"/>
    </row>
    <row r="83" spans="2:18">
      <c r="B83" s="867"/>
      <c r="C83" s="1326"/>
      <c r="D83" s="1327"/>
      <c r="E83" s="286" t="s">
        <v>98</v>
      </c>
      <c r="F83" s="1328"/>
      <c r="G83" s="1329"/>
      <c r="H83" s="1329"/>
      <c r="I83" s="1329"/>
      <c r="J83" s="1329"/>
      <c r="K83" s="1330"/>
      <c r="L83" s="1335"/>
      <c r="M83"/>
      <c r="N83"/>
      <c r="O83"/>
      <c r="P83"/>
      <c r="Q83"/>
      <c r="R83" s="28"/>
    </row>
    <row r="84" spans="2:18">
      <c r="B84" s="868">
        <v>46008</v>
      </c>
      <c r="C84" s="868">
        <v>46022</v>
      </c>
      <c r="D84" s="869">
        <f>+C84-B84</f>
        <v>14</v>
      </c>
      <c r="E84" s="603">
        <v>360</v>
      </c>
      <c r="F84" s="870">
        <v>63750000</v>
      </c>
      <c r="G84" s="871"/>
      <c r="H84" s="871">
        <f>+H83+F84+G84</f>
        <v>63750000</v>
      </c>
      <c r="I84" s="872">
        <v>0.1</v>
      </c>
      <c r="J84" s="872"/>
      <c r="K84" s="873">
        <f>ROUND((H84*D84*(I84+J84))/E84,2)</f>
        <v>247916.67</v>
      </c>
      <c r="L84" s="874">
        <f>+K84</f>
        <v>247916.67</v>
      </c>
      <c r="M84"/>
      <c r="N84"/>
      <c r="O84"/>
      <c r="P84"/>
      <c r="Q84"/>
      <c r="R84" s="28"/>
    </row>
    <row r="85" spans="2:18" ht="14.25" customHeight="1">
      <c r="B85" s="875"/>
      <c r="C85" s="868"/>
      <c r="D85" s="869"/>
      <c r="E85" s="603"/>
      <c r="F85" s="876"/>
      <c r="G85" s="871"/>
      <c r="H85" s="871"/>
      <c r="I85" s="872"/>
      <c r="J85" s="872"/>
      <c r="K85" s="873"/>
      <c r="L85" s="874"/>
      <c r="M85"/>
      <c r="N85"/>
      <c r="O85"/>
      <c r="P85"/>
      <c r="Q85"/>
      <c r="R85" s="28"/>
    </row>
    <row r="86" spans="2:18">
      <c r="B86" s="868"/>
      <c r="C86" s="868"/>
      <c r="D86" s="869"/>
      <c r="E86" s="603"/>
      <c r="F86" s="876"/>
      <c r="G86" s="871"/>
      <c r="H86" s="871"/>
      <c r="I86" s="872"/>
      <c r="J86" s="872"/>
      <c r="K86" s="873"/>
      <c r="L86" s="858"/>
      <c r="M86"/>
      <c r="N86"/>
      <c r="O86"/>
      <c r="P86"/>
      <c r="Q86"/>
      <c r="R86" s="28"/>
    </row>
    <row r="87" spans="2:18">
      <c r="B87" s="868"/>
      <c r="C87" s="868"/>
      <c r="D87" s="869"/>
      <c r="E87" s="603"/>
      <c r="F87" s="876"/>
      <c r="G87" s="871"/>
      <c r="H87" s="871"/>
      <c r="I87" s="872"/>
      <c r="J87" s="872"/>
      <c r="K87" s="873"/>
      <c r="L87" s="858"/>
      <c r="M87"/>
      <c r="N87"/>
      <c r="O87"/>
      <c r="P87"/>
      <c r="Q87"/>
      <c r="R87" s="28"/>
    </row>
    <row r="88" spans="2:18">
      <c r="B88" s="868"/>
      <c r="C88" s="868"/>
      <c r="D88" s="869"/>
      <c r="E88" s="603"/>
      <c r="F88" s="876"/>
      <c r="G88" s="871"/>
      <c r="H88" s="871"/>
      <c r="I88" s="872"/>
      <c r="J88" s="872"/>
      <c r="K88" s="873"/>
      <c r="L88" s="858"/>
      <c r="M88"/>
      <c r="N88"/>
      <c r="O88"/>
      <c r="P88"/>
      <c r="Q88"/>
      <c r="R88" s="28"/>
    </row>
    <row r="89" spans="2:18">
      <c r="B89" s="868"/>
      <c r="C89" s="877"/>
      <c r="D89" s="869"/>
      <c r="E89" s="603"/>
      <c r="F89" s="876"/>
      <c r="G89" s="871"/>
      <c r="H89" s="871"/>
      <c r="I89" s="872"/>
      <c r="J89" s="872"/>
      <c r="K89" s="873"/>
      <c r="L89" s="874"/>
      <c r="M89"/>
      <c r="N89"/>
      <c r="O89"/>
      <c r="P89"/>
      <c r="Q89"/>
      <c r="R89" s="28"/>
    </row>
    <row r="90" spans="2:18">
      <c r="B90" s="868"/>
      <c r="C90" s="877"/>
      <c r="D90" s="869"/>
      <c r="E90" s="603"/>
      <c r="F90" s="876"/>
      <c r="G90" s="871"/>
      <c r="H90" s="871"/>
      <c r="I90" s="872"/>
      <c r="J90" s="872"/>
      <c r="K90" s="873"/>
      <c r="L90" s="874"/>
      <c r="M90"/>
      <c r="N90"/>
      <c r="O90"/>
      <c r="P90"/>
      <c r="Q90"/>
      <c r="R90" s="28"/>
    </row>
    <row r="91" spans="2:18">
      <c r="B91" s="877"/>
      <c r="C91" s="868"/>
      <c r="D91" s="869"/>
      <c r="E91" s="603"/>
      <c r="F91" s="876"/>
      <c r="G91" s="871"/>
      <c r="H91" s="871"/>
      <c r="I91" s="872"/>
      <c r="J91" s="872"/>
      <c r="K91" s="873"/>
      <c r="L91" s="858"/>
      <c r="M91"/>
      <c r="N91"/>
      <c r="O91"/>
      <c r="P91"/>
      <c r="Q91"/>
      <c r="R91"/>
    </row>
    <row r="92" spans="2:18">
      <c r="B92" s="868"/>
      <c r="C92" s="868"/>
      <c r="D92" s="869"/>
      <c r="E92" s="603"/>
      <c r="F92" s="876"/>
      <c r="G92" s="871"/>
      <c r="H92" s="871"/>
      <c r="I92" s="872"/>
      <c r="J92" s="872"/>
      <c r="K92" s="873"/>
      <c r="L92" s="858"/>
      <c r="M92"/>
      <c r="N92"/>
      <c r="O92"/>
      <c r="P92"/>
      <c r="Q92"/>
      <c r="R92"/>
    </row>
    <row r="93" spans="2:18">
      <c r="B93" s="868"/>
      <c r="C93" s="868"/>
      <c r="D93" s="869"/>
      <c r="E93" s="603"/>
      <c r="F93" s="876"/>
      <c r="G93" s="871"/>
      <c r="H93" s="871"/>
      <c r="I93" s="872"/>
      <c r="J93" s="872"/>
      <c r="K93" s="873"/>
      <c r="L93" s="858"/>
      <c r="M93"/>
      <c r="N93"/>
      <c r="O93"/>
      <c r="P93"/>
      <c r="Q93"/>
      <c r="R93"/>
    </row>
    <row r="94" spans="2:18">
      <c r="B94" s="868"/>
      <c r="C94" s="868"/>
      <c r="D94" s="869"/>
      <c r="E94" s="603"/>
      <c r="F94" s="876"/>
      <c r="G94" s="871"/>
      <c r="H94" s="871"/>
      <c r="I94" s="872"/>
      <c r="J94" s="872"/>
      <c r="K94" s="873"/>
      <c r="L94" s="858"/>
      <c r="M94"/>
      <c r="N94"/>
      <c r="O94"/>
      <c r="P94"/>
      <c r="Q94"/>
      <c r="R94"/>
    </row>
    <row r="95" spans="2:18">
      <c r="B95" s="868"/>
      <c r="C95" s="868"/>
      <c r="D95" s="869"/>
      <c r="E95" s="603"/>
      <c r="F95" s="876"/>
      <c r="G95" s="871"/>
      <c r="H95" s="871"/>
      <c r="I95" s="871"/>
      <c r="J95" s="872"/>
      <c r="K95" s="873"/>
      <c r="L95" s="858"/>
      <c r="M95"/>
      <c r="N95"/>
      <c r="O95"/>
      <c r="P95"/>
      <c r="Q95"/>
      <c r="R95"/>
    </row>
    <row r="96" spans="2:18">
      <c r="B96" s="868"/>
      <c r="C96" s="868"/>
      <c r="D96" s="869"/>
      <c r="E96" s="603"/>
      <c r="F96" s="876"/>
      <c r="G96" s="871"/>
      <c r="H96" s="871"/>
      <c r="I96" s="871"/>
      <c r="J96" s="872"/>
      <c r="K96" s="873"/>
      <c r="L96" s="858"/>
      <c r="M96"/>
      <c r="N96"/>
      <c r="O96"/>
      <c r="P96"/>
      <c r="Q96"/>
      <c r="R96"/>
    </row>
    <row r="97" spans="2:18">
      <c r="B97" s="868"/>
      <c r="C97" s="868"/>
      <c r="D97" s="869"/>
      <c r="E97" s="603"/>
      <c r="F97" s="876"/>
      <c r="G97" s="871"/>
      <c r="H97" s="871"/>
      <c r="I97" s="871"/>
      <c r="J97" s="872"/>
      <c r="K97" s="873"/>
      <c r="L97" s="802"/>
      <c r="M97"/>
      <c r="N97"/>
      <c r="O97"/>
      <c r="P97"/>
      <c r="Q97"/>
      <c r="R97"/>
    </row>
    <row r="98" spans="2:18">
      <c r="B98" s="878" t="s">
        <v>96</v>
      </c>
      <c r="C98" s="857"/>
      <c r="D98" s="879"/>
      <c r="E98" s="1332"/>
      <c r="F98" s="880">
        <f>SUM(F83:F97)</f>
        <v>63750000</v>
      </c>
      <c r="G98" s="881">
        <f>SUM(G84:G97)</f>
        <v>0</v>
      </c>
      <c r="H98" s="881">
        <f>+VLOOKUP($I$1,C82:H97,6,FALSE)</f>
        <v>63750000</v>
      </c>
      <c r="I98" s="879"/>
      <c r="J98" s="879"/>
      <c r="K98" s="881">
        <f>SUM(K83:K97)</f>
        <v>247916.67</v>
      </c>
      <c r="L98" s="881">
        <f>SUM(L83:L97)</f>
        <v>247916.67</v>
      </c>
      <c r="M98"/>
      <c r="N98"/>
      <c r="O98"/>
      <c r="P98"/>
      <c r="Q98"/>
      <c r="R98"/>
    </row>
    <row r="99" spans="2:18" ht="15">
      <c r="B99" s="97"/>
      <c r="C99" s="602"/>
      <c r="D99" s="602"/>
      <c r="E99" s="88"/>
      <c r="F99" s="602"/>
      <c r="G99" s="115"/>
      <c r="H99" s="101"/>
      <c r="I99" s="602"/>
      <c r="J99" s="88" t="s">
        <v>277</v>
      </c>
      <c r="K99" s="617">
        <v>0</v>
      </c>
      <c r="L99" s="1336">
        <f>K99*L98</f>
        <v>0</v>
      </c>
      <c r="M99"/>
      <c r="N99"/>
      <c r="O99"/>
      <c r="P99"/>
      <c r="Q99"/>
      <c r="R99"/>
    </row>
    <row r="100" spans="2:18" ht="15">
      <c r="B100" s="861" t="s">
        <v>290</v>
      </c>
      <c r="C100" s="862"/>
      <c r="D100" s="188"/>
      <c r="E100"/>
      <c r="F100" s="97"/>
      <c r="G100" s="97"/>
      <c r="H100"/>
      <c r="I100"/>
      <c r="J100"/>
      <c r="K100" s="92"/>
      <c r="L100" s="92">
        <f>L98-L99</f>
        <v>247916.67</v>
      </c>
      <c r="M100"/>
      <c r="N100"/>
      <c r="O100"/>
      <c r="P100"/>
      <c r="Q100"/>
      <c r="R100"/>
    </row>
    <row r="101" spans="2:18" ht="15">
      <c r="B101" s="154"/>
      <c r="C101" s="189"/>
      <c r="D101" s="188"/>
      <c r="F101" s="476"/>
      <c r="G101" s="476"/>
      <c r="I101" s="160"/>
      <c r="J101" s="143"/>
      <c r="K101" s="160"/>
    </row>
    <row r="102" spans="2:18" ht="15">
      <c r="B102" s="154"/>
      <c r="C102" s="189"/>
      <c r="D102" s="188"/>
      <c r="F102" s="476"/>
      <c r="G102" s="476"/>
      <c r="I102" s="160"/>
      <c r="J102" s="143"/>
      <c r="K102" s="160"/>
    </row>
    <row r="103" spans="2:18" ht="13.5" thickBot="1">
      <c r="B103" s="154"/>
      <c r="C103" s="189"/>
      <c r="D103" s="188"/>
      <c r="K103" s="160"/>
    </row>
    <row r="104" spans="2:18" ht="29.25" thickBot="1">
      <c r="B104" s="154"/>
      <c r="C104" s="189"/>
      <c r="D104" s="188"/>
      <c r="F104" s="15"/>
      <c r="G104" s="853" t="s">
        <v>291</v>
      </c>
      <c r="H104" s="854" t="s">
        <v>34</v>
      </c>
      <c r="I104" s="854" t="s">
        <v>258</v>
      </c>
      <c r="J104" s="855" t="s">
        <v>116</v>
      </c>
      <c r="K104" s="160"/>
    </row>
    <row r="105" spans="2:18" ht="15">
      <c r="B105" s="154"/>
      <c r="C105" s="189"/>
      <c r="D105" s="188"/>
      <c r="F105" s="621" t="s">
        <v>292</v>
      </c>
      <c r="G105" s="624">
        <f>G21+G44+G60+G75</f>
        <v>0</v>
      </c>
      <c r="H105" s="623">
        <f>ROUND(SUMIF(Inventaire!B15:B83,"??OS*",Inventaire!I15:I83)+SUMIF(Inventaire!B15:B83,"??OR*",Inventaire!I15:I83)+SUMIF(Inventaire!B15:B83,"??CN*",Inventaire!I15:I83)+SUMIF(Inventaire!B12:B79,"??OC*",Inventaire!I12:I79),2)</f>
        <v>0</v>
      </c>
      <c r="I105" s="623">
        <f>G105-H105</f>
        <v>0</v>
      </c>
      <c r="J105" s="622" t="str">
        <f>IF(ROUND(I105,2)=0,"OK","ANOMALIE")</f>
        <v>OK</v>
      </c>
      <c r="K105" s="160"/>
    </row>
    <row r="106" spans="2:18" ht="15.75" thickBot="1">
      <c r="B106" s="154"/>
      <c r="C106" s="189"/>
      <c r="D106" s="188"/>
      <c r="F106" s="619" t="s">
        <v>293</v>
      </c>
      <c r="G106" s="647">
        <f>L23+L46+L62+L77+L100</f>
        <v>2050726.9600000002</v>
      </c>
      <c r="H106" s="648">
        <f>SUMIF(Inventaire!B15:B83,"??OS*",Inventaire!M15:M83)+SUMIF(Inventaire!B15:B83,"??OR*",Inventaire!M15:M83)+SUMIF(Inventaire!B15:B83,"??CN*",Inventaire!M15:M83)+SUMIF(Inventaire!B12:B79,"??OC*",Inventaire!M12:M79)+SUMIF(Inventaire!B15:B83,"??AD*",Inventaire!M15:M83)</f>
        <v>2050726.9600000002</v>
      </c>
      <c r="I106" s="648">
        <f>G106-H106</f>
        <v>0</v>
      </c>
      <c r="J106" s="649" t="str">
        <f>IF(ROUND(I106,2)=0,"OK","ANOMALIE")</f>
        <v>OK</v>
      </c>
      <c r="K106" s="160"/>
    </row>
    <row r="107" spans="2:18">
      <c r="B107" s="154"/>
      <c r="C107" s="189"/>
      <c r="D107" s="188"/>
      <c r="K107" s="160"/>
    </row>
    <row r="108" spans="2:18">
      <c r="B108" s="154"/>
      <c r="C108" s="189"/>
      <c r="D108" s="188"/>
      <c r="K108" s="160"/>
    </row>
    <row r="109" spans="2:18">
      <c r="B109" s="154"/>
      <c r="C109" s="189"/>
      <c r="D109" s="188"/>
      <c r="K109" s="160"/>
    </row>
    <row r="110" spans="2:18">
      <c r="B110" s="192"/>
      <c r="D110" s="187"/>
      <c r="E110" s="187"/>
      <c r="F110" s="138"/>
      <c r="G110" s="187"/>
      <c r="H110" s="187"/>
      <c r="I110" s="193"/>
      <c r="J110" s="193"/>
      <c r="K110" s="193"/>
    </row>
  </sheetData>
  <pageMargins left="0.23622047244094491" right="0.23622047244094491" top="0.74803149606299213" bottom="0.74803149606299213" header="0.31496062992125984" footer="0.31496062992125984"/>
  <pageSetup paperSize="9" scale="6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CE251-2BEA-46DC-AB94-483D0C4BF4E4}">
  <sheetPr codeName="Feuil26">
    <pageSetUpPr fitToPage="1"/>
  </sheetPr>
  <dimension ref="B1:T189"/>
  <sheetViews>
    <sheetView view="pageBreakPreview" topLeftCell="A32" zoomScaleNormal="100" zoomScaleSheetLayoutView="100" workbookViewId="0">
      <selection activeCell="H62" sqref="H62"/>
    </sheetView>
  </sheetViews>
  <sheetFormatPr defaultColWidth="13" defaultRowHeight="12.75"/>
  <cols>
    <col min="1" max="1" width="0.5703125" style="540" customWidth="1"/>
    <col min="2" max="3" width="12" style="540" customWidth="1"/>
    <col min="4" max="4" width="14.85546875" style="540" customWidth="1"/>
    <col min="5" max="5" width="9.5703125" style="540" customWidth="1"/>
    <col min="6" max="6" width="26.140625" style="540" bestFit="1" customWidth="1"/>
    <col min="7" max="7" width="18.5703125" style="540" customWidth="1"/>
    <col min="8" max="8" width="15.5703125" style="540" bestFit="1" customWidth="1"/>
    <col min="9" max="9" width="13.42578125" style="540" customWidth="1"/>
    <col min="10" max="10" width="14.5703125" style="540" customWidth="1"/>
    <col min="11" max="11" width="16.5703125" style="540" bestFit="1" customWidth="1"/>
    <col min="12" max="12" width="14.5703125" style="540" customWidth="1"/>
    <col min="13" max="13" width="13" style="540" bestFit="1" customWidth="1"/>
    <col min="14" max="14" width="1.5703125" style="540" customWidth="1"/>
    <col min="15" max="15" width="15" style="196" hidden="1" customWidth="1"/>
    <col min="16" max="16" width="0" style="540" hidden="1" customWidth="1"/>
    <col min="17" max="17" width="13.42578125" style="540" hidden="1" customWidth="1"/>
    <col min="18" max="16384" width="13" style="540"/>
  </cols>
  <sheetData>
    <row r="1" spans="2:16" s="535" customFormat="1" ht="15.75">
      <c r="B1" s="535" t="str">
        <f>Sommaire!A1</f>
        <v>BOLZEN - SLP</v>
      </c>
      <c r="C1" s="536"/>
      <c r="G1" s="536" t="s">
        <v>294</v>
      </c>
      <c r="I1" s="537">
        <f>Sommaire!C1</f>
        <v>46022</v>
      </c>
      <c r="J1" s="537"/>
      <c r="O1" s="538"/>
    </row>
    <row r="3" spans="2:16">
      <c r="B3" s="539" t="s">
        <v>295</v>
      </c>
      <c r="C3" s="468"/>
      <c r="D3" s="468"/>
      <c r="E3" s="468"/>
      <c r="G3" s="541"/>
      <c r="H3" s="541"/>
      <c r="I3" s="541"/>
      <c r="J3" s="468"/>
      <c r="K3" s="468"/>
      <c r="L3" s="468"/>
      <c r="O3" s="14"/>
      <c r="P3" s="542"/>
    </row>
    <row r="4" spans="2:16" ht="38.25">
      <c r="B4" s="1337" t="s">
        <v>296</v>
      </c>
      <c r="C4" s="1337" t="s">
        <v>297</v>
      </c>
      <c r="D4" s="1337" t="s">
        <v>298</v>
      </c>
      <c r="E4" s="1338" t="s">
        <v>268</v>
      </c>
      <c r="F4" s="1337" t="s">
        <v>299</v>
      </c>
      <c r="G4" s="1337" t="s">
        <v>300</v>
      </c>
      <c r="H4" s="1337" t="s">
        <v>301</v>
      </c>
      <c r="I4" s="1337" t="s">
        <v>302</v>
      </c>
      <c r="J4" s="1337" t="s">
        <v>303</v>
      </c>
      <c r="K4" s="1337" t="s">
        <v>304</v>
      </c>
      <c r="L4" s="1338" t="s">
        <v>305</v>
      </c>
      <c r="M4" s="1338" t="s">
        <v>306</v>
      </c>
      <c r="O4" s="14"/>
      <c r="P4" s="542"/>
    </row>
    <row r="5" spans="2:16">
      <c r="B5" s="1339"/>
      <c r="C5" s="1339"/>
      <c r="D5" s="1340"/>
      <c r="E5" s="1341"/>
      <c r="F5" s="1340"/>
      <c r="G5" s="1340"/>
      <c r="H5" s="1340"/>
      <c r="I5" s="1341"/>
      <c r="J5" s="1341"/>
      <c r="K5" s="1342"/>
      <c r="L5" s="1342"/>
      <c r="M5" s="1343"/>
      <c r="O5" s="14"/>
      <c r="P5" s="542"/>
    </row>
    <row r="6" spans="2:16">
      <c r="B6" s="1005">
        <v>45862</v>
      </c>
      <c r="C6" s="1005">
        <v>45930</v>
      </c>
      <c r="D6" s="771">
        <f>C6-B6</f>
        <v>68</v>
      </c>
      <c r="E6" s="1006">
        <v>360</v>
      </c>
      <c r="F6" s="1005" t="s">
        <v>307</v>
      </c>
      <c r="G6" s="1007">
        <v>50400000</v>
      </c>
      <c r="H6" s="772">
        <f>H5+G6</f>
        <v>50400000</v>
      </c>
      <c r="I6" s="1008">
        <v>1.7999999999999999E-2</v>
      </c>
      <c r="J6" s="1009">
        <v>2.0320000000000001E-2</v>
      </c>
      <c r="K6" s="773">
        <f>ROUND((D6*(I6+J6)*H6)/E6,2)</f>
        <v>364806.40000000002</v>
      </c>
      <c r="L6" s="773"/>
      <c r="M6" s="909">
        <f>K6+L6</f>
        <v>364806.40000000002</v>
      </c>
      <c r="O6" s="14"/>
      <c r="P6" s="542"/>
    </row>
    <row r="7" spans="2:16">
      <c r="B7" s="1005">
        <f>C6</f>
        <v>45930</v>
      </c>
      <c r="C7" s="1010">
        <v>46020</v>
      </c>
      <c r="D7" s="771">
        <f>C7-B7</f>
        <v>90</v>
      </c>
      <c r="E7" s="1006">
        <v>360</v>
      </c>
      <c r="F7" s="1005"/>
      <c r="G7" s="1007"/>
      <c r="H7" s="772">
        <f>H6+G7</f>
        <v>50400000</v>
      </c>
      <c r="I7" s="1008">
        <v>1.7999999999999999E-2</v>
      </c>
      <c r="J7" s="1009">
        <v>2.0320000000000001E-2</v>
      </c>
      <c r="K7" s="773">
        <f>ROUND((D7*(I7+J7)*H7)/E7,2)</f>
        <v>482832</v>
      </c>
      <c r="L7" s="773"/>
      <c r="M7" s="909">
        <f>K7+L7</f>
        <v>482832</v>
      </c>
      <c r="O7" s="14"/>
      <c r="P7" s="542"/>
    </row>
    <row r="8" spans="2:16" s="543" customFormat="1">
      <c r="B8" s="1010"/>
      <c r="C8" s="1010"/>
      <c r="D8" s="774"/>
      <c r="E8" s="1011"/>
      <c r="F8" s="1010"/>
      <c r="G8" s="1012"/>
      <c r="H8" s="775"/>
      <c r="I8" s="1013"/>
      <c r="J8" s="1014"/>
      <c r="K8" s="776"/>
      <c r="L8" s="776"/>
      <c r="M8" s="1015"/>
      <c r="O8" s="544"/>
      <c r="P8" s="545"/>
    </row>
    <row r="9" spans="2:16">
      <c r="B9" s="1005"/>
      <c r="C9" s="1005"/>
      <c r="D9" s="771"/>
      <c r="E9" s="1006"/>
      <c r="F9" s="1010" t="s">
        <v>308</v>
      </c>
      <c r="G9" s="1012">
        <v>-50400000</v>
      </c>
      <c r="H9" s="772"/>
      <c r="I9" s="1008"/>
      <c r="J9" s="1009"/>
      <c r="K9" s="776">
        <v>-847638.4</v>
      </c>
      <c r="L9" s="776"/>
      <c r="M9" s="1015">
        <v>-847638.4</v>
      </c>
      <c r="O9" s="14"/>
      <c r="P9" s="542"/>
    </row>
    <row r="10" spans="2:16">
      <c r="B10" s="1005"/>
      <c r="C10" s="1005"/>
      <c r="D10" s="771"/>
      <c r="E10" s="1006"/>
      <c r="F10" s="1005"/>
      <c r="G10" s="1007"/>
      <c r="H10" s="772"/>
      <c r="I10" s="1008"/>
      <c r="J10" s="1009"/>
      <c r="K10" s="773"/>
      <c r="L10" s="773"/>
      <c r="M10" s="909"/>
      <c r="O10" s="14"/>
      <c r="P10" s="542"/>
    </row>
    <row r="11" spans="2:16" s="543" customFormat="1">
      <c r="B11" s="1010"/>
      <c r="C11" s="1010"/>
      <c r="D11" s="774"/>
      <c r="E11" s="1011"/>
      <c r="F11" s="1010"/>
      <c r="G11" s="1012"/>
      <c r="H11" s="775"/>
      <c r="I11" s="1013"/>
      <c r="J11" s="1014"/>
      <c r="K11" s="776"/>
      <c r="L11" s="776"/>
      <c r="M11" s="1015"/>
      <c r="O11" s="544"/>
      <c r="P11" s="545"/>
    </row>
    <row r="12" spans="2:16">
      <c r="B12" s="1005"/>
      <c r="C12" s="1005"/>
      <c r="D12" s="771"/>
      <c r="E12" s="1006"/>
      <c r="F12" s="1005"/>
      <c r="G12" s="1007"/>
      <c r="H12" s="772"/>
      <c r="I12" s="1008"/>
      <c r="J12" s="1009"/>
      <c r="K12" s="773"/>
      <c r="L12" s="773"/>
      <c r="M12" s="909"/>
      <c r="O12" s="14"/>
      <c r="P12" s="542"/>
    </row>
    <row r="13" spans="2:16">
      <c r="B13" s="1005"/>
      <c r="C13" s="1005"/>
      <c r="D13" s="771"/>
      <c r="E13" s="1006"/>
      <c r="F13" s="1005"/>
      <c r="G13" s="1007"/>
      <c r="H13" s="772"/>
      <c r="I13" s="1008"/>
      <c r="J13" s="1009"/>
      <c r="K13" s="773"/>
      <c r="L13" s="773"/>
      <c r="M13" s="909"/>
      <c r="O13" s="14"/>
      <c r="P13" s="542"/>
    </row>
    <row r="14" spans="2:16" s="543" customFormat="1">
      <c r="B14" s="1010"/>
      <c r="C14" s="1010"/>
      <c r="D14" s="774"/>
      <c r="E14" s="1011"/>
      <c r="F14" s="1010"/>
      <c r="G14" s="1012"/>
      <c r="H14" s="775"/>
      <c r="I14" s="1013"/>
      <c r="J14" s="1014"/>
      <c r="K14" s="776"/>
      <c r="L14" s="776"/>
      <c r="M14" s="1015"/>
      <c r="O14" s="544"/>
      <c r="P14" s="545"/>
    </row>
    <row r="15" spans="2:16">
      <c r="B15" s="1005"/>
      <c r="C15" s="1005"/>
      <c r="D15" s="771"/>
      <c r="E15" s="1006"/>
      <c r="F15" s="1005"/>
      <c r="G15" s="777"/>
      <c r="H15" s="772"/>
      <c r="I15" s="1008"/>
      <c r="J15" s="1008"/>
      <c r="K15" s="773"/>
      <c r="L15" s="773"/>
      <c r="M15" s="909"/>
      <c r="O15" s="14"/>
      <c r="P15" s="542"/>
    </row>
    <row r="16" spans="2:16">
      <c r="B16" s="1344"/>
      <c r="C16" s="1344"/>
      <c r="D16" s="1345"/>
      <c r="E16" s="1346"/>
      <c r="F16" s="1344"/>
      <c r="G16" s="1347">
        <f>SUM(G5:G15)</f>
        <v>0</v>
      </c>
      <c r="H16" s="1347"/>
      <c r="I16" s="1344"/>
      <c r="J16" s="1344"/>
      <c r="K16" s="1348">
        <f>SUM(K6:K15)</f>
        <v>0</v>
      </c>
      <c r="L16" s="1348"/>
      <c r="M16" s="1348">
        <f>SUM(M6:M15)</f>
        <v>0</v>
      </c>
      <c r="O16" s="14"/>
      <c r="P16" s="542"/>
    </row>
    <row r="17" spans="2:20">
      <c r="C17" s="468"/>
      <c r="D17" s="468"/>
      <c r="G17" s="468"/>
      <c r="H17" s="468"/>
      <c r="J17" s="468"/>
      <c r="K17" s="468"/>
      <c r="L17" s="468"/>
      <c r="O17" s="14"/>
      <c r="P17" s="542"/>
    </row>
    <row r="18" spans="2:20">
      <c r="B18" s="540" t="s">
        <v>309</v>
      </c>
      <c r="D18" s="733">
        <v>46048</v>
      </c>
      <c r="G18" s="468"/>
      <c r="H18" s="468"/>
      <c r="J18" s="468"/>
      <c r="K18" s="468"/>
      <c r="L18" s="468"/>
      <c r="O18" s="14"/>
      <c r="P18" s="542"/>
    </row>
    <row r="19" spans="2:20">
      <c r="B19" s="540" t="s">
        <v>310</v>
      </c>
      <c r="D19" s="734">
        <v>997852.8</v>
      </c>
      <c r="G19" s="468"/>
      <c r="H19" s="468"/>
      <c r="J19" s="468"/>
      <c r="K19" s="468"/>
      <c r="L19" s="468"/>
      <c r="O19" s="14"/>
      <c r="P19" s="542"/>
    </row>
    <row r="20" spans="2:20">
      <c r="B20" s="540" t="s">
        <v>311</v>
      </c>
      <c r="D20" s="735">
        <v>1.7999999999999999E-2</v>
      </c>
      <c r="G20" s="468"/>
      <c r="H20" s="468"/>
      <c r="J20" s="468"/>
      <c r="K20" s="468"/>
      <c r="L20" s="468"/>
      <c r="O20" s="14"/>
      <c r="P20" s="542"/>
    </row>
    <row r="21" spans="2:20">
      <c r="B21" s="540" t="s">
        <v>312</v>
      </c>
      <c r="D21" s="734">
        <f>G16</f>
        <v>0</v>
      </c>
    </row>
    <row r="22" spans="2:20">
      <c r="B22" s="539" t="s">
        <v>313</v>
      </c>
      <c r="D22" s="468"/>
      <c r="E22" s="468"/>
      <c r="G22" s="541"/>
      <c r="H22" s="541"/>
      <c r="I22" s="541"/>
      <c r="J22" s="468"/>
      <c r="K22" s="468"/>
      <c r="L22" s="468"/>
      <c r="O22" s="14"/>
      <c r="P22" s="542"/>
    </row>
    <row r="23" spans="2:20" ht="38.25">
      <c r="B23" s="1337" t="s">
        <v>296</v>
      </c>
      <c r="C23" s="1337" t="s">
        <v>297</v>
      </c>
      <c r="D23" s="1337" t="s">
        <v>298</v>
      </c>
      <c r="E23" s="1338" t="s">
        <v>268</v>
      </c>
      <c r="F23" s="1337" t="s">
        <v>299</v>
      </c>
      <c r="G23" s="1337" t="s">
        <v>300</v>
      </c>
      <c r="H23" s="1337" t="s">
        <v>301</v>
      </c>
      <c r="I23" s="1337" t="s">
        <v>314</v>
      </c>
      <c r="J23" s="1337" t="s">
        <v>304</v>
      </c>
      <c r="K23" s="1338" t="s">
        <v>306</v>
      </c>
      <c r="L23" s="699"/>
      <c r="O23" s="14"/>
      <c r="P23" s="542"/>
    </row>
    <row r="24" spans="2:20">
      <c r="B24" s="1341"/>
      <c r="C24" s="1341"/>
      <c r="D24" s="1340"/>
      <c r="E24" s="1341"/>
      <c r="F24" s="1340"/>
      <c r="G24" s="1340"/>
      <c r="H24" s="1340"/>
      <c r="I24" s="1341"/>
      <c r="J24" s="1342"/>
      <c r="K24" s="1343"/>
      <c r="L24" s="700"/>
      <c r="O24" s="14"/>
      <c r="P24" s="542"/>
    </row>
    <row r="25" spans="2:20">
      <c r="B25" s="1005">
        <v>45862</v>
      </c>
      <c r="C25" s="1005">
        <v>45930</v>
      </c>
      <c r="D25" s="771">
        <f>C25-B25</f>
        <v>68</v>
      </c>
      <c r="E25" s="1006">
        <v>360</v>
      </c>
      <c r="F25" s="778" t="s">
        <v>315</v>
      </c>
      <c r="G25" s="772">
        <f>D21-G16</f>
        <v>0</v>
      </c>
      <c r="H25" s="772">
        <f>G25+H24</f>
        <v>0</v>
      </c>
      <c r="I25" s="1008">
        <v>3.0000000000000001E-3</v>
      </c>
      <c r="J25" s="779">
        <f>ROUND((D25*(I25)*H25)/E25,2)</f>
        <v>0</v>
      </c>
      <c r="K25" s="905"/>
      <c r="L25" s="501"/>
      <c r="O25" s="14"/>
      <c r="P25" s="542"/>
    </row>
    <row r="26" spans="2:20">
      <c r="B26" s="1005">
        <f>C25</f>
        <v>45930</v>
      </c>
      <c r="C26" s="780">
        <v>46020</v>
      </c>
      <c r="D26" s="771">
        <f>C26-B26</f>
        <v>90</v>
      </c>
      <c r="E26" s="1006">
        <v>360</v>
      </c>
      <c r="F26" s="1005"/>
      <c r="G26" s="547"/>
      <c r="H26" s="772">
        <f>G26+H25</f>
        <v>0</v>
      </c>
      <c r="I26" s="1008">
        <v>3.0000000000000001E-3</v>
      </c>
      <c r="J26" s="779">
        <f>ROUND((D26*(I26)*H26)/E26,2)</f>
        <v>0</v>
      </c>
      <c r="K26" s="905"/>
      <c r="L26" s="501"/>
      <c r="O26" s="14"/>
      <c r="P26" s="548"/>
    </row>
    <row r="27" spans="2:20">
      <c r="B27" s="1005"/>
      <c r="C27" s="780"/>
      <c r="D27" s="771"/>
      <c r="E27" s="1006"/>
      <c r="F27" s="781"/>
      <c r="G27" s="1007"/>
      <c r="H27" s="772"/>
      <c r="I27" s="1008"/>
      <c r="J27" s="779"/>
      <c r="K27" s="905"/>
      <c r="L27" s="501"/>
      <c r="O27" s="14"/>
      <c r="P27" s="542"/>
      <c r="S27" s="549"/>
      <c r="T27" s="549"/>
    </row>
    <row r="28" spans="2:20">
      <c r="B28" s="1005"/>
      <c r="C28" s="780"/>
      <c r="D28" s="771"/>
      <c r="E28" s="1006"/>
      <c r="F28" s="781"/>
      <c r="G28" s="1007"/>
      <c r="H28" s="772"/>
      <c r="I28" s="1008"/>
      <c r="J28" s="779"/>
      <c r="K28" s="909"/>
      <c r="L28" s="505"/>
      <c r="O28" s="14"/>
      <c r="P28" s="542"/>
      <c r="S28" s="549"/>
      <c r="T28" s="549"/>
    </row>
    <row r="29" spans="2:20">
      <c r="B29" s="1005"/>
      <c r="C29" s="780"/>
      <c r="D29" s="771"/>
      <c r="E29" s="1006"/>
      <c r="F29" s="778"/>
      <c r="G29" s="1016"/>
      <c r="H29" s="772"/>
      <c r="I29" s="1008"/>
      <c r="J29" s="779"/>
      <c r="K29" s="909"/>
      <c r="L29" s="505"/>
      <c r="O29" s="14"/>
      <c r="P29" s="542"/>
      <c r="S29" s="549"/>
      <c r="T29" s="549"/>
    </row>
    <row r="30" spans="2:20">
      <c r="B30" s="1005"/>
      <c r="C30" s="780"/>
      <c r="D30" s="771"/>
      <c r="E30" s="1006"/>
      <c r="F30" s="781"/>
      <c r="G30" s="782"/>
      <c r="H30" s="772"/>
      <c r="I30" s="1008"/>
      <c r="J30" s="779"/>
      <c r="K30" s="909"/>
      <c r="L30" s="505"/>
      <c r="O30" s="14"/>
      <c r="P30" s="542"/>
      <c r="S30" s="549"/>
      <c r="T30" s="549"/>
    </row>
    <row r="31" spans="2:20">
      <c r="B31" s="1005"/>
      <c r="C31" s="780"/>
      <c r="D31" s="771"/>
      <c r="E31" s="1006"/>
      <c r="F31" s="781"/>
      <c r="G31" s="782"/>
      <c r="H31" s="772"/>
      <c r="I31" s="1008"/>
      <c r="J31" s="779"/>
      <c r="K31" s="909"/>
      <c r="L31" s="505"/>
      <c r="O31" s="14"/>
      <c r="P31" s="542"/>
      <c r="S31" s="549"/>
      <c r="T31" s="549"/>
    </row>
    <row r="32" spans="2:20">
      <c r="B32" s="1005"/>
      <c r="C32" s="1005"/>
      <c r="D32" s="771"/>
      <c r="E32" s="1006"/>
      <c r="F32" s="781"/>
      <c r="G32" s="782"/>
      <c r="H32" s="772"/>
      <c r="I32" s="1008"/>
      <c r="J32" s="779"/>
      <c r="K32" s="909"/>
      <c r="L32" s="505"/>
      <c r="O32" s="14"/>
      <c r="P32" s="542"/>
      <c r="Q32" s="549"/>
      <c r="S32" s="549"/>
      <c r="T32" s="549"/>
    </row>
    <row r="33" spans="2:20">
      <c r="B33" s="1005"/>
      <c r="C33" s="780"/>
      <c r="D33" s="771"/>
      <c r="E33" s="1006"/>
      <c r="F33" s="781"/>
      <c r="G33" s="782"/>
      <c r="H33" s="772"/>
      <c r="I33" s="1008"/>
      <c r="J33" s="779"/>
      <c r="K33" s="909"/>
      <c r="L33" s="505"/>
      <c r="O33" s="14"/>
      <c r="P33" s="542"/>
      <c r="S33" s="549"/>
      <c r="T33" s="549"/>
    </row>
    <row r="34" spans="2:20">
      <c r="B34" s="1017"/>
      <c r="C34" s="783"/>
      <c r="D34" s="784"/>
      <c r="E34" s="1018"/>
      <c r="F34" s="785"/>
      <c r="G34" s="786"/>
      <c r="H34" s="787"/>
      <c r="I34" s="1019"/>
      <c r="J34" s="788"/>
      <c r="K34" s="1020"/>
      <c r="L34" s="701"/>
      <c r="O34" s="14"/>
      <c r="P34" s="542"/>
      <c r="S34" s="549"/>
      <c r="T34" s="549"/>
    </row>
    <row r="35" spans="2:20">
      <c r="B35" s="1005"/>
      <c r="C35" s="780"/>
      <c r="D35" s="771"/>
      <c r="E35" s="1006"/>
      <c r="F35" s="781"/>
      <c r="G35" s="789"/>
      <c r="H35" s="772"/>
      <c r="I35" s="1008"/>
      <c r="J35" s="779"/>
      <c r="K35" s="909"/>
      <c r="L35" s="505"/>
      <c r="O35" s="14"/>
      <c r="P35" s="542"/>
      <c r="S35" s="549"/>
      <c r="T35" s="549"/>
    </row>
    <row r="36" spans="2:20">
      <c r="B36" s="1005"/>
      <c r="C36" s="780"/>
      <c r="D36" s="771"/>
      <c r="E36" s="1006"/>
      <c r="F36" s="781"/>
      <c r="G36" s="789"/>
      <c r="H36" s="772"/>
      <c r="I36" s="1008"/>
      <c r="J36" s="779"/>
      <c r="K36" s="909"/>
      <c r="L36" s="505"/>
      <c r="O36" s="14"/>
      <c r="P36" s="542"/>
      <c r="S36" s="549"/>
      <c r="T36" s="549"/>
    </row>
    <row r="37" spans="2:20">
      <c r="B37" s="1005"/>
      <c r="C37" s="780"/>
      <c r="D37" s="771"/>
      <c r="E37" s="1006"/>
      <c r="F37" s="781"/>
      <c r="G37" s="789"/>
      <c r="H37" s="772"/>
      <c r="I37" s="1008"/>
      <c r="J37" s="779"/>
      <c r="K37" s="905"/>
      <c r="L37" s="501"/>
      <c r="O37" s="14"/>
      <c r="P37" s="542"/>
      <c r="S37" s="549"/>
      <c r="T37" s="549"/>
    </row>
    <row r="38" spans="2:20">
      <c r="B38" s="1005"/>
      <c r="C38" s="780"/>
      <c r="D38" s="771"/>
      <c r="E38" s="1006"/>
      <c r="F38" s="781"/>
      <c r="G38" s="790"/>
      <c r="H38" s="791"/>
      <c r="I38" s="1008"/>
      <c r="J38" s="779"/>
      <c r="K38" s="905"/>
      <c r="L38" s="501"/>
      <c r="O38" s="14"/>
      <c r="P38" s="905"/>
      <c r="S38" s="549"/>
      <c r="T38" s="549"/>
    </row>
    <row r="39" spans="2:20">
      <c r="B39" s="1005"/>
      <c r="C39" s="780"/>
      <c r="D39" s="771"/>
      <c r="E39" s="1006"/>
      <c r="F39" s="781"/>
      <c r="G39" s="790"/>
      <c r="H39" s="772"/>
      <c r="I39" s="1008"/>
      <c r="J39" s="779"/>
      <c r="K39" s="905"/>
      <c r="L39" s="501"/>
      <c r="O39" s="14"/>
      <c r="P39" s="550"/>
    </row>
    <row r="40" spans="2:20">
      <c r="B40" s="1017"/>
      <c r="C40" s="783"/>
      <c r="D40" s="784"/>
      <c r="E40" s="1018"/>
      <c r="F40" s="785"/>
      <c r="G40" s="792"/>
      <c r="H40" s="787"/>
      <c r="I40" s="1019"/>
      <c r="J40" s="904"/>
      <c r="K40" s="904"/>
      <c r="L40" s="500"/>
      <c r="O40" s="14"/>
      <c r="P40" s="550"/>
    </row>
    <row r="41" spans="2:20">
      <c r="B41" s="1005"/>
      <c r="C41" s="780"/>
      <c r="D41" s="771"/>
      <c r="E41" s="1006"/>
      <c r="F41" s="781"/>
      <c r="G41" s="790"/>
      <c r="H41" s="772"/>
      <c r="I41" s="1008"/>
      <c r="J41" s="779"/>
      <c r="K41" s="905"/>
      <c r="L41" s="501"/>
      <c r="O41" s="14"/>
      <c r="P41" s="550"/>
    </row>
    <row r="42" spans="2:20">
      <c r="B42" s="1005"/>
      <c r="C42" s="780"/>
      <c r="D42" s="771"/>
      <c r="E42" s="1006"/>
      <c r="F42" s="781"/>
      <c r="G42" s="790"/>
      <c r="H42" s="772"/>
      <c r="I42" s="1008"/>
      <c r="J42" s="779"/>
      <c r="K42" s="905"/>
      <c r="L42" s="501"/>
      <c r="O42" s="14"/>
      <c r="P42" s="550"/>
      <c r="S42" s="546"/>
    </row>
    <row r="43" spans="2:20">
      <c r="B43" s="1344"/>
      <c r="C43" s="1344"/>
      <c r="D43" s="1345"/>
      <c r="E43" s="1346"/>
      <c r="F43" s="1344"/>
      <c r="G43" s="1347">
        <f>G29</f>
        <v>0</v>
      </c>
      <c r="H43" s="1347">
        <f>+H29</f>
        <v>0</v>
      </c>
      <c r="I43" s="1344"/>
      <c r="J43" s="1348">
        <f>SUM(J25:J42)</f>
        <v>0</v>
      </c>
      <c r="K43" s="1348">
        <f>SUM(K25:K32)</f>
        <v>0</v>
      </c>
      <c r="L43" s="702"/>
      <c r="O43" s="14"/>
      <c r="P43" s="542"/>
    </row>
    <row r="52" spans="2:16">
      <c r="B52" s="539" t="s">
        <v>316</v>
      </c>
      <c r="C52" s="468"/>
      <c r="D52" s="468"/>
      <c r="E52" s="468"/>
      <c r="G52" s="541"/>
      <c r="H52" s="541"/>
      <c r="I52" s="541"/>
      <c r="J52" s="468"/>
      <c r="K52" s="468"/>
      <c r="L52" s="468"/>
      <c r="O52" s="14"/>
      <c r="P52" s="542"/>
    </row>
    <row r="53" spans="2:16" ht="38.25">
      <c r="B53" s="1337" t="s">
        <v>296</v>
      </c>
      <c r="C53" s="1337" t="s">
        <v>297</v>
      </c>
      <c r="D53" s="1337" t="s">
        <v>298</v>
      </c>
      <c r="E53" s="1338" t="s">
        <v>268</v>
      </c>
      <c r="F53" s="1337" t="s">
        <v>299</v>
      </c>
      <c r="G53" s="1337" t="s">
        <v>300</v>
      </c>
      <c r="H53" s="1337" t="s">
        <v>301</v>
      </c>
      <c r="I53" s="1337" t="s">
        <v>302</v>
      </c>
      <c r="J53" s="1337" t="s">
        <v>303</v>
      </c>
      <c r="K53" s="1337" t="s">
        <v>304</v>
      </c>
      <c r="L53" s="1338" t="s">
        <v>305</v>
      </c>
      <c r="M53" s="1338" t="s">
        <v>306</v>
      </c>
      <c r="O53" s="14"/>
      <c r="P53" s="542"/>
    </row>
    <row r="54" spans="2:16">
      <c r="B54" s="1339"/>
      <c r="C54" s="1339"/>
      <c r="D54" s="1340"/>
      <c r="E54" s="1341"/>
      <c r="F54" s="1340"/>
      <c r="G54" s="1340"/>
      <c r="H54" s="1340"/>
      <c r="I54" s="1341"/>
      <c r="J54" s="1341"/>
      <c r="K54" s="1342"/>
      <c r="L54" s="1342"/>
      <c r="M54" s="1343"/>
      <c r="O54" s="14"/>
      <c r="P54" s="542"/>
    </row>
    <row r="55" spans="2:16">
      <c r="B55" s="1005">
        <v>45982</v>
      </c>
      <c r="C55" s="1010">
        <v>46020</v>
      </c>
      <c r="D55" s="771">
        <f>C55-B55</f>
        <v>38</v>
      </c>
      <c r="E55" s="1006">
        <v>360</v>
      </c>
      <c r="F55" s="1005" t="s">
        <v>307</v>
      </c>
      <c r="G55" s="1007">
        <v>35380000</v>
      </c>
      <c r="H55" s="772">
        <f>H54+G55</f>
        <v>35380000</v>
      </c>
      <c r="I55" s="1008">
        <v>1.7999999999999999E-2</v>
      </c>
      <c r="J55" s="1009">
        <v>2.1000000000000001E-2</v>
      </c>
      <c r="K55" s="773">
        <f>ROUND((D55*(I55+J55)*H55)/E55,2)</f>
        <v>145647.67000000001</v>
      </c>
      <c r="L55" s="773"/>
      <c r="M55" s="909">
        <f>K55+L55</f>
        <v>145647.67000000001</v>
      </c>
      <c r="O55" s="14"/>
      <c r="P55" s="542"/>
    </row>
    <row r="56" spans="2:16">
      <c r="B56" s="1005"/>
      <c r="C56" s="1005"/>
      <c r="D56" s="771"/>
      <c r="E56" s="1006"/>
      <c r="F56" s="1005"/>
      <c r="G56" s="1007"/>
      <c r="H56" s="772"/>
      <c r="I56" s="1008"/>
      <c r="J56" s="1009"/>
      <c r="K56" s="773"/>
      <c r="L56" s="773"/>
      <c r="M56" s="909"/>
      <c r="O56" s="14"/>
      <c r="P56" s="542"/>
    </row>
    <row r="57" spans="2:16" s="543" customFormat="1">
      <c r="B57" s="1010"/>
      <c r="C57" s="1010"/>
      <c r="D57" s="774"/>
      <c r="E57" s="1011"/>
      <c r="F57" s="1010" t="s">
        <v>317</v>
      </c>
      <c r="G57" s="1012">
        <v>-35380000</v>
      </c>
      <c r="H57" s="775"/>
      <c r="I57" s="1013"/>
      <c r="J57" s="1014"/>
      <c r="K57" s="776">
        <v>-145647.67000000001</v>
      </c>
      <c r="L57" s="776"/>
      <c r="M57" s="1015">
        <v>-145647.67000000001</v>
      </c>
      <c r="O57" s="544"/>
      <c r="P57" s="545"/>
    </row>
    <row r="58" spans="2:16">
      <c r="B58" s="1005"/>
      <c r="C58" s="1005"/>
      <c r="D58" s="771"/>
      <c r="E58" s="1006"/>
      <c r="F58" s="1005"/>
      <c r="G58" s="1007"/>
      <c r="H58" s="772"/>
      <c r="I58" s="1008"/>
      <c r="J58" s="1009"/>
      <c r="K58" s="773"/>
      <c r="L58" s="773"/>
      <c r="M58" s="909"/>
      <c r="O58" s="14"/>
      <c r="P58" s="542"/>
    </row>
    <row r="59" spans="2:16">
      <c r="B59" s="1005"/>
      <c r="C59" s="1005"/>
      <c r="D59" s="771"/>
      <c r="E59" s="1006"/>
      <c r="F59" s="1005"/>
      <c r="G59" s="1007"/>
      <c r="H59" s="772"/>
      <c r="I59" s="1008"/>
      <c r="J59" s="1009"/>
      <c r="K59" s="773"/>
      <c r="L59" s="773"/>
      <c r="M59" s="909"/>
      <c r="O59" s="14"/>
      <c r="P59" s="542"/>
    </row>
    <row r="60" spans="2:16" s="543" customFormat="1">
      <c r="B60" s="1010"/>
      <c r="C60" s="1010"/>
      <c r="D60" s="774"/>
      <c r="E60" s="1011"/>
      <c r="F60" s="1010"/>
      <c r="G60" s="1012"/>
      <c r="H60" s="775"/>
      <c r="I60" s="1013"/>
      <c r="J60" s="1014"/>
      <c r="K60" s="776"/>
      <c r="L60" s="776"/>
      <c r="M60" s="1015"/>
      <c r="O60" s="544"/>
      <c r="P60" s="545"/>
    </row>
    <row r="61" spans="2:16">
      <c r="B61" s="1005"/>
      <c r="C61" s="1005"/>
      <c r="D61" s="771"/>
      <c r="E61" s="1006"/>
      <c r="F61" s="1005"/>
      <c r="G61" s="1007"/>
      <c r="H61" s="772"/>
      <c r="I61" s="1008"/>
      <c r="J61" s="1009"/>
      <c r="K61" s="773"/>
      <c r="L61" s="773"/>
      <c r="M61" s="909"/>
      <c r="O61" s="14"/>
      <c r="P61" s="542"/>
    </row>
    <row r="62" spans="2:16">
      <c r="B62" s="1005"/>
      <c r="C62" s="1005"/>
      <c r="D62" s="771"/>
      <c r="E62" s="1006"/>
      <c r="F62" s="1005"/>
      <c r="G62" s="1007"/>
      <c r="H62" s="772"/>
      <c r="I62" s="1008"/>
      <c r="J62" s="1009"/>
      <c r="K62" s="773"/>
      <c r="L62" s="773"/>
      <c r="M62" s="909"/>
      <c r="O62" s="14"/>
      <c r="P62" s="542"/>
    </row>
    <row r="63" spans="2:16" s="543" customFormat="1">
      <c r="B63" s="1010"/>
      <c r="C63" s="1010"/>
      <c r="D63" s="774"/>
      <c r="E63" s="1011"/>
      <c r="F63" s="1010"/>
      <c r="G63" s="1012"/>
      <c r="H63" s="775"/>
      <c r="I63" s="1013"/>
      <c r="J63" s="1014"/>
      <c r="K63" s="776"/>
      <c r="L63" s="776"/>
      <c r="M63" s="1015"/>
      <c r="O63" s="544"/>
      <c r="P63" s="545"/>
    </row>
    <row r="64" spans="2:16">
      <c r="B64" s="1005"/>
      <c r="C64" s="1005"/>
      <c r="D64" s="771"/>
      <c r="E64" s="1006"/>
      <c r="F64" s="1005"/>
      <c r="G64" s="777"/>
      <c r="H64" s="772"/>
      <c r="I64" s="1008"/>
      <c r="J64" s="1008"/>
      <c r="K64" s="773"/>
      <c r="L64" s="773"/>
      <c r="M64" s="909"/>
      <c r="O64" s="14"/>
      <c r="P64" s="542"/>
    </row>
    <row r="65" spans="2:20">
      <c r="B65" s="1344"/>
      <c r="C65" s="1344"/>
      <c r="D65" s="1345"/>
      <c r="E65" s="1346"/>
      <c r="F65" s="1344"/>
      <c r="G65" s="1347">
        <f>SUM(G54:G64)</f>
        <v>0</v>
      </c>
      <c r="H65" s="1347"/>
      <c r="I65" s="1344"/>
      <c r="J65" s="1344"/>
      <c r="K65" s="1348">
        <f>SUM(K55:K64)</f>
        <v>0</v>
      </c>
      <c r="L65" s="1348"/>
      <c r="M65" s="1348">
        <f>SUM(M55:M64)</f>
        <v>0</v>
      </c>
      <c r="O65" s="14"/>
      <c r="P65" s="542"/>
    </row>
    <row r="66" spans="2:20">
      <c r="C66" s="468"/>
      <c r="D66" s="468"/>
      <c r="G66" s="468"/>
      <c r="H66" s="468"/>
      <c r="J66" s="468"/>
      <c r="K66" s="468"/>
      <c r="L66" s="468"/>
      <c r="O66" s="14"/>
      <c r="P66" s="542"/>
    </row>
    <row r="67" spans="2:20">
      <c r="B67" s="540" t="s">
        <v>309</v>
      </c>
      <c r="D67" s="733">
        <v>46346</v>
      </c>
      <c r="G67" s="468"/>
      <c r="H67" s="468"/>
      <c r="J67" s="468"/>
      <c r="K67" s="468"/>
      <c r="L67" s="468"/>
      <c r="O67" s="14"/>
      <c r="P67" s="542"/>
    </row>
    <row r="68" spans="2:20">
      <c r="B68" s="540" t="s">
        <v>318</v>
      </c>
      <c r="D68" s="734">
        <v>494435.5</v>
      </c>
      <c r="G68" s="468"/>
      <c r="H68" s="468"/>
      <c r="J68" s="468"/>
      <c r="K68" s="468"/>
      <c r="L68" s="468"/>
      <c r="O68" s="14"/>
      <c r="P68" s="542"/>
    </row>
    <row r="69" spans="2:20">
      <c r="B69" s="540" t="s">
        <v>311</v>
      </c>
      <c r="D69" s="735">
        <v>1.7999999999999999E-2</v>
      </c>
      <c r="G69" s="468"/>
      <c r="H69" s="468"/>
      <c r="J69" s="468"/>
      <c r="K69" s="468"/>
      <c r="L69" s="468"/>
      <c r="O69" s="14"/>
      <c r="P69" s="542"/>
    </row>
    <row r="70" spans="2:20">
      <c r="B70" s="540" t="s">
        <v>312</v>
      </c>
      <c r="D70" s="734">
        <f>G65</f>
        <v>0</v>
      </c>
    </row>
    <row r="71" spans="2:20">
      <c r="B71" s="539" t="s">
        <v>319</v>
      </c>
      <c r="D71" s="468"/>
      <c r="E71" s="468"/>
      <c r="G71" s="541"/>
      <c r="H71" s="541"/>
      <c r="I71" s="541"/>
      <c r="J71" s="468"/>
      <c r="K71" s="468"/>
      <c r="L71" s="468"/>
      <c r="O71" s="14"/>
      <c r="P71" s="542"/>
    </row>
    <row r="72" spans="2:20" ht="38.25">
      <c r="B72" s="1337" t="s">
        <v>296</v>
      </c>
      <c r="C72" s="1337" t="s">
        <v>297</v>
      </c>
      <c r="D72" s="1337" t="s">
        <v>298</v>
      </c>
      <c r="E72" s="1338" t="s">
        <v>268</v>
      </c>
      <c r="F72" s="1337" t="s">
        <v>299</v>
      </c>
      <c r="G72" s="1337" t="s">
        <v>300</v>
      </c>
      <c r="H72" s="1337" t="s">
        <v>301</v>
      </c>
      <c r="I72" s="1337" t="s">
        <v>314</v>
      </c>
      <c r="J72" s="1337" t="s">
        <v>304</v>
      </c>
      <c r="K72" s="1338" t="s">
        <v>306</v>
      </c>
      <c r="L72" s="699"/>
      <c r="O72" s="14"/>
      <c r="P72" s="542"/>
    </row>
    <row r="73" spans="2:20">
      <c r="B73" s="1341"/>
      <c r="C73" s="1341"/>
      <c r="D73" s="1340"/>
      <c r="E73" s="1341"/>
      <c r="F73" s="1340"/>
      <c r="G73" s="1340"/>
      <c r="H73" s="1340"/>
      <c r="I73" s="1341"/>
      <c r="J73" s="1342"/>
      <c r="K73" s="1343"/>
      <c r="L73" s="700"/>
      <c r="O73" s="14"/>
      <c r="P73" s="542"/>
    </row>
    <row r="74" spans="2:20">
      <c r="B74" s="1005">
        <v>45982</v>
      </c>
      <c r="C74" s="1005">
        <v>46020</v>
      </c>
      <c r="D74" s="771">
        <f>C74-B74</f>
        <v>38</v>
      </c>
      <c r="E74" s="1006">
        <v>360</v>
      </c>
      <c r="F74" s="778" t="s">
        <v>315</v>
      </c>
      <c r="G74" s="772">
        <f>D70-G65</f>
        <v>0</v>
      </c>
      <c r="H74" s="772">
        <f>G74+H73</f>
        <v>0</v>
      </c>
      <c r="I74" s="1008">
        <v>3.0000000000000001E-3</v>
      </c>
      <c r="J74" s="779">
        <f>ROUND((D74*(I74)*H74)/E74,2)</f>
        <v>0</v>
      </c>
      <c r="K74" s="905"/>
      <c r="L74" s="501"/>
      <c r="O74" s="14"/>
      <c r="P74" s="542"/>
    </row>
    <row r="75" spans="2:20">
      <c r="B75" s="1005"/>
      <c r="C75" s="780"/>
      <c r="D75" s="771"/>
      <c r="E75" s="1006"/>
      <c r="F75" s="1005"/>
      <c r="G75" s="547"/>
      <c r="H75" s="772"/>
      <c r="I75" s="1008"/>
      <c r="J75" s="779"/>
      <c r="K75" s="905"/>
      <c r="L75" s="501"/>
      <c r="O75" s="14"/>
      <c r="P75" s="548"/>
    </row>
    <row r="76" spans="2:20">
      <c r="B76" s="1005"/>
      <c r="C76" s="780"/>
      <c r="D76" s="771"/>
      <c r="E76" s="1006"/>
      <c r="F76" s="781"/>
      <c r="G76" s="1007"/>
      <c r="H76" s="772"/>
      <c r="I76" s="1008"/>
      <c r="J76" s="779"/>
      <c r="K76" s="905"/>
      <c r="L76" s="501"/>
      <c r="O76" s="14"/>
      <c r="P76" s="542"/>
      <c r="S76" s="549"/>
      <c r="T76" s="549"/>
    </row>
    <row r="77" spans="2:20">
      <c r="B77" s="1005"/>
      <c r="C77" s="780"/>
      <c r="D77" s="771"/>
      <c r="E77" s="1006"/>
      <c r="F77" s="781"/>
      <c r="G77" s="1007"/>
      <c r="H77" s="772"/>
      <c r="I77" s="1008"/>
      <c r="J77" s="779"/>
      <c r="K77" s="909"/>
      <c r="L77" s="505"/>
      <c r="O77" s="14"/>
      <c r="P77" s="542"/>
      <c r="S77" s="549"/>
      <c r="T77" s="549"/>
    </row>
    <row r="78" spans="2:20">
      <c r="B78" s="1005"/>
      <c r="C78" s="780"/>
      <c r="D78" s="771"/>
      <c r="E78" s="1006"/>
      <c r="F78" s="778"/>
      <c r="G78" s="1016"/>
      <c r="H78" s="772"/>
      <c r="I78" s="1008"/>
      <c r="J78" s="779"/>
      <c r="K78" s="909"/>
      <c r="L78" s="505"/>
      <c r="O78" s="14"/>
      <c r="P78" s="542"/>
      <c r="S78" s="549"/>
      <c r="T78" s="549"/>
    </row>
    <row r="79" spans="2:20">
      <c r="B79" s="1005"/>
      <c r="C79" s="780"/>
      <c r="D79" s="771"/>
      <c r="E79" s="1006"/>
      <c r="F79" s="781"/>
      <c r="G79" s="782"/>
      <c r="H79" s="772"/>
      <c r="I79" s="1008"/>
      <c r="J79" s="779"/>
      <c r="K79" s="909"/>
      <c r="L79" s="505"/>
      <c r="O79" s="14"/>
      <c r="P79" s="542"/>
      <c r="S79" s="549"/>
      <c r="T79" s="549"/>
    </row>
    <row r="80" spans="2:20">
      <c r="B80" s="1005"/>
      <c r="C80" s="780"/>
      <c r="D80" s="771"/>
      <c r="E80" s="1006"/>
      <c r="F80" s="781"/>
      <c r="G80" s="782"/>
      <c r="H80" s="772"/>
      <c r="I80" s="1008"/>
      <c r="J80" s="779"/>
      <c r="K80" s="909"/>
      <c r="L80" s="505"/>
      <c r="O80" s="14"/>
      <c r="P80" s="542"/>
      <c r="S80" s="549"/>
      <c r="T80" s="549"/>
    </row>
    <row r="81" spans="2:20">
      <c r="B81" s="1005"/>
      <c r="C81" s="1005"/>
      <c r="D81" s="771"/>
      <c r="E81" s="1006"/>
      <c r="F81" s="781"/>
      <c r="G81" s="782"/>
      <c r="H81" s="772"/>
      <c r="I81" s="1008"/>
      <c r="J81" s="779"/>
      <c r="K81" s="909"/>
      <c r="L81" s="505"/>
      <c r="O81" s="14"/>
      <c r="P81" s="542"/>
      <c r="Q81" s="549"/>
      <c r="S81" s="549"/>
      <c r="T81" s="549"/>
    </row>
    <row r="82" spans="2:20">
      <c r="B82" s="1005"/>
      <c r="C82" s="780"/>
      <c r="D82" s="771"/>
      <c r="E82" s="1006"/>
      <c r="F82" s="781"/>
      <c r="G82" s="782"/>
      <c r="H82" s="772"/>
      <c r="I82" s="1008"/>
      <c r="J82" s="779"/>
      <c r="K82" s="909"/>
      <c r="L82" s="505"/>
      <c r="O82" s="14"/>
      <c r="P82" s="542"/>
      <c r="S82" s="549"/>
      <c r="T82" s="549"/>
    </row>
    <row r="83" spans="2:20">
      <c r="B83" s="1017"/>
      <c r="C83" s="783"/>
      <c r="D83" s="784"/>
      <c r="E83" s="1018"/>
      <c r="F83" s="785"/>
      <c r="G83" s="786"/>
      <c r="H83" s="787"/>
      <c r="I83" s="1019"/>
      <c r="J83" s="788"/>
      <c r="K83" s="1020"/>
      <c r="L83" s="701"/>
      <c r="O83" s="14"/>
      <c r="P83" s="542"/>
      <c r="S83" s="549"/>
      <c r="T83" s="549"/>
    </row>
    <row r="84" spans="2:20">
      <c r="B84" s="1005"/>
      <c r="C84" s="780"/>
      <c r="D84" s="771"/>
      <c r="E84" s="1006"/>
      <c r="F84" s="781"/>
      <c r="G84" s="789"/>
      <c r="H84" s="772"/>
      <c r="I84" s="1008"/>
      <c r="J84" s="779"/>
      <c r="K84" s="909"/>
      <c r="L84" s="505"/>
      <c r="O84" s="14"/>
      <c r="P84" s="542"/>
      <c r="S84" s="549"/>
      <c r="T84" s="549"/>
    </row>
    <row r="85" spans="2:20">
      <c r="B85" s="1005"/>
      <c r="C85" s="780"/>
      <c r="D85" s="771"/>
      <c r="E85" s="1006"/>
      <c r="F85" s="781"/>
      <c r="G85" s="789"/>
      <c r="H85" s="772"/>
      <c r="I85" s="1008"/>
      <c r="J85" s="779"/>
      <c r="K85" s="909"/>
      <c r="L85" s="505"/>
      <c r="O85" s="14"/>
      <c r="P85" s="542"/>
      <c r="S85" s="549"/>
      <c r="T85" s="549"/>
    </row>
    <row r="86" spans="2:20">
      <c r="B86" s="1005"/>
      <c r="C86" s="780"/>
      <c r="D86" s="771"/>
      <c r="E86" s="1006"/>
      <c r="F86" s="781"/>
      <c r="G86" s="789"/>
      <c r="H86" s="772"/>
      <c r="I86" s="1008"/>
      <c r="J86" s="779"/>
      <c r="K86" s="905"/>
      <c r="L86" s="501"/>
      <c r="O86" s="14"/>
      <c r="P86" s="542"/>
      <c r="S86" s="549"/>
      <c r="T86" s="549"/>
    </row>
    <row r="87" spans="2:20">
      <c r="B87" s="1005"/>
      <c r="C87" s="780"/>
      <c r="D87" s="771"/>
      <c r="E87" s="1006"/>
      <c r="F87" s="781"/>
      <c r="G87" s="790"/>
      <c r="H87" s="791"/>
      <c r="I87" s="1008"/>
      <c r="J87" s="779"/>
      <c r="K87" s="905"/>
      <c r="L87" s="501"/>
      <c r="O87" s="14"/>
      <c r="P87" s="905"/>
      <c r="S87" s="549"/>
      <c r="T87" s="549"/>
    </row>
    <row r="88" spans="2:20">
      <c r="B88" s="1005"/>
      <c r="C88" s="780"/>
      <c r="D88" s="771"/>
      <c r="E88" s="1006"/>
      <c r="F88" s="781"/>
      <c r="G88" s="790"/>
      <c r="H88" s="772"/>
      <c r="I88" s="1008"/>
      <c r="J88" s="779"/>
      <c r="K88" s="905"/>
      <c r="L88" s="501"/>
      <c r="O88" s="14"/>
      <c r="P88" s="550"/>
    </row>
    <row r="89" spans="2:20">
      <c r="B89" s="1017"/>
      <c r="C89" s="783"/>
      <c r="D89" s="784"/>
      <c r="E89" s="1018"/>
      <c r="F89" s="785"/>
      <c r="G89" s="792"/>
      <c r="H89" s="787"/>
      <c r="I89" s="1019"/>
      <c r="J89" s="904"/>
      <c r="K89" s="904"/>
      <c r="L89" s="500"/>
      <c r="O89" s="14"/>
      <c r="P89" s="550"/>
    </row>
    <row r="90" spans="2:20">
      <c r="B90" s="1005"/>
      <c r="C90" s="780"/>
      <c r="D90" s="771"/>
      <c r="E90" s="1006"/>
      <c r="F90" s="781"/>
      <c r="G90" s="790"/>
      <c r="H90" s="772"/>
      <c r="I90" s="1008"/>
      <c r="J90" s="779"/>
      <c r="K90" s="905"/>
      <c r="L90" s="501"/>
      <c r="O90" s="14"/>
      <c r="P90" s="550"/>
    </row>
    <row r="91" spans="2:20">
      <c r="B91" s="1005"/>
      <c r="C91" s="780"/>
      <c r="D91" s="771"/>
      <c r="E91" s="1006"/>
      <c r="F91" s="781"/>
      <c r="G91" s="790"/>
      <c r="H91" s="772"/>
      <c r="I91" s="1008"/>
      <c r="J91" s="779"/>
      <c r="K91" s="905"/>
      <c r="L91" s="501"/>
      <c r="O91" s="14"/>
      <c r="P91" s="550"/>
      <c r="S91" s="546"/>
    </row>
    <row r="92" spans="2:20">
      <c r="B92" s="1344"/>
      <c r="C92" s="1344"/>
      <c r="D92" s="1345"/>
      <c r="E92" s="1346"/>
      <c r="F92" s="1344"/>
      <c r="G92" s="1347">
        <f>G78</f>
        <v>0</v>
      </c>
      <c r="H92" s="1347">
        <f>+H78</f>
        <v>0</v>
      </c>
      <c r="I92" s="1344"/>
      <c r="J92" s="1348">
        <f>SUM(J74:J91)</f>
        <v>0</v>
      </c>
      <c r="K92" s="1348">
        <f>SUM(K74:K81)</f>
        <v>0</v>
      </c>
      <c r="L92" s="702"/>
      <c r="O92" s="14"/>
      <c r="P92" s="542"/>
    </row>
    <row r="100" spans="2:16">
      <c r="B100" s="539" t="s">
        <v>320</v>
      </c>
      <c r="C100" s="468"/>
      <c r="D100" s="468"/>
      <c r="E100" s="468"/>
      <c r="G100" s="541"/>
      <c r="H100" s="541"/>
      <c r="I100" s="541"/>
      <c r="J100" s="468"/>
      <c r="K100" s="468"/>
      <c r="L100" s="468"/>
      <c r="O100" s="14"/>
      <c r="P100" s="542"/>
    </row>
    <row r="101" spans="2:16" ht="38.25">
      <c r="B101" s="1337" t="s">
        <v>296</v>
      </c>
      <c r="C101" s="1337" t="s">
        <v>297</v>
      </c>
      <c r="D101" s="1337" t="s">
        <v>298</v>
      </c>
      <c r="E101" s="1338" t="s">
        <v>268</v>
      </c>
      <c r="F101" s="1337" t="s">
        <v>299</v>
      </c>
      <c r="G101" s="1337" t="s">
        <v>300</v>
      </c>
      <c r="H101" s="1337" t="s">
        <v>301</v>
      </c>
      <c r="I101" s="1337" t="s">
        <v>302</v>
      </c>
      <c r="J101" s="1337" t="s">
        <v>303</v>
      </c>
      <c r="K101" s="1337" t="s">
        <v>304</v>
      </c>
      <c r="L101" s="1338" t="s">
        <v>305</v>
      </c>
      <c r="M101" s="1338" t="s">
        <v>306</v>
      </c>
      <c r="O101" s="14"/>
      <c r="P101" s="542"/>
    </row>
    <row r="102" spans="2:16">
      <c r="B102" s="1339"/>
      <c r="C102" s="1339"/>
      <c r="D102" s="1340"/>
      <c r="E102" s="1341"/>
      <c r="F102" s="1340"/>
      <c r="G102" s="1340"/>
      <c r="H102" s="1340"/>
      <c r="I102" s="1341"/>
      <c r="J102" s="1341"/>
      <c r="K102" s="1342"/>
      <c r="L102" s="1342"/>
      <c r="M102" s="1343"/>
      <c r="O102" s="14"/>
      <c r="P102" s="542"/>
    </row>
    <row r="103" spans="2:16">
      <c r="B103" s="1005">
        <v>46006</v>
      </c>
      <c r="C103" s="1005">
        <v>46022</v>
      </c>
      <c r="D103" s="771">
        <f>C103-B103</f>
        <v>16</v>
      </c>
      <c r="E103" s="1006">
        <v>360</v>
      </c>
      <c r="F103" s="1005" t="s">
        <v>307</v>
      </c>
      <c r="G103" s="1007">
        <v>57750000</v>
      </c>
      <c r="H103" s="772">
        <f>H102+G103</f>
        <v>57750000</v>
      </c>
      <c r="I103" s="1008">
        <v>1.7999999999999999E-2</v>
      </c>
      <c r="J103" s="1009">
        <v>2.1819999999999999E-2</v>
      </c>
      <c r="K103" s="773">
        <f>ROUND((D103*(I103+J103)*H103)/E103,2)</f>
        <v>102204.67</v>
      </c>
      <c r="L103" s="773"/>
      <c r="M103" s="909">
        <f>K103+L103</f>
        <v>102204.67</v>
      </c>
      <c r="O103" s="14"/>
      <c r="P103" s="542"/>
    </row>
    <row r="104" spans="2:16">
      <c r="B104" s="1005"/>
      <c r="C104" s="1005"/>
      <c r="D104" s="771"/>
      <c r="E104" s="1006"/>
      <c r="F104" s="1005"/>
      <c r="G104" s="1007"/>
      <c r="H104" s="772"/>
      <c r="I104" s="1008"/>
      <c r="J104" s="1009"/>
      <c r="K104" s="773"/>
      <c r="L104" s="773"/>
      <c r="M104" s="909"/>
      <c r="O104" s="14"/>
      <c r="P104" s="542"/>
    </row>
    <row r="105" spans="2:16" s="543" customFormat="1">
      <c r="B105" s="1010"/>
      <c r="C105" s="1010"/>
      <c r="D105" s="774"/>
      <c r="E105" s="1011"/>
      <c r="F105" s="1010"/>
      <c r="G105" s="1012"/>
      <c r="H105" s="775"/>
      <c r="I105" s="1013"/>
      <c r="J105" s="1014"/>
      <c r="K105" s="776"/>
      <c r="L105" s="776"/>
      <c r="M105" s="1015"/>
      <c r="O105" s="544"/>
      <c r="P105" s="545"/>
    </row>
    <row r="106" spans="2:16">
      <c r="B106" s="1005"/>
      <c r="C106" s="1005"/>
      <c r="D106" s="771"/>
      <c r="E106" s="1006"/>
      <c r="F106" s="1005"/>
      <c r="G106" s="1007"/>
      <c r="H106" s="772"/>
      <c r="I106" s="1008"/>
      <c r="J106" s="1009"/>
      <c r="K106" s="773"/>
      <c r="L106" s="773"/>
      <c r="M106" s="909"/>
      <c r="O106" s="14"/>
      <c r="P106" s="542"/>
    </row>
    <row r="107" spans="2:16">
      <c r="B107" s="1005"/>
      <c r="C107" s="1005"/>
      <c r="D107" s="771"/>
      <c r="E107" s="1006"/>
      <c r="F107" s="1005"/>
      <c r="G107" s="1007"/>
      <c r="H107" s="772"/>
      <c r="I107" s="1008"/>
      <c r="J107" s="1009"/>
      <c r="K107" s="773"/>
      <c r="L107" s="773"/>
      <c r="M107" s="909"/>
      <c r="O107" s="14"/>
      <c r="P107" s="542"/>
    </row>
    <row r="108" spans="2:16" s="543" customFormat="1">
      <c r="B108" s="1010"/>
      <c r="C108" s="1010"/>
      <c r="D108" s="774"/>
      <c r="E108" s="1011"/>
      <c r="F108" s="1010"/>
      <c r="G108" s="1012"/>
      <c r="H108" s="775"/>
      <c r="I108" s="1013"/>
      <c r="J108" s="1014"/>
      <c r="K108" s="776"/>
      <c r="L108" s="776"/>
      <c r="M108" s="1015"/>
      <c r="O108" s="544"/>
      <c r="P108" s="545"/>
    </row>
    <row r="109" spans="2:16">
      <c r="B109" s="1005"/>
      <c r="C109" s="1005"/>
      <c r="D109" s="771"/>
      <c r="E109" s="1006"/>
      <c r="F109" s="1005"/>
      <c r="G109" s="1007"/>
      <c r="H109" s="772"/>
      <c r="I109" s="1008"/>
      <c r="J109" s="1009"/>
      <c r="K109" s="773"/>
      <c r="L109" s="773"/>
      <c r="M109" s="909"/>
      <c r="O109" s="14"/>
      <c r="P109" s="542"/>
    </row>
    <row r="110" spans="2:16">
      <c r="B110" s="1005"/>
      <c r="C110" s="1005"/>
      <c r="D110" s="771"/>
      <c r="E110" s="1006"/>
      <c r="F110" s="1005"/>
      <c r="G110" s="1007"/>
      <c r="H110" s="772"/>
      <c r="I110" s="1008"/>
      <c r="J110" s="1009"/>
      <c r="K110" s="773"/>
      <c r="L110" s="773"/>
      <c r="M110" s="909"/>
      <c r="O110" s="14"/>
      <c r="P110" s="542"/>
    </row>
    <row r="111" spans="2:16" s="543" customFormat="1">
      <c r="B111" s="1010"/>
      <c r="C111" s="1010"/>
      <c r="D111" s="774"/>
      <c r="E111" s="1011"/>
      <c r="F111" s="1010"/>
      <c r="G111" s="1012"/>
      <c r="H111" s="775"/>
      <c r="I111" s="1013"/>
      <c r="J111" s="1014"/>
      <c r="K111" s="776"/>
      <c r="L111" s="776"/>
      <c r="M111" s="1015"/>
      <c r="O111" s="544"/>
      <c r="P111" s="545"/>
    </row>
    <row r="112" spans="2:16">
      <c r="B112" s="1005"/>
      <c r="C112" s="1005"/>
      <c r="D112" s="771"/>
      <c r="E112" s="1006"/>
      <c r="F112" s="1005"/>
      <c r="G112" s="777"/>
      <c r="H112" s="772"/>
      <c r="I112" s="1008"/>
      <c r="J112" s="1008"/>
      <c r="K112" s="773"/>
      <c r="L112" s="773"/>
      <c r="M112" s="909"/>
      <c r="O112" s="14"/>
      <c r="P112" s="542"/>
    </row>
    <row r="113" spans="2:20">
      <c r="B113" s="1344"/>
      <c r="C113" s="1344"/>
      <c r="D113" s="1345"/>
      <c r="E113" s="1346"/>
      <c r="F113" s="1344"/>
      <c r="G113" s="1347">
        <f>SUM(G102:G112)</f>
        <v>57750000</v>
      </c>
      <c r="H113" s="1347"/>
      <c r="I113" s="1344"/>
      <c r="J113" s="1344"/>
      <c r="K113" s="1348">
        <f>SUM(K103:K112)</f>
        <v>102204.67</v>
      </c>
      <c r="L113" s="1348"/>
      <c r="M113" s="1348">
        <f>SUM(M103:M112)</f>
        <v>102204.67</v>
      </c>
      <c r="O113" s="14"/>
      <c r="P113" s="542"/>
    </row>
    <row r="114" spans="2:20">
      <c r="C114" s="468"/>
      <c r="D114" s="468"/>
      <c r="G114" s="468"/>
      <c r="H114" s="468"/>
      <c r="J114" s="468"/>
      <c r="K114" s="468"/>
      <c r="L114" s="468"/>
      <c r="O114" s="14"/>
      <c r="P114" s="542"/>
    </row>
    <row r="115" spans="2:20">
      <c r="B115" s="540" t="s">
        <v>309</v>
      </c>
      <c r="D115" s="733" t="s">
        <v>321</v>
      </c>
      <c r="G115" s="468"/>
      <c r="H115" s="468"/>
      <c r="J115" s="468"/>
      <c r="K115" s="468"/>
      <c r="L115" s="468"/>
      <c r="O115" s="14"/>
      <c r="P115" s="542"/>
    </row>
    <row r="116" spans="2:20">
      <c r="B116" s="540" t="s">
        <v>322</v>
      </c>
      <c r="D116" s="734">
        <v>1258394.96</v>
      </c>
      <c r="G116" s="468"/>
      <c r="H116" s="468"/>
      <c r="J116" s="468"/>
      <c r="K116" s="468"/>
      <c r="L116" s="468"/>
      <c r="O116" s="14"/>
      <c r="P116" s="542"/>
    </row>
    <row r="117" spans="2:20">
      <c r="B117" s="540" t="s">
        <v>311</v>
      </c>
      <c r="D117" s="735">
        <v>1.7999999999999999E-2</v>
      </c>
      <c r="G117" s="468"/>
      <c r="H117" s="468"/>
      <c r="J117" s="468"/>
      <c r="K117" s="468"/>
      <c r="L117" s="468"/>
      <c r="O117" s="14"/>
      <c r="P117" s="542"/>
    </row>
    <row r="118" spans="2:20">
      <c r="B118" s="540" t="s">
        <v>312</v>
      </c>
      <c r="D118" s="734">
        <v>57750000</v>
      </c>
    </row>
    <row r="119" spans="2:20">
      <c r="B119" s="539" t="s">
        <v>323</v>
      </c>
      <c r="D119" s="468"/>
      <c r="E119" s="468"/>
      <c r="G119" s="541"/>
      <c r="H119" s="541"/>
      <c r="I119" s="541"/>
      <c r="J119" s="468"/>
      <c r="K119" s="468"/>
      <c r="L119" s="468"/>
      <c r="O119" s="14"/>
      <c r="P119" s="542"/>
    </row>
    <row r="120" spans="2:20" ht="38.25">
      <c r="B120" s="1337" t="s">
        <v>296</v>
      </c>
      <c r="C120" s="1337" t="s">
        <v>297</v>
      </c>
      <c r="D120" s="1337" t="s">
        <v>298</v>
      </c>
      <c r="E120" s="1338" t="s">
        <v>268</v>
      </c>
      <c r="F120" s="1337" t="s">
        <v>299</v>
      </c>
      <c r="G120" s="1337" t="s">
        <v>300</v>
      </c>
      <c r="H120" s="1337" t="s">
        <v>301</v>
      </c>
      <c r="I120" s="1337" t="s">
        <v>314</v>
      </c>
      <c r="J120" s="1337" t="s">
        <v>304</v>
      </c>
      <c r="K120" s="1338" t="s">
        <v>306</v>
      </c>
      <c r="L120" s="699"/>
      <c r="O120" s="14"/>
      <c r="P120" s="542"/>
    </row>
    <row r="121" spans="2:20">
      <c r="B121" s="1341"/>
      <c r="C121" s="1341"/>
      <c r="D121" s="1340"/>
      <c r="E121" s="1341"/>
      <c r="F121" s="1340"/>
      <c r="G121" s="1340"/>
      <c r="H121" s="1340"/>
      <c r="I121" s="1341"/>
      <c r="J121" s="1342"/>
      <c r="K121" s="1343"/>
      <c r="L121" s="700"/>
      <c r="O121" s="14"/>
      <c r="P121" s="542"/>
    </row>
    <row r="122" spans="2:20">
      <c r="B122" s="1005">
        <v>46006</v>
      </c>
      <c r="C122" s="1005">
        <v>46022</v>
      </c>
      <c r="D122" s="771">
        <f>C122-B122</f>
        <v>16</v>
      </c>
      <c r="E122" s="1006">
        <v>360</v>
      </c>
      <c r="F122" s="778" t="s">
        <v>315</v>
      </c>
      <c r="G122" s="772">
        <f>D118-G113</f>
        <v>0</v>
      </c>
      <c r="H122" s="772">
        <f>G122+H121</f>
        <v>0</v>
      </c>
      <c r="I122" s="1008">
        <v>3.0000000000000001E-3</v>
      </c>
      <c r="J122" s="779">
        <f>ROUND((D122*(I122)*H122)/E122,2)</f>
        <v>0</v>
      </c>
      <c r="K122" s="905"/>
      <c r="L122" s="501"/>
      <c r="O122" s="14"/>
      <c r="P122" s="542"/>
    </row>
    <row r="123" spans="2:20">
      <c r="B123" s="1005"/>
      <c r="C123" s="780"/>
      <c r="D123" s="771"/>
      <c r="E123" s="1006"/>
      <c r="F123" s="1005"/>
      <c r="G123" s="547"/>
      <c r="H123" s="772"/>
      <c r="I123" s="1008"/>
      <c r="J123" s="779"/>
      <c r="K123" s="905"/>
      <c r="L123" s="501"/>
      <c r="O123" s="14"/>
      <c r="P123" s="548"/>
    </row>
    <row r="124" spans="2:20">
      <c r="B124" s="1005"/>
      <c r="C124" s="780"/>
      <c r="D124" s="771"/>
      <c r="E124" s="1006"/>
      <c r="F124" s="781"/>
      <c r="G124" s="1007"/>
      <c r="H124" s="772"/>
      <c r="I124" s="1008"/>
      <c r="J124" s="779"/>
      <c r="K124" s="905"/>
      <c r="L124" s="501"/>
      <c r="O124" s="14"/>
      <c r="P124" s="542"/>
      <c r="S124" s="549"/>
      <c r="T124" s="549"/>
    </row>
    <row r="125" spans="2:20">
      <c r="B125" s="1005"/>
      <c r="C125" s="780"/>
      <c r="D125" s="771"/>
      <c r="E125" s="1006"/>
      <c r="F125" s="781"/>
      <c r="G125" s="1007"/>
      <c r="H125" s="772"/>
      <c r="I125" s="1008"/>
      <c r="J125" s="779"/>
      <c r="K125" s="909"/>
      <c r="L125" s="505"/>
      <c r="O125" s="14"/>
      <c r="P125" s="542"/>
      <c r="S125" s="549"/>
      <c r="T125" s="549"/>
    </row>
    <row r="126" spans="2:20">
      <c r="B126" s="1005"/>
      <c r="C126" s="780"/>
      <c r="D126" s="771"/>
      <c r="E126" s="1006"/>
      <c r="F126" s="778"/>
      <c r="G126" s="1016"/>
      <c r="H126" s="772"/>
      <c r="I126" s="1008"/>
      <c r="J126" s="779"/>
      <c r="K126" s="909"/>
      <c r="L126" s="505"/>
      <c r="O126" s="14"/>
      <c r="P126" s="542"/>
      <c r="S126" s="549"/>
      <c r="T126" s="549"/>
    </row>
    <row r="127" spans="2:20">
      <c r="B127" s="1005"/>
      <c r="C127" s="780"/>
      <c r="D127" s="771"/>
      <c r="E127" s="1006"/>
      <c r="F127" s="781"/>
      <c r="G127" s="782"/>
      <c r="H127" s="772"/>
      <c r="I127" s="1008"/>
      <c r="J127" s="779"/>
      <c r="K127" s="909"/>
      <c r="L127" s="505"/>
      <c r="O127" s="14"/>
      <c r="P127" s="542"/>
      <c r="S127" s="549"/>
      <c r="T127" s="549"/>
    </row>
    <row r="128" spans="2:20">
      <c r="B128" s="1005"/>
      <c r="C128" s="780"/>
      <c r="D128" s="771"/>
      <c r="E128" s="1006"/>
      <c r="F128" s="781"/>
      <c r="G128" s="789"/>
      <c r="H128" s="772"/>
      <c r="I128" s="1008"/>
      <c r="J128" s="779"/>
      <c r="K128" s="909"/>
      <c r="L128" s="505"/>
      <c r="O128" s="14"/>
      <c r="P128" s="542"/>
      <c r="S128" s="549"/>
      <c r="T128" s="549"/>
    </row>
    <row r="129" spans="2:20">
      <c r="B129" s="1005"/>
      <c r="C129" s="780"/>
      <c r="D129" s="771"/>
      <c r="E129" s="1006"/>
      <c r="F129" s="781"/>
      <c r="G129" s="789"/>
      <c r="H129" s="772"/>
      <c r="I129" s="1008"/>
      <c r="J129" s="779"/>
      <c r="K129" s="905"/>
      <c r="L129" s="501"/>
      <c r="O129" s="14"/>
      <c r="P129" s="542"/>
      <c r="S129" s="549"/>
      <c r="T129" s="549"/>
    </row>
    <row r="130" spans="2:20">
      <c r="B130" s="1005"/>
      <c r="C130" s="780"/>
      <c r="D130" s="771"/>
      <c r="E130" s="1006"/>
      <c r="F130" s="781"/>
      <c r="G130" s="790"/>
      <c r="H130" s="791"/>
      <c r="I130" s="1008"/>
      <c r="J130" s="779"/>
      <c r="K130" s="905"/>
      <c r="L130" s="501"/>
      <c r="O130" s="14"/>
      <c r="P130" s="905"/>
      <c r="S130" s="549"/>
      <c r="T130" s="549"/>
    </row>
    <row r="131" spans="2:20">
      <c r="B131" s="1005"/>
      <c r="C131" s="780"/>
      <c r="D131" s="771"/>
      <c r="E131" s="1006"/>
      <c r="F131" s="781"/>
      <c r="G131" s="790"/>
      <c r="H131" s="772"/>
      <c r="I131" s="1008"/>
      <c r="J131" s="779"/>
      <c r="K131" s="905"/>
      <c r="L131" s="501"/>
      <c r="O131" s="14"/>
      <c r="P131" s="550"/>
    </row>
    <row r="132" spans="2:20">
      <c r="B132" s="1017"/>
      <c r="C132" s="783"/>
      <c r="D132" s="784"/>
      <c r="E132" s="1018"/>
      <c r="F132" s="785"/>
      <c r="G132" s="792"/>
      <c r="H132" s="787"/>
      <c r="I132" s="1019"/>
      <c r="J132" s="904"/>
      <c r="K132" s="904"/>
      <c r="L132" s="500"/>
      <c r="O132" s="14"/>
      <c r="P132" s="550"/>
    </row>
    <row r="133" spans="2:20">
      <c r="B133" s="1005"/>
      <c r="C133" s="780"/>
      <c r="D133" s="771"/>
      <c r="E133" s="1006"/>
      <c r="F133" s="781"/>
      <c r="G133" s="790"/>
      <c r="H133" s="772"/>
      <c r="I133" s="1008"/>
      <c r="J133" s="779"/>
      <c r="K133" s="905"/>
      <c r="L133" s="501"/>
      <c r="O133" s="14"/>
      <c r="P133" s="550"/>
    </row>
    <row r="134" spans="2:20">
      <c r="B134" s="1005"/>
      <c r="C134" s="780"/>
      <c r="D134" s="771"/>
      <c r="E134" s="1006"/>
      <c r="F134" s="781"/>
      <c r="G134" s="790"/>
      <c r="H134" s="772"/>
      <c r="I134" s="1008"/>
      <c r="J134" s="779"/>
      <c r="K134" s="905"/>
      <c r="L134" s="501"/>
      <c r="O134" s="14"/>
      <c r="P134" s="550"/>
      <c r="S134" s="546"/>
    </row>
    <row r="135" spans="2:20">
      <c r="B135" s="1344"/>
      <c r="C135" s="1344"/>
      <c r="D135" s="1345"/>
      <c r="E135" s="1346"/>
      <c r="F135" s="1344"/>
      <c r="G135" s="1347">
        <f>G126</f>
        <v>0</v>
      </c>
      <c r="H135" s="1347">
        <f>+H126</f>
        <v>0</v>
      </c>
      <c r="I135" s="1344"/>
      <c r="J135" s="1348">
        <f>SUM(J122:J134)</f>
        <v>0</v>
      </c>
      <c r="K135" s="1348">
        <f>SUM(K122:K127)</f>
        <v>0</v>
      </c>
      <c r="L135" s="702"/>
      <c r="O135" s="14"/>
      <c r="P135" s="542"/>
    </row>
    <row r="141" spans="2:20">
      <c r="B141" s="539" t="s">
        <v>324</v>
      </c>
      <c r="C141" s="468"/>
      <c r="D141" s="468"/>
      <c r="E141" s="468"/>
      <c r="G141" s="541"/>
      <c r="H141" s="541"/>
      <c r="I141" s="541"/>
      <c r="J141" s="468"/>
      <c r="K141" s="468"/>
      <c r="L141" s="468"/>
      <c r="O141" s="14"/>
      <c r="P141" s="542"/>
    </row>
    <row r="142" spans="2:20" ht="38.25">
      <c r="B142" s="1337" t="s">
        <v>296</v>
      </c>
      <c r="C142" s="1337" t="s">
        <v>297</v>
      </c>
      <c r="D142" s="1337" t="s">
        <v>298</v>
      </c>
      <c r="E142" s="1338" t="s">
        <v>268</v>
      </c>
      <c r="F142" s="1337" t="s">
        <v>299</v>
      </c>
      <c r="G142" s="1337" t="s">
        <v>300</v>
      </c>
      <c r="H142" s="1337" t="s">
        <v>301</v>
      </c>
      <c r="I142" s="1337" t="s">
        <v>302</v>
      </c>
      <c r="J142" s="1337" t="s">
        <v>303</v>
      </c>
      <c r="K142" s="1337" t="s">
        <v>304</v>
      </c>
      <c r="L142" s="1338" t="s">
        <v>305</v>
      </c>
      <c r="M142" s="1338" t="s">
        <v>306</v>
      </c>
      <c r="O142" s="14"/>
      <c r="P142" s="542"/>
    </row>
    <row r="143" spans="2:20">
      <c r="B143" s="1339"/>
      <c r="C143" s="1339"/>
      <c r="D143" s="1340"/>
      <c r="E143" s="1341"/>
      <c r="F143" s="1340"/>
      <c r="G143" s="1340"/>
      <c r="H143" s="1340"/>
      <c r="I143" s="1341"/>
      <c r="J143" s="1341"/>
      <c r="K143" s="1342"/>
      <c r="L143" s="1342"/>
      <c r="M143" s="1343"/>
      <c r="O143" s="14"/>
      <c r="P143" s="542"/>
    </row>
    <row r="144" spans="2:20">
      <c r="B144" s="1005">
        <v>46006</v>
      </c>
      <c r="C144" s="1005">
        <v>46022</v>
      </c>
      <c r="D144" s="771">
        <f>C144-B144</f>
        <v>16</v>
      </c>
      <c r="E144" s="1006">
        <v>360</v>
      </c>
      <c r="F144" s="1005" t="s">
        <v>307</v>
      </c>
      <c r="G144" s="1007">
        <v>6000000</v>
      </c>
      <c r="H144" s="772">
        <f>H143+G144</f>
        <v>6000000</v>
      </c>
      <c r="I144" s="1008">
        <v>1.7999999999999999E-2</v>
      </c>
      <c r="J144" s="1009">
        <v>2.1000000000000001E-2</v>
      </c>
      <c r="K144" s="773">
        <f>ROUND((D144*(I144+J144)*H144)/E144,2)</f>
        <v>10400</v>
      </c>
      <c r="L144" s="773"/>
      <c r="M144" s="909">
        <f>K144+L144</f>
        <v>10400</v>
      </c>
      <c r="O144" s="14"/>
      <c r="P144" s="542"/>
    </row>
    <row r="145" spans="2:16">
      <c r="B145" s="1005"/>
      <c r="C145" s="1005"/>
      <c r="D145" s="771"/>
      <c r="E145" s="1006"/>
      <c r="F145" s="1005"/>
      <c r="G145" s="1007"/>
      <c r="H145" s="772"/>
      <c r="I145" s="1008"/>
      <c r="J145" s="1009"/>
      <c r="K145" s="773"/>
      <c r="L145" s="773"/>
      <c r="M145" s="909"/>
      <c r="O145" s="14"/>
      <c r="P145" s="542"/>
    </row>
    <row r="146" spans="2:16" s="543" customFormat="1">
      <c r="B146" s="1010"/>
      <c r="C146" s="1010"/>
      <c r="D146" s="774"/>
      <c r="E146" s="1011"/>
      <c r="F146" s="1010"/>
      <c r="G146" s="1012"/>
      <c r="H146" s="775"/>
      <c r="I146" s="1013"/>
      <c r="J146" s="1014"/>
      <c r="K146" s="776"/>
      <c r="L146" s="776"/>
      <c r="M146" s="1015"/>
      <c r="O146" s="544"/>
      <c r="P146" s="545"/>
    </row>
    <row r="147" spans="2:16">
      <c r="B147" s="1005"/>
      <c r="C147" s="1005"/>
      <c r="D147" s="771"/>
      <c r="E147" s="1006"/>
      <c r="F147" s="1005"/>
      <c r="G147" s="1007"/>
      <c r="H147" s="772"/>
      <c r="I147" s="1008"/>
      <c r="J147" s="1009"/>
      <c r="K147" s="773"/>
      <c r="L147" s="773"/>
      <c r="M147" s="909"/>
      <c r="O147" s="14"/>
      <c r="P147" s="542"/>
    </row>
    <row r="148" spans="2:16">
      <c r="B148" s="1005"/>
      <c r="C148" s="1005"/>
      <c r="D148" s="771"/>
      <c r="E148" s="1006"/>
      <c r="F148" s="1005"/>
      <c r="G148" s="1007"/>
      <c r="H148" s="772"/>
      <c r="I148" s="1008"/>
      <c r="J148" s="1009"/>
      <c r="K148" s="773"/>
      <c r="L148" s="773"/>
      <c r="M148" s="909"/>
      <c r="O148" s="14"/>
      <c r="P148" s="542"/>
    </row>
    <row r="149" spans="2:16" s="543" customFormat="1">
      <c r="B149" s="1010"/>
      <c r="C149" s="1010"/>
      <c r="D149" s="774"/>
      <c r="E149" s="1011"/>
      <c r="F149" s="1010"/>
      <c r="G149" s="1012"/>
      <c r="H149" s="775"/>
      <c r="I149" s="1013"/>
      <c r="J149" s="1014"/>
      <c r="K149" s="776"/>
      <c r="L149" s="776"/>
      <c r="M149" s="1015"/>
      <c r="O149" s="544"/>
      <c r="P149" s="545"/>
    </row>
    <row r="150" spans="2:16">
      <c r="B150" s="1005"/>
      <c r="C150" s="1005"/>
      <c r="D150" s="771"/>
      <c r="E150" s="1006"/>
      <c r="F150" s="1005"/>
      <c r="G150" s="1007"/>
      <c r="H150" s="772"/>
      <c r="I150" s="1008"/>
      <c r="J150" s="1009"/>
      <c r="K150" s="773"/>
      <c r="L150" s="773"/>
      <c r="M150" s="909"/>
      <c r="O150" s="14"/>
      <c r="P150" s="542"/>
    </row>
    <row r="151" spans="2:16">
      <c r="B151" s="1005"/>
      <c r="C151" s="1005"/>
      <c r="D151" s="771"/>
      <c r="E151" s="1006"/>
      <c r="F151" s="1005"/>
      <c r="G151" s="1007"/>
      <c r="H151" s="772"/>
      <c r="I151" s="1008"/>
      <c r="J151" s="1009"/>
      <c r="K151" s="773"/>
      <c r="L151" s="773"/>
      <c r="M151" s="909"/>
      <c r="O151" s="14"/>
      <c r="P151" s="542"/>
    </row>
    <row r="152" spans="2:16" s="543" customFormat="1">
      <c r="B152" s="1010"/>
      <c r="C152" s="1010"/>
      <c r="D152" s="774"/>
      <c r="E152" s="1011"/>
      <c r="F152" s="1010"/>
      <c r="G152" s="1012"/>
      <c r="H152" s="775"/>
      <c r="I152" s="1013"/>
      <c r="J152" s="1014"/>
      <c r="K152" s="776"/>
      <c r="L152" s="776"/>
      <c r="M152" s="1015"/>
      <c r="O152" s="544"/>
      <c r="P152" s="545"/>
    </row>
    <row r="153" spans="2:16">
      <c r="B153" s="1005"/>
      <c r="C153" s="1005"/>
      <c r="D153" s="771"/>
      <c r="E153" s="1006"/>
      <c r="F153" s="1005"/>
      <c r="G153" s="777"/>
      <c r="H153" s="772"/>
      <c r="I153" s="1008"/>
      <c r="J153" s="1008"/>
      <c r="K153" s="773"/>
      <c r="L153" s="773"/>
      <c r="M153" s="909"/>
      <c r="O153" s="14"/>
      <c r="P153" s="542"/>
    </row>
    <row r="154" spans="2:16">
      <c r="B154" s="1344"/>
      <c r="C154" s="1344"/>
      <c r="D154" s="1345"/>
      <c r="E154" s="1346"/>
      <c r="F154" s="1344"/>
      <c r="G154" s="1347">
        <f>SUM(G143:G153)</f>
        <v>6000000</v>
      </c>
      <c r="H154" s="1347"/>
      <c r="I154" s="1344"/>
      <c r="J154" s="1344"/>
      <c r="K154" s="1348">
        <f>SUM(K144:K153)</f>
        <v>10400</v>
      </c>
      <c r="L154" s="1348"/>
      <c r="M154" s="1348">
        <f>SUM(M144:M153)</f>
        <v>10400</v>
      </c>
      <c r="O154" s="14"/>
      <c r="P154" s="542"/>
    </row>
    <row r="155" spans="2:16">
      <c r="C155" s="468"/>
      <c r="D155" s="468"/>
      <c r="G155" s="468"/>
      <c r="H155" s="468"/>
      <c r="J155" s="468"/>
      <c r="K155" s="468"/>
      <c r="L155" s="468"/>
      <c r="O155" s="14"/>
      <c r="P155" s="542"/>
    </row>
    <row r="156" spans="2:16">
      <c r="B156" s="540" t="s">
        <v>309</v>
      </c>
      <c r="D156" s="733" t="s">
        <v>325</v>
      </c>
      <c r="G156" s="468"/>
      <c r="H156" s="468"/>
      <c r="J156" s="468"/>
      <c r="K156" s="468"/>
      <c r="L156" s="468"/>
      <c r="O156" s="14"/>
      <c r="P156" s="542"/>
    </row>
    <row r="157" spans="2:16">
      <c r="B157" s="540" t="s">
        <v>326</v>
      </c>
      <c r="D157" s="734">
        <v>59150</v>
      </c>
      <c r="G157" s="468"/>
      <c r="H157" s="468"/>
      <c r="J157" s="468"/>
      <c r="K157" s="468"/>
      <c r="L157" s="468"/>
      <c r="O157" s="14"/>
      <c r="P157" s="542"/>
    </row>
    <row r="158" spans="2:16">
      <c r="B158" s="540" t="s">
        <v>311</v>
      </c>
      <c r="D158" s="735">
        <v>1.7999999999999999E-2</v>
      </c>
      <c r="G158" s="468"/>
      <c r="H158" s="468"/>
      <c r="J158" s="468"/>
      <c r="K158" s="468"/>
      <c r="L158" s="468"/>
      <c r="O158" s="14"/>
      <c r="P158" s="542"/>
    </row>
    <row r="159" spans="2:16">
      <c r="B159" s="540" t="s">
        <v>312</v>
      </c>
      <c r="D159" s="734">
        <v>6000000</v>
      </c>
    </row>
    <row r="160" spans="2:16">
      <c r="B160" s="539" t="s">
        <v>327</v>
      </c>
      <c r="D160" s="468"/>
      <c r="E160" s="468"/>
      <c r="G160" s="541"/>
      <c r="H160" s="541"/>
      <c r="I160" s="541"/>
      <c r="J160" s="468"/>
      <c r="K160" s="468"/>
      <c r="L160" s="468"/>
      <c r="O160" s="14"/>
      <c r="P160" s="542"/>
    </row>
    <row r="161" spans="2:20" ht="38.25">
      <c r="B161" s="1337" t="s">
        <v>296</v>
      </c>
      <c r="C161" s="1337" t="s">
        <v>297</v>
      </c>
      <c r="D161" s="1337" t="s">
        <v>298</v>
      </c>
      <c r="E161" s="1338" t="s">
        <v>268</v>
      </c>
      <c r="F161" s="1337" t="s">
        <v>299</v>
      </c>
      <c r="G161" s="1337" t="s">
        <v>300</v>
      </c>
      <c r="H161" s="1337" t="s">
        <v>301</v>
      </c>
      <c r="I161" s="1337" t="s">
        <v>314</v>
      </c>
      <c r="J161" s="1337" t="s">
        <v>304</v>
      </c>
      <c r="K161" s="1338" t="s">
        <v>306</v>
      </c>
      <c r="L161" s="699"/>
      <c r="O161" s="14"/>
      <c r="P161" s="542"/>
    </row>
    <row r="162" spans="2:20">
      <c r="B162" s="1341"/>
      <c r="C162" s="1341"/>
      <c r="D162" s="1340"/>
      <c r="E162" s="1341"/>
      <c r="F162" s="1340"/>
      <c r="G162" s="1340"/>
      <c r="H162" s="1340"/>
      <c r="I162" s="1341"/>
      <c r="J162" s="1342"/>
      <c r="K162" s="1343"/>
      <c r="L162" s="700"/>
      <c r="O162" s="14"/>
      <c r="P162" s="542"/>
    </row>
    <row r="163" spans="2:20">
      <c r="B163" s="1005">
        <v>46006</v>
      </c>
      <c r="C163" s="1005">
        <v>46022</v>
      </c>
      <c r="D163" s="771">
        <f>C163-B163</f>
        <v>16</v>
      </c>
      <c r="E163" s="1006">
        <v>360</v>
      </c>
      <c r="F163" s="778" t="s">
        <v>315</v>
      </c>
      <c r="G163" s="772">
        <f>D159-G154</f>
        <v>0</v>
      </c>
      <c r="H163" s="772">
        <f>G163+H162</f>
        <v>0</v>
      </c>
      <c r="I163" s="1008">
        <v>3.0000000000000001E-3</v>
      </c>
      <c r="J163" s="779">
        <f>ROUND((D163*(I163)*H163)/E163,2)</f>
        <v>0</v>
      </c>
      <c r="K163" s="905"/>
      <c r="L163" s="501"/>
      <c r="O163" s="14"/>
      <c r="P163" s="542"/>
    </row>
    <row r="164" spans="2:20">
      <c r="B164" s="1005"/>
      <c r="C164" s="780"/>
      <c r="D164" s="771"/>
      <c r="E164" s="1006"/>
      <c r="F164" s="1005"/>
      <c r="G164" s="547"/>
      <c r="H164" s="772"/>
      <c r="I164" s="1008"/>
      <c r="J164" s="779"/>
      <c r="K164" s="905"/>
      <c r="L164" s="501"/>
      <c r="O164" s="14"/>
      <c r="P164" s="548"/>
    </row>
    <row r="165" spans="2:20">
      <c r="B165" s="1005"/>
      <c r="C165" s="780"/>
      <c r="D165" s="771"/>
      <c r="E165" s="1006"/>
      <c r="F165" s="781"/>
      <c r="G165" s="1007"/>
      <c r="H165" s="772"/>
      <c r="I165" s="1008"/>
      <c r="J165" s="779"/>
      <c r="K165" s="905"/>
      <c r="L165" s="501"/>
      <c r="O165" s="14"/>
      <c r="P165" s="542"/>
      <c r="S165" s="549"/>
      <c r="T165" s="549"/>
    </row>
    <row r="166" spans="2:20">
      <c r="B166" s="1005"/>
      <c r="C166" s="780"/>
      <c r="D166" s="771"/>
      <c r="E166" s="1006"/>
      <c r="F166" s="781"/>
      <c r="G166" s="1007"/>
      <c r="H166" s="772"/>
      <c r="I166" s="1008"/>
      <c r="J166" s="779"/>
      <c r="K166" s="909"/>
      <c r="L166" s="505"/>
      <c r="O166" s="14"/>
      <c r="P166" s="542"/>
      <c r="S166" s="549"/>
      <c r="T166" s="549"/>
    </row>
    <row r="167" spans="2:20">
      <c r="B167" s="1005"/>
      <c r="C167" s="780"/>
      <c r="D167" s="771"/>
      <c r="E167" s="1006"/>
      <c r="F167" s="778"/>
      <c r="G167" s="1016"/>
      <c r="H167" s="772"/>
      <c r="I167" s="1008"/>
      <c r="J167" s="779"/>
      <c r="K167" s="909"/>
      <c r="L167" s="505"/>
      <c r="O167" s="14"/>
      <c r="P167" s="542"/>
      <c r="S167" s="549"/>
      <c r="T167" s="549"/>
    </row>
    <row r="168" spans="2:20">
      <c r="B168" s="1005"/>
      <c r="C168" s="780"/>
      <c r="D168" s="771"/>
      <c r="E168" s="1006"/>
      <c r="F168" s="781"/>
      <c r="G168" s="782"/>
      <c r="H168" s="772"/>
      <c r="I168" s="1008"/>
      <c r="J168" s="779"/>
      <c r="K168" s="909"/>
      <c r="L168" s="505"/>
      <c r="O168" s="14"/>
      <c r="P168" s="542"/>
      <c r="S168" s="549"/>
      <c r="T168" s="549"/>
    </row>
    <row r="169" spans="2:20">
      <c r="B169" s="1005"/>
      <c r="C169" s="780"/>
      <c r="D169" s="771"/>
      <c r="E169" s="1006"/>
      <c r="F169" s="781"/>
      <c r="G169" s="789"/>
      <c r="H169" s="772"/>
      <c r="I169" s="1008"/>
      <c r="J169" s="779"/>
      <c r="K169" s="909"/>
      <c r="L169" s="505"/>
      <c r="O169" s="14"/>
      <c r="P169" s="542"/>
      <c r="S169" s="549"/>
      <c r="T169" s="549"/>
    </row>
    <row r="170" spans="2:20">
      <c r="B170" s="1005"/>
      <c r="C170" s="780"/>
      <c r="D170" s="771"/>
      <c r="E170" s="1006"/>
      <c r="F170" s="781"/>
      <c r="G170" s="789"/>
      <c r="H170" s="772"/>
      <c r="I170" s="1008"/>
      <c r="J170" s="779"/>
      <c r="K170" s="905"/>
      <c r="L170" s="501"/>
      <c r="O170" s="14"/>
      <c r="P170" s="542"/>
      <c r="S170" s="549"/>
      <c r="T170" s="549"/>
    </row>
    <row r="171" spans="2:20">
      <c r="B171" s="1005"/>
      <c r="C171" s="780"/>
      <c r="D171" s="771"/>
      <c r="E171" s="1006"/>
      <c r="F171" s="781"/>
      <c r="G171" s="790"/>
      <c r="H171" s="791"/>
      <c r="I171" s="1008"/>
      <c r="J171" s="779"/>
      <c r="K171" s="905"/>
      <c r="L171" s="501"/>
      <c r="O171" s="14"/>
      <c r="P171" s="905"/>
      <c r="S171" s="549"/>
      <c r="T171" s="549"/>
    </row>
    <row r="172" spans="2:20">
      <c r="B172" s="1005"/>
      <c r="C172" s="780"/>
      <c r="D172" s="771"/>
      <c r="E172" s="1006"/>
      <c r="F172" s="781"/>
      <c r="G172" s="790"/>
      <c r="H172" s="772"/>
      <c r="I172" s="1008"/>
      <c r="J172" s="779"/>
      <c r="K172" s="905"/>
      <c r="L172" s="501"/>
      <c r="O172" s="14"/>
      <c r="P172" s="550"/>
    </row>
    <row r="173" spans="2:20">
      <c r="B173" s="1017"/>
      <c r="C173" s="783"/>
      <c r="D173" s="784"/>
      <c r="E173" s="1018"/>
      <c r="F173" s="785"/>
      <c r="G173" s="792"/>
      <c r="H173" s="787"/>
      <c r="I173" s="1019"/>
      <c r="J173" s="904"/>
      <c r="K173" s="904"/>
      <c r="L173" s="500"/>
      <c r="O173" s="14"/>
      <c r="P173" s="550"/>
    </row>
    <row r="174" spans="2:20">
      <c r="B174" s="1005"/>
      <c r="C174" s="780"/>
      <c r="D174" s="771"/>
      <c r="E174" s="1006"/>
      <c r="F174" s="781"/>
      <c r="G174" s="790"/>
      <c r="H174" s="772"/>
      <c r="I174" s="1008"/>
      <c r="J174" s="779"/>
      <c r="K174" s="905"/>
      <c r="L174" s="501"/>
      <c r="O174" s="14"/>
      <c r="P174" s="550"/>
    </row>
    <row r="175" spans="2:20">
      <c r="B175" s="1005"/>
      <c r="C175" s="780"/>
      <c r="D175" s="771"/>
      <c r="E175" s="1006"/>
      <c r="F175" s="781"/>
      <c r="G175" s="790"/>
      <c r="H175" s="772"/>
      <c r="I175" s="1008"/>
      <c r="J175" s="779"/>
      <c r="K175" s="905"/>
      <c r="L175" s="501"/>
      <c r="O175" s="14"/>
      <c r="P175" s="550"/>
      <c r="S175" s="546"/>
    </row>
    <row r="176" spans="2:20">
      <c r="B176" s="1344"/>
      <c r="C176" s="1344"/>
      <c r="D176" s="1345"/>
      <c r="E176" s="1346"/>
      <c r="F176" s="1344"/>
      <c r="G176" s="1347">
        <f>G167</f>
        <v>0</v>
      </c>
      <c r="H176" s="1347">
        <f>+H167</f>
        <v>0</v>
      </c>
      <c r="I176" s="1344"/>
      <c r="J176" s="1348">
        <f>SUM(J163:J175)</f>
        <v>0</v>
      </c>
      <c r="K176" s="1348">
        <f>SUM(K163:K168)</f>
        <v>0</v>
      </c>
      <c r="L176" s="702"/>
      <c r="O176" s="14"/>
      <c r="P176" s="542"/>
    </row>
    <row r="185" spans="2:19">
      <c r="M185"/>
    </row>
    <row r="186" spans="2:19">
      <c r="J186" s="540" t="s">
        <v>275</v>
      </c>
      <c r="K186" s="1349">
        <f>+K43+M16+M65+K92+M113+K135+M154+K176</f>
        <v>112604.67</v>
      </c>
      <c r="L186" s="546"/>
      <c r="M186"/>
      <c r="S186" s="552"/>
    </row>
    <row r="187" spans="2:19">
      <c r="J187" s="540" t="s">
        <v>328</v>
      </c>
      <c r="K187" s="1349">
        <f>+G16+G65+G113+G154</f>
        <v>63750000</v>
      </c>
      <c r="L187" s="546"/>
      <c r="M187"/>
    </row>
    <row r="188" spans="2:19">
      <c r="B188" s="551"/>
    </row>
    <row r="189" spans="2:19">
      <c r="B189" s="551"/>
    </row>
  </sheetData>
  <pageMargins left="0.39370078740157483" right="0.39370078740157483" top="0.98425196850393704" bottom="0.98425196850393704" header="0.51181102362204722" footer="0.51181102362204722"/>
  <pageSetup paperSize="9" scale="27" orientation="portrait" r:id="rId1"/>
  <colBreaks count="1" manualBreakCount="1">
    <brk id="13" max="84" man="1"/>
  </col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65C46-D21D-4CB0-A7B3-23D12D595916}">
  <sheetPr>
    <pageSetUpPr fitToPage="1"/>
  </sheetPr>
  <dimension ref="A1:BE89"/>
  <sheetViews>
    <sheetView view="pageBreakPreview" topLeftCell="A12" zoomScaleNormal="85" zoomScaleSheetLayoutView="100" workbookViewId="0">
      <selection activeCell="K45" sqref="K45"/>
    </sheetView>
  </sheetViews>
  <sheetFormatPr defaultColWidth="11.42578125" defaultRowHeight="12.75"/>
  <cols>
    <col min="1" max="1" width="1.5703125" customWidth="1"/>
    <col min="2" max="2" width="28.28515625" customWidth="1"/>
    <col min="3" max="3" width="14.7109375" style="42" customWidth="1"/>
    <col min="4" max="4" width="14.5703125" bestFit="1" customWidth="1"/>
    <col min="5" max="5" width="18.85546875" style="42" customWidth="1"/>
    <col min="6" max="6" width="19" style="42" bestFit="1" customWidth="1"/>
    <col min="7" max="8" width="18.28515625" style="42" customWidth="1"/>
    <col min="9" max="9" width="4.42578125" customWidth="1"/>
    <col min="10" max="10" width="16.7109375" bestFit="1" customWidth="1"/>
    <col min="11" max="11" width="18.5703125" style="42" bestFit="1" customWidth="1"/>
    <col min="12" max="12" width="14.42578125" customWidth="1"/>
    <col min="13" max="15" width="18.7109375" customWidth="1"/>
    <col min="16" max="16" width="19.140625" style="5" customWidth="1"/>
    <col min="17" max="17" width="5.42578125" style="5" customWidth="1"/>
    <col min="18" max="18" width="11.42578125" style="30" customWidth="1"/>
    <col min="19" max="19" width="13.42578125" style="30" customWidth="1"/>
    <col min="20" max="20" width="11.42578125" style="30" customWidth="1"/>
    <col min="21" max="21" width="11.42578125" style="136" customWidth="1"/>
    <col min="22" max="22" width="11.42578125" customWidth="1"/>
    <col min="23" max="23" width="71.140625" style="30" bestFit="1" customWidth="1"/>
    <col min="24" max="24" width="13" style="5" customWidth="1"/>
    <col min="25" max="30" width="11.42578125" style="30" customWidth="1"/>
  </cols>
  <sheetData>
    <row r="1" spans="2:30" ht="20.25">
      <c r="B1" s="119" t="str">
        <f>Sommaire!A1</f>
        <v>BOLZEN - SLP</v>
      </c>
      <c r="D1" s="78"/>
      <c r="E1" s="121" t="s">
        <v>329</v>
      </c>
      <c r="F1" s="695">
        <f>Sommaire!C1</f>
        <v>46022</v>
      </c>
      <c r="G1" s="121"/>
      <c r="H1" s="121"/>
      <c r="J1" s="676"/>
      <c r="K1" s="121"/>
      <c r="L1" s="30"/>
      <c r="M1" s="30"/>
      <c r="N1" s="30"/>
      <c r="O1" s="30"/>
      <c r="Q1" s="296"/>
      <c r="V1" s="30"/>
      <c r="AD1"/>
    </row>
    <row r="2" spans="2:30" ht="15.75">
      <c r="B2" s="107" t="str">
        <f>Sommaire!B30</f>
        <v>Euro</v>
      </c>
      <c r="D2" s="79"/>
      <c r="G2" s="200"/>
      <c r="H2" s="200"/>
      <c r="J2" s="197"/>
      <c r="K2" s="628"/>
      <c r="L2" s="30"/>
      <c r="M2" s="30"/>
      <c r="N2" s="30"/>
      <c r="O2" s="30"/>
      <c r="P2" s="629"/>
      <c r="Q2" s="296"/>
      <c r="V2" s="30"/>
      <c r="AD2"/>
    </row>
    <row r="3" spans="2:30" ht="15.75">
      <c r="B3" s="107"/>
      <c r="D3" s="79"/>
      <c r="G3" s="200"/>
      <c r="H3" s="200"/>
      <c r="J3" s="197"/>
      <c r="K3" s="628"/>
      <c r="L3" s="30"/>
      <c r="M3" s="30"/>
      <c r="N3" s="30"/>
      <c r="O3" s="30"/>
      <c r="P3" s="629"/>
      <c r="Q3" s="296"/>
      <c r="V3" s="30"/>
      <c r="AD3"/>
    </row>
    <row r="4" spans="2:30">
      <c r="C4" s="111"/>
      <c r="D4" s="137" t="s">
        <v>330</v>
      </c>
      <c r="G4" s="200"/>
      <c r="H4" s="200"/>
      <c r="J4" s="197"/>
      <c r="K4" s="628"/>
      <c r="L4" s="30"/>
      <c r="M4" s="30"/>
      <c r="N4" s="30"/>
      <c r="O4" s="30"/>
      <c r="P4" s="629"/>
      <c r="Q4" s="296"/>
      <c r="V4" s="30"/>
      <c r="AD4"/>
    </row>
    <row r="5" spans="2:30">
      <c r="B5" s="671" t="s">
        <v>331</v>
      </c>
      <c r="C5" s="618">
        <v>1000</v>
      </c>
      <c r="D5" s="10" t="s">
        <v>332</v>
      </c>
      <c r="E5" s="158" t="s">
        <v>333</v>
      </c>
      <c r="F5" s="158"/>
      <c r="G5" s="200"/>
      <c r="H5" s="200"/>
      <c r="M5" s="30"/>
      <c r="N5" s="30"/>
      <c r="O5" s="30"/>
      <c r="P5" s="629"/>
      <c r="Q5" s="296"/>
      <c r="V5" s="30"/>
      <c r="AD5"/>
    </row>
    <row r="6" spans="2:30">
      <c r="B6" s="671" t="s">
        <v>334</v>
      </c>
      <c r="C6" s="618">
        <v>1000</v>
      </c>
      <c r="D6" s="10" t="s">
        <v>335</v>
      </c>
      <c r="E6" s="158" t="s">
        <v>336</v>
      </c>
      <c r="F6" s="158"/>
      <c r="G6" s="200"/>
      <c r="H6" s="200"/>
      <c r="M6" s="30"/>
      <c r="N6" s="30"/>
      <c r="O6" s="30"/>
      <c r="P6" s="629"/>
      <c r="Q6" s="296"/>
      <c r="V6" s="30"/>
      <c r="AD6"/>
    </row>
    <row r="7" spans="2:30">
      <c r="B7" s="673" t="s">
        <v>337</v>
      </c>
      <c r="C7" s="618">
        <v>1000</v>
      </c>
      <c r="D7" s="10" t="s">
        <v>338</v>
      </c>
      <c r="E7" s="158" t="s">
        <v>339</v>
      </c>
      <c r="F7" s="158"/>
      <c r="G7" s="672"/>
      <c r="H7" s="672"/>
      <c r="M7" s="30"/>
      <c r="N7" s="30"/>
      <c r="O7" s="30"/>
      <c r="P7" s="629"/>
      <c r="Q7" s="296"/>
      <c r="V7" s="30"/>
      <c r="AD7"/>
    </row>
    <row r="8" spans="2:30">
      <c r="D8" s="674" t="s">
        <v>340</v>
      </c>
      <c r="E8" s="158" t="s">
        <v>341</v>
      </c>
      <c r="F8" s="158"/>
      <c r="G8" s="675"/>
      <c r="H8" s="675"/>
      <c r="M8" s="9"/>
      <c r="N8" s="9"/>
      <c r="O8" s="9"/>
      <c r="V8" s="30"/>
      <c r="AD8"/>
    </row>
    <row r="9" spans="2:30">
      <c r="D9" s="106" t="s">
        <v>342</v>
      </c>
      <c r="E9" s="158" t="s">
        <v>343</v>
      </c>
      <c r="K9" s="106"/>
      <c r="L9" s="9"/>
      <c r="M9" s="9"/>
      <c r="N9" s="9"/>
      <c r="O9" s="9"/>
      <c r="V9" s="30"/>
      <c r="AD9"/>
    </row>
    <row r="10" spans="2:30">
      <c r="D10" s="106" t="s">
        <v>344</v>
      </c>
      <c r="E10" s="158" t="s">
        <v>345</v>
      </c>
      <c r="J10" s="28"/>
      <c r="K10" s="106"/>
      <c r="L10" s="9"/>
      <c r="M10" s="9"/>
      <c r="N10" s="9"/>
      <c r="O10" s="9"/>
      <c r="V10" s="30"/>
      <c r="AD10"/>
    </row>
    <row r="11" spans="2:30">
      <c r="D11" s="106" t="s">
        <v>346</v>
      </c>
      <c r="E11" s="158" t="s">
        <v>347</v>
      </c>
      <c r="J11" s="41"/>
      <c r="K11" s="106"/>
      <c r="L11" s="677"/>
      <c r="M11" s="9"/>
      <c r="N11" s="9"/>
      <c r="O11" s="9"/>
      <c r="V11" s="30"/>
      <c r="AD11"/>
    </row>
    <row r="12" spans="2:30">
      <c r="D12" s="106"/>
      <c r="E12" s="158"/>
      <c r="F12" s="171"/>
      <c r="G12" s="675"/>
      <c r="H12" s="675"/>
      <c r="J12" s="41"/>
      <c r="K12" s="106"/>
      <c r="L12" s="677"/>
      <c r="M12" s="9"/>
      <c r="N12" s="9"/>
      <c r="O12" s="9"/>
      <c r="V12" s="30"/>
      <c r="AD12"/>
    </row>
    <row r="13" spans="2:30">
      <c r="D13" s="106"/>
      <c r="E13" s="696" t="s">
        <v>348</v>
      </c>
      <c r="F13" s="26"/>
      <c r="G13" s="850">
        <v>46020</v>
      </c>
      <c r="H13" s="850">
        <v>46020</v>
      </c>
      <c r="J13" s="41"/>
      <c r="K13" s="106"/>
      <c r="L13" s="677"/>
      <c r="M13" s="9"/>
      <c r="N13" s="9"/>
      <c r="O13" s="9"/>
      <c r="V13" s="30"/>
      <c r="AD13"/>
    </row>
    <row r="14" spans="2:30">
      <c r="D14" s="106"/>
      <c r="E14" s="696" t="s">
        <v>349</v>
      </c>
      <c r="F14" s="26"/>
      <c r="G14" s="697">
        <v>2E-3</v>
      </c>
      <c r="H14" s="697">
        <v>9.2232370021000001E-2</v>
      </c>
      <c r="J14" s="28"/>
      <c r="K14" s="106"/>
      <c r="L14" s="677"/>
      <c r="M14" s="9"/>
      <c r="N14" s="9"/>
      <c r="O14" s="9"/>
      <c r="V14" s="30"/>
      <c r="AD14"/>
    </row>
    <row r="15" spans="2:30">
      <c r="D15" s="106"/>
      <c r="E15" s="696" t="s">
        <v>330</v>
      </c>
      <c r="F15" s="26" t="s">
        <v>332</v>
      </c>
      <c r="G15" s="697" t="s">
        <v>335</v>
      </c>
      <c r="H15" s="697" t="s">
        <v>335</v>
      </c>
      <c r="J15" s="28"/>
      <c r="K15" s="106"/>
      <c r="L15" s="677"/>
      <c r="M15" s="9"/>
      <c r="N15" s="9"/>
      <c r="O15" s="9"/>
      <c r="V15" s="30"/>
      <c r="AD15"/>
    </row>
    <row r="16" spans="2:30" ht="13.5" thickBot="1">
      <c r="D16" s="106"/>
      <c r="E16" s="158"/>
      <c r="F16" s="171"/>
      <c r="G16" s="675"/>
      <c r="H16" s="675"/>
      <c r="K16" s="106"/>
      <c r="L16" s="677"/>
      <c r="M16" s="9"/>
      <c r="N16" s="9"/>
      <c r="O16" s="9"/>
      <c r="V16" s="30"/>
      <c r="AD16"/>
    </row>
    <row r="17" spans="1:57" s="23" customFormat="1" ht="13.5" customHeight="1" thickBot="1">
      <c r="B17" s="379"/>
      <c r="C17" s="26"/>
      <c r="D17" s="379"/>
      <c r="E17" s="137"/>
      <c r="F17" s="137"/>
      <c r="G17" s="1350"/>
      <c r="H17" s="1350"/>
      <c r="I17"/>
      <c r="J17" s="1165">
        <f>F1</f>
        <v>46022</v>
      </c>
      <c r="K17" s="1166"/>
      <c r="L17" s="1166"/>
      <c r="M17" s="1166"/>
      <c r="N17" s="1166"/>
      <c r="O17" s="1166"/>
      <c r="P17" s="1167"/>
      <c r="Q17" s="106"/>
      <c r="R17" s="380"/>
      <c r="S17" s="380"/>
      <c r="T17" s="380"/>
      <c r="U17" s="1168" t="s">
        <v>350</v>
      </c>
      <c r="V17" s="1169"/>
      <c r="W17" s="1169"/>
      <c r="X17" s="1170"/>
      <c r="Y17" s="380"/>
      <c r="Z17" s="380"/>
      <c r="AA17" s="380"/>
      <c r="AB17" s="380"/>
      <c r="AC17" s="380"/>
      <c r="AD17" s="380"/>
      <c r="AE17" s="380"/>
    </row>
    <row r="18" spans="1:57" s="23" customFormat="1" ht="36" customHeight="1">
      <c r="A18"/>
      <c r="B18" s="1351" t="s">
        <v>351</v>
      </c>
      <c r="C18" s="1352" t="s">
        <v>352</v>
      </c>
      <c r="D18" s="1353"/>
      <c r="E18" s="1354" t="s">
        <v>353</v>
      </c>
      <c r="F18" s="1354" t="s">
        <v>354</v>
      </c>
      <c r="G18" s="1021" t="s">
        <v>335</v>
      </c>
      <c r="H18" s="1021" t="s">
        <v>355</v>
      </c>
      <c r="I18"/>
      <c r="J18" s="678" t="s">
        <v>356</v>
      </c>
      <c r="K18" s="794" t="s">
        <v>357</v>
      </c>
      <c r="L18" s="794" t="s">
        <v>358</v>
      </c>
      <c r="M18" s="794" t="s">
        <v>359</v>
      </c>
      <c r="N18" s="679" t="s">
        <v>360</v>
      </c>
      <c r="O18" s="679" t="s">
        <v>361</v>
      </c>
      <c r="P18" s="680" t="s">
        <v>362</v>
      </c>
      <c r="Q18" s="169"/>
      <c r="R18" s="86"/>
      <c r="S18" s="86"/>
      <c r="T18" s="86"/>
      <c r="U18" s="46"/>
      <c r="V18" s="86"/>
      <c r="W18" s="86"/>
      <c r="X18" s="198"/>
      <c r="Y18" s="86"/>
      <c r="Z18" s="86"/>
      <c r="AA18" s="86"/>
      <c r="AB18" s="86"/>
      <c r="AC18" s="86"/>
      <c r="AD18" s="86"/>
      <c r="AE18" s="86"/>
      <c r="AF18" s="86"/>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row>
    <row r="19" spans="1:57">
      <c r="B19" s="1355" t="s">
        <v>363</v>
      </c>
      <c r="C19" s="1356"/>
      <c r="D19" s="1357" t="s">
        <v>15</v>
      </c>
      <c r="E19" s="1358"/>
      <c r="F19" s="1358"/>
      <c r="G19" s="1359"/>
      <c r="H19" s="1359"/>
      <c r="J19" s="1360"/>
      <c r="K19" s="1361"/>
      <c r="L19" s="1361"/>
      <c r="M19" s="1362"/>
      <c r="N19" s="1363"/>
      <c r="O19" s="1364"/>
      <c r="P19" s="1365"/>
      <c r="Q19" s="515"/>
      <c r="V19" s="30"/>
      <c r="AE19" s="30"/>
      <c r="AF19" s="30"/>
    </row>
    <row r="20" spans="1:57">
      <c r="B20" s="1022"/>
      <c r="C20" s="1023"/>
      <c r="D20" s="1024"/>
      <c r="E20" s="1025"/>
      <c r="F20" s="1025"/>
      <c r="G20" s="1026"/>
      <c r="H20" s="1026"/>
      <c r="J20" s="681"/>
      <c r="K20" s="1027"/>
      <c r="L20" s="1027"/>
      <c r="M20" s="908"/>
      <c r="N20" s="793"/>
      <c r="O20" s="795"/>
      <c r="P20" s="722"/>
      <c r="Q20" s="515"/>
      <c r="U20" s="278" t="s">
        <v>364</v>
      </c>
      <c r="V20" s="158" t="s">
        <v>139</v>
      </c>
      <c r="W20" s="158" t="s">
        <v>70</v>
      </c>
      <c r="X20" s="171" t="s">
        <v>365</v>
      </c>
      <c r="AE20" s="30"/>
      <c r="AF20" s="30"/>
    </row>
    <row r="21" spans="1:57" s="58" customFormat="1">
      <c r="B21" s="1022" t="s">
        <v>366</v>
      </c>
      <c r="C21" s="901"/>
      <c r="D21" s="901" t="s">
        <v>62</v>
      </c>
      <c r="E21" s="1028">
        <f xml:space="preserve"> 300000000+3040500</f>
        <v>303040500</v>
      </c>
      <c r="F21" s="1028">
        <v>303040.5</v>
      </c>
      <c r="G21" s="1029">
        <v>606081</v>
      </c>
      <c r="H21" s="1029">
        <v>27950143.52734885</v>
      </c>
      <c r="I21"/>
      <c r="J21" s="682">
        <f>+SUMIF($F$15:$I$15,"NP",$F21:$I21)</f>
        <v>303040.5</v>
      </c>
      <c r="K21" s="909">
        <f>+SUMIF($F$15:$I$15,"ADF",$F21:$I21)</f>
        <v>28556224.52734885</v>
      </c>
      <c r="L21" s="1030">
        <f>IFERROR(K21/P21,0)</f>
        <v>9.4232370021000003E-2</v>
      </c>
      <c r="M21" s="1031">
        <f>P21-K21</f>
        <v>274484275.47265112</v>
      </c>
      <c r="N21" s="796">
        <f>+SUMIF($F$15:$I$15,"DD",$F21:$I21)+SUMIF($F$15:$I$15,"DB",$F21:$I21)+SUMIF($F$15:$I$15,"DP",$F21:$I21)-SUMIF($F$15:$I$15,"RD",$F21:$I21)</f>
        <v>0</v>
      </c>
      <c r="O21" s="797">
        <f>N21/P21</f>
        <v>0</v>
      </c>
      <c r="P21" s="685">
        <f>$C$5*J21</f>
        <v>303040500</v>
      </c>
      <c r="Q21" s="516"/>
      <c r="R21" s="158"/>
      <c r="S21" s="158"/>
      <c r="T21" s="158"/>
      <c r="U21" s="278" t="e">
        <f>#REF!</f>
        <v>#REF!</v>
      </c>
      <c r="V21" s="471">
        <v>10211001</v>
      </c>
      <c r="W21" s="158" t="e">
        <f>CONCATENATE(#REF!," - ",B21)</f>
        <v>#REF!</v>
      </c>
      <c r="X21" s="171" t="e">
        <f>#REF!</f>
        <v>#REF!</v>
      </c>
      <c r="Y21" s="158"/>
      <c r="Z21" s="158"/>
      <c r="AA21" s="158"/>
      <c r="AB21" s="158"/>
      <c r="AC21" s="158"/>
      <c r="AD21" s="158"/>
      <c r="AE21" s="158"/>
      <c r="AF21" s="158"/>
    </row>
    <row r="22" spans="1:57" s="58" customFormat="1">
      <c r="B22" s="1022" t="s">
        <v>367</v>
      </c>
      <c r="C22" s="901"/>
      <c r="D22" s="901" t="s">
        <v>62</v>
      </c>
      <c r="E22" s="1028">
        <v>17210000</v>
      </c>
      <c r="F22" s="1028">
        <v>17210</v>
      </c>
      <c r="G22" s="1029">
        <v>34420</v>
      </c>
      <c r="H22" s="1029">
        <v>1587319.08806141</v>
      </c>
      <c r="I22"/>
      <c r="J22" s="682">
        <f>+SUMIF($F$15:$I$15,"NP",$F22:$I22)</f>
        <v>17210</v>
      </c>
      <c r="K22" s="909">
        <f>+SUMIF($F$15:$I$15,"ADF",$F22:$I22)</f>
        <v>1621739.08806141</v>
      </c>
      <c r="L22" s="1030">
        <f t="shared" ref="L22:L23" si="0">IFERROR(K22/P22,0)</f>
        <v>9.4232370021000003E-2</v>
      </c>
      <c r="M22" s="1031">
        <f t="shared" ref="M22:M23" si="1">P22-K22</f>
        <v>15588260.911938589</v>
      </c>
      <c r="N22" s="796">
        <f>+SUMIF($F$15:$I$15,"DD",$F22:$I22)+SUMIF($F$15:$I$15,"DB",$F22:$I22)+SUMIF($F$15:$I$15,"DP",$F22:$I22)-SUMIF($F$15:$I$15,"RD",$F22:$I22)</f>
        <v>0</v>
      </c>
      <c r="O22" s="797">
        <f t="shared" ref="O22:O23" si="2">N22/P22</f>
        <v>0</v>
      </c>
      <c r="P22" s="685">
        <f t="shared" ref="P22:P23" si="3">$C$5*J22</f>
        <v>17210000</v>
      </c>
      <c r="Q22" s="516"/>
      <c r="R22" s="158"/>
      <c r="S22" s="158"/>
      <c r="T22" s="158"/>
      <c r="U22" s="278" t="e">
        <f>#REF!</f>
        <v>#REF!</v>
      </c>
      <c r="V22" s="471">
        <v>10211001</v>
      </c>
      <c r="W22" s="158" t="e">
        <f>CONCATENATE(#REF!," - ",B22)</f>
        <v>#REF!</v>
      </c>
      <c r="X22" s="171" t="e">
        <f>#REF!</f>
        <v>#REF!</v>
      </c>
      <c r="Y22" s="158"/>
      <c r="Z22" s="158"/>
      <c r="AA22" s="158"/>
      <c r="AB22" s="158"/>
      <c r="AC22" s="158"/>
      <c r="AD22" s="158"/>
      <c r="AE22" s="158"/>
      <c r="AF22" s="158"/>
    </row>
    <row r="23" spans="1:57" s="58" customFormat="1">
      <c r="B23" s="1022" t="s">
        <v>368</v>
      </c>
      <c r="C23" s="901"/>
      <c r="D23" s="901" t="s">
        <v>62</v>
      </c>
      <c r="E23" s="1028">
        <f>20446889+35308098.7+346052112.34+155000000+1564699.96+64646400</f>
        <v>623018200</v>
      </c>
      <c r="F23" s="1028">
        <f>E23/1000</f>
        <v>623018.19999999995</v>
      </c>
      <c r="G23" s="1029">
        <v>1246036.4000000001</v>
      </c>
      <c r="H23" s="1029">
        <v>57462445.152217381</v>
      </c>
      <c r="I23"/>
      <c r="J23" s="682">
        <f>+SUMIF($F$15:$I$15,"NP",$F23:$I23)</f>
        <v>623018.19999999995</v>
      </c>
      <c r="K23" s="909">
        <f>+SUMIF($F$15:$I$15,"ADF",$F23:$I23)</f>
        <v>58708481.552217379</v>
      </c>
      <c r="L23" s="1030">
        <f t="shared" si="0"/>
        <v>9.4232370020999989E-2</v>
      </c>
      <c r="M23" s="1031">
        <f t="shared" si="1"/>
        <v>564309718.44778264</v>
      </c>
      <c r="N23" s="796">
        <f>+SUMIF($F$15:$I$15,"DD",$F23:$I23)+SUMIF($F$15:$I$15,"DB",$F23:$I23)+SUMIF($F$15:$I$15,"DP",$F23:$I23)-SUMIF($F$15:$I$15,"RD",$F23:$I23)</f>
        <v>0</v>
      </c>
      <c r="O23" s="797">
        <f t="shared" si="2"/>
        <v>0</v>
      </c>
      <c r="P23" s="685">
        <f t="shared" si="3"/>
        <v>623018200</v>
      </c>
      <c r="Q23" s="516"/>
      <c r="R23" s="158"/>
      <c r="S23" s="158"/>
      <c r="T23" s="158"/>
      <c r="U23" s="278" t="e">
        <f>#REF!</f>
        <v>#REF!</v>
      </c>
      <c r="V23" s="471">
        <v>10211001</v>
      </c>
      <c r="W23" s="158" t="e">
        <f>CONCATENATE(#REF!," - ",B23)</f>
        <v>#REF!</v>
      </c>
      <c r="X23" s="171" t="e">
        <f>#REF!</f>
        <v>#REF!</v>
      </c>
      <c r="Y23" s="158"/>
      <c r="Z23" s="158"/>
      <c r="AA23" s="158"/>
      <c r="AB23" s="158"/>
      <c r="AC23" s="158"/>
      <c r="AD23" s="158"/>
      <c r="AE23" s="158"/>
      <c r="AF23" s="158"/>
    </row>
    <row r="24" spans="1:57" s="58" customFormat="1">
      <c r="B24" s="1022"/>
      <c r="C24" s="901"/>
      <c r="D24" s="901"/>
      <c r="E24" s="1028"/>
      <c r="F24" s="1032"/>
      <c r="G24" s="1029"/>
      <c r="H24" s="1029"/>
      <c r="I24"/>
      <c r="J24" s="682"/>
      <c r="K24" s="909"/>
      <c r="L24" s="1030"/>
      <c r="M24" s="1031"/>
      <c r="N24" s="796"/>
      <c r="O24" s="797"/>
      <c r="P24" s="685"/>
      <c r="Q24" s="516"/>
      <c r="R24" s="158"/>
      <c r="S24" s="158"/>
      <c r="T24" s="158"/>
      <c r="U24" s="278"/>
      <c r="V24" s="471"/>
      <c r="W24" s="158"/>
      <c r="X24" s="171"/>
      <c r="Y24" s="158"/>
      <c r="Z24" s="158"/>
      <c r="AA24" s="158"/>
      <c r="AB24" s="158"/>
      <c r="AC24" s="158"/>
      <c r="AD24" s="158"/>
      <c r="AE24" s="158"/>
      <c r="AF24" s="158"/>
    </row>
    <row r="25" spans="1:57" s="58" customFormat="1">
      <c r="B25" s="1022"/>
      <c r="C25" s="901"/>
      <c r="D25" s="901"/>
      <c r="E25" s="1028"/>
      <c r="F25" s="1028"/>
      <c r="G25" s="1029"/>
      <c r="H25" s="1029"/>
      <c r="I25"/>
      <c r="J25" s="682"/>
      <c r="K25" s="909"/>
      <c r="L25" s="1030"/>
      <c r="M25" s="909"/>
      <c r="N25" s="773"/>
      <c r="O25" s="798"/>
      <c r="P25" s="685"/>
      <c r="Q25" s="516"/>
      <c r="R25" s="158"/>
      <c r="S25" s="158"/>
      <c r="T25" s="158"/>
      <c r="U25" s="278"/>
      <c r="V25" s="471"/>
      <c r="W25" s="158"/>
      <c r="X25" s="171"/>
      <c r="Y25" s="158"/>
      <c r="Z25" s="158"/>
      <c r="AA25" s="158"/>
      <c r="AB25" s="158"/>
      <c r="AC25" s="158"/>
      <c r="AD25" s="158"/>
      <c r="AE25" s="158"/>
      <c r="AF25" s="158"/>
    </row>
    <row r="26" spans="1:57" s="58" customFormat="1">
      <c r="B26" s="1033"/>
      <c r="C26" s="901"/>
      <c r="D26" s="1034"/>
      <c r="E26" s="1028"/>
      <c r="F26" s="1028"/>
      <c r="G26" s="1029"/>
      <c r="H26" s="1029"/>
      <c r="I26"/>
      <c r="J26" s="682"/>
      <c r="K26" s="909"/>
      <c r="L26" s="1030"/>
      <c r="M26" s="909"/>
      <c r="N26" s="773"/>
      <c r="O26" s="798"/>
      <c r="P26" s="685"/>
      <c r="Q26" s="516"/>
      <c r="R26" s="158"/>
      <c r="S26" s="158"/>
      <c r="T26" s="158"/>
      <c r="U26" s="278"/>
      <c r="V26" s="471"/>
      <c r="W26" s="158"/>
      <c r="X26" s="171"/>
      <c r="Y26" s="158"/>
      <c r="Z26" s="158"/>
      <c r="AA26" s="158"/>
      <c r="AB26" s="158"/>
      <c r="AC26" s="158"/>
      <c r="AD26" s="158"/>
      <c r="AE26" s="158"/>
      <c r="AF26" s="158"/>
    </row>
    <row r="27" spans="1:57" s="58" customFormat="1">
      <c r="B27" s="1366" t="s">
        <v>369</v>
      </c>
      <c r="C27" s="1367"/>
      <c r="D27" s="1368"/>
      <c r="E27" s="1369">
        <f>SUM(E19:E26)</f>
        <v>943268700</v>
      </c>
      <c r="F27" s="1370">
        <f>SUM(F19:F26)</f>
        <v>943268.7</v>
      </c>
      <c r="G27" s="1371">
        <f>SUM(G19:G26)</f>
        <v>1886537.4000000001</v>
      </c>
      <c r="H27" s="1371">
        <f>SUM(H19:H26)</f>
        <v>86999907.767627642</v>
      </c>
      <c r="I27"/>
      <c r="J27" s="683">
        <f>SUM(J21:J24)</f>
        <v>943268.7</v>
      </c>
      <c r="K27" s="1372">
        <f>SUM(K21:K24)</f>
        <v>88886445.167627633</v>
      </c>
      <c r="L27" s="1373">
        <f>K27/P27</f>
        <v>9.4232370020999989E-2</v>
      </c>
      <c r="M27" s="1372">
        <f>SUM(M21:M24)</f>
        <v>854382254.83237243</v>
      </c>
      <c r="N27" s="1374"/>
      <c r="O27" s="1374"/>
      <c r="P27" s="684">
        <f>SUM(P21:P24)</f>
        <v>943268700</v>
      </c>
      <c r="Q27" s="517"/>
      <c r="R27" s="158"/>
      <c r="S27" s="158"/>
      <c r="T27" s="158"/>
      <c r="U27" s="278"/>
      <c r="V27" s="471"/>
      <c r="W27" s="158"/>
      <c r="X27" s="171"/>
      <c r="Y27" s="295"/>
      <c r="Z27" s="158"/>
      <c r="AA27" s="158"/>
      <c r="AB27" s="158"/>
      <c r="AC27" s="158"/>
      <c r="AD27" s="158"/>
      <c r="AE27" s="158"/>
      <c r="AF27" s="158"/>
    </row>
    <row r="28" spans="1:57" s="58" customFormat="1">
      <c r="B28" s="1004"/>
      <c r="C28" s="901"/>
      <c r="D28" s="1034"/>
      <c r="E28" s="1028"/>
      <c r="F28" s="1028"/>
      <c r="G28" s="1026"/>
      <c r="H28" s="1026"/>
      <c r="I28"/>
      <c r="J28" s="682"/>
      <c r="K28" s="909"/>
      <c r="L28" s="1035"/>
      <c r="M28" s="905"/>
      <c r="N28" s="779"/>
      <c r="O28" s="799"/>
      <c r="P28" s="685"/>
      <c r="Q28" s="501"/>
      <c r="R28" s="158"/>
      <c r="S28" s="158"/>
      <c r="T28" s="158"/>
      <c r="U28" s="278"/>
      <c r="V28" s="471"/>
      <c r="W28" s="158"/>
      <c r="X28" s="171"/>
      <c r="Y28" s="295"/>
      <c r="Z28" s="158"/>
      <c r="AA28" s="158"/>
      <c r="AB28" s="158"/>
      <c r="AC28" s="158"/>
      <c r="AD28" s="158"/>
      <c r="AE28" s="158"/>
      <c r="AF28" s="158"/>
    </row>
    <row r="29" spans="1:57" s="58" customFormat="1">
      <c r="B29" s="1355" t="s">
        <v>363</v>
      </c>
      <c r="C29" s="1023"/>
      <c r="D29" s="1024" t="s">
        <v>17</v>
      </c>
      <c r="E29" s="1028"/>
      <c r="F29" s="1028"/>
      <c r="G29" s="1026"/>
      <c r="H29" s="1026"/>
      <c r="I29"/>
      <c r="J29" s="682"/>
      <c r="K29" s="909"/>
      <c r="L29" s="1035"/>
      <c r="M29" s="905"/>
      <c r="N29" s="779"/>
      <c r="O29" s="799"/>
      <c r="P29" s="685"/>
      <c r="Q29" s="501"/>
      <c r="R29" s="158"/>
      <c r="S29" s="158"/>
      <c r="T29" s="158"/>
      <c r="U29" s="278"/>
      <c r="V29" s="471"/>
      <c r="W29" s="158"/>
      <c r="X29" s="171"/>
      <c r="Y29" s="295"/>
      <c r="Z29" s="158"/>
      <c r="AA29" s="158"/>
      <c r="AB29" s="158"/>
      <c r="AC29" s="158"/>
      <c r="AD29" s="158"/>
      <c r="AE29" s="158"/>
      <c r="AF29" s="158"/>
    </row>
    <row r="30" spans="1:57" s="58" customFormat="1">
      <c r="B30" s="1004"/>
      <c r="C30" s="901"/>
      <c r="D30" s="1034"/>
      <c r="E30" s="1028"/>
      <c r="F30" s="1028"/>
      <c r="G30" s="1029"/>
      <c r="H30" s="1029"/>
      <c r="I30"/>
      <c r="J30" s="682"/>
      <c r="K30" s="909"/>
      <c r="L30" s="1030"/>
      <c r="M30" s="909"/>
      <c r="N30" s="773"/>
      <c r="O30" s="798"/>
      <c r="P30" s="685"/>
      <c r="Q30" s="501"/>
      <c r="R30" s="158"/>
      <c r="S30" s="158"/>
      <c r="T30" s="158"/>
      <c r="U30" s="278"/>
      <c r="V30" s="471"/>
      <c r="W30" s="158"/>
      <c r="X30" s="171"/>
      <c r="Y30" s="295"/>
      <c r="Z30" s="158"/>
      <c r="AA30" s="158"/>
      <c r="AB30" s="158"/>
      <c r="AC30" s="158"/>
      <c r="AD30" s="158"/>
      <c r="AE30" s="158"/>
      <c r="AF30" s="158"/>
    </row>
    <row r="31" spans="1:57" s="58" customFormat="1">
      <c r="B31" s="1004"/>
      <c r="C31" s="901"/>
      <c r="D31" s="1034" t="s">
        <v>63</v>
      </c>
      <c r="E31" s="1028"/>
      <c r="F31" s="1028"/>
      <c r="G31" s="1029"/>
      <c r="H31" s="1029"/>
      <c r="I31"/>
      <c r="J31" s="682">
        <f>+SUMIF($F$16:$I$16,"NP",$F31:$I31)</f>
        <v>0</v>
      </c>
      <c r="K31" s="909">
        <f>+SUMIF($F$15:$I$15,"ADF",$F31:$I31)</f>
        <v>0</v>
      </c>
      <c r="L31" s="1030">
        <f t="shared" ref="L31" si="4">IFERROR(K31/P31,0)</f>
        <v>0</v>
      </c>
      <c r="M31" s="1031">
        <f t="shared" ref="M31" si="5">P31-K31</f>
        <v>0</v>
      </c>
      <c r="N31" s="796">
        <f>+SUMIF($F$15:$I$15,"DD",$F31:$I31)+SUMIF($F$15:$I$15,"DB",$F31:$I31)+SUMIF($F$15:$I$15,"DP",$F31:$I31)-SUMIF($F$15:$I$15,"RD",$F31:$I31)</f>
        <v>0</v>
      </c>
      <c r="O31" s="797" t="e">
        <f t="shared" ref="O31:O34" si="6">N31/P31</f>
        <v>#DIV/0!</v>
      </c>
      <c r="P31" s="685">
        <f>$C$6*J31</f>
        <v>0</v>
      </c>
      <c r="Q31" s="501"/>
      <c r="R31" s="158"/>
      <c r="S31" s="158"/>
      <c r="T31" s="158"/>
      <c r="U31" s="278" t="e">
        <f>#REF!</f>
        <v>#REF!</v>
      </c>
      <c r="V31" s="471">
        <v>10211002</v>
      </c>
      <c r="W31" s="158" t="e">
        <f>CONCATENATE(#REF!," - ",B31)</f>
        <v>#REF!</v>
      </c>
      <c r="X31" s="171" t="e">
        <f>#REF!</f>
        <v>#REF!</v>
      </c>
      <c r="Y31" s="295"/>
      <c r="Z31" s="158"/>
      <c r="AA31" s="158"/>
      <c r="AB31" s="158"/>
      <c r="AC31" s="158"/>
      <c r="AD31" s="158"/>
      <c r="AE31" s="158"/>
      <c r="AF31" s="158"/>
    </row>
    <row r="32" spans="1:57" s="58" customFormat="1">
      <c r="B32" s="1004"/>
      <c r="C32" s="901"/>
      <c r="D32" s="1034" t="s">
        <v>63</v>
      </c>
      <c r="E32" s="1028"/>
      <c r="F32" s="1028"/>
      <c r="G32" s="1029"/>
      <c r="H32" s="1029"/>
      <c r="I32"/>
      <c r="J32" s="682">
        <f>+SUMIF($F$16:$I$16,"NP",$F32:$I32)</f>
        <v>0</v>
      </c>
      <c r="K32" s="909">
        <f>+SUMIF($F$15:$I$15,"ADF",$F32:$I32)</f>
        <v>0</v>
      </c>
      <c r="L32" s="1030">
        <f t="shared" ref="L32:L34" si="7">IFERROR(K32/P32,0)</f>
        <v>0</v>
      </c>
      <c r="M32" s="1031">
        <f t="shared" ref="M32:M34" si="8">P32-K32</f>
        <v>0</v>
      </c>
      <c r="N32" s="796">
        <f>+SUMIF($F$15:$I$15,"DD",$F32:$I32)+SUMIF($F$15:$I$15,"DB",$F32:$I32)+SUMIF($F$15:$I$15,"DP",$F32:$I32)-SUMIF($F$15:$I$15,"RD",$F32:$I32)</f>
        <v>0</v>
      </c>
      <c r="O32" s="797" t="e">
        <f t="shared" si="6"/>
        <v>#DIV/0!</v>
      </c>
      <c r="P32" s="685">
        <f t="shared" ref="P32:P34" si="9">$C$6*J32</f>
        <v>0</v>
      </c>
      <c r="Q32" s="501"/>
      <c r="R32" s="158"/>
      <c r="S32" s="158"/>
      <c r="T32" s="158"/>
      <c r="U32" s="278" t="e">
        <f>#REF!</f>
        <v>#REF!</v>
      </c>
      <c r="V32" s="471">
        <v>10211002</v>
      </c>
      <c r="W32" s="158" t="e">
        <f>CONCATENATE(#REF!," - ",B32)</f>
        <v>#REF!</v>
      </c>
      <c r="X32" s="171" t="e">
        <f>#REF!</f>
        <v>#REF!</v>
      </c>
      <c r="Y32" s="295"/>
      <c r="Z32" s="158"/>
      <c r="AA32" s="158"/>
      <c r="AB32" s="158"/>
      <c r="AC32" s="158"/>
      <c r="AD32" s="158"/>
      <c r="AE32" s="158"/>
      <c r="AF32" s="158"/>
    </row>
    <row r="33" spans="2:35" s="58" customFormat="1">
      <c r="B33" s="1022"/>
      <c r="C33" s="901"/>
      <c r="D33" s="901" t="s">
        <v>63</v>
      </c>
      <c r="E33" s="1028"/>
      <c r="F33" s="1028"/>
      <c r="G33" s="1029"/>
      <c r="H33" s="1029"/>
      <c r="I33"/>
      <c r="J33" s="682">
        <f>+SUMIF($F$16:$I$16,"NP",$F33:$I33)</f>
        <v>0</v>
      </c>
      <c r="K33" s="909">
        <f>+SUMIF($F$15:$I$15,"ADF",$F33:$I33)</f>
        <v>0</v>
      </c>
      <c r="L33" s="1030">
        <f t="shared" si="7"/>
        <v>0</v>
      </c>
      <c r="M33" s="1031">
        <f t="shared" si="8"/>
        <v>0</v>
      </c>
      <c r="N33" s="796">
        <f>+SUMIF($F$15:$I$15,"DD",$F33:$I33)+SUMIF($F$15:$I$15,"DB",$F33:$I33)+SUMIF($F$15:$I$15,"DP",$F33:$I33)-SUMIF($F$15:$I$15,"RD",$F33:$I33)</f>
        <v>0</v>
      </c>
      <c r="O33" s="797" t="e">
        <f t="shared" si="6"/>
        <v>#DIV/0!</v>
      </c>
      <c r="P33" s="685">
        <f t="shared" si="9"/>
        <v>0</v>
      </c>
      <c r="Q33" s="501"/>
      <c r="R33" s="158"/>
      <c r="S33" s="158"/>
      <c r="T33" s="158"/>
      <c r="U33" s="278" t="e">
        <f>#REF!</f>
        <v>#REF!</v>
      </c>
      <c r="V33" s="471">
        <v>10211002</v>
      </c>
      <c r="W33" s="158" t="e">
        <f>CONCATENATE(#REF!," - ",B33)</f>
        <v>#REF!</v>
      </c>
      <c r="X33" s="171" t="e">
        <f>#REF!</f>
        <v>#REF!</v>
      </c>
      <c r="Y33" s="295"/>
      <c r="Z33" s="158"/>
      <c r="AA33" s="158"/>
      <c r="AB33" s="158"/>
      <c r="AC33" s="158"/>
      <c r="AD33" s="158"/>
      <c r="AE33" s="158"/>
      <c r="AF33" s="158"/>
    </row>
    <row r="34" spans="2:35" s="58" customFormat="1">
      <c r="B34" s="1022"/>
      <c r="C34" s="901"/>
      <c r="D34" s="901" t="s">
        <v>63</v>
      </c>
      <c r="E34" s="1028"/>
      <c r="F34" s="1028"/>
      <c r="G34" s="1029"/>
      <c r="H34" s="1029"/>
      <c r="I34"/>
      <c r="J34" s="682">
        <f>+SUMIF($F$16:$I$16,"NP",$F34:$I34)</f>
        <v>0</v>
      </c>
      <c r="K34" s="909">
        <f>+SUMIF($F$15:$I$15,"ADF",$F34:$I34)</f>
        <v>0</v>
      </c>
      <c r="L34" s="1030">
        <f t="shared" si="7"/>
        <v>0</v>
      </c>
      <c r="M34" s="1031">
        <f t="shared" si="8"/>
        <v>0</v>
      </c>
      <c r="N34" s="796">
        <f>+SUMIF($F$15:$I$15,"DD",$F34:$I34)+SUMIF($F$15:$I$15,"DB",$F34:$I34)+SUMIF($F$15:$I$15,"DP",$F34:$I34)-SUMIF($F$15:$I$15,"RD",$F34:$I34)</f>
        <v>0</v>
      </c>
      <c r="O34" s="797" t="e">
        <f t="shared" si="6"/>
        <v>#DIV/0!</v>
      </c>
      <c r="P34" s="685">
        <f t="shared" si="9"/>
        <v>0</v>
      </c>
      <c r="Q34" s="501"/>
      <c r="R34" s="158"/>
      <c r="S34" s="158"/>
      <c r="T34" s="158"/>
      <c r="U34" s="278" t="e">
        <f>#REF!</f>
        <v>#REF!</v>
      </c>
      <c r="V34" s="471">
        <v>10211002</v>
      </c>
      <c r="W34" s="158" t="e">
        <f>CONCATENATE(#REF!," - ",B34)</f>
        <v>#REF!</v>
      </c>
      <c r="X34" s="171" t="e">
        <f>#REF!</f>
        <v>#REF!</v>
      </c>
      <c r="Y34" s="295"/>
      <c r="Z34" s="158"/>
      <c r="AA34" s="158"/>
      <c r="AB34" s="158"/>
      <c r="AC34" s="158"/>
      <c r="AD34" s="158"/>
      <c r="AE34" s="158"/>
      <c r="AF34" s="158"/>
    </row>
    <row r="35" spans="2:35" s="58" customFormat="1">
      <c r="B35" s="1022"/>
      <c r="C35" s="901"/>
      <c r="D35" s="901"/>
      <c r="E35" s="1028"/>
      <c r="F35" s="1028"/>
      <c r="G35" s="1029"/>
      <c r="H35" s="1029"/>
      <c r="I35"/>
      <c r="J35" s="682"/>
      <c r="K35" s="909"/>
      <c r="L35" s="1030"/>
      <c r="M35" s="909"/>
      <c r="N35" s="773"/>
      <c r="O35" s="798"/>
      <c r="P35" s="685"/>
      <c r="Q35" s="501"/>
      <c r="R35" s="158"/>
      <c r="S35" s="158"/>
      <c r="T35" s="158"/>
      <c r="U35" s="278"/>
      <c r="V35" s="471"/>
      <c r="W35" s="158"/>
      <c r="X35" s="171"/>
      <c r="Y35" s="158"/>
      <c r="Z35" s="158"/>
      <c r="AA35" s="158"/>
      <c r="AB35" s="158"/>
      <c r="AC35" s="158"/>
      <c r="AD35" s="158"/>
      <c r="AE35" s="158"/>
      <c r="AF35" s="158"/>
    </row>
    <row r="36" spans="2:35" s="58" customFormat="1">
      <c r="B36" s="1004"/>
      <c r="C36" s="901"/>
      <c r="D36" s="1004"/>
      <c r="E36" s="1028"/>
      <c r="F36" s="1028"/>
      <c r="G36" s="1029"/>
      <c r="H36" s="1029"/>
      <c r="I36"/>
      <c r="J36" s="682"/>
      <c r="K36" s="909"/>
      <c r="L36" s="1035"/>
      <c r="M36" s="905"/>
      <c r="N36" s="779"/>
      <c r="O36" s="799"/>
      <c r="P36" s="685"/>
      <c r="Q36" s="501"/>
      <c r="R36" s="158"/>
      <c r="S36" s="158"/>
      <c r="T36" s="158"/>
      <c r="U36" s="278"/>
      <c r="V36" s="471"/>
      <c r="W36" s="158"/>
      <c r="X36" s="171"/>
      <c r="Y36" s="295"/>
      <c r="Z36" s="158"/>
      <c r="AA36" s="158"/>
      <c r="AB36" s="158"/>
      <c r="AC36" s="158"/>
      <c r="AD36" s="158"/>
      <c r="AE36" s="158"/>
      <c r="AF36" s="158"/>
      <c r="AG36" s="158"/>
      <c r="AH36" s="158"/>
      <c r="AI36" s="158"/>
    </row>
    <row r="37" spans="2:35" s="58" customFormat="1">
      <c r="B37" s="1366" t="s">
        <v>370</v>
      </c>
      <c r="C37" s="1367"/>
      <c r="D37" s="1368"/>
      <c r="E37" s="1369">
        <f>SUM(E28:E36)</f>
        <v>0</v>
      </c>
      <c r="F37" s="1369">
        <f>SUM(F28:F36)</f>
        <v>0</v>
      </c>
      <c r="G37" s="1371"/>
      <c r="H37" s="1371">
        <f>SUM(H28:H36)</f>
        <v>0</v>
      </c>
      <c r="I37"/>
      <c r="J37" s="686">
        <f>SUM(J31:J34)</f>
        <v>0</v>
      </c>
      <c r="K37" s="1375">
        <f>SUM(K31:K34)</f>
        <v>0</v>
      </c>
      <c r="L37" s="1373" t="e">
        <f>K37/P37</f>
        <v>#DIV/0!</v>
      </c>
      <c r="M37" s="1375">
        <f>SUM(M31:M34)</f>
        <v>0</v>
      </c>
      <c r="N37" s="1376"/>
      <c r="O37" s="1376"/>
      <c r="P37" s="687">
        <f>SUM(P31:P34)</f>
        <v>0</v>
      </c>
      <c r="Q37" s="518"/>
      <c r="R37" s="158"/>
      <c r="S37" s="158"/>
      <c r="T37" s="158"/>
      <c r="U37" s="278"/>
      <c r="V37" s="471"/>
      <c r="W37" s="158"/>
      <c r="X37" s="171"/>
      <c r="Y37" s="158"/>
      <c r="Z37" s="158"/>
      <c r="AA37" s="158"/>
      <c r="AB37" s="158"/>
      <c r="AC37" s="158"/>
      <c r="AD37" s="158"/>
      <c r="AE37" s="158"/>
      <c r="AF37" s="158"/>
      <c r="AG37" s="158"/>
      <c r="AH37" s="158"/>
      <c r="AI37" s="158"/>
    </row>
    <row r="38" spans="2:35" s="58" customFormat="1">
      <c r="B38" s="1036"/>
      <c r="C38" s="901"/>
      <c r="D38" s="1004"/>
      <c r="E38" s="1028"/>
      <c r="F38" s="1028"/>
      <c r="G38" s="1026"/>
      <c r="H38" s="1026"/>
      <c r="I38"/>
      <c r="J38" s="682"/>
      <c r="K38" s="909"/>
      <c r="L38" s="1035"/>
      <c r="M38" s="905"/>
      <c r="N38" s="779"/>
      <c r="O38" s="799"/>
      <c r="P38" s="685"/>
      <c r="Q38" s="501"/>
      <c r="R38" s="158"/>
      <c r="S38" s="158"/>
      <c r="T38" s="158"/>
      <c r="U38" s="278"/>
      <c r="V38" s="471"/>
      <c r="W38" s="158"/>
      <c r="X38" s="171"/>
      <c r="Y38" s="158"/>
      <c r="Z38" s="158"/>
      <c r="AA38" s="158"/>
      <c r="AB38" s="158"/>
      <c r="AC38" s="158"/>
      <c r="AD38" s="158"/>
      <c r="AE38" s="158"/>
      <c r="AF38" s="158"/>
      <c r="AG38" s="158"/>
      <c r="AH38" s="158"/>
      <c r="AI38" s="158"/>
    </row>
    <row r="39" spans="2:35" s="58" customFormat="1">
      <c r="B39" s="1355" t="s">
        <v>363</v>
      </c>
      <c r="C39" s="901"/>
      <c r="D39" s="1034"/>
      <c r="E39" s="1028"/>
      <c r="F39" s="1028"/>
      <c r="G39" s="1029"/>
      <c r="H39" s="1029"/>
      <c r="I39"/>
      <c r="J39" s="682"/>
      <c r="K39" s="909"/>
      <c r="L39" s="909"/>
      <c r="M39" s="909"/>
      <c r="N39" s="773"/>
      <c r="O39" s="773"/>
      <c r="P39" s="685"/>
      <c r="Q39" s="501"/>
      <c r="R39" s="158"/>
      <c r="S39" s="158"/>
      <c r="T39" s="158"/>
      <c r="U39" s="278"/>
      <c r="V39" s="471"/>
      <c r="W39" s="158"/>
      <c r="X39" s="171"/>
      <c r="Y39" s="295"/>
      <c r="Z39" s="158"/>
      <c r="AA39" s="158"/>
      <c r="AB39" s="158"/>
      <c r="AC39" s="158"/>
      <c r="AD39" s="158"/>
      <c r="AE39" s="158"/>
      <c r="AF39" s="158"/>
    </row>
    <row r="40" spans="2:35" s="58" customFormat="1">
      <c r="B40" s="1037"/>
      <c r="C40" s="901"/>
      <c r="D40" s="1034"/>
      <c r="E40" s="1028"/>
      <c r="F40" s="1028"/>
      <c r="G40" s="1029"/>
      <c r="H40" s="1029"/>
      <c r="I40"/>
      <c r="J40" s="682"/>
      <c r="K40" s="909"/>
      <c r="L40" s="909"/>
      <c r="M40" s="909"/>
      <c r="N40" s="773"/>
      <c r="O40" s="773"/>
      <c r="P40" s="685"/>
      <c r="Q40" s="501"/>
      <c r="R40" s="158"/>
      <c r="S40" s="158"/>
      <c r="T40" s="158"/>
      <c r="U40" s="278"/>
      <c r="V40" s="471"/>
      <c r="W40" s="158"/>
      <c r="X40" s="171"/>
      <c r="Y40" s="295"/>
      <c r="Z40" s="158"/>
      <c r="AA40" s="158"/>
      <c r="AB40" s="158"/>
      <c r="AC40" s="158"/>
      <c r="AD40" s="158"/>
      <c r="AE40" s="158"/>
      <c r="AF40" s="158"/>
    </row>
    <row r="41" spans="2:35" s="58" customFormat="1" ht="25.5">
      <c r="B41" s="1004" t="s">
        <v>371</v>
      </c>
      <c r="C41" s="901"/>
      <c r="D41" s="1038" t="s">
        <v>18</v>
      </c>
      <c r="E41" s="1028">
        <v>1000</v>
      </c>
      <c r="F41" s="1028">
        <v>1</v>
      </c>
      <c r="G41" s="1039">
        <v>2</v>
      </c>
      <c r="H41" s="1039">
        <f>H14*E41</f>
        <v>92.232370021000008</v>
      </c>
      <c r="I41"/>
      <c r="J41" s="682">
        <f>+SUMIF($F$15:$I$15,"NP",$F41:$I41)</f>
        <v>1</v>
      </c>
      <c r="K41" s="909">
        <f>+SUMIF($F$15:$I$15,"ADF",$F41:$I41)</f>
        <v>94.232370021000008</v>
      </c>
      <c r="L41" s="1030">
        <f t="shared" ref="L41" si="10">IFERROR(K41/P41,0)</f>
        <v>9.4232370021000003E-2</v>
      </c>
      <c r="M41" s="1031">
        <f t="shared" ref="M41" si="11">P41-K41</f>
        <v>905.76762997900005</v>
      </c>
      <c r="N41" s="796">
        <f>+SUMIF($F$15:$I$15,"DD",$F41:$I41)+SUMIF($F$15:$I$15,"DB",$F41:$I41)+SUMIF($F$15:$I$15,"DP",$F41:$I41)-SUMIF($F$15:$I$15,"RD",$F41:$I41)</f>
        <v>0</v>
      </c>
      <c r="O41" s="800">
        <f t="shared" ref="O41" si="12">N41/P41</f>
        <v>0</v>
      </c>
      <c r="P41" s="685">
        <f>$C$7*J41</f>
        <v>1000</v>
      </c>
      <c r="Q41" s="501"/>
      <c r="R41" s="171"/>
      <c r="S41" s="158"/>
      <c r="T41" s="158"/>
      <c r="U41" s="278" t="e">
        <f>#REF!</f>
        <v>#REF!</v>
      </c>
      <c r="V41" s="471">
        <v>10213000</v>
      </c>
      <c r="W41" s="158" t="e">
        <f>CONCATENATE(#REF!," - ",B41)</f>
        <v>#REF!</v>
      </c>
      <c r="X41" s="171" t="e">
        <f>#REF!</f>
        <v>#REF!</v>
      </c>
      <c r="Y41" s="295"/>
      <c r="Z41" s="158"/>
      <c r="AA41" s="158"/>
      <c r="AB41" s="158"/>
      <c r="AC41" s="158"/>
      <c r="AD41" s="158"/>
      <c r="AE41" s="158"/>
      <c r="AF41" s="158"/>
    </row>
    <row r="42" spans="2:35" s="58" customFormat="1" ht="13.35" customHeight="1">
      <c r="B42" s="1004"/>
      <c r="C42" s="901"/>
      <c r="D42" s="1034"/>
      <c r="E42" s="1028"/>
      <c r="F42" s="1028"/>
      <c r="G42" s="1029"/>
      <c r="H42" s="1029"/>
      <c r="I42"/>
      <c r="J42" s="682"/>
      <c r="K42" s="909"/>
      <c r="L42" s="1030"/>
      <c r="M42" s="1031"/>
      <c r="N42" s="796"/>
      <c r="O42" s="800"/>
      <c r="P42" s="685"/>
      <c r="Q42" s="501"/>
      <c r="R42" s="158"/>
      <c r="S42" s="158"/>
      <c r="T42" s="158"/>
      <c r="U42" s="278" t="e">
        <f>#REF!</f>
        <v>#REF!</v>
      </c>
      <c r="V42" s="471">
        <v>10213000</v>
      </c>
      <c r="W42" s="158" t="e">
        <f>CONCATENATE(#REF!," - ",B42)</f>
        <v>#REF!</v>
      </c>
      <c r="X42" s="171" t="e">
        <f>#REF!</f>
        <v>#REF!</v>
      </c>
      <c r="Y42" s="295"/>
      <c r="Z42" s="158"/>
      <c r="AA42" s="158"/>
      <c r="AB42" s="158"/>
      <c r="AC42" s="158"/>
      <c r="AD42" s="158"/>
      <c r="AE42" s="158"/>
      <c r="AF42" s="158"/>
    </row>
    <row r="43" spans="2:35" s="58" customFormat="1" ht="13.35" customHeight="1">
      <c r="B43" s="1004"/>
      <c r="C43" s="901"/>
      <c r="D43" s="1034"/>
      <c r="E43" s="1028"/>
      <c r="F43" s="1028"/>
      <c r="G43" s="1029"/>
      <c r="H43" s="1029"/>
      <c r="I43"/>
      <c r="J43" s="682"/>
      <c r="K43" s="909"/>
      <c r="L43" s="1030"/>
      <c r="M43" s="1031"/>
      <c r="N43" s="796"/>
      <c r="O43" s="800"/>
      <c r="P43" s="685"/>
      <c r="Q43" s="501"/>
      <c r="R43" s="158"/>
      <c r="S43" s="158"/>
      <c r="T43" s="158"/>
      <c r="U43" s="278" t="e">
        <f>#REF!</f>
        <v>#REF!</v>
      </c>
      <c r="V43" s="471">
        <v>10213000</v>
      </c>
      <c r="W43" s="158" t="e">
        <f>CONCATENATE(#REF!," - ",B43)</f>
        <v>#REF!</v>
      </c>
      <c r="X43" s="171" t="e">
        <f>#REF!</f>
        <v>#REF!</v>
      </c>
      <c r="Y43" s="295"/>
      <c r="Z43" s="158"/>
      <c r="AA43" s="158"/>
      <c r="AB43" s="158"/>
      <c r="AC43" s="158"/>
      <c r="AD43" s="158"/>
      <c r="AE43" s="158"/>
      <c r="AF43" s="158"/>
    </row>
    <row r="44" spans="2:35">
      <c r="B44" s="858"/>
      <c r="C44" s="1040"/>
      <c r="D44" s="858"/>
      <c r="E44" s="1025"/>
      <c r="F44" s="1025"/>
      <c r="G44" s="1041"/>
      <c r="H44" s="1041"/>
      <c r="J44" s="688"/>
      <c r="K44" s="1042"/>
      <c r="L44" s="1027"/>
      <c r="M44" s="908"/>
      <c r="N44" s="793"/>
      <c r="O44" s="795"/>
      <c r="P44" s="689"/>
      <c r="Q44" s="381"/>
      <c r="V44" s="471"/>
      <c r="Y44" s="82"/>
      <c r="AE44" s="30"/>
      <c r="AF44" s="30"/>
      <c r="AG44" s="30"/>
      <c r="AH44" s="30"/>
      <c r="AI44" s="30"/>
    </row>
    <row r="45" spans="2:35">
      <c r="B45" s="1366" t="s">
        <v>372</v>
      </c>
      <c r="C45" s="1367"/>
      <c r="D45" s="857"/>
      <c r="E45" s="1369">
        <f>SUM(E39:E44)</f>
        <v>1000</v>
      </c>
      <c r="F45" s="1369">
        <f>SUM(F39:F44)</f>
        <v>1</v>
      </c>
      <c r="G45" s="1377">
        <f>SUM(G39:G44)</f>
        <v>2</v>
      </c>
      <c r="H45" s="1377">
        <f>SUM(H39:H44)</f>
        <v>92.232370021000008</v>
      </c>
      <c r="J45" s="686">
        <f>SUM(J41:J43)</f>
        <v>1</v>
      </c>
      <c r="K45" s="1375">
        <f>SUM(K41:K43)</f>
        <v>94.232370021000008</v>
      </c>
      <c r="L45" s="1373">
        <f>K45/P45</f>
        <v>9.4232370021000003E-2</v>
      </c>
      <c r="M45" s="1375">
        <f>SUM(M41:M43)</f>
        <v>905.76762997900005</v>
      </c>
      <c r="N45" s="1375">
        <f>SUM(N41:N43)</f>
        <v>0</v>
      </c>
      <c r="O45" s="1375">
        <f>SUM(O41:O43)</f>
        <v>0</v>
      </c>
      <c r="P45" s="687">
        <f>SUM(P41:P43)</f>
        <v>1000</v>
      </c>
      <c r="Q45" s="518"/>
      <c r="V45" s="471"/>
      <c r="AE45" s="30"/>
      <c r="AF45" s="30"/>
      <c r="AG45" s="30"/>
      <c r="AH45" s="30"/>
      <c r="AI45" s="30"/>
    </row>
    <row r="46" spans="2:35" ht="13.5" thickBot="1">
      <c r="B46" s="1043"/>
      <c r="C46" s="1040"/>
      <c r="D46" s="858"/>
      <c r="E46" s="1025"/>
      <c r="F46" s="1025"/>
      <c r="G46" s="1026"/>
      <c r="H46" s="1026"/>
      <c r="J46" s="688"/>
      <c r="K46" s="1042"/>
      <c r="L46" s="1027"/>
      <c r="M46" s="908"/>
      <c r="N46" s="793"/>
      <c r="O46" s="795"/>
      <c r="P46" s="689"/>
      <c r="Q46" s="381"/>
      <c r="V46" s="471"/>
      <c r="AE46" s="30"/>
      <c r="AF46" s="30"/>
      <c r="AG46" s="30"/>
      <c r="AH46" s="30"/>
      <c r="AI46" s="30"/>
    </row>
    <row r="47" spans="2:35" s="83" customFormat="1" ht="15.75" thickBot="1">
      <c r="B47" s="108" t="s">
        <v>373</v>
      </c>
      <c r="C47" s="112"/>
      <c r="D47" s="109"/>
      <c r="E47" s="720">
        <f>E45+E37+E27</f>
        <v>943269700</v>
      </c>
      <c r="F47" s="720">
        <f>F45+F37+F27</f>
        <v>943269.7</v>
      </c>
      <c r="G47" s="720">
        <f>G45+G37+G27</f>
        <v>1886539.4000000001</v>
      </c>
      <c r="H47" s="720">
        <f>H45+H37+H27</f>
        <v>86999999.999997661</v>
      </c>
      <c r="I47"/>
      <c r="J47" s="690">
        <f>J45+J37+J27</f>
        <v>943269.7</v>
      </c>
      <c r="K47" s="691">
        <f>K45+K37+K27</f>
        <v>88886539.399997652</v>
      </c>
      <c r="L47" s="692">
        <f>K47/P47</f>
        <v>9.4232370020999989E-2</v>
      </c>
      <c r="M47" s="721">
        <f>M45+M37+M27</f>
        <v>854383160.60000241</v>
      </c>
      <c r="N47" s="721">
        <f>N45+N37+N27</f>
        <v>0</v>
      </c>
      <c r="O47" s="693">
        <f>O45+O37+O27</f>
        <v>0</v>
      </c>
      <c r="P47" s="723">
        <f>P45+P37+P27</f>
        <v>943269700</v>
      </c>
      <c r="Q47" s="698"/>
      <c r="R47" s="84"/>
      <c r="S47" s="81"/>
      <c r="T47" s="81"/>
      <c r="U47" s="469"/>
      <c r="V47" s="471"/>
      <c r="W47" s="84"/>
      <c r="X47" s="472"/>
      <c r="Y47" s="81"/>
      <c r="Z47" s="81"/>
      <c r="AA47" s="81"/>
      <c r="AB47" s="81"/>
      <c r="AC47" s="81"/>
      <c r="AD47" s="81"/>
      <c r="AE47" s="81"/>
      <c r="AF47" s="81"/>
      <c r="AG47" s="81"/>
      <c r="AH47" s="81"/>
      <c r="AI47" s="81"/>
    </row>
    <row r="48" spans="2:35" ht="15">
      <c r="G48" s="215"/>
      <c r="H48" s="215"/>
      <c r="J48" s="694"/>
      <c r="L48" s="30"/>
      <c r="M48" s="30"/>
      <c r="N48" s="30"/>
      <c r="O48" s="30"/>
      <c r="T48" s="84"/>
      <c r="U48" s="470"/>
      <c r="V48" s="471"/>
      <c r="AE48" s="30"/>
      <c r="AF48" s="30"/>
      <c r="AG48" s="30"/>
    </row>
    <row r="49" spans="2:33">
      <c r="B49" s="85"/>
      <c r="C49" s="113"/>
      <c r="E49" s="148"/>
      <c r="F49" s="148"/>
      <c r="G49" s="280"/>
      <c r="H49" s="280"/>
      <c r="J49" s="30"/>
      <c r="L49" s="30"/>
      <c r="M49" s="30"/>
      <c r="N49" s="30"/>
      <c r="O49" s="30"/>
      <c r="V49" s="471"/>
      <c r="AE49" s="30"/>
      <c r="AF49" s="30"/>
      <c r="AG49" s="30"/>
    </row>
    <row r="50" spans="2:33">
      <c r="E50" s="743"/>
      <c r="G50" s="149"/>
      <c r="H50" s="149"/>
      <c r="K50"/>
      <c r="P50"/>
      <c r="Q50"/>
      <c r="R50"/>
      <c r="V50" s="471"/>
      <c r="AE50" s="30"/>
      <c r="AF50" s="30"/>
      <c r="AG50" s="30"/>
    </row>
    <row r="51" spans="2:33">
      <c r="C51"/>
      <c r="E51"/>
      <c r="F51"/>
      <c r="G51" s="149"/>
      <c r="H51" s="149"/>
      <c r="K51"/>
      <c r="P51"/>
      <c r="Q51"/>
      <c r="R51"/>
      <c r="V51" s="471"/>
      <c r="AE51" s="30"/>
      <c r="AF51" s="30"/>
      <c r="AG51" s="30"/>
    </row>
    <row r="52" spans="2:33">
      <c r="C52"/>
      <c r="E52"/>
      <c r="F52"/>
      <c r="G52" s="149"/>
      <c r="H52" s="149"/>
      <c r="K52"/>
      <c r="P52"/>
      <c r="Q52"/>
      <c r="R52"/>
      <c r="V52" s="471"/>
      <c r="AE52" s="30"/>
      <c r="AF52" s="30"/>
      <c r="AG52" s="30"/>
    </row>
    <row r="53" spans="2:33">
      <c r="C53"/>
      <c r="E53"/>
      <c r="F53"/>
      <c r="G53" s="149"/>
      <c r="H53" s="149"/>
      <c r="K53"/>
      <c r="P53"/>
      <c r="Q53"/>
      <c r="R53"/>
      <c r="V53" s="471"/>
      <c r="AE53" s="30"/>
      <c r="AF53" s="30"/>
      <c r="AG53" s="30"/>
    </row>
    <row r="54" spans="2:33">
      <c r="C54"/>
      <c r="E54"/>
      <c r="F54"/>
      <c r="G54" s="149"/>
      <c r="H54" s="149"/>
      <c r="K54"/>
      <c r="P54"/>
      <c r="Q54"/>
      <c r="R54"/>
      <c r="V54" s="471"/>
      <c r="AE54" s="30"/>
      <c r="AF54" s="30"/>
      <c r="AG54" s="30"/>
    </row>
    <row r="55" spans="2:33">
      <c r="C55"/>
      <c r="D55" s="5"/>
      <c r="E55"/>
      <c r="F55"/>
      <c r="G55" s="149"/>
      <c r="H55" s="149"/>
      <c r="K55"/>
      <c r="P55"/>
      <c r="Q55"/>
      <c r="R55"/>
      <c r="V55" s="471"/>
      <c r="AE55" s="30"/>
      <c r="AF55" s="30"/>
      <c r="AG55" s="30"/>
    </row>
    <row r="56" spans="2:33">
      <c r="D56" s="5"/>
      <c r="K56"/>
      <c r="P56"/>
      <c r="Q56"/>
      <c r="R56"/>
      <c r="V56" s="471"/>
      <c r="AE56" s="30"/>
      <c r="AF56" s="30"/>
      <c r="AG56" s="30"/>
    </row>
    <row r="57" spans="2:33">
      <c r="D57" s="5"/>
      <c r="K57"/>
      <c r="P57"/>
      <c r="Q57"/>
      <c r="R57"/>
      <c r="V57" s="471"/>
      <c r="AE57" s="30"/>
      <c r="AF57" s="30"/>
      <c r="AG57" s="30"/>
    </row>
    <row r="58" spans="2:33">
      <c r="D58" s="5"/>
      <c r="K58"/>
      <c r="P58"/>
      <c r="Q58"/>
      <c r="R58"/>
      <c r="V58" s="471"/>
      <c r="AE58" s="30"/>
      <c r="AF58" s="30"/>
      <c r="AG58" s="30"/>
    </row>
    <row r="59" spans="2:33">
      <c r="K59"/>
      <c r="P59"/>
      <c r="Q59"/>
      <c r="R59"/>
      <c r="V59" s="471"/>
      <c r="AE59" s="30"/>
      <c r="AF59" s="30"/>
      <c r="AG59" s="30"/>
    </row>
    <row r="60" spans="2:33">
      <c r="K60"/>
      <c r="P60"/>
      <c r="Q60"/>
      <c r="R60"/>
      <c r="V60" s="471"/>
      <c r="AE60" s="30"/>
      <c r="AF60" s="30"/>
      <c r="AG60" s="30"/>
    </row>
    <row r="61" spans="2:33">
      <c r="K61"/>
      <c r="P61"/>
      <c r="Q61"/>
      <c r="R61"/>
      <c r="V61" s="471"/>
      <c r="AE61" s="30"/>
      <c r="AF61" s="30"/>
      <c r="AG61" s="30"/>
    </row>
    <row r="62" spans="2:33">
      <c r="K62"/>
      <c r="P62"/>
      <c r="Q62"/>
      <c r="R62"/>
      <c r="V62" s="471"/>
      <c r="AE62" s="30"/>
      <c r="AF62" s="30"/>
      <c r="AG62" s="30"/>
    </row>
    <row r="63" spans="2:33">
      <c r="K63"/>
      <c r="P63"/>
      <c r="Q63"/>
      <c r="R63"/>
      <c r="V63" s="471"/>
      <c r="AE63" s="30"/>
      <c r="AF63" s="30"/>
      <c r="AG63" s="30"/>
    </row>
    <row r="64" spans="2:33">
      <c r="K64"/>
      <c r="P64"/>
      <c r="Q64"/>
      <c r="R64"/>
      <c r="V64" s="471"/>
      <c r="AE64" s="30"/>
      <c r="AF64" s="30"/>
      <c r="AG64" s="30"/>
    </row>
    <row r="65" spans="7:33">
      <c r="K65"/>
      <c r="P65"/>
      <c r="Q65"/>
      <c r="R65"/>
      <c r="V65" s="471"/>
      <c r="AE65" s="30"/>
      <c r="AF65" s="30"/>
      <c r="AG65" s="30"/>
    </row>
    <row r="66" spans="7:33">
      <c r="K66"/>
      <c r="P66"/>
      <c r="Q66"/>
      <c r="R66"/>
      <c r="V66" s="471"/>
      <c r="AE66" s="30"/>
      <c r="AF66" s="30"/>
      <c r="AG66" s="30"/>
    </row>
    <row r="67" spans="7:33">
      <c r="K67"/>
      <c r="P67"/>
      <c r="Q67"/>
      <c r="R67"/>
      <c r="V67" s="471"/>
      <c r="AE67" s="30"/>
      <c r="AF67" s="30"/>
      <c r="AG67" s="30"/>
    </row>
    <row r="68" spans="7:33">
      <c r="G68" s="159"/>
      <c r="H68" s="159"/>
      <c r="K68"/>
      <c r="P68"/>
      <c r="Q68"/>
      <c r="R68"/>
      <c r="V68" s="471"/>
      <c r="AE68" s="30"/>
      <c r="AF68" s="30"/>
      <c r="AG68" s="30"/>
    </row>
    <row r="69" spans="7:33">
      <c r="G69" s="158"/>
      <c r="H69" s="158"/>
      <c r="K69"/>
      <c r="P69"/>
      <c r="Q69"/>
      <c r="R69"/>
      <c r="V69" s="471"/>
      <c r="AE69" s="30"/>
      <c r="AF69" s="30"/>
      <c r="AG69" s="30"/>
    </row>
    <row r="70" spans="7:33">
      <c r="G70" s="158"/>
      <c r="H70" s="158"/>
      <c r="K70"/>
      <c r="P70"/>
      <c r="Q70"/>
      <c r="R70"/>
      <c r="V70" s="471"/>
      <c r="AE70" s="30"/>
      <c r="AF70" s="30"/>
      <c r="AG70" s="30"/>
    </row>
    <row r="71" spans="7:33">
      <c r="G71" s="158"/>
      <c r="H71" s="158"/>
      <c r="K71"/>
      <c r="P71"/>
      <c r="Q71"/>
      <c r="R71"/>
      <c r="V71" s="471"/>
      <c r="AE71" s="30"/>
      <c r="AF71" s="30"/>
      <c r="AG71" s="30"/>
    </row>
    <row r="72" spans="7:33">
      <c r="G72" s="158"/>
      <c r="H72" s="158"/>
      <c r="K72"/>
      <c r="P72"/>
      <c r="Q72"/>
      <c r="R72"/>
      <c r="V72" s="471"/>
      <c r="AE72" s="30"/>
      <c r="AF72" s="30"/>
      <c r="AG72" s="30"/>
    </row>
    <row r="73" spans="7:33">
      <c r="K73"/>
      <c r="P73"/>
      <c r="Q73"/>
      <c r="R73"/>
      <c r="V73" s="471"/>
      <c r="AE73" s="30"/>
      <c r="AF73" s="30"/>
      <c r="AG73" s="30"/>
    </row>
    <row r="74" spans="7:33">
      <c r="K74"/>
      <c r="P74"/>
      <c r="Q74"/>
      <c r="R74"/>
      <c r="V74" s="471"/>
      <c r="AE74" s="30"/>
      <c r="AF74" s="30"/>
      <c r="AG74" s="30"/>
    </row>
    <row r="75" spans="7:33">
      <c r="J75" s="30"/>
      <c r="L75" s="30"/>
      <c r="M75" s="30"/>
      <c r="N75" s="30"/>
      <c r="O75" s="30"/>
      <c r="V75" s="471"/>
      <c r="AE75" s="30"/>
      <c r="AF75" s="30"/>
      <c r="AG75" s="30"/>
    </row>
    <row r="76" spans="7:33">
      <c r="J76" s="30"/>
      <c r="L76" s="30"/>
      <c r="M76" s="30"/>
      <c r="N76" s="30"/>
      <c r="O76" s="30"/>
      <c r="V76" s="471"/>
      <c r="AE76" s="30"/>
      <c r="AF76" s="30"/>
      <c r="AG76" s="30"/>
    </row>
    <row r="77" spans="7:33">
      <c r="J77" s="30"/>
      <c r="L77" s="30"/>
      <c r="M77" s="30"/>
      <c r="N77" s="30"/>
      <c r="O77" s="30"/>
      <c r="V77" s="471"/>
      <c r="AE77" s="30"/>
      <c r="AF77" s="30"/>
      <c r="AG77" s="30"/>
    </row>
    <row r="78" spans="7:33">
      <c r="J78" s="30"/>
      <c r="L78" s="30"/>
      <c r="M78" s="30"/>
      <c r="N78" s="30"/>
      <c r="O78" s="30"/>
      <c r="V78" s="471"/>
      <c r="AE78" s="30"/>
      <c r="AF78" s="30"/>
      <c r="AG78" s="30"/>
    </row>
    <row r="79" spans="7:33">
      <c r="J79" s="30"/>
      <c r="L79" s="30"/>
      <c r="M79" s="30"/>
      <c r="N79" s="30"/>
      <c r="O79" s="30"/>
      <c r="V79" s="471"/>
      <c r="AE79" s="30"/>
      <c r="AF79" s="30"/>
      <c r="AG79" s="30"/>
    </row>
    <row r="80" spans="7:33">
      <c r="J80" s="30"/>
      <c r="L80" s="30"/>
      <c r="M80" s="30"/>
      <c r="N80" s="30"/>
      <c r="O80" s="30"/>
      <c r="V80" s="471"/>
      <c r="AE80" s="30"/>
      <c r="AF80" s="30"/>
      <c r="AG80" s="30"/>
    </row>
    <row r="81" spans="10:33">
      <c r="J81" s="30"/>
      <c r="L81" s="30"/>
      <c r="M81" s="30"/>
      <c r="N81" s="30"/>
      <c r="O81" s="30"/>
      <c r="V81" s="471"/>
      <c r="AE81" s="30"/>
      <c r="AF81" s="30"/>
      <c r="AG81" s="30"/>
    </row>
    <row r="82" spans="10:33">
      <c r="J82" s="30"/>
      <c r="L82" s="30"/>
      <c r="M82" s="30"/>
      <c r="N82" s="30"/>
      <c r="O82" s="30"/>
      <c r="V82" s="471"/>
      <c r="AE82" s="30"/>
      <c r="AF82" s="30"/>
      <c r="AG82" s="30"/>
    </row>
    <row r="83" spans="10:33">
      <c r="J83" s="30"/>
      <c r="L83" s="30"/>
      <c r="M83" s="30"/>
      <c r="N83" s="30"/>
      <c r="O83" s="30"/>
      <c r="V83" s="471"/>
      <c r="AE83" s="30"/>
      <c r="AF83" s="30"/>
      <c r="AG83" s="30"/>
    </row>
    <row r="84" spans="10:33">
      <c r="J84" s="30"/>
      <c r="L84" s="30"/>
      <c r="M84" s="30"/>
      <c r="N84" s="30"/>
      <c r="O84" s="30"/>
      <c r="V84" s="471"/>
      <c r="AE84" s="30"/>
      <c r="AF84" s="30"/>
      <c r="AG84" s="30"/>
    </row>
    <row r="85" spans="10:33">
      <c r="J85" s="30"/>
      <c r="L85" s="30"/>
      <c r="M85" s="30"/>
      <c r="N85" s="30"/>
      <c r="O85" s="30"/>
      <c r="V85" s="471"/>
      <c r="AE85" s="30"/>
      <c r="AF85" s="30"/>
      <c r="AG85" s="30"/>
    </row>
    <row r="86" spans="10:33">
      <c r="J86" s="30"/>
      <c r="L86" s="30"/>
      <c r="M86" s="30"/>
      <c r="N86" s="30"/>
      <c r="O86" s="30"/>
      <c r="AE86" s="30"/>
      <c r="AF86" s="30"/>
      <c r="AG86" s="30"/>
    </row>
    <row r="87" spans="10:33">
      <c r="J87" s="30"/>
      <c r="L87" s="30"/>
      <c r="M87" s="30"/>
      <c r="N87" s="30"/>
      <c r="O87" s="30"/>
      <c r="AE87" s="30"/>
      <c r="AF87" s="30"/>
      <c r="AG87" s="30"/>
    </row>
    <row r="88" spans="10:33">
      <c r="J88" s="30"/>
      <c r="L88" s="30"/>
      <c r="M88" s="30"/>
      <c r="N88" s="30"/>
      <c r="O88" s="30"/>
      <c r="AE88" s="30"/>
      <c r="AF88" s="30"/>
      <c r="AG88" s="30"/>
    </row>
    <row r="89" spans="10:33">
      <c r="J89" s="30"/>
      <c r="L89" s="30"/>
      <c r="M89" s="30"/>
      <c r="N89" s="30"/>
      <c r="O89" s="30"/>
      <c r="AE89" s="30"/>
      <c r="AF89" s="30"/>
      <c r="AG89" s="30"/>
    </row>
  </sheetData>
  <autoFilter ref="B18:E47" xr:uid="{00000000-0001-0000-0D00-000000000000}"/>
  <mergeCells count="2">
    <mergeCell ref="J17:P17"/>
    <mergeCell ref="U17:X17"/>
  </mergeCells>
  <phoneticPr fontId="18" type="noConversion"/>
  <pageMargins left="0.15748031496062992" right="0.19685039370078741" top="0.19685039370078741" bottom="0.15748031496062992" header="0.51181102362204722" footer="0.51181102362204722"/>
  <pageSetup paperSize="9" scale="54" orientation="landscape"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3"/>
  <dimension ref="A1:AE26"/>
  <sheetViews>
    <sheetView view="pageBreakPreview" zoomScaleNormal="100" zoomScaleSheetLayoutView="100" workbookViewId="0">
      <selection activeCell="F10" sqref="F10"/>
    </sheetView>
  </sheetViews>
  <sheetFormatPr defaultColWidth="11.42578125" defaultRowHeight="12.75"/>
  <cols>
    <col min="1" max="1" width="5.5703125" customWidth="1"/>
    <col min="2" max="2" width="25.140625" bestFit="1" customWidth="1"/>
    <col min="3" max="3" width="20.42578125" style="8" customWidth="1"/>
    <col min="4" max="4" width="21.42578125" bestFit="1" customWidth="1"/>
    <col min="5" max="5" width="14.5703125" customWidth="1"/>
    <col min="6" max="6" width="17.42578125" customWidth="1"/>
    <col min="7" max="7" width="1.42578125" customWidth="1"/>
    <col min="8" max="8" width="32.42578125" bestFit="1" customWidth="1"/>
    <col min="9" max="9" width="15.5703125" bestFit="1" customWidth="1"/>
    <col min="10" max="10" width="17.5703125" customWidth="1"/>
    <col min="11" max="11" width="46" customWidth="1"/>
  </cols>
  <sheetData>
    <row r="1" spans="1:31" s="97" customFormat="1" ht="21.75" customHeight="1">
      <c r="B1" s="97" t="str">
        <f>Inventaire!B1</f>
        <v>BOLZEN - SLP</v>
      </c>
      <c r="C1" s="98"/>
      <c r="D1" s="97" t="s">
        <v>374</v>
      </c>
      <c r="F1" s="99">
        <f>Sommaire!C1</f>
        <v>46022</v>
      </c>
      <c r="H1" s="97" t="s">
        <v>375</v>
      </c>
    </row>
    <row r="2" spans="1:31">
      <c r="H2" s="92">
        <f>+SUMIF(A10:A15,"&lt;="&amp;5,D10:D15)/D7</f>
        <v>1</v>
      </c>
    </row>
    <row r="3" spans="1:31">
      <c r="C3" s="1378" t="s">
        <v>14</v>
      </c>
      <c r="D3" s="1378" t="s">
        <v>376</v>
      </c>
      <c r="E3" s="1378" t="s">
        <v>377</v>
      </c>
    </row>
    <row r="4" spans="1:31">
      <c r="C4" s="1379" t="s">
        <v>62</v>
      </c>
      <c r="D4" s="1380">
        <f>'Calcul VL'!C8</f>
        <v>943268.7</v>
      </c>
      <c r="E4" s="1381">
        <f>Inventaire!F9</f>
        <v>95.480210999999997</v>
      </c>
    </row>
    <row r="5" spans="1:31">
      <c r="C5" s="1379" t="s">
        <v>63</v>
      </c>
      <c r="D5" s="1380">
        <f>'Calcul VL'!C9</f>
        <v>0</v>
      </c>
      <c r="E5" s="1381">
        <f>Inventaire!G9</f>
        <v>0</v>
      </c>
    </row>
    <row r="6" spans="1:31">
      <c r="C6" s="1382" t="s">
        <v>18</v>
      </c>
      <c r="D6" s="1380">
        <f>'Calcul VL'!C10</f>
        <v>1</v>
      </c>
      <c r="E6" s="1381">
        <f>Inventaire!H9</f>
        <v>95.480210999999997</v>
      </c>
    </row>
    <row r="7" spans="1:31">
      <c r="B7" s="334"/>
      <c r="C7" s="1379" t="s">
        <v>61</v>
      </c>
      <c r="D7" s="1383">
        <f>SUM(D4:D6)</f>
        <v>943269.7</v>
      </c>
      <c r="E7" s="47"/>
    </row>
    <row r="9" spans="1:31">
      <c r="B9" s="903" t="s">
        <v>351</v>
      </c>
      <c r="C9" s="903" t="s">
        <v>14</v>
      </c>
      <c r="D9" s="903" t="s">
        <v>378</v>
      </c>
      <c r="E9" s="903" t="s">
        <v>379</v>
      </c>
      <c r="F9" s="903" t="s">
        <v>380</v>
      </c>
      <c r="H9" s="25"/>
      <c r="J9" s="25"/>
      <c r="K9" s="25"/>
      <c r="L9" s="25"/>
      <c r="M9" s="25"/>
      <c r="N9" s="25"/>
      <c r="O9" s="25"/>
      <c r="P9" s="25"/>
      <c r="Q9" s="25"/>
      <c r="R9" s="25"/>
      <c r="S9" s="25"/>
      <c r="T9" s="25"/>
      <c r="U9" s="25"/>
      <c r="V9" s="25"/>
      <c r="W9" s="25"/>
      <c r="X9" s="25"/>
      <c r="Y9" s="25"/>
      <c r="Z9" s="25"/>
      <c r="AA9" s="25"/>
      <c r="AB9" s="25"/>
      <c r="AC9" s="25"/>
      <c r="AD9" s="25"/>
      <c r="AE9" s="25"/>
    </row>
    <row r="10" spans="1:31">
      <c r="A10">
        <f>IFERROR(RANK(F10,F$10:F$15,),"")</f>
        <v>2</v>
      </c>
      <c r="B10" s="857" t="str">
        <f>'Sous rachat'!B21</f>
        <v>EMZ 11-A SLP</v>
      </c>
      <c r="C10" s="1384" t="str">
        <f>+IF($B10="","",VLOOKUP($B10,'Sous rachat'!B$4:D119,(3),0))</f>
        <v>A1</v>
      </c>
      <c r="D10" s="881">
        <f>+IF($B10="","",VLOOKUP($B10,'Sous rachat'!$B$3:$R$191,(9),0))</f>
        <v>303040.5</v>
      </c>
      <c r="E10" s="1385">
        <f>+VLOOKUP(C10,$C$3:$E$6,1+2,0)</f>
        <v>95.480210999999997</v>
      </c>
      <c r="F10" s="881">
        <f>D10*E10</f>
        <v>28934370.881545499</v>
      </c>
      <c r="H10" s="281"/>
    </row>
    <row r="11" spans="1:31">
      <c r="A11">
        <f>IFERROR(RANK(F11,F$10:F$15,),"")</f>
        <v>3</v>
      </c>
      <c r="B11" s="857" t="str">
        <f>'Sous rachat'!B22</f>
        <v>EMZ 11 Executive Fund SLP</v>
      </c>
      <c r="C11" s="1384" t="str">
        <f>+IF($B11="","",VLOOKUP($B11,'Sous rachat'!B$4:D120,(3),0))</f>
        <v>A1</v>
      </c>
      <c r="D11" s="881">
        <f>+IF($B11="","",VLOOKUP($B11,'Sous rachat'!$B$3:$R$191,(9),0))</f>
        <v>17210</v>
      </c>
      <c r="E11" s="1381">
        <f>+VLOOKUP(C11,$C$3:$E$6,1+2,0)</f>
        <v>95.480210999999997</v>
      </c>
      <c r="F11" s="881">
        <f t="shared" ref="F11:F12" si="0">D11*E11</f>
        <v>1643214.4313099999</v>
      </c>
      <c r="H11" s="25"/>
    </row>
    <row r="12" spans="1:31">
      <c r="A12">
        <f>IFERROR(RANK(F12,F$10:F$15,),"")</f>
        <v>1</v>
      </c>
      <c r="B12" s="857" t="str">
        <f>'Sous rachat'!B23</f>
        <v>EMZ 11 SLP</v>
      </c>
      <c r="C12" s="1384" t="str">
        <f>+IF($B12="","",VLOOKUP($B12,'Sous rachat'!B$4:D121,(3),0))</f>
        <v>A1</v>
      </c>
      <c r="D12" s="881">
        <f>+IF($B12="","",VLOOKUP($B12,'Sous rachat'!$B$3:$R$191,(9),0))</f>
        <v>623018.19999999995</v>
      </c>
      <c r="E12" s="1381">
        <f>+VLOOKUP(C12,$C$3:$E$6,1+2,0)</f>
        <v>95.480210999999997</v>
      </c>
      <c r="F12" s="881">
        <f t="shared" si="0"/>
        <v>59485909.192840196</v>
      </c>
      <c r="H12" s="25"/>
      <c r="I12" s="58"/>
    </row>
    <row r="13" spans="1:31">
      <c r="B13" s="857"/>
      <c r="C13" s="1384"/>
      <c r="D13" s="881"/>
      <c r="E13" s="1381"/>
      <c r="F13" s="881"/>
      <c r="H13" s="25"/>
    </row>
    <row r="14" spans="1:31">
      <c r="A14">
        <f>IFERROR(RANK(F14,F$10:F$15,),"")</f>
        <v>4</v>
      </c>
      <c r="B14" s="857" t="str">
        <f>'Sous rachat'!B41</f>
        <v>EMZ 11 GP</v>
      </c>
      <c r="C14" s="1384" t="str">
        <f>+IF($B14="","",VLOOKUP($B14,'Sous rachat'!B$4:D198,(3),0))</f>
        <v>Parts de Commandité</v>
      </c>
      <c r="D14" s="881">
        <f>+IF($B14="","",VLOOKUP($B14,'Sous rachat'!$B$3:$R$191,(9),0))</f>
        <v>1</v>
      </c>
      <c r="E14" s="1381">
        <f>+VLOOKUP(C14,$C$3:$E$6,1+2,0)</f>
        <v>95.480210999999997</v>
      </c>
      <c r="F14" s="881">
        <f t="shared" ref="F14" si="1">D14*E14</f>
        <v>95.480210999999997</v>
      </c>
      <c r="H14" s="25"/>
      <c r="J14" s="25"/>
      <c r="K14" s="25"/>
      <c r="L14" s="25"/>
      <c r="M14" s="25"/>
      <c r="N14" s="25"/>
      <c r="O14" s="25"/>
      <c r="P14" s="25"/>
      <c r="Q14" s="25"/>
      <c r="R14" s="25"/>
      <c r="S14" s="25"/>
      <c r="T14" s="25"/>
      <c r="U14" s="25"/>
      <c r="V14" s="25"/>
      <c r="W14" s="25"/>
      <c r="X14" s="25"/>
      <c r="Y14" s="25"/>
      <c r="Z14" s="25"/>
      <c r="AA14" s="25"/>
      <c r="AB14" s="25"/>
      <c r="AC14" s="25"/>
      <c r="AD14" s="25"/>
      <c r="AE14" s="25"/>
    </row>
    <row r="15" spans="1:31">
      <c r="B15" s="857"/>
      <c r="C15" s="1384"/>
      <c r="D15" s="881" t="str">
        <f>+IF($B15="","",VLOOKUP($B15,#REF!,(43),0))</f>
        <v/>
      </c>
      <c r="E15" s="1386"/>
      <c r="F15" s="881"/>
      <c r="H15" s="25"/>
      <c r="J15" s="25"/>
      <c r="K15" s="25"/>
      <c r="L15" s="25"/>
      <c r="M15" s="25"/>
      <c r="N15" s="25"/>
      <c r="O15" s="25"/>
      <c r="P15" s="25"/>
      <c r="Q15" s="25"/>
      <c r="R15" s="25"/>
      <c r="S15" s="25"/>
      <c r="T15" s="25"/>
      <c r="U15" s="25"/>
      <c r="V15" s="25"/>
      <c r="W15" s="25"/>
      <c r="X15" s="25"/>
      <c r="Y15" s="25"/>
      <c r="Z15" s="25"/>
      <c r="AA15" s="25"/>
      <c r="AB15" s="25"/>
      <c r="AC15" s="25"/>
      <c r="AD15" s="25"/>
      <c r="AE15" s="25"/>
    </row>
    <row r="16" spans="1:31">
      <c r="C16" s="80"/>
      <c r="D16" s="110"/>
      <c r="E16" s="37"/>
      <c r="F16" s="28">
        <f>SUM(F10:F15)</f>
        <v>90063589.985906705</v>
      </c>
    </row>
    <row r="17" spans="3:10">
      <c r="C17" s="80"/>
      <c r="D17" s="28"/>
      <c r="E17" s="255"/>
      <c r="F17" s="28"/>
    </row>
    <row r="18" spans="3:10">
      <c r="C18" s="170" t="s">
        <v>354</v>
      </c>
      <c r="D18" s="179">
        <f>SUM(D10:D15)</f>
        <v>943269.7</v>
      </c>
      <c r="E18" s="214" t="str">
        <f>+IF(D18=F23,"OK","Anomalie")</f>
        <v>OK</v>
      </c>
      <c r="F18" s="28"/>
    </row>
    <row r="19" spans="3:10">
      <c r="D19" s="5"/>
      <c r="F19" s="30"/>
    </row>
    <row r="20" spans="3:10">
      <c r="D20" t="s">
        <v>381</v>
      </c>
      <c r="F20" s="28">
        <f>+Inventaire!C8</f>
        <v>90063590.790000007</v>
      </c>
      <c r="I20" s="28"/>
    </row>
    <row r="21" spans="3:10">
      <c r="F21" s="5"/>
      <c r="I21" s="28"/>
    </row>
    <row r="22" spans="3:10">
      <c r="D22" t="s">
        <v>382</v>
      </c>
      <c r="F22" s="238">
        <f>+F20-SUM(F10:F15)</f>
        <v>0.80409330129623413</v>
      </c>
      <c r="I22" s="28"/>
      <c r="J22" s="58"/>
    </row>
    <row r="23" spans="3:10">
      <c r="D23" s="1044" t="s">
        <v>354</v>
      </c>
      <c r="E23" s="1044"/>
      <c r="F23" s="1045">
        <f>SUM(D4:D6)</f>
        <v>943269.7</v>
      </c>
      <c r="I23" s="28"/>
    </row>
    <row r="24" spans="3:10">
      <c r="D24" t="s">
        <v>383</v>
      </c>
      <c r="F24" s="485">
        <f>+F22/F23</f>
        <v>8.524532286961345E-7</v>
      </c>
      <c r="I24" s="28"/>
    </row>
    <row r="25" spans="3:10">
      <c r="D25" t="s">
        <v>384</v>
      </c>
      <c r="F25" s="147" t="str">
        <f>IF(ABS(F24)&lt;0.01,"OK","ANOMALIE")</f>
        <v>OK</v>
      </c>
      <c r="I25" s="28"/>
    </row>
    <row r="26" spans="3:10">
      <c r="I26" s="28"/>
    </row>
  </sheetData>
  <sortState xmlns:xlrd2="http://schemas.microsoft.com/office/spreadsheetml/2017/richdata2" ref="B10:F12">
    <sortCondition ref="B10:B12"/>
  </sortState>
  <phoneticPr fontId="18" type="noConversion"/>
  <pageMargins left="0.49" right="0.49" top="0.79" bottom="0.984251969" header="0.4921259845" footer="0.4921259845"/>
  <pageSetup paperSize="9" scale="52" fitToHeight="4" orientation="portrait"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7">
    <pageSetUpPr fitToPage="1"/>
  </sheetPr>
  <dimension ref="B1:Q465"/>
  <sheetViews>
    <sheetView tabSelected="1" view="pageBreakPreview" topLeftCell="A27" zoomScaleNormal="90" zoomScaleSheetLayoutView="100" workbookViewId="0">
      <selection activeCell="D77" sqref="D77"/>
    </sheetView>
  </sheetViews>
  <sheetFormatPr defaultColWidth="11.42578125" defaultRowHeight="12.75"/>
  <cols>
    <col min="1" max="1" width="2.42578125" customWidth="1"/>
    <col min="2" max="2" width="55.42578125" bestFit="1" customWidth="1"/>
    <col min="3" max="3" width="18.5703125" bestFit="1" customWidth="1"/>
    <col min="4" max="4" width="18" bestFit="1" customWidth="1"/>
    <col min="5" max="5" width="11.85546875" style="47" customWidth="1"/>
    <col min="6" max="6" width="9" style="47" customWidth="1"/>
    <col min="7" max="7" width="16.5703125" customWidth="1"/>
    <col min="8" max="8" width="15.5703125" customWidth="1"/>
    <col min="9" max="9" width="11" bestFit="1" customWidth="1"/>
    <col min="10" max="10" width="17.42578125" style="197" bestFit="1" customWidth="1"/>
    <col min="11" max="11" width="16.5703125" customWidth="1"/>
    <col min="12" max="12" width="30.5703125" bestFit="1" customWidth="1"/>
    <col min="13" max="13" width="17.5703125" bestFit="1" customWidth="1"/>
    <col min="14" max="14" width="16.5703125" customWidth="1"/>
    <col min="15" max="15" width="12.42578125" customWidth="1"/>
    <col min="17" max="17" width="17.5703125" bestFit="1" customWidth="1"/>
  </cols>
  <sheetData>
    <row r="1" spans="2:17" s="97" customFormat="1" ht="24.75" customHeight="1">
      <c r="B1" s="122" t="str">
        <f>+Inventaire!B1</f>
        <v>BOLZEN - SLP</v>
      </c>
      <c r="D1" s="123" t="s">
        <v>20</v>
      </c>
      <c r="E1" s="124"/>
      <c r="F1" s="124"/>
      <c r="H1" s="125"/>
      <c r="J1" s="224">
        <f>Sommaire!C1</f>
        <v>46022</v>
      </c>
    </row>
    <row r="2" spans="2:17" ht="15.75">
      <c r="B2" s="18"/>
      <c r="D2" s="24"/>
      <c r="H2" s="29"/>
      <c r="L2" s="58"/>
      <c r="N2" s="1151"/>
      <c r="O2" s="1151"/>
      <c r="P2" s="1151"/>
      <c r="Q2" s="1151"/>
    </row>
    <row r="3" spans="2:17">
      <c r="E3"/>
      <c r="F3"/>
      <c r="L3" s="58"/>
      <c r="M3" s="2"/>
      <c r="O3" s="28"/>
    </row>
    <row r="4" spans="2:17" ht="40.5" customHeight="1">
      <c r="B4" s="1387" t="s">
        <v>385</v>
      </c>
      <c r="C4" s="1388" t="s">
        <v>386</v>
      </c>
      <c r="D4" s="1388" t="s">
        <v>387</v>
      </c>
      <c r="E4" s="1389" t="s">
        <v>388</v>
      </c>
      <c r="F4" s="1389"/>
      <c r="G4" s="1390" t="s">
        <v>389</v>
      </c>
      <c r="H4" s="1391" t="s">
        <v>271</v>
      </c>
      <c r="I4" s="1392"/>
      <c r="J4" s="1393" t="s">
        <v>390</v>
      </c>
      <c r="K4" s="1394" t="s">
        <v>116</v>
      </c>
      <c r="N4" s="1152"/>
      <c r="O4" s="1152"/>
      <c r="P4" s="1152"/>
      <c r="Q4" s="1152"/>
    </row>
    <row r="5" spans="2:17" ht="30" customHeight="1">
      <c r="B5" s="1046" t="s">
        <v>391</v>
      </c>
      <c r="C5" s="1395"/>
      <c r="D5" s="1047"/>
      <c r="E5" s="1048"/>
      <c r="F5" s="1048"/>
      <c r="G5" s="1396"/>
      <c r="H5" s="1397"/>
      <c r="I5" s="1398"/>
      <c r="J5" s="1399"/>
      <c r="K5" s="1400"/>
      <c r="N5" s="1152"/>
      <c r="O5" s="1152"/>
      <c r="P5" s="1152"/>
      <c r="Q5" s="1152"/>
    </row>
    <row r="6" spans="2:17">
      <c r="B6" s="1049" t="s">
        <v>392</v>
      </c>
      <c r="C6" s="1050"/>
      <c r="D6" s="1050"/>
      <c r="E6" s="1051"/>
      <c r="F6" s="1052"/>
      <c r="G6" s="1053"/>
      <c r="H6" s="1153"/>
      <c r="I6" s="1154"/>
      <c r="J6" s="1400"/>
      <c r="K6" s="1400"/>
      <c r="L6" s="92"/>
      <c r="M6" s="279"/>
    </row>
    <row r="7" spans="2:17">
      <c r="B7" s="846"/>
      <c r="C7" s="1054"/>
      <c r="D7" s="1050"/>
      <c r="E7" s="1051"/>
      <c r="F7" s="1052"/>
      <c r="G7" s="801"/>
      <c r="H7" s="1055"/>
      <c r="I7" s="374"/>
      <c r="J7" s="1400"/>
      <c r="K7" s="1400"/>
      <c r="L7" s="92"/>
      <c r="M7" s="279"/>
    </row>
    <row r="8" spans="2:17">
      <c r="B8" s="1056"/>
      <c r="C8" s="1057"/>
      <c r="D8" s="1047"/>
      <c r="E8" s="1048"/>
      <c r="F8" s="1048"/>
      <c r="G8" s="802"/>
      <c r="H8" s="1401"/>
      <c r="I8" s="1402"/>
      <c r="J8" s="1399"/>
      <c r="K8" s="1400"/>
    </row>
    <row r="9" spans="2:17" s="1" customFormat="1">
      <c r="B9" s="1403" t="s">
        <v>393</v>
      </c>
      <c r="C9" s="1404"/>
      <c r="D9" s="1404"/>
      <c r="E9" s="1405"/>
      <c r="F9" s="1405"/>
      <c r="G9" s="1406"/>
      <c r="H9" s="1407"/>
      <c r="I9" s="1407"/>
      <c r="J9" s="1408">
        <f>ROUND(SUM(J6:J8),2)</f>
        <v>0</v>
      </c>
      <c r="K9" s="1409">
        <f>ROUND(SUM(K6:K8),2)</f>
        <v>0</v>
      </c>
      <c r="L9" s="28"/>
      <c r="M9" s="92"/>
    </row>
    <row r="10" spans="2:17" ht="12.75" customHeight="1">
      <c r="B10" s="43"/>
      <c r="C10" s="31"/>
      <c r="D10" s="24"/>
      <c r="E10" s="24"/>
      <c r="F10" s="24"/>
      <c r="G10" s="44"/>
      <c r="H10" s="12"/>
      <c r="I10" s="12"/>
      <c r="J10" s="1058"/>
      <c r="K10" s="1410"/>
    </row>
    <row r="11" spans="2:17" ht="12.75" customHeight="1">
      <c r="E11"/>
      <c r="F11"/>
      <c r="J11" s="1059"/>
    </row>
    <row r="12" spans="2:17" ht="25.5" customHeight="1">
      <c r="B12" s="1411" t="s">
        <v>394</v>
      </c>
      <c r="C12" s="1412" t="s">
        <v>395</v>
      </c>
      <c r="D12" s="1412" t="s">
        <v>396</v>
      </c>
      <c r="E12" s="1413" t="s">
        <v>397</v>
      </c>
      <c r="F12" s="1413"/>
      <c r="G12" s="1414"/>
      <c r="H12" s="1415" t="s">
        <v>271</v>
      </c>
      <c r="I12" s="1416"/>
      <c r="J12" s="1417" t="s">
        <v>390</v>
      </c>
    </row>
    <row r="13" spans="2:17">
      <c r="B13" s="1060" t="s">
        <v>398</v>
      </c>
      <c r="C13" s="1061" t="s">
        <v>399</v>
      </c>
      <c r="D13" s="45" t="s">
        <v>400</v>
      </c>
      <c r="E13" s="1051"/>
      <c r="F13" s="1061"/>
      <c r="G13" s="48"/>
      <c r="H13" s="198"/>
      <c r="I13" s="372"/>
      <c r="J13" s="322"/>
      <c r="L13" s="191"/>
    </row>
    <row r="14" spans="2:17">
      <c r="B14" s="896" t="s">
        <v>401</v>
      </c>
      <c r="C14" s="897">
        <v>45726</v>
      </c>
      <c r="D14" s="46">
        <v>46022</v>
      </c>
      <c r="E14" s="803"/>
      <c r="F14" s="804" t="s">
        <v>402</v>
      </c>
      <c r="G14" s="48"/>
      <c r="H14" s="198"/>
      <c r="I14" s="372"/>
      <c r="J14" s="1418"/>
      <c r="L14" s="1"/>
    </row>
    <row r="15" spans="2:17">
      <c r="B15" s="896"/>
      <c r="C15" s="897"/>
      <c r="D15" s="46"/>
      <c r="E15" s="803"/>
      <c r="F15" s="804"/>
      <c r="G15" s="48"/>
      <c r="H15" s="198"/>
      <c r="I15" s="372"/>
      <c r="J15" s="1418"/>
      <c r="L15" s="1"/>
    </row>
    <row r="16" spans="2:17">
      <c r="B16" s="1062" t="s">
        <v>403</v>
      </c>
      <c r="C16" s="1063">
        <v>630.25</v>
      </c>
      <c r="D16" s="150">
        <v>1</v>
      </c>
      <c r="E16" s="805">
        <v>1.2</v>
      </c>
      <c r="F16" s="803">
        <v>0</v>
      </c>
      <c r="G16" s="48"/>
      <c r="H16" s="198"/>
      <c r="I16" s="372">
        <f>+ROUND(E16*D16*C16,2)</f>
        <v>756.3</v>
      </c>
      <c r="J16" s="1419">
        <f>+I16</f>
        <v>756.3</v>
      </c>
      <c r="L16" s="191"/>
    </row>
    <row r="17" spans="2:12">
      <c r="B17" s="1062" t="s">
        <v>404</v>
      </c>
      <c r="C17" s="1063">
        <v>630.25</v>
      </c>
      <c r="D17" s="150">
        <v>1</v>
      </c>
      <c r="E17" s="805">
        <v>1.2</v>
      </c>
      <c r="F17" s="803">
        <v>0</v>
      </c>
      <c r="G17" s="48"/>
      <c r="H17" s="198"/>
      <c r="I17" s="372">
        <f>+ROUND(E17*D17*C17,2)</f>
        <v>756.3</v>
      </c>
      <c r="J17" s="1419">
        <f>+I17</f>
        <v>756.3</v>
      </c>
      <c r="L17" s="1"/>
    </row>
    <row r="18" spans="2:12">
      <c r="B18" s="1062"/>
      <c r="C18" s="1061"/>
      <c r="D18" s="45"/>
      <c r="E18" s="804"/>
      <c r="F18" s="371"/>
      <c r="G18" s="48"/>
      <c r="H18" s="46"/>
      <c r="I18" s="288"/>
      <c r="J18" s="1420"/>
      <c r="L18" s="1"/>
    </row>
    <row r="19" spans="2:12">
      <c r="B19" s="907"/>
      <c r="C19" s="1063">
        <f>C20/1.2</f>
        <v>1260.4916666666666</v>
      </c>
      <c r="D19" s="45"/>
      <c r="E19" s="804"/>
      <c r="F19" s="371"/>
      <c r="G19" s="48"/>
      <c r="H19" s="46"/>
      <c r="I19" s="46"/>
      <c r="J19" s="1421">
        <f>SUM(J16:J17)</f>
        <v>1512.6</v>
      </c>
      <c r="L19" s="1"/>
    </row>
    <row r="20" spans="2:12">
      <c r="B20" s="1060" t="s">
        <v>405</v>
      </c>
      <c r="C20" s="1063">
        <v>1512.59</v>
      </c>
      <c r="D20" s="373"/>
      <c r="E20" s="804"/>
      <c r="F20" s="804"/>
      <c r="G20" s="48"/>
      <c r="H20" s="47"/>
      <c r="I20" s="46"/>
      <c r="J20" s="1420"/>
      <c r="L20" s="92"/>
    </row>
    <row r="21" spans="2:12">
      <c r="B21" s="896" t="s">
        <v>406</v>
      </c>
      <c r="C21" s="1061"/>
      <c r="D21" s="264"/>
      <c r="E21" s="804"/>
      <c r="F21" s="804"/>
      <c r="G21" s="48"/>
      <c r="H21" s="47"/>
      <c r="I21" s="46"/>
      <c r="J21" s="1064"/>
      <c r="K21" s="58"/>
    </row>
    <row r="22" spans="2:12" s="58" customFormat="1" ht="15" customHeight="1">
      <c r="B22" s="1065" t="s">
        <v>407</v>
      </c>
      <c r="C22" s="1066">
        <v>8500</v>
      </c>
      <c r="D22" s="150">
        <v>0.25</v>
      </c>
      <c r="E22" s="805">
        <v>1.2</v>
      </c>
      <c r="F22" s="805"/>
      <c r="G22" s="151"/>
      <c r="H22" s="152"/>
      <c r="I22" s="323">
        <f>+C22*D22*E22</f>
        <v>2550</v>
      </c>
      <c r="J22" s="1064">
        <f>I22</f>
        <v>2550</v>
      </c>
      <c r="K22" s="160"/>
    </row>
    <row r="23" spans="2:12" s="58" customFormat="1" ht="15" customHeight="1">
      <c r="B23" s="1065" t="s">
        <v>408</v>
      </c>
      <c r="C23" s="1066">
        <f>(4760*2)</f>
        <v>9520</v>
      </c>
      <c r="D23" s="150">
        <v>0.25</v>
      </c>
      <c r="E23" s="805">
        <v>1.2</v>
      </c>
      <c r="F23" s="805"/>
      <c r="G23" s="151"/>
      <c r="H23" s="152"/>
      <c r="I23" s="378">
        <f>+C23*D23*E23</f>
        <v>2856</v>
      </c>
      <c r="J23" s="1064">
        <f>I23</f>
        <v>2856</v>
      </c>
      <c r="K23" s="160"/>
    </row>
    <row r="24" spans="2:12" s="58" customFormat="1">
      <c r="B24" s="846" t="s">
        <v>409</v>
      </c>
      <c r="C24" s="1067"/>
      <c r="D24" s="287"/>
      <c r="E24" s="805"/>
      <c r="F24" s="806"/>
      <c r="G24" s="152"/>
      <c r="H24" s="152"/>
      <c r="I24" s="378"/>
      <c r="J24" s="1064">
        <v>306</v>
      </c>
      <c r="K24" s="160"/>
      <c r="L24" s="143"/>
    </row>
    <row r="25" spans="2:12" s="58" customFormat="1">
      <c r="B25" s="846"/>
      <c r="C25" s="1066"/>
      <c r="D25" s="324"/>
      <c r="E25" s="805"/>
      <c r="F25" s="806"/>
      <c r="G25" s="152"/>
      <c r="H25" s="152"/>
      <c r="I25" s="323"/>
      <c r="J25" s="1004"/>
      <c r="L25" s="143"/>
    </row>
    <row r="26" spans="2:12" s="58" customFormat="1">
      <c r="B26" s="846"/>
      <c r="C26" s="1066"/>
      <c r="D26" s="324"/>
      <c r="E26" s="806"/>
      <c r="F26" s="806"/>
      <c r="G26" s="152"/>
      <c r="H26" s="152"/>
      <c r="I26" s="323"/>
      <c r="J26" s="1421">
        <f>SUM(J22:J25)</f>
        <v>5712</v>
      </c>
    </row>
    <row r="27" spans="2:12">
      <c r="B27" s="1060" t="s">
        <v>410</v>
      </c>
      <c r="C27" s="1066"/>
      <c r="D27" s="325"/>
      <c r="E27" s="807"/>
      <c r="F27" s="807"/>
      <c r="G27" s="48"/>
      <c r="H27" s="47"/>
      <c r="I27" s="323"/>
      <c r="J27" s="1068"/>
    </row>
    <row r="28" spans="2:12">
      <c r="B28" s="1069" t="s">
        <v>411</v>
      </c>
      <c r="C28" s="1066"/>
      <c r="D28" s="325"/>
      <c r="E28" s="807"/>
      <c r="F28" s="807"/>
      <c r="G28" s="1070"/>
      <c r="H28" s="51"/>
      <c r="I28" s="323"/>
      <c r="J28" s="1068"/>
    </row>
    <row r="29" spans="2:12">
      <c r="B29" s="1069"/>
      <c r="C29" s="1066"/>
      <c r="D29" s="325"/>
      <c r="E29" s="807"/>
      <c r="F29" s="807"/>
      <c r="G29" s="1070"/>
      <c r="H29" s="51"/>
      <c r="I29" s="323"/>
      <c r="J29" s="1068"/>
    </row>
    <row r="30" spans="2:12">
      <c r="B30" s="846" t="s">
        <v>412</v>
      </c>
      <c r="C30" s="1066"/>
      <c r="D30" s="315"/>
      <c r="E30" s="807"/>
      <c r="F30" s="807"/>
      <c r="G30" s="1070"/>
      <c r="H30" s="51"/>
      <c r="I30" s="323"/>
      <c r="J30" s="508">
        <v>1100</v>
      </c>
    </row>
    <row r="31" spans="2:12">
      <c r="B31" s="846" t="s">
        <v>413</v>
      </c>
      <c r="C31" s="1066"/>
      <c r="D31" s="315"/>
      <c r="E31" s="807"/>
      <c r="F31" s="807"/>
      <c r="G31" s="1070"/>
      <c r="H31" s="51"/>
      <c r="I31" s="714"/>
      <c r="J31" s="508">
        <v>200</v>
      </c>
    </row>
    <row r="32" spans="2:12">
      <c r="B32" s="846"/>
      <c r="C32" s="1066"/>
      <c r="D32" s="315"/>
      <c r="E32" s="807"/>
      <c r="F32" s="807"/>
      <c r="G32" s="1070"/>
      <c r="H32" s="51"/>
      <c r="I32" s="714"/>
      <c r="J32" s="508"/>
    </row>
    <row r="33" spans="2:12">
      <c r="B33" s="846" t="s">
        <v>414</v>
      </c>
      <c r="C33" s="1066">
        <v>11800</v>
      </c>
      <c r="D33" s="315">
        <v>0.25</v>
      </c>
      <c r="E33" s="807">
        <v>1</v>
      </c>
      <c r="F33" s="807"/>
      <c r="G33" s="1070"/>
      <c r="H33" s="51"/>
      <c r="I33" s="323">
        <f t="shared" ref="I33" si="0">+ROUND(C33*D33,2)</f>
        <v>2950</v>
      </c>
      <c r="J33" s="508">
        <f>I33</f>
        <v>2950</v>
      </c>
    </row>
    <row r="34" spans="2:12">
      <c r="B34" s="846" t="s">
        <v>415</v>
      </c>
      <c r="C34" s="1066">
        <v>644</v>
      </c>
      <c r="D34" s="315">
        <v>0.25</v>
      </c>
      <c r="E34" s="807">
        <v>1</v>
      </c>
      <c r="F34" s="807"/>
      <c r="G34" s="1070"/>
      <c r="H34" s="51"/>
      <c r="I34" s="323">
        <f t="shared" ref="I34" si="1">+ROUND(C34*D34,2)</f>
        <v>161</v>
      </c>
      <c r="J34" s="508">
        <f t="shared" ref="J34:J41" si="2">I34</f>
        <v>161</v>
      </c>
    </row>
    <row r="35" spans="2:12">
      <c r="B35" s="846" t="s">
        <v>416</v>
      </c>
      <c r="C35" s="1066">
        <v>440</v>
      </c>
      <c r="D35" s="315">
        <v>0.25</v>
      </c>
      <c r="E35" s="807">
        <v>1</v>
      </c>
      <c r="F35" s="807"/>
      <c r="G35" s="1070"/>
      <c r="H35" s="51"/>
      <c r="I35" s="323">
        <f>+ROUND(C35*D35,2)</f>
        <v>110</v>
      </c>
      <c r="J35" s="508">
        <f t="shared" si="2"/>
        <v>110</v>
      </c>
    </row>
    <row r="36" spans="2:12">
      <c r="B36" s="846" t="s">
        <v>417</v>
      </c>
      <c r="C36" s="1066">
        <v>280</v>
      </c>
      <c r="D36" s="315">
        <v>0.25</v>
      </c>
      <c r="E36" s="807">
        <v>1</v>
      </c>
      <c r="F36" s="807"/>
      <c r="G36" s="1071"/>
      <c r="H36" s="376"/>
      <c r="I36" s="378">
        <f t="shared" ref="I36" si="3">+ROUND(C36*D36,2)</f>
        <v>70</v>
      </c>
      <c r="J36" s="508">
        <f t="shared" si="2"/>
        <v>70</v>
      </c>
      <c r="L36" s="28"/>
    </row>
    <row r="37" spans="2:12">
      <c r="B37" s="846"/>
      <c r="C37" s="1066"/>
      <c r="D37" s="315"/>
      <c r="E37" s="807"/>
      <c r="F37" s="807"/>
      <c r="G37" s="1070"/>
      <c r="H37" s="51"/>
      <c r="I37" s="323"/>
      <c r="J37" s="508"/>
    </row>
    <row r="38" spans="2:12">
      <c r="B38" s="846" t="s">
        <v>418</v>
      </c>
      <c r="C38" s="1066">
        <v>11800</v>
      </c>
      <c r="D38" s="315">
        <v>0.25</v>
      </c>
      <c r="E38" s="807">
        <v>1</v>
      </c>
      <c r="F38" s="807"/>
      <c r="G38" s="1070"/>
      <c r="H38" s="51"/>
      <c r="I38" s="378">
        <f t="shared" ref="I38" si="4">+ROUND(C38*D38,2)</f>
        <v>2950</v>
      </c>
      <c r="J38" s="508">
        <f t="shared" si="2"/>
        <v>2950</v>
      </c>
    </row>
    <row r="39" spans="2:12">
      <c r="B39" s="846" t="s">
        <v>419</v>
      </c>
      <c r="C39" s="1066">
        <v>644</v>
      </c>
      <c r="D39" s="315">
        <v>0.25</v>
      </c>
      <c r="E39" s="807">
        <v>1</v>
      </c>
      <c r="F39" s="807"/>
      <c r="G39" s="1070"/>
      <c r="H39" s="51"/>
      <c r="I39" s="378">
        <f t="shared" ref="I39" si="5">+ROUND(C39*D39,2)</f>
        <v>161</v>
      </c>
      <c r="J39" s="508">
        <f t="shared" si="2"/>
        <v>161</v>
      </c>
    </row>
    <row r="40" spans="2:12">
      <c r="B40" s="846" t="s">
        <v>420</v>
      </c>
      <c r="C40" s="1066">
        <v>440</v>
      </c>
      <c r="D40" s="315">
        <v>0.25</v>
      </c>
      <c r="E40" s="807">
        <v>1</v>
      </c>
      <c r="F40" s="807"/>
      <c r="G40" s="1070"/>
      <c r="H40" s="51"/>
      <c r="I40" s="378">
        <f>+ROUND(C40*D40,2)</f>
        <v>110</v>
      </c>
      <c r="J40" s="508">
        <f t="shared" si="2"/>
        <v>110</v>
      </c>
    </row>
    <row r="41" spans="2:12">
      <c r="B41" s="846" t="s">
        <v>421</v>
      </c>
      <c r="C41" s="1066">
        <v>280</v>
      </c>
      <c r="D41" s="315">
        <v>0.25</v>
      </c>
      <c r="E41" s="807">
        <v>1</v>
      </c>
      <c r="F41" s="807"/>
      <c r="G41" s="1071"/>
      <c r="H41" s="376"/>
      <c r="I41" s="378">
        <f t="shared" ref="I41" si="6">+ROUND(C41*D41,2)</f>
        <v>70</v>
      </c>
      <c r="J41" s="508">
        <f t="shared" si="2"/>
        <v>70</v>
      </c>
      <c r="L41" s="28"/>
    </row>
    <row r="42" spans="2:12">
      <c r="B42" s="846"/>
      <c r="C42" s="1066"/>
      <c r="D42" s="172"/>
      <c r="E42" s="807"/>
      <c r="F42" s="807"/>
      <c r="G42" s="1070"/>
      <c r="H42" s="51"/>
      <c r="I42" s="378"/>
      <c r="J42" s="508"/>
    </row>
    <row r="43" spans="2:12">
      <c r="B43" s="846"/>
      <c r="C43" s="1066"/>
      <c r="D43" s="513"/>
      <c r="E43" s="807"/>
      <c r="F43" s="807"/>
      <c r="G43" s="1070"/>
      <c r="H43" s="51"/>
      <c r="I43" s="378"/>
      <c r="J43" s="508"/>
    </row>
    <row r="44" spans="2:12">
      <c r="B44" s="384"/>
      <c r="C44" s="1067"/>
      <c r="D44" s="172"/>
      <c r="E44" s="807"/>
      <c r="F44" s="807"/>
      <c r="G44" s="1070"/>
      <c r="H44" s="51"/>
      <c r="I44" s="508"/>
      <c r="J44" s="1068"/>
      <c r="L44" s="136"/>
    </row>
    <row r="45" spans="2:12">
      <c r="B45" s="384"/>
      <c r="C45" s="1066"/>
      <c r="D45" s="326"/>
      <c r="E45" s="336"/>
      <c r="F45" s="336"/>
      <c r="G45" s="1072"/>
      <c r="H45" s="48"/>
      <c r="I45" s="48"/>
      <c r="J45" s="1073"/>
      <c r="L45" s="143"/>
    </row>
    <row r="46" spans="2:12">
      <c r="B46" s="385"/>
      <c r="C46" s="327"/>
      <c r="D46" s="326"/>
      <c r="E46" s="1074"/>
      <c r="F46" s="1074"/>
      <c r="G46" s="1072"/>
      <c r="H46" s="48"/>
      <c r="I46" s="225"/>
      <c r="J46" s="1421">
        <f>SUM(J30:J43)</f>
        <v>7882</v>
      </c>
      <c r="L46" s="196" t="s">
        <v>108</v>
      </c>
    </row>
    <row r="47" spans="2:12">
      <c r="B47" s="386" t="s">
        <v>422</v>
      </c>
      <c r="C47" s="1066"/>
      <c r="D47" s="328"/>
      <c r="E47" s="329"/>
      <c r="F47" s="1074"/>
      <c r="G47" s="1070"/>
      <c r="H47" s="48"/>
      <c r="I47" s="225"/>
      <c r="J47" s="1075"/>
      <c r="L47" s="1422">
        <f>Inventaire!C7</f>
        <v>90063590.790000007</v>
      </c>
    </row>
    <row r="48" spans="2:12" ht="13.5" hidden="1" thickBot="1">
      <c r="B48" s="387"/>
      <c r="C48" s="218"/>
      <c r="D48" s="259" t="s">
        <v>423</v>
      </c>
      <c r="E48" s="329"/>
      <c r="F48" s="1074"/>
      <c r="G48" s="223"/>
      <c r="H48" s="48"/>
      <c r="I48" s="225"/>
      <c r="J48" s="1075"/>
    </row>
    <row r="49" spans="2:11" hidden="1">
      <c r="B49" s="384" t="s">
        <v>424</v>
      </c>
      <c r="C49" s="216" t="s">
        <v>425</v>
      </c>
      <c r="D49" s="260" t="s">
        <v>426</v>
      </c>
      <c r="E49" s="329"/>
      <c r="F49" s="1074"/>
      <c r="G49" s="222" t="s">
        <v>271</v>
      </c>
      <c r="H49" s="48"/>
      <c r="I49" s="225"/>
      <c r="J49" s="1075"/>
    </row>
    <row r="50" spans="2:11" hidden="1">
      <c r="B50" s="384" t="s">
        <v>427</v>
      </c>
      <c r="C50" s="236">
        <v>2.5000000000000001E-4</v>
      </c>
      <c r="D50" s="261">
        <v>100000000</v>
      </c>
      <c r="E50" s="329"/>
      <c r="F50" s="1074"/>
      <c r="G50" s="219">
        <f>C50*D50</f>
        <v>25000</v>
      </c>
      <c r="H50" s="48"/>
      <c r="I50" s="225"/>
      <c r="J50" s="1075"/>
    </row>
    <row r="51" spans="2:11" hidden="1">
      <c r="B51" s="384" t="s">
        <v>428</v>
      </c>
      <c r="C51" s="236">
        <v>2.0000000000000001E-4</v>
      </c>
      <c r="D51" s="261">
        <v>100000000</v>
      </c>
      <c r="E51" s="329"/>
      <c r="F51" s="1074"/>
      <c r="G51" s="219">
        <f>C51*D51</f>
        <v>20000</v>
      </c>
      <c r="H51" s="48"/>
      <c r="I51" s="225"/>
      <c r="J51" s="1075"/>
    </row>
    <row r="52" spans="2:11" ht="13.5" hidden="1" thickBot="1">
      <c r="B52" s="384" t="s">
        <v>429</v>
      </c>
      <c r="C52" s="237">
        <v>6.9999999999999994E-5</v>
      </c>
      <c r="D52" s="262">
        <f>H61-200000000</f>
        <v>-109936409.20999999</v>
      </c>
      <c r="E52" s="329"/>
      <c r="F52" s="1074"/>
      <c r="G52" s="221">
        <f>C52*D52</f>
        <v>-7695.5486446999985</v>
      </c>
      <c r="H52" s="48"/>
      <c r="I52" s="225"/>
      <c r="J52" s="1075"/>
    </row>
    <row r="53" spans="2:11" ht="13.5" hidden="1" thickBot="1">
      <c r="B53" s="387"/>
      <c r="C53" s="217"/>
      <c r="D53" s="263">
        <f>SUM(D50:D52)</f>
        <v>90063590.790000007</v>
      </c>
      <c r="E53" s="329"/>
      <c r="F53" s="1074"/>
      <c r="G53" s="220">
        <f>ROUND(SUM(G50:G52),2)</f>
        <v>37304.449999999997</v>
      </c>
      <c r="H53" s="48"/>
      <c r="I53" s="225"/>
      <c r="J53" s="1075"/>
    </row>
    <row r="54" spans="2:11" hidden="1">
      <c r="B54" s="388" t="s">
        <v>430</v>
      </c>
      <c r="C54" s="327"/>
      <c r="D54" s="330" t="str">
        <f>IF(D53=H61,"OK","ANOMALIE")</f>
        <v>OK</v>
      </c>
      <c r="E54" s="329"/>
      <c r="F54" s="1074"/>
      <c r="G54" s="47"/>
      <c r="H54" s="48"/>
      <c r="I54" s="225"/>
      <c r="J54" s="1075"/>
    </row>
    <row r="55" spans="2:11" hidden="1">
      <c r="B55" s="388" t="s">
        <v>431</v>
      </c>
      <c r="C55" s="327">
        <v>15000</v>
      </c>
      <c r="D55" s="328"/>
      <c r="E55" s="329"/>
      <c r="F55" s="1074"/>
      <c r="G55" s="47"/>
      <c r="H55" s="48"/>
      <c r="I55" s="225"/>
      <c r="J55" s="1075"/>
    </row>
    <row r="56" spans="2:11" hidden="1">
      <c r="B56" s="388" t="s">
        <v>432</v>
      </c>
      <c r="C56" s="327">
        <v>17500</v>
      </c>
      <c r="D56" s="328"/>
      <c r="E56" s="329"/>
      <c r="F56" s="1074"/>
      <c r="G56" s="47"/>
      <c r="H56" s="48"/>
      <c r="I56" s="225"/>
      <c r="J56" s="1075"/>
    </row>
    <row r="57" spans="2:11" hidden="1">
      <c r="B57" s="388" t="s">
        <v>433</v>
      </c>
      <c r="C57" s="327">
        <v>20000</v>
      </c>
      <c r="D57" s="328"/>
      <c r="E57" s="329"/>
      <c r="F57" s="1074"/>
      <c r="G57" s="47"/>
      <c r="H57" s="48"/>
      <c r="I57" s="225"/>
      <c r="J57" s="1075"/>
    </row>
    <row r="58" spans="2:11" hidden="1">
      <c r="B58" s="386"/>
      <c r="C58" s="327"/>
      <c r="D58" s="328"/>
      <c r="E58" s="329"/>
      <c r="F58" s="1074"/>
      <c r="G58" s="47"/>
      <c r="H58" s="48"/>
      <c r="I58" s="225"/>
      <c r="J58" s="1075"/>
    </row>
    <row r="59" spans="2:11" hidden="1">
      <c r="B59" s="386"/>
      <c r="C59" s="327"/>
      <c r="D59" s="328"/>
      <c r="E59" s="329"/>
      <c r="F59" s="1074"/>
      <c r="G59" s="47"/>
      <c r="H59" s="48"/>
      <c r="I59" s="225"/>
      <c r="J59" s="1075"/>
    </row>
    <row r="60" spans="2:11" hidden="1">
      <c r="B60" s="389"/>
      <c r="C60" s="327"/>
      <c r="D60" s="1076"/>
      <c r="E60" s="329"/>
      <c r="F60" s="1074"/>
      <c r="G60" s="47"/>
      <c r="H60" s="48"/>
      <c r="I60" s="225"/>
      <c r="J60" s="1075"/>
    </row>
    <row r="61" spans="2:11" hidden="1">
      <c r="B61" s="390" t="s">
        <v>434</v>
      </c>
      <c r="C61" s="233">
        <f>H61</f>
        <v>90063590.790000007</v>
      </c>
      <c r="D61" s="1077">
        <f>C50</f>
        <v>2.5000000000000001E-4</v>
      </c>
      <c r="E61" s="329">
        <v>1.2</v>
      </c>
      <c r="F61" s="1074"/>
      <c r="G61" s="167" t="s">
        <v>435</v>
      </c>
      <c r="H61" s="155">
        <f>Inventaire!D74</f>
        <v>90063590.790000007</v>
      </c>
      <c r="I61" s="226">
        <v>0</v>
      </c>
      <c r="J61" s="1075"/>
      <c r="K61" s="171"/>
    </row>
    <row r="62" spans="2:11" hidden="1">
      <c r="B62" s="391" t="s">
        <v>436</v>
      </c>
      <c r="C62" s="331">
        <v>15000</v>
      </c>
      <c r="D62" s="1077"/>
      <c r="E62" s="329">
        <v>1.2</v>
      </c>
      <c r="F62" s="1074"/>
      <c r="G62" s="151"/>
      <c r="H62" s="58"/>
      <c r="I62" s="227">
        <f>+ROUND(C62*D62*E62,2)</f>
        <v>0</v>
      </c>
      <c r="J62" s="1075"/>
      <c r="K62" s="58"/>
    </row>
    <row r="63" spans="2:11" hidden="1">
      <c r="B63" s="391" t="s">
        <v>437</v>
      </c>
      <c r="C63" s="331"/>
      <c r="D63" s="1077"/>
      <c r="E63" s="329">
        <v>1.2</v>
      </c>
      <c r="F63" s="1074"/>
      <c r="G63" s="151"/>
      <c r="H63" s="58"/>
      <c r="I63" s="227">
        <f>+ROUND(C63*D63*E63,2)</f>
        <v>0</v>
      </c>
      <c r="J63" s="1075"/>
      <c r="K63" s="58"/>
    </row>
    <row r="64" spans="2:11" hidden="1">
      <c r="B64" s="391"/>
      <c r="C64" s="331"/>
      <c r="D64" s="1078"/>
      <c r="E64" s="329"/>
      <c r="F64" s="1074"/>
      <c r="G64" s="151"/>
      <c r="H64" s="58"/>
      <c r="I64" s="227"/>
      <c r="J64" s="1075"/>
      <c r="K64" s="58"/>
    </row>
    <row r="65" spans="2:12" s="58" customFormat="1" hidden="1">
      <c r="B65" s="390" t="s">
        <v>438</v>
      </c>
      <c r="C65" s="233"/>
      <c r="D65" s="1077"/>
      <c r="E65" s="329">
        <v>1.2</v>
      </c>
      <c r="F65" s="1074"/>
      <c r="G65" s="167" t="s">
        <v>435</v>
      </c>
      <c r="H65" s="155"/>
      <c r="I65" s="226">
        <f>ROUND(C65*D65*E65,2)</f>
        <v>0</v>
      </c>
      <c r="J65" s="1075"/>
    </row>
    <row r="66" spans="2:12" s="58" customFormat="1" hidden="1">
      <c r="B66" s="391" t="s">
        <v>436</v>
      </c>
      <c r="C66" s="331"/>
      <c r="D66" s="1077"/>
      <c r="E66" s="329">
        <v>1.2</v>
      </c>
      <c r="F66" s="1074"/>
      <c r="G66" s="151"/>
      <c r="I66" s="227">
        <f>+ROUND(C66*D66*E66,2)</f>
        <v>0</v>
      </c>
      <c r="J66" s="1075"/>
    </row>
    <row r="67" spans="2:12" s="58" customFormat="1" hidden="1">
      <c r="B67" s="391" t="s">
        <v>437</v>
      </c>
      <c r="C67" s="331"/>
      <c r="D67" s="1077"/>
      <c r="E67" s="329">
        <v>1.2</v>
      </c>
      <c r="F67" s="1074"/>
      <c r="G67" s="151"/>
      <c r="I67" s="227">
        <f>+ROUND(C67*D67*E67,2)</f>
        <v>0</v>
      </c>
      <c r="J67" s="1075"/>
    </row>
    <row r="68" spans="2:12" hidden="1">
      <c r="B68" s="391"/>
      <c r="C68" s="331"/>
      <c r="D68" s="329"/>
      <c r="E68" s="329"/>
      <c r="F68" s="1074"/>
      <c r="G68" s="151"/>
      <c r="H68" s="58"/>
      <c r="I68" s="227"/>
      <c r="J68" s="1075"/>
      <c r="K68" s="58"/>
    </row>
    <row r="69" spans="2:12" s="58" customFormat="1" hidden="1">
      <c r="B69" s="390"/>
      <c r="C69" s="233"/>
      <c r="D69" s="1077"/>
      <c r="E69" s="329">
        <v>1.2</v>
      </c>
      <c r="F69" s="1074"/>
      <c r="G69" s="167" t="s">
        <v>435</v>
      </c>
      <c r="H69" s="155"/>
      <c r="I69" s="226">
        <f>ROUND(C69*D69*E69,2)</f>
        <v>0</v>
      </c>
      <c r="J69" s="1075"/>
    </row>
    <row r="70" spans="2:12" s="58" customFormat="1" hidden="1">
      <c r="B70" s="391"/>
      <c r="C70" s="331"/>
      <c r="D70" s="1077"/>
      <c r="E70" s="329">
        <v>1.2</v>
      </c>
      <c r="F70" s="1074"/>
      <c r="G70" s="151"/>
      <c r="I70" s="227">
        <f>+ROUND(C70*D70*E70,2)</f>
        <v>0</v>
      </c>
      <c r="J70" s="1075"/>
    </row>
    <row r="71" spans="2:12" s="58" customFormat="1" hidden="1">
      <c r="B71" s="391"/>
      <c r="C71" s="331"/>
      <c r="D71" s="1077"/>
      <c r="E71" s="329">
        <v>1.2</v>
      </c>
      <c r="F71" s="1074"/>
      <c r="G71" s="151"/>
      <c r="I71" s="227"/>
      <c r="J71" s="1079"/>
      <c r="L71" s="1004"/>
    </row>
    <row r="72" spans="2:12" hidden="1">
      <c r="B72" s="391"/>
      <c r="C72" s="331"/>
      <c r="D72" s="329"/>
      <c r="E72" s="329"/>
      <c r="F72" s="1074"/>
      <c r="G72" s="151"/>
      <c r="H72" s="58"/>
      <c r="I72" s="227"/>
      <c r="J72" s="1075"/>
      <c r="K72" s="58"/>
    </row>
    <row r="73" spans="2:12" s="58" customFormat="1" hidden="1">
      <c r="B73" s="390"/>
      <c r="C73" s="233"/>
      <c r="D73" s="1077"/>
      <c r="E73" s="329">
        <v>1.2</v>
      </c>
      <c r="F73" s="1074"/>
      <c r="G73" s="167" t="s">
        <v>435</v>
      </c>
      <c r="H73" s="155"/>
      <c r="I73" s="235">
        <f>ROUND(C73*D73*E73,2)</f>
        <v>0</v>
      </c>
      <c r="J73" s="1075"/>
      <c r="L73" s="171"/>
    </row>
    <row r="74" spans="2:12" s="58" customFormat="1" hidden="1">
      <c r="B74" s="391"/>
      <c r="C74" s="331"/>
      <c r="D74" s="1077"/>
      <c r="E74" s="329">
        <v>1.2</v>
      </c>
      <c r="F74" s="1074"/>
      <c r="G74" s="151"/>
      <c r="I74" s="227">
        <f>+ROUND(C74*D74*E74,2)</f>
        <v>0</v>
      </c>
      <c r="J74" s="1075"/>
      <c r="L74" s="171"/>
    </row>
    <row r="75" spans="2:12" s="58" customFormat="1" ht="0.75" customHeight="1">
      <c r="B75" s="391"/>
      <c r="C75" s="331"/>
      <c r="D75" s="1077"/>
      <c r="E75" s="329">
        <v>1.2</v>
      </c>
      <c r="F75" s="1074"/>
      <c r="G75" s="151"/>
      <c r="I75" s="227">
        <f>+ROUND(C75*D75*E75,2)</f>
        <v>0</v>
      </c>
      <c r="J75" s="1075"/>
      <c r="L75" s="171"/>
    </row>
    <row r="76" spans="2:12" s="58" customFormat="1">
      <c r="B76" s="704" t="s">
        <v>439</v>
      </c>
      <c r="C76" s="331"/>
      <c r="D76" s="332"/>
      <c r="E76" s="329"/>
      <c r="F76" s="1074"/>
      <c r="G76" s="151"/>
      <c r="I76" s="227"/>
      <c r="J76" s="1075"/>
      <c r="L76" s="171"/>
    </row>
    <row r="77" spans="2:12" s="58" customFormat="1">
      <c r="B77" s="704" t="s">
        <v>440</v>
      </c>
      <c r="C77" s="331">
        <v>20000</v>
      </c>
      <c r="D77" s="719">
        <f>D14-C14</f>
        <v>296</v>
      </c>
      <c r="E77" s="1074">
        <v>1.2</v>
      </c>
      <c r="F77" s="1074"/>
      <c r="G77" s="718">
        <f>ROUND((C77*D77*E77)/365,2)</f>
        <v>19463.009999999998</v>
      </c>
      <c r="I77" s="227"/>
      <c r="J77" s="1075"/>
      <c r="L77" s="171"/>
    </row>
    <row r="78" spans="2:12" s="58" customFormat="1">
      <c r="B78" s="391" t="s">
        <v>441</v>
      </c>
      <c r="C78" s="331">
        <f>IF(L47&gt;500000000,500000000,L47)</f>
        <v>90063590.790000007</v>
      </c>
      <c r="D78" s="719">
        <v>296</v>
      </c>
      <c r="E78" s="1074">
        <v>1.2</v>
      </c>
      <c r="F78" s="706">
        <v>1.2E-4</v>
      </c>
      <c r="G78" s="718">
        <f>ROUND((C78*F78*E78*D78)/365,2)</f>
        <v>10517.45</v>
      </c>
      <c r="I78" s="227"/>
      <c r="J78" s="1075"/>
      <c r="L78" s="171"/>
    </row>
    <row r="79" spans="2:12" s="58" customFormat="1">
      <c r="B79" s="391" t="s">
        <v>442</v>
      </c>
      <c r="C79" s="331">
        <f>IF(1000000000&gt;L47&gt;500000000,L47-C78,0)</f>
        <v>0</v>
      </c>
      <c r="D79" s="703"/>
      <c r="E79" s="1074">
        <v>1.2</v>
      </c>
      <c r="F79" s="706">
        <v>1E-4</v>
      </c>
      <c r="G79" s="718">
        <f t="shared" ref="G79:G80" si="7">ROUND(C79*F79*E79,2)</f>
        <v>0</v>
      </c>
      <c r="I79" s="227"/>
      <c r="J79" s="1075"/>
      <c r="L79" s="171"/>
    </row>
    <row r="80" spans="2:12" s="58" customFormat="1">
      <c r="B80" s="391" t="s">
        <v>443</v>
      </c>
      <c r="C80" s="331">
        <f>IF(L47&gt;1000000000,L47-C79-C78,0)</f>
        <v>0</v>
      </c>
      <c r="D80" s="703"/>
      <c r="E80" s="1074">
        <v>1.2</v>
      </c>
      <c r="F80" s="706">
        <v>8.0000000000000007E-5</v>
      </c>
      <c r="G80" s="718">
        <f t="shared" si="7"/>
        <v>0</v>
      </c>
      <c r="I80" s="227"/>
      <c r="J80" s="1075"/>
      <c r="L80" s="171"/>
    </row>
    <row r="81" spans="2:13" s="58" customFormat="1">
      <c r="B81" s="391"/>
      <c r="C81" s="331"/>
      <c r="D81" s="332"/>
      <c r="E81" s="329"/>
      <c r="F81" s="1074"/>
      <c r="G81" s="1423">
        <f>MAX(G77,G78+G79+G80)</f>
        <v>19463.009999999998</v>
      </c>
      <c r="I81" s="227"/>
      <c r="J81" s="1075"/>
      <c r="L81" s="171"/>
    </row>
    <row r="82" spans="2:13" s="58" customFormat="1">
      <c r="B82" s="391" t="s">
        <v>407</v>
      </c>
      <c r="C82" s="331"/>
      <c r="D82" s="332"/>
      <c r="E82" s="329"/>
      <c r="F82" s="1074"/>
      <c r="G82" s="151"/>
      <c r="I82" s="227"/>
      <c r="J82" s="1075">
        <v>13413</v>
      </c>
      <c r="L82" s="171"/>
    </row>
    <row r="83" spans="2:13" s="58" customFormat="1">
      <c r="B83" s="391" t="s">
        <v>408</v>
      </c>
      <c r="C83" s="331"/>
      <c r="D83" s="328"/>
      <c r="E83" s="329"/>
      <c r="F83" s="1074"/>
      <c r="G83" s="151"/>
      <c r="I83" s="227"/>
      <c r="J83" s="1075">
        <v>6050.0099999999984</v>
      </c>
      <c r="L83" s="171"/>
    </row>
    <row r="84" spans="2:13" s="58" customFormat="1">
      <c r="B84" s="1080"/>
      <c r="C84" s="1081"/>
      <c r="D84" s="258"/>
      <c r="E84" s="1082"/>
      <c r="F84" s="1082"/>
      <c r="G84" s="167"/>
      <c r="H84" s="257"/>
      <c r="I84" s="227"/>
      <c r="J84" s="1083"/>
      <c r="M84" s="278"/>
    </row>
    <row r="85" spans="2:13" s="58" customFormat="1">
      <c r="B85" s="1080"/>
      <c r="C85" s="1081"/>
      <c r="D85" s="258"/>
      <c r="E85" s="1082"/>
      <c r="F85" s="1082"/>
      <c r="G85" s="167"/>
      <c r="H85" s="257"/>
      <c r="I85" s="227"/>
      <c r="J85" s="705"/>
      <c r="M85" s="278"/>
    </row>
    <row r="86" spans="2:13" s="58" customFormat="1">
      <c r="B86" s="1080"/>
      <c r="C86" s="327"/>
      <c r="D86" s="846"/>
      <c r="E86" s="1084"/>
      <c r="F86" s="333"/>
      <c r="G86" s="156"/>
      <c r="H86" s="151"/>
      <c r="I86" s="201"/>
      <c r="J86" s="1421">
        <f>SUM(J76:J84)</f>
        <v>19463.009999999998</v>
      </c>
      <c r="K86" s="139"/>
    </row>
    <row r="87" spans="2:13" s="58" customFormat="1">
      <c r="B87" s="1085"/>
      <c r="C87" s="327"/>
      <c r="D87" s="846"/>
      <c r="E87" s="1084"/>
      <c r="F87" s="333"/>
      <c r="G87" s="152"/>
      <c r="H87" s="151"/>
      <c r="I87" s="201"/>
      <c r="J87" s="1073"/>
    </row>
    <row r="88" spans="2:13" s="58" customFormat="1">
      <c r="B88" s="1086" t="s">
        <v>444</v>
      </c>
      <c r="C88" s="327"/>
      <c r="D88" s="846"/>
      <c r="E88" s="1084"/>
      <c r="F88" s="333"/>
      <c r="G88" s="152"/>
      <c r="H88" s="151"/>
      <c r="I88" s="201"/>
      <c r="J88" s="1087"/>
    </row>
    <row r="89" spans="2:13" s="58" customFormat="1" ht="12.75" customHeight="1">
      <c r="B89" s="1062"/>
      <c r="C89" s="1061"/>
      <c r="D89" s="907"/>
      <c r="E89" s="1061"/>
      <c r="F89" s="371"/>
      <c r="G89" s="48"/>
      <c r="H89" s="46"/>
      <c r="I89" s="201"/>
      <c r="J89" s="1075"/>
      <c r="K89"/>
    </row>
    <row r="90" spans="2:13" s="58" customFormat="1" ht="12.75" customHeight="1">
      <c r="B90" s="1062"/>
      <c r="C90" s="1061"/>
      <c r="D90" s="907"/>
      <c r="E90" s="1061"/>
      <c r="F90" s="371"/>
      <c r="G90" s="48"/>
      <c r="H90" s="46"/>
      <c r="I90" s="201"/>
      <c r="J90" s="1075"/>
      <c r="K90"/>
    </row>
    <row r="91" spans="2:13" s="58" customFormat="1" ht="12.75" customHeight="1">
      <c r="B91" s="1062"/>
      <c r="C91" s="1061"/>
      <c r="D91" s="907"/>
      <c r="E91" s="1061"/>
      <c r="F91" s="371"/>
      <c r="G91" s="48"/>
      <c r="H91" s="46"/>
      <c r="I91" s="201"/>
      <c r="J91" s="1075"/>
      <c r="K91"/>
    </row>
    <row r="92" spans="2:13" s="58" customFormat="1" ht="12.6" customHeight="1">
      <c r="B92" s="1062"/>
      <c r="C92" s="1061"/>
      <c r="D92" s="1088"/>
      <c r="E92" s="371"/>
      <c r="F92" s="371"/>
      <c r="G92" s="48"/>
      <c r="H92" s="198"/>
      <c r="I92" s="201"/>
      <c r="J92" s="1372">
        <f>SUM(J88:J91)</f>
        <v>0</v>
      </c>
      <c r="K92" s="92"/>
    </row>
    <row r="93" spans="2:13" s="58" customFormat="1" ht="12.6" customHeight="1">
      <c r="B93" s="1062"/>
      <c r="C93" s="1061"/>
      <c r="D93" s="1088"/>
      <c r="E93" s="371"/>
      <c r="F93" s="371"/>
      <c r="G93" s="48"/>
      <c r="H93" s="198"/>
      <c r="I93" s="201"/>
      <c r="J93" s="1089"/>
      <c r="K93" s="92"/>
    </row>
    <row r="94" spans="2:13" s="58" customFormat="1" ht="12.6" customHeight="1">
      <c r="B94" s="1086" t="s">
        <v>445</v>
      </c>
      <c r="C94" s="1061"/>
      <c r="D94" s="1088"/>
      <c r="E94" s="371"/>
      <c r="F94" s="371"/>
      <c r="G94" s="48"/>
      <c r="H94" s="198"/>
      <c r="I94" s="201"/>
      <c r="J94" s="1089"/>
      <c r="K94" s="92"/>
    </row>
    <row r="95" spans="2:13" s="58" customFormat="1" ht="12.6" customHeight="1">
      <c r="B95" s="1062"/>
      <c r="C95" s="1061"/>
      <c r="D95" s="1088"/>
      <c r="E95" s="371"/>
      <c r="F95" s="371"/>
      <c r="G95" s="48"/>
      <c r="H95" s="198"/>
      <c r="I95" s="201"/>
      <c r="J95" s="957"/>
      <c r="K95" s="92"/>
    </row>
    <row r="96" spans="2:13" s="58" customFormat="1" ht="12.6" customHeight="1">
      <c r="B96" s="1062"/>
      <c r="C96" s="1061"/>
      <c r="D96" s="1088"/>
      <c r="E96" s="371"/>
      <c r="F96" s="371"/>
      <c r="G96" s="48"/>
      <c r="H96" s="198"/>
      <c r="I96" s="201"/>
      <c r="J96" s="957"/>
      <c r="K96" s="92"/>
    </row>
    <row r="97" spans="2:13" s="58" customFormat="1" ht="12.6" customHeight="1">
      <c r="B97" s="1062"/>
      <c r="C97" s="1061"/>
      <c r="D97" s="1088"/>
      <c r="E97" s="371"/>
      <c r="F97" s="371"/>
      <c r="G97" s="48"/>
      <c r="H97" s="198"/>
      <c r="I97" s="201"/>
      <c r="J97" s="957"/>
      <c r="K97" s="92"/>
    </row>
    <row r="98" spans="2:13" s="58" customFormat="1" ht="12.6" customHeight="1">
      <c r="B98" s="1062"/>
      <c r="C98" s="1061"/>
      <c r="D98" s="1088"/>
      <c r="E98" s="371"/>
      <c r="F98" s="371"/>
      <c r="G98" s="48"/>
      <c r="H98" s="198"/>
      <c r="I98" s="201"/>
      <c r="J98" s="957"/>
      <c r="K98" s="92"/>
    </row>
    <row r="99" spans="2:13" s="58" customFormat="1" ht="12.6" customHeight="1">
      <c r="B99" s="1062"/>
      <c r="C99" s="1061"/>
      <c r="D99" s="1088"/>
      <c r="E99" s="371"/>
      <c r="F99" s="371"/>
      <c r="G99" s="48"/>
      <c r="H99" s="198"/>
      <c r="I99" s="201"/>
      <c r="J99" s="957"/>
      <c r="K99" s="92"/>
    </row>
    <row r="100" spans="2:13" s="58" customFormat="1" ht="12.6" customHeight="1">
      <c r="B100" s="1062"/>
      <c r="C100" s="1061"/>
      <c r="D100" s="1088"/>
      <c r="E100" s="371"/>
      <c r="F100" s="371"/>
      <c r="G100" s="48"/>
      <c r="H100" s="198"/>
      <c r="I100" s="201"/>
      <c r="J100" s="957"/>
      <c r="K100" s="92"/>
    </row>
    <row r="101" spans="2:13" s="58" customFormat="1" ht="12.6" customHeight="1">
      <c r="B101" s="1062"/>
      <c r="C101" s="1061"/>
      <c r="D101" s="1088"/>
      <c r="E101" s="371"/>
      <c r="F101" s="371"/>
      <c r="G101" s="48"/>
      <c r="H101" s="198"/>
      <c r="I101" s="201"/>
      <c r="J101" s="957"/>
      <c r="K101" s="92"/>
    </row>
    <row r="102" spans="2:13" s="58" customFormat="1" ht="12.6" customHeight="1">
      <c r="B102" s="1062"/>
      <c r="C102" s="1061"/>
      <c r="D102" s="1088"/>
      <c r="E102" s="371"/>
      <c r="F102" s="371"/>
      <c r="G102" s="48"/>
      <c r="H102" s="198"/>
      <c r="I102" s="201"/>
      <c r="J102" s="957"/>
      <c r="K102" s="92"/>
    </row>
    <row r="103" spans="2:13" s="58" customFormat="1" ht="12.6" customHeight="1">
      <c r="B103" s="1062"/>
      <c r="C103" s="1061"/>
      <c r="D103" s="1088"/>
      <c r="E103" s="371"/>
      <c r="F103" s="371"/>
      <c r="G103" s="48"/>
      <c r="H103" s="198"/>
      <c r="I103" s="201"/>
      <c r="J103" s="1424">
        <f>SUM(J95:J102)</f>
        <v>0</v>
      </c>
      <c r="K103" s="92"/>
    </row>
    <row r="104" spans="2:13" s="58" customFormat="1" ht="12.75" customHeight="1">
      <c r="B104" s="1062"/>
      <c r="C104" s="1061"/>
      <c r="D104" s="1088"/>
      <c r="E104" s="371"/>
      <c r="F104" s="371"/>
      <c r="G104" s="48"/>
      <c r="H104" s="46"/>
      <c r="I104" s="201"/>
      <c r="J104" s="1075"/>
      <c r="K104"/>
    </row>
    <row r="105" spans="2:13">
      <c r="B105" s="1406" t="s">
        <v>446</v>
      </c>
      <c r="C105" s="1407"/>
      <c r="D105" s="1407"/>
      <c r="E105" s="1425"/>
      <c r="F105" s="1425"/>
      <c r="G105" s="1407"/>
      <c r="H105" s="1407"/>
      <c r="I105" s="1407"/>
      <c r="J105" s="1408">
        <f>J26+J46+J86+J92+J19+J103</f>
        <v>34569.609999999993</v>
      </c>
    </row>
    <row r="106" spans="2:13" ht="15">
      <c r="B106" s="633" t="s">
        <v>447</v>
      </c>
      <c r="C106" s="634"/>
      <c r="D106" s="635"/>
      <c r="E106" s="635"/>
      <c r="F106" s="635"/>
      <c r="G106" s="634"/>
      <c r="H106" s="636"/>
      <c r="I106" s="636"/>
      <c r="J106" s="637">
        <f>J9+J105</f>
        <v>34569.609999999993</v>
      </c>
    </row>
    <row r="107" spans="2:13">
      <c r="B107" s="1"/>
      <c r="C107" s="49"/>
      <c r="D107" s="8"/>
      <c r="E107" s="8"/>
      <c r="F107" s="8"/>
      <c r="G107" s="49"/>
      <c r="H107" s="50"/>
      <c r="I107" s="50"/>
      <c r="J107" s="229"/>
      <c r="M107" s="2"/>
    </row>
    <row r="108" spans="2:13" s="15" customFormat="1" ht="14.25">
      <c r="B108" s="1"/>
      <c r="C108"/>
      <c r="D108"/>
      <c r="E108"/>
      <c r="F108"/>
      <c r="G108"/>
      <c r="H108" t="s">
        <v>448</v>
      </c>
      <c r="I108"/>
      <c r="J108" s="197">
        <f>'Rappro Balance'!E11</f>
        <v>-1148966.52</v>
      </c>
      <c r="K108"/>
      <c r="L108"/>
    </row>
    <row r="109" spans="2:13" s="15" customFormat="1" ht="14.25">
      <c r="B109" s="1"/>
      <c r="C109"/>
      <c r="D109"/>
      <c r="E109"/>
      <c r="F109"/>
      <c r="G109"/>
      <c r="H109" s="58"/>
      <c r="I109"/>
      <c r="J109" s="197"/>
      <c r="K109"/>
      <c r="L109"/>
    </row>
    <row r="110" spans="2:13" s="15" customFormat="1" ht="14.25">
      <c r="B110" s="1"/>
      <c r="C110"/>
      <c r="D110"/>
      <c r="E110"/>
      <c r="F110"/>
      <c r="G110">
        <v>61500000</v>
      </c>
      <c r="H110" s="58" t="s">
        <v>449</v>
      </c>
      <c r="I110"/>
      <c r="J110" s="197">
        <f>Résultat!H87</f>
        <v>0</v>
      </c>
      <c r="K110"/>
      <c r="L110"/>
    </row>
    <row r="111" spans="2:13">
      <c r="E111"/>
      <c r="F111"/>
      <c r="G111">
        <v>60830000</v>
      </c>
      <c r="H111" s="58" t="s">
        <v>450</v>
      </c>
      <c r="J111" s="228">
        <f>Résultat!H60</f>
        <v>0</v>
      </c>
    </row>
    <row r="112" spans="2:13">
      <c r="E112"/>
      <c r="F112"/>
      <c r="G112">
        <v>60840000</v>
      </c>
      <c r="H112" s="58" t="s">
        <v>451</v>
      </c>
      <c r="J112" s="197">
        <v>0</v>
      </c>
      <c r="K112" s="92"/>
    </row>
    <row r="113" spans="5:13">
      <c r="G113">
        <v>61510000</v>
      </c>
      <c r="H113" s="58" t="s">
        <v>452</v>
      </c>
      <c r="J113" s="228">
        <f>Résultat!H88</f>
        <v>8506.17</v>
      </c>
      <c r="K113" s="92"/>
    </row>
    <row r="114" spans="5:13">
      <c r="G114">
        <v>61512000</v>
      </c>
      <c r="H114" s="58" t="s">
        <v>453</v>
      </c>
      <c r="J114" s="228"/>
      <c r="K114" s="92"/>
    </row>
    <row r="115" spans="5:13">
      <c r="G115">
        <v>60810000</v>
      </c>
      <c r="H115" s="58" t="s">
        <v>454</v>
      </c>
      <c r="J115" s="228">
        <f>Résultat!H58</f>
        <v>1105890.74</v>
      </c>
    </row>
    <row r="116" spans="5:13">
      <c r="G116">
        <v>61125000</v>
      </c>
      <c r="H116" s="58" t="s">
        <v>444</v>
      </c>
      <c r="J116" s="228">
        <f>Résultat!H80</f>
        <v>0</v>
      </c>
    </row>
    <row r="117" spans="5:13">
      <c r="G117">
        <v>61200000</v>
      </c>
      <c r="H117" s="58" t="s">
        <v>455</v>
      </c>
      <c r="J117" s="228">
        <f>Résultat!H84</f>
        <v>0</v>
      </c>
    </row>
    <row r="118" spans="5:13">
      <c r="H118" s="58"/>
      <c r="J118" s="228"/>
    </row>
    <row r="119" spans="5:13">
      <c r="G119">
        <v>61520000</v>
      </c>
      <c r="H119" t="s">
        <v>456</v>
      </c>
      <c r="J119" s="197">
        <f>Résultat!H86</f>
        <v>0</v>
      </c>
      <c r="M119" s="14"/>
    </row>
    <row r="120" spans="5:13">
      <c r="G120">
        <v>64500000</v>
      </c>
      <c r="H120" t="s">
        <v>457</v>
      </c>
      <c r="J120" s="197">
        <v>0</v>
      </c>
      <c r="M120" s="14"/>
    </row>
    <row r="121" spans="5:13">
      <c r="G121">
        <v>61600000</v>
      </c>
      <c r="H121" t="s">
        <v>458</v>
      </c>
      <c r="J121" s="197">
        <v>0</v>
      </c>
      <c r="M121" s="14"/>
    </row>
    <row r="122" spans="5:13">
      <c r="G122">
        <v>65100000</v>
      </c>
      <c r="H122" s="58" t="s">
        <v>459</v>
      </c>
      <c r="J122" s="197">
        <v>0</v>
      </c>
      <c r="M122" s="14"/>
    </row>
    <row r="123" spans="5:13">
      <c r="H123" t="s">
        <v>460</v>
      </c>
      <c r="M123" s="14"/>
    </row>
    <row r="124" spans="5:13">
      <c r="G124">
        <v>61560000</v>
      </c>
      <c r="H124" s="58" t="s">
        <v>461</v>
      </c>
      <c r="J124" s="197">
        <f>Résultat!H89</f>
        <v>0</v>
      </c>
      <c r="M124" s="14"/>
    </row>
    <row r="125" spans="5:13">
      <c r="H125" t="s">
        <v>258</v>
      </c>
      <c r="J125" s="316">
        <f>SUM(J106:J124)</f>
        <v>0</v>
      </c>
      <c r="K125" s="58"/>
      <c r="M125" s="14"/>
    </row>
    <row r="126" spans="5:13">
      <c r="E126"/>
      <c r="F126"/>
      <c r="H126" t="s">
        <v>116</v>
      </c>
      <c r="J126" s="317" t="str">
        <f>IF(ABS(J125)&lt;0.01,"OK","ANOMALIE")</f>
        <v>OK</v>
      </c>
      <c r="K126" s="168"/>
      <c r="M126" s="14"/>
    </row>
    <row r="127" spans="5:13">
      <c r="E127"/>
      <c r="F127"/>
      <c r="K127" s="168"/>
      <c r="M127" s="14"/>
    </row>
    <row r="128" spans="5:13">
      <c r="E128"/>
      <c r="F128"/>
      <c r="K128" s="168"/>
      <c r="M128" s="14"/>
    </row>
    <row r="129" spans="4:10">
      <c r="E129"/>
      <c r="F129"/>
      <c r="J129"/>
    </row>
    <row r="130" spans="4:10">
      <c r="D130" s="5"/>
      <c r="E130"/>
      <c r="F130"/>
      <c r="J130"/>
    </row>
    <row r="131" spans="4:10">
      <c r="E131"/>
      <c r="F131"/>
      <c r="J131"/>
    </row>
    <row r="132" spans="4:10">
      <c r="E132"/>
      <c r="F132"/>
      <c r="J132"/>
    </row>
    <row r="133" spans="4:10">
      <c r="E133"/>
      <c r="F133"/>
      <c r="J133"/>
    </row>
    <row r="134" spans="4:10">
      <c r="E134"/>
      <c r="F134"/>
      <c r="J134"/>
    </row>
    <row r="135" spans="4:10">
      <c r="E135"/>
      <c r="F135"/>
      <c r="J135"/>
    </row>
    <row r="136" spans="4:10">
      <c r="E136"/>
      <c r="F136"/>
      <c r="J136"/>
    </row>
    <row r="137" spans="4:10">
      <c r="E137"/>
      <c r="F137"/>
      <c r="J137"/>
    </row>
    <row r="138" spans="4:10">
      <c r="E138"/>
      <c r="F138"/>
      <c r="J138"/>
    </row>
    <row r="139" spans="4:10">
      <c r="E139"/>
      <c r="F139"/>
      <c r="J139"/>
    </row>
    <row r="140" spans="4:10">
      <c r="E140"/>
      <c r="F140"/>
      <c r="J140"/>
    </row>
    <row r="141" spans="4:10">
      <c r="E141"/>
      <c r="F141"/>
      <c r="J141"/>
    </row>
    <row r="142" spans="4:10">
      <c r="E142"/>
      <c r="F142"/>
      <c r="J142"/>
    </row>
    <row r="143" spans="4:10">
      <c r="E143"/>
      <c r="F143"/>
      <c r="J143"/>
    </row>
    <row r="144" spans="4:10">
      <c r="E144"/>
      <c r="F144"/>
      <c r="J144"/>
    </row>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sheetData>
  <mergeCells count="6">
    <mergeCell ref="N2:Q2"/>
    <mergeCell ref="N4:Q5"/>
    <mergeCell ref="H8:I8"/>
    <mergeCell ref="H4:I4"/>
    <mergeCell ref="H5:I5"/>
    <mergeCell ref="H6:I6"/>
  </mergeCells>
  <phoneticPr fontId="18" type="noConversion"/>
  <pageMargins left="0.43307086614173229" right="0.43307086614173229" top="0.98425196850393704" bottom="0.98425196850393704" header="0.51181102362204722" footer="0.51181102362204722"/>
  <pageSetup paperSize="9" scale="50" fitToHeight="0" orientation="portrait" r:id="rId1"/>
  <headerFooter alignWithMargins="0"/>
  <rowBreaks count="1" manualBreakCount="1">
    <brk id="85" min="1" max="10" man="1"/>
  </row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5">
    <pageSetUpPr fitToPage="1"/>
  </sheetPr>
  <dimension ref="A1:Q110"/>
  <sheetViews>
    <sheetView view="pageBreakPreview" topLeftCell="L24" zoomScaleNormal="100" zoomScaleSheetLayoutView="100" workbookViewId="0">
      <selection activeCell="L24" sqref="L24:L25"/>
    </sheetView>
  </sheetViews>
  <sheetFormatPr defaultColWidth="11.42578125" defaultRowHeight="12.75"/>
  <cols>
    <col min="1" max="1" width="1.42578125" customWidth="1"/>
    <col min="2" max="2" width="50.5703125" bestFit="1" customWidth="1"/>
    <col min="3" max="3" width="12.28515625" customWidth="1"/>
    <col min="4" max="5" width="13" customWidth="1"/>
    <col min="6" max="6" width="11.5703125" customWidth="1"/>
    <col min="7" max="7" width="17.5703125" customWidth="1"/>
    <col min="8" max="8" width="1.5703125" customWidth="1"/>
    <col min="9" max="9" width="15.7109375" bestFit="1" customWidth="1"/>
    <col min="10" max="11" width="16.42578125" customWidth="1"/>
    <col min="12" max="12" width="46.85546875" customWidth="1"/>
    <col min="13" max="13" width="16.42578125" customWidth="1"/>
    <col min="15" max="15" width="12" bestFit="1" customWidth="1"/>
    <col min="16" max="17" width="15.5703125" bestFit="1" customWidth="1"/>
  </cols>
  <sheetData>
    <row r="1" spans="1:15" s="79" customFormat="1" ht="28.5" customHeight="1">
      <c r="B1" s="123" t="str">
        <f>+Inventaire!B1</f>
        <v>BOLZEN - SLP</v>
      </c>
      <c r="E1" s="131" t="s">
        <v>462</v>
      </c>
      <c r="G1" s="125">
        <f>Sommaire!C1</f>
        <v>46022</v>
      </c>
      <c r="J1"/>
      <c r="K1"/>
      <c r="L1"/>
      <c r="M1"/>
      <c r="N1"/>
      <c r="O1"/>
    </row>
    <row r="2" spans="1:15" s="11" customFormat="1" ht="15">
      <c r="D2" s="12"/>
      <c r="E2" s="32"/>
      <c r="J2"/>
      <c r="K2"/>
      <c r="L2"/>
      <c r="M2"/>
      <c r="N2"/>
      <c r="O2"/>
    </row>
    <row r="3" spans="1:15" s="11" customFormat="1" ht="15">
      <c r="B3" s="1090"/>
      <c r="C3" s="1091"/>
      <c r="D3" s="12"/>
      <c r="E3" s="32"/>
      <c r="G3" s="29"/>
      <c r="J3"/>
      <c r="K3"/>
      <c r="L3"/>
      <c r="M3"/>
      <c r="N3"/>
      <c r="O3"/>
    </row>
    <row r="4" spans="1:15" s="23" customFormat="1" ht="26.25" customHeight="1">
      <c r="B4" s="1247" t="s">
        <v>105</v>
      </c>
      <c r="C4" s="1426"/>
      <c r="D4" s="1426"/>
      <c r="E4" s="1426"/>
      <c r="F4" s="1427"/>
      <c r="G4" s="1428">
        <f>G1</f>
        <v>46022</v>
      </c>
      <c r="J4"/>
      <c r="K4"/>
      <c r="L4"/>
      <c r="M4"/>
      <c r="N4"/>
      <c r="O4"/>
    </row>
    <row r="5" spans="1:15" s="23" customFormat="1" ht="13.5" customHeight="1">
      <c r="B5" s="1092" t="s">
        <v>463</v>
      </c>
      <c r="C5" s="140"/>
      <c r="E5" s="142"/>
      <c r="F5" s="638"/>
      <c r="G5" s="231"/>
      <c r="H5" s="1093"/>
      <c r="I5" s="282"/>
      <c r="J5"/>
      <c r="K5"/>
      <c r="L5"/>
      <c r="M5"/>
      <c r="N5"/>
      <c r="O5"/>
    </row>
    <row r="6" spans="1:15" s="23" customFormat="1" ht="13.5" customHeight="1">
      <c r="B6" s="1094"/>
      <c r="C6" s="140"/>
      <c r="E6" s="142"/>
      <c r="F6" s="638"/>
      <c r="G6" s="717"/>
      <c r="H6" s="1093"/>
      <c r="I6" s="282"/>
      <c r="J6"/>
      <c r="K6"/>
      <c r="L6"/>
      <c r="M6"/>
      <c r="N6"/>
      <c r="O6"/>
    </row>
    <row r="7" spans="1:15" s="23" customFormat="1" ht="13.5" customHeight="1">
      <c r="B7" s="1094"/>
      <c r="C7" s="140"/>
      <c r="E7" s="142"/>
      <c r="F7" s="638"/>
      <c r="G7" s="848"/>
      <c r="H7" s="1093"/>
      <c r="I7" s="282"/>
      <c r="J7"/>
      <c r="K7"/>
      <c r="L7"/>
      <c r="M7"/>
      <c r="N7"/>
      <c r="O7"/>
    </row>
    <row r="8" spans="1:15" s="23" customFormat="1" ht="13.5" customHeight="1">
      <c r="B8" s="1094"/>
      <c r="C8" s="140"/>
      <c r="E8" s="142"/>
      <c r="F8" s="638" t="s">
        <v>464</v>
      </c>
      <c r="G8" s="1375">
        <f>SUM(G6:G7)</f>
        <v>0</v>
      </c>
      <c r="H8" s="1093"/>
      <c r="I8" s="141"/>
      <c r="J8"/>
      <c r="K8"/>
      <c r="L8"/>
      <c r="M8"/>
      <c r="N8"/>
      <c r="O8"/>
    </row>
    <row r="9" spans="1:15" s="23" customFormat="1" ht="13.5" customHeight="1">
      <c r="B9" s="1095" t="s">
        <v>465</v>
      </c>
      <c r="C9" s="140"/>
      <c r="E9" s="142"/>
      <c r="F9" s="638"/>
      <c r="G9" s="256"/>
      <c r="H9" s="1093"/>
      <c r="I9" s="141"/>
      <c r="J9"/>
      <c r="K9"/>
      <c r="L9"/>
      <c r="M9"/>
      <c r="N9"/>
      <c r="O9"/>
    </row>
    <row r="10" spans="1:15" s="23" customFormat="1" ht="13.5" customHeight="1">
      <c r="B10" s="1094"/>
      <c r="C10" s="140"/>
      <c r="E10" s="142"/>
      <c r="F10" s="638"/>
      <c r="G10" s="717"/>
      <c r="H10" s="1093"/>
      <c r="I10" s="146"/>
      <c r="J10"/>
      <c r="K10"/>
      <c r="L10"/>
      <c r="M10"/>
      <c r="N10"/>
      <c r="O10"/>
    </row>
    <row r="11" spans="1:15" s="23" customFormat="1" ht="13.5" customHeight="1">
      <c r="B11" s="1094"/>
      <c r="C11" s="140"/>
      <c r="E11" s="142"/>
      <c r="F11" s="638"/>
      <c r="G11" s="717"/>
      <c r="H11" s="1093"/>
      <c r="I11" s="146"/>
      <c r="J11"/>
      <c r="K11"/>
      <c r="L11"/>
      <c r="M11"/>
      <c r="N11"/>
      <c r="O11"/>
    </row>
    <row r="12" spans="1:15" s="23" customFormat="1" ht="13.5" customHeight="1">
      <c r="B12" s="1094"/>
      <c r="C12" s="140"/>
      <c r="E12" s="142"/>
      <c r="F12" s="638" t="s">
        <v>464</v>
      </c>
      <c r="G12" s="1375">
        <f>SUM(G10:G11)</f>
        <v>0</v>
      </c>
      <c r="H12" s="1093"/>
      <c r="I12" s="146"/>
      <c r="J12"/>
      <c r="K12"/>
      <c r="L12"/>
      <c r="M12"/>
      <c r="N12"/>
      <c r="O12"/>
    </row>
    <row r="13" spans="1:15" s="23" customFormat="1" ht="13.5" customHeight="1">
      <c r="B13" s="1095" t="s">
        <v>466</v>
      </c>
      <c r="C13" s="140"/>
      <c r="E13" s="142"/>
      <c r="F13" s="638"/>
      <c r="G13" s="256"/>
      <c r="H13" s="1093"/>
      <c r="I13" s="146"/>
      <c r="J13"/>
      <c r="K13"/>
      <c r="L13"/>
      <c r="M13"/>
      <c r="N13"/>
      <c r="O13"/>
    </row>
    <row r="14" spans="1:15" s="489" customFormat="1" ht="13.7" customHeight="1">
      <c r="A14" s="23"/>
      <c r="B14" s="1094"/>
      <c r="C14" s="140"/>
      <c r="D14" s="23"/>
      <c r="E14" s="142"/>
      <c r="F14" s="638"/>
      <c r="G14" s="717"/>
      <c r="H14" s="1093"/>
      <c r="I14" s="496"/>
      <c r="J14"/>
      <c r="K14"/>
      <c r="L14"/>
      <c r="M14"/>
      <c r="N14"/>
      <c r="O14"/>
    </row>
    <row r="15" spans="1:15" s="23" customFormat="1" ht="13.5" customHeight="1">
      <c r="B15" s="1094"/>
      <c r="C15" s="140"/>
      <c r="E15" s="142"/>
      <c r="F15" s="638"/>
      <c r="G15" s="717"/>
      <c r="H15" s="1093"/>
      <c r="I15" s="146"/>
      <c r="J15"/>
      <c r="K15"/>
      <c r="L15"/>
      <c r="M15"/>
      <c r="N15"/>
      <c r="O15"/>
    </row>
    <row r="16" spans="1:15" s="23" customFormat="1" ht="13.5" customHeight="1">
      <c r="B16" s="1094"/>
      <c r="C16" s="140"/>
      <c r="E16" s="142"/>
      <c r="F16" s="638" t="s">
        <v>464</v>
      </c>
      <c r="G16" s="1375">
        <f>SUM(G14:G15)</f>
        <v>0</v>
      </c>
      <c r="H16" s="1093"/>
      <c r="I16" s="146"/>
      <c r="J16"/>
      <c r="K16"/>
      <c r="L16"/>
      <c r="M16"/>
      <c r="N16"/>
      <c r="O16"/>
    </row>
    <row r="17" spans="2:17" s="23" customFormat="1" ht="13.15" customHeight="1">
      <c r="B17" s="1095" t="s">
        <v>467</v>
      </c>
      <c r="C17" s="140"/>
      <c r="E17" s="142"/>
      <c r="F17" s="638"/>
      <c r="G17" s="256"/>
      <c r="H17" s="1093"/>
      <c r="I17" s="146"/>
      <c r="J17"/>
      <c r="K17"/>
      <c r="L17"/>
      <c r="M17"/>
      <c r="N17"/>
      <c r="O17"/>
    </row>
    <row r="18" spans="2:17" s="23" customFormat="1" ht="13.5" customHeight="1">
      <c r="B18" s="1094"/>
      <c r="C18" s="140"/>
      <c r="E18" s="142"/>
      <c r="F18" s="638"/>
      <c r="G18" s="717"/>
      <c r="H18" s="1093"/>
      <c r="I18" s="146"/>
      <c r="J18"/>
      <c r="K18"/>
      <c r="L18"/>
      <c r="M18"/>
      <c r="N18"/>
      <c r="O18"/>
    </row>
    <row r="19" spans="2:17" s="23" customFormat="1" ht="13.5" customHeight="1">
      <c r="B19" s="1094"/>
      <c r="C19" s="140"/>
      <c r="E19" s="142"/>
      <c r="F19" s="638"/>
      <c r="G19" s="717"/>
      <c r="H19" s="1093"/>
      <c r="I19" s="495"/>
      <c r="J19"/>
      <c r="K19"/>
      <c r="L19"/>
      <c r="M19"/>
      <c r="N19"/>
      <c r="O19"/>
    </row>
    <row r="20" spans="2:17" s="23" customFormat="1" ht="13.5" customHeight="1">
      <c r="B20" s="1094"/>
      <c r="C20" s="140"/>
      <c r="E20" s="142"/>
      <c r="F20" s="638"/>
      <c r="G20" s="717"/>
      <c r="H20" s="1093"/>
      <c r="I20" s="488"/>
      <c r="J20"/>
      <c r="K20"/>
      <c r="L20"/>
      <c r="M20"/>
      <c r="N20"/>
      <c r="O20"/>
    </row>
    <row r="21" spans="2:17" s="23" customFormat="1" ht="13.5" customHeight="1">
      <c r="B21" s="1094"/>
      <c r="C21" s="140"/>
      <c r="E21" s="142"/>
      <c r="F21" s="638" t="s">
        <v>464</v>
      </c>
      <c r="G21" s="1375">
        <f>SUM(G18:G19)</f>
        <v>0</v>
      </c>
      <c r="H21" s="1093"/>
      <c r="I21" s="146"/>
      <c r="J21"/>
      <c r="K21"/>
      <c r="L21"/>
      <c r="M21"/>
      <c r="N21"/>
      <c r="O21"/>
    </row>
    <row r="22" spans="2:17" s="23" customFormat="1" ht="13.5" customHeight="1">
      <c r="B22" s="1095" t="s">
        <v>468</v>
      </c>
      <c r="C22" s="140"/>
      <c r="E22" s="142"/>
      <c r="F22" s="57"/>
      <c r="G22" s="1429"/>
      <c r="H22" s="1093"/>
      <c r="I22" s="146"/>
      <c r="J22"/>
      <c r="K22"/>
      <c r="L22"/>
      <c r="M22" s="28"/>
      <c r="N22"/>
      <c r="O22"/>
    </row>
    <row r="23" spans="2:17" s="23" customFormat="1" ht="13.15" customHeight="1">
      <c r="B23" s="1094"/>
      <c r="C23" s="140" t="s">
        <v>469</v>
      </c>
      <c r="E23" s="142"/>
      <c r="F23" s="57"/>
      <c r="G23" s="1096">
        <v>0</v>
      </c>
      <c r="I23" s="1097" t="s">
        <v>470</v>
      </c>
      <c r="J23"/>
      <c r="K23" s="860"/>
      <c r="L23" s="58"/>
      <c r="M23" s="28"/>
      <c r="N23"/>
      <c r="O23" s="28"/>
      <c r="P23" s="727"/>
    </row>
    <row r="24" spans="2:17" s="23" customFormat="1" ht="13.5" customHeight="1">
      <c r="B24" s="1094"/>
      <c r="C24" s="140" t="s">
        <v>471</v>
      </c>
      <c r="E24" s="142"/>
      <c r="F24" s="57"/>
      <c r="G24" s="848">
        <v>0</v>
      </c>
      <c r="I24" s="1097" t="s">
        <v>472</v>
      </c>
      <c r="J24"/>
      <c r="K24"/>
      <c r="L24" s="58"/>
      <c r="M24" s="28"/>
      <c r="N24"/>
      <c r="O24"/>
      <c r="Q24" s="727"/>
    </row>
    <row r="25" spans="2:17" s="23" customFormat="1" ht="13.5" customHeight="1">
      <c r="B25" s="1094"/>
      <c r="C25" s="140"/>
      <c r="E25" s="142"/>
      <c r="F25" s="57"/>
      <c r="G25" s="848"/>
      <c r="H25" s="1093"/>
      <c r="I25" s="146"/>
      <c r="J25"/>
      <c r="K25"/>
      <c r="L25" s="58"/>
      <c r="M25" s="28"/>
      <c r="N25"/>
      <c r="O25" s="92"/>
      <c r="P25" s="141"/>
      <c r="Q25" s="727"/>
    </row>
    <row r="26" spans="2:17" s="23" customFormat="1" ht="13.5" customHeight="1">
      <c r="B26" s="1094"/>
      <c r="C26" s="140"/>
      <c r="E26" s="142"/>
      <c r="F26" s="57"/>
      <c r="G26" s="808"/>
      <c r="H26" s="1093"/>
      <c r="I26" s="146"/>
      <c r="J26"/>
      <c r="K26"/>
      <c r="L26" s="58"/>
      <c r="M26" s="28"/>
      <c r="N26"/>
      <c r="O26"/>
      <c r="P26" s="727"/>
      <c r="Q26" s="727"/>
    </row>
    <row r="27" spans="2:17" s="23" customFormat="1" ht="13.5" customHeight="1">
      <c r="B27" s="1094"/>
      <c r="C27" s="140"/>
      <c r="E27" s="142"/>
      <c r="F27" s="638" t="s">
        <v>464</v>
      </c>
      <c r="G27" s="1375">
        <f>SUM(G23:G26)</f>
        <v>0</v>
      </c>
      <c r="H27" s="1093"/>
      <c r="I27" s="146"/>
      <c r="J27"/>
      <c r="K27"/>
      <c r="L27"/>
      <c r="M27" s="28"/>
      <c r="N27"/>
      <c r="O27"/>
      <c r="Q27" s="727"/>
    </row>
    <row r="28" spans="2:17" s="23" customFormat="1" ht="13.5" customHeight="1">
      <c r="B28" s="1095" t="s">
        <v>473</v>
      </c>
      <c r="C28" s="140"/>
      <c r="E28" s="142"/>
      <c r="F28" s="638"/>
      <c r="G28" s="231"/>
      <c r="H28" s="1093"/>
      <c r="I28" s="146"/>
      <c r="J28"/>
      <c r="K28"/>
      <c r="L28"/>
      <c r="M28" s="28"/>
      <c r="N28"/>
      <c r="O28" s="28"/>
      <c r="P28" s="727"/>
      <c r="Q28" s="727"/>
    </row>
    <row r="29" spans="2:17" s="23" customFormat="1" ht="13.5" customHeight="1">
      <c r="B29" s="1094"/>
      <c r="C29" s="140"/>
      <c r="E29" s="142"/>
      <c r="F29" s="638"/>
      <c r="G29" s="717"/>
      <c r="H29" s="1093"/>
      <c r="I29" s="146"/>
      <c r="J29"/>
      <c r="K29"/>
      <c r="L29"/>
      <c r="M29" s="28"/>
      <c r="N29"/>
      <c r="O29"/>
      <c r="Q29" s="727"/>
    </row>
    <row r="30" spans="2:17" s="23" customFormat="1" ht="13.5" customHeight="1">
      <c r="B30" s="1094"/>
      <c r="C30" s="140"/>
      <c r="E30" s="142"/>
      <c r="F30" s="638"/>
      <c r="G30" s="717"/>
      <c r="H30" s="1093"/>
      <c r="I30" s="851"/>
      <c r="J30"/>
      <c r="K30"/>
      <c r="L30"/>
      <c r="M30" s="28"/>
      <c r="N30"/>
      <c r="O30"/>
    </row>
    <row r="31" spans="2:17" s="23" customFormat="1" ht="13.5" customHeight="1">
      <c r="B31" s="1094"/>
      <c r="C31" s="140"/>
      <c r="E31" s="142"/>
      <c r="F31" s="638"/>
      <c r="G31" s="717"/>
      <c r="H31" s="1093"/>
      <c r="I31" s="146"/>
      <c r="J31"/>
      <c r="K31"/>
      <c r="L31"/>
      <c r="M31" s="28"/>
      <c r="N31"/>
      <c r="O31"/>
    </row>
    <row r="32" spans="2:17" s="23" customFormat="1" ht="13.5" customHeight="1">
      <c r="B32" s="1094"/>
      <c r="C32" s="140"/>
      <c r="E32" s="142"/>
      <c r="F32" s="638"/>
      <c r="G32" s="717"/>
      <c r="H32" s="1093"/>
      <c r="I32" s="146"/>
      <c r="J32"/>
      <c r="K32"/>
      <c r="L32"/>
      <c r="M32"/>
      <c r="N32"/>
      <c r="O32"/>
    </row>
    <row r="33" spans="2:15" s="23" customFormat="1" ht="13.5" customHeight="1">
      <c r="B33" s="1094"/>
      <c r="C33" s="140"/>
      <c r="E33" s="142"/>
      <c r="F33" s="638"/>
      <c r="G33" s="717"/>
      <c r="H33" s="1093"/>
      <c r="I33" s="146"/>
      <c r="J33"/>
      <c r="K33"/>
      <c r="L33"/>
      <c r="M33"/>
      <c r="N33"/>
      <c r="O33"/>
    </row>
    <row r="34" spans="2:15" s="23" customFormat="1" ht="13.5" customHeight="1">
      <c r="B34" s="1094"/>
      <c r="C34" s="140"/>
      <c r="E34" s="142"/>
      <c r="F34" s="638" t="s">
        <v>464</v>
      </c>
      <c r="G34" s="1375">
        <f>SUM(G29:G33)</f>
        <v>0</v>
      </c>
      <c r="H34" s="1093"/>
      <c r="I34" s="146"/>
      <c r="J34"/>
      <c r="K34"/>
      <c r="L34"/>
      <c r="M34"/>
      <c r="N34"/>
      <c r="O34"/>
    </row>
    <row r="35" spans="2:15">
      <c r="B35" s="1430" t="s">
        <v>254</v>
      </c>
      <c r="C35" s="1431"/>
      <c r="D35" s="1431"/>
      <c r="E35" s="1431"/>
      <c r="F35" s="1431"/>
      <c r="G35" s="1375">
        <f>SUM(G5:G34)/2</f>
        <v>0</v>
      </c>
    </row>
    <row r="36" spans="2:15">
      <c r="G36" s="8"/>
    </row>
    <row r="37" spans="2:15">
      <c r="C37" t="s">
        <v>98</v>
      </c>
      <c r="G37" s="8"/>
    </row>
    <row r="38" spans="2:15" s="23" customFormat="1" ht="27" customHeight="1">
      <c r="B38" s="1247" t="s">
        <v>106</v>
      </c>
      <c r="C38" s="1426"/>
      <c r="D38" s="1426"/>
      <c r="E38" s="1426"/>
      <c r="F38" s="1427"/>
      <c r="G38" s="1428">
        <f>G1</f>
        <v>46022</v>
      </c>
      <c r="I38" s="141"/>
      <c r="J38"/>
      <c r="K38"/>
      <c r="L38"/>
      <c r="M38"/>
      <c r="N38"/>
      <c r="O38"/>
    </row>
    <row r="39" spans="2:15">
      <c r="B39" s="1098" t="s">
        <v>474</v>
      </c>
      <c r="C39" s="134"/>
      <c r="D39" s="10"/>
      <c r="E39" s="10"/>
      <c r="F39" s="511"/>
      <c r="G39" s="484"/>
    </row>
    <row r="40" spans="2:15">
      <c r="B40" s="1099"/>
      <c r="C40" s="134"/>
      <c r="D40" s="10"/>
      <c r="E40" s="10"/>
      <c r="F40" s="511"/>
      <c r="G40" s="1432"/>
    </row>
    <row r="41" spans="2:15">
      <c r="B41" s="1099"/>
      <c r="C41" s="134"/>
      <c r="D41" s="10"/>
      <c r="E41" s="10"/>
      <c r="F41" s="511"/>
      <c r="G41" s="715"/>
    </row>
    <row r="42" spans="2:15">
      <c r="B42" s="1099"/>
      <c r="C42" s="134"/>
      <c r="D42" s="10"/>
      <c r="E42" s="10"/>
      <c r="F42" s="511"/>
      <c r="G42" s="715"/>
    </row>
    <row r="43" spans="2:15">
      <c r="B43" s="1099"/>
      <c r="C43" s="134"/>
      <c r="D43" s="10"/>
      <c r="E43" s="10"/>
      <c r="F43" s="511"/>
      <c r="G43" s="715"/>
    </row>
    <row r="44" spans="2:15">
      <c r="B44" s="1100"/>
      <c r="C44" s="134"/>
      <c r="D44" s="10"/>
      <c r="E44" s="10"/>
      <c r="F44" s="511"/>
      <c r="G44" s="716"/>
    </row>
    <row r="45" spans="2:15">
      <c r="B45" s="1101"/>
      <c r="F45" s="638" t="s">
        <v>464</v>
      </c>
      <c r="G45" s="650">
        <f>SUM(G40:G44)</f>
        <v>0</v>
      </c>
      <c r="I45" s="92"/>
    </row>
    <row r="46" spans="2:15">
      <c r="B46" s="1102" t="s">
        <v>475</v>
      </c>
      <c r="F46" s="334"/>
      <c r="G46" s="484"/>
    </row>
    <row r="47" spans="2:15">
      <c r="B47" s="1099" t="s">
        <v>407</v>
      </c>
      <c r="F47" s="334"/>
      <c r="G47" s="847">
        <v>2550</v>
      </c>
    </row>
    <row r="48" spans="2:15">
      <c r="B48" s="1099" t="s">
        <v>408</v>
      </c>
      <c r="F48" s="334"/>
      <c r="G48" s="847">
        <v>2856</v>
      </c>
    </row>
    <row r="49" spans="2:9">
      <c r="B49" s="1101" t="s">
        <v>409</v>
      </c>
      <c r="F49" s="334"/>
      <c r="G49" s="847">
        <v>306</v>
      </c>
    </row>
    <row r="50" spans="2:9">
      <c r="B50" s="1099"/>
      <c r="F50" s="334"/>
      <c r="G50" s="847"/>
    </row>
    <row r="51" spans="2:9">
      <c r="B51" s="1099"/>
      <c r="F51" s="334"/>
      <c r="G51" s="847"/>
    </row>
    <row r="52" spans="2:9">
      <c r="B52" s="1099"/>
      <c r="F52" s="334"/>
      <c r="G52" s="847"/>
    </row>
    <row r="53" spans="2:9">
      <c r="B53" s="1099"/>
      <c r="F53" s="334"/>
      <c r="G53" s="847"/>
    </row>
    <row r="54" spans="2:9">
      <c r="B54" s="1099"/>
      <c r="F54" s="334"/>
      <c r="G54" s="847"/>
    </row>
    <row r="55" spans="2:9">
      <c r="B55" s="1099"/>
      <c r="F55" s="334"/>
      <c r="G55" s="847"/>
    </row>
    <row r="56" spans="2:9">
      <c r="B56" s="1101"/>
      <c r="F56" s="638" t="s">
        <v>464</v>
      </c>
      <c r="G56" s="1375">
        <f>SUM(G47:G53)</f>
        <v>5712</v>
      </c>
      <c r="I56" s="92"/>
    </row>
    <row r="57" spans="2:9">
      <c r="B57" s="1092" t="s">
        <v>476</v>
      </c>
      <c r="C57" s="58"/>
      <c r="F57" s="639"/>
      <c r="G57" s="1103"/>
    </row>
    <row r="58" spans="2:9">
      <c r="B58" s="1100" t="s">
        <v>418</v>
      </c>
      <c r="C58" s="58"/>
      <c r="F58" s="514"/>
      <c r="G58" s="847">
        <v>2950</v>
      </c>
    </row>
    <row r="59" spans="2:9">
      <c r="B59" s="1100" t="s">
        <v>419</v>
      </c>
      <c r="C59" s="58"/>
      <c r="F59" s="514"/>
      <c r="G59" s="847">
        <v>161</v>
      </c>
    </row>
    <row r="60" spans="2:9">
      <c r="B60" s="1100" t="s">
        <v>420</v>
      </c>
      <c r="C60" s="58"/>
      <c r="F60" s="514"/>
      <c r="G60" s="847">
        <v>110</v>
      </c>
    </row>
    <row r="61" spans="2:9">
      <c r="B61" s="1100" t="s">
        <v>421</v>
      </c>
      <c r="C61" s="58"/>
      <c r="F61" s="514"/>
      <c r="G61" s="847">
        <v>70</v>
      </c>
    </row>
    <row r="62" spans="2:9">
      <c r="B62" s="1100"/>
      <c r="C62" s="58"/>
      <c r="F62" s="514"/>
      <c r="G62" s="847"/>
    </row>
    <row r="63" spans="2:9">
      <c r="B63" s="1100"/>
      <c r="C63" s="58"/>
      <c r="F63" s="514"/>
      <c r="G63" s="847"/>
    </row>
    <row r="64" spans="2:9">
      <c r="B64" s="1101"/>
      <c r="F64" s="638" t="s">
        <v>464</v>
      </c>
      <c r="G64" s="1375">
        <f>SUM(G58:H63)</f>
        <v>3291</v>
      </c>
      <c r="I64" s="5"/>
    </row>
    <row r="65" spans="2:9">
      <c r="B65" s="1092" t="s">
        <v>477</v>
      </c>
      <c r="C65" s="58"/>
      <c r="F65" s="639"/>
      <c r="G65" s="1103"/>
    </row>
    <row r="66" spans="2:9">
      <c r="B66" s="736" t="s">
        <v>407</v>
      </c>
      <c r="C66" s="58"/>
      <c r="F66" s="514"/>
      <c r="G66" s="1104">
        <v>13413</v>
      </c>
    </row>
    <row r="67" spans="2:9">
      <c r="B67" s="1100" t="s">
        <v>408</v>
      </c>
      <c r="C67" s="58"/>
      <c r="F67" s="514"/>
      <c r="G67" s="1104">
        <v>6050.0099999999984</v>
      </c>
    </row>
    <row r="68" spans="2:9">
      <c r="B68" s="1100"/>
      <c r="C68" s="58"/>
      <c r="F68" s="514"/>
      <c r="G68" s="1104"/>
    </row>
    <row r="69" spans="2:9">
      <c r="B69" s="1100"/>
      <c r="C69" s="58"/>
      <c r="F69" s="514"/>
      <c r="G69" s="1104"/>
    </row>
    <row r="70" spans="2:9">
      <c r="B70" s="1100"/>
      <c r="C70" s="58"/>
      <c r="F70" s="514"/>
      <c r="G70" s="1104"/>
    </row>
    <row r="71" spans="2:9">
      <c r="B71" s="1100"/>
      <c r="C71" s="58"/>
      <c r="F71" s="514"/>
      <c r="G71" s="1104"/>
    </row>
    <row r="72" spans="2:9">
      <c r="B72" s="1101"/>
      <c r="F72" s="638" t="s">
        <v>464</v>
      </c>
      <c r="G72" s="1375">
        <f>SUM(G66:G69)</f>
        <v>19463.009999999998</v>
      </c>
      <c r="H72" s="2"/>
    </row>
    <row r="73" spans="2:9" ht="16.350000000000001" customHeight="1">
      <c r="B73" s="1092" t="s">
        <v>478</v>
      </c>
      <c r="E73" s="13"/>
      <c r="F73" s="512"/>
      <c r="G73" s="1105"/>
    </row>
    <row r="74" spans="2:9">
      <c r="B74" s="1106" t="s">
        <v>479</v>
      </c>
      <c r="C74" s="144"/>
      <c r="D74" s="80"/>
      <c r="E74" s="180"/>
      <c r="F74" s="512"/>
      <c r="G74" s="1107">
        <v>25000</v>
      </c>
    </row>
    <row r="75" spans="2:9">
      <c r="B75" s="1106" t="s">
        <v>480</v>
      </c>
      <c r="C75" s="144"/>
      <c r="D75" s="80"/>
      <c r="E75" s="180"/>
      <c r="F75" s="512"/>
      <c r="G75" s="1107">
        <v>8506.17</v>
      </c>
    </row>
    <row r="76" spans="2:9">
      <c r="B76" s="1106"/>
      <c r="C76" s="144"/>
      <c r="D76" s="80"/>
      <c r="E76" s="180"/>
      <c r="F76" s="512"/>
      <c r="G76" s="1107"/>
    </row>
    <row r="77" spans="2:9">
      <c r="B77" s="1101"/>
      <c r="D77" s="5"/>
      <c r="F77" s="638" t="s">
        <v>464</v>
      </c>
      <c r="G77" s="1375">
        <f>SUM(G74:G76)</f>
        <v>33506.17</v>
      </c>
    </row>
    <row r="78" spans="2:9">
      <c r="B78" s="1092" t="s">
        <v>481</v>
      </c>
      <c r="D78" s="5"/>
      <c r="F78" s="1"/>
      <c r="G78" s="1429"/>
      <c r="I78" s="58"/>
    </row>
    <row r="79" spans="2:9">
      <c r="B79" s="1100"/>
      <c r="E79" s="13"/>
      <c r="F79" s="512"/>
      <c r="G79" s="1108"/>
      <c r="I79" s="58"/>
    </row>
    <row r="80" spans="2:9">
      <c r="B80" s="1100"/>
      <c r="E80" s="13"/>
      <c r="F80" s="512"/>
      <c r="G80" s="1108"/>
      <c r="I80" s="58"/>
    </row>
    <row r="81" spans="1:15">
      <c r="B81" s="1100"/>
      <c r="C81" s="144"/>
      <c r="D81" s="8"/>
      <c r="E81" s="8"/>
      <c r="F81" s="512"/>
      <c r="G81" s="1108"/>
      <c r="I81" s="58"/>
    </row>
    <row r="82" spans="1:15">
      <c r="B82" s="1100"/>
      <c r="C82" s="144"/>
      <c r="D82" s="8"/>
      <c r="E82" s="8"/>
      <c r="F82" s="512"/>
      <c r="G82" s="1108"/>
      <c r="I82" s="58"/>
    </row>
    <row r="83" spans="1:15">
      <c r="B83" s="1101"/>
      <c r="D83" s="5"/>
      <c r="F83" s="638" t="s">
        <v>464</v>
      </c>
      <c r="G83" s="1375">
        <f>SUM(G79:G82)</f>
        <v>0</v>
      </c>
      <c r="I83" s="58"/>
    </row>
    <row r="84" spans="1:15">
      <c r="B84" s="1092" t="s">
        <v>482</v>
      </c>
      <c r="E84" s="13"/>
      <c r="F84" s="512"/>
      <c r="G84" s="1105"/>
      <c r="I84" s="58"/>
    </row>
    <row r="85" spans="1:15">
      <c r="B85" s="1100"/>
      <c r="E85" s="13"/>
      <c r="F85" s="512"/>
      <c r="G85" s="1108"/>
      <c r="I85" s="58"/>
    </row>
    <row r="86" spans="1:15">
      <c r="B86" s="1100"/>
      <c r="E86" s="13"/>
      <c r="F86" s="512"/>
      <c r="G86" s="1108"/>
      <c r="I86" s="58"/>
    </row>
    <row r="87" spans="1:15">
      <c r="A87" s="58"/>
      <c r="B87" s="1100"/>
      <c r="E87" s="13"/>
      <c r="F87" s="512"/>
      <c r="G87" s="1108"/>
      <c r="I87" s="58"/>
    </row>
    <row r="88" spans="1:15">
      <c r="B88" s="1100"/>
      <c r="E88" s="13"/>
      <c r="F88" s="512"/>
      <c r="G88" s="1108"/>
      <c r="I88" s="58"/>
    </row>
    <row r="89" spans="1:15">
      <c r="B89" s="1100"/>
      <c r="E89" s="13"/>
      <c r="F89" s="512"/>
      <c r="G89" s="1108"/>
    </row>
    <row r="90" spans="1:15">
      <c r="B90" s="1100"/>
      <c r="C90" s="144"/>
      <c r="D90" s="8"/>
      <c r="E90" s="8"/>
      <c r="F90" s="638" t="s">
        <v>464</v>
      </c>
      <c r="G90" s="1375">
        <f>SUM(G85:G88)</f>
        <v>0</v>
      </c>
      <c r="I90" s="2"/>
    </row>
    <row r="91" spans="1:15" s="23" customFormat="1" ht="13.5" customHeight="1">
      <c r="B91" s="1095" t="s">
        <v>483</v>
      </c>
      <c r="C91" s="140"/>
      <c r="E91" s="142"/>
      <c r="F91" s="14"/>
      <c r="G91" s="1109"/>
      <c r="H91" s="1093"/>
      <c r="I91" s="141"/>
      <c r="J91"/>
      <c r="K91"/>
      <c r="L91"/>
      <c r="M91"/>
      <c r="N91"/>
      <c r="O91"/>
    </row>
    <row r="92" spans="1:15" s="23" customFormat="1" ht="13.5" customHeight="1">
      <c r="B92" s="1106" t="s">
        <v>403</v>
      </c>
      <c r="C92" s="140"/>
      <c r="E92" s="142"/>
      <c r="F92" s="14"/>
      <c r="G92" s="1107">
        <v>756.3</v>
      </c>
      <c r="H92" s="1093"/>
      <c r="I92" s="141"/>
      <c r="J92"/>
      <c r="K92"/>
      <c r="L92"/>
      <c r="M92"/>
      <c r="N92"/>
      <c r="O92"/>
    </row>
    <row r="93" spans="1:15" s="23" customFormat="1" ht="13.35" customHeight="1">
      <c r="B93" s="1106" t="s">
        <v>404</v>
      </c>
      <c r="C93" s="140"/>
      <c r="E93" s="142"/>
      <c r="F93" s="14"/>
      <c r="G93" s="1107">
        <v>756.3</v>
      </c>
      <c r="H93" s="1093"/>
      <c r="I93" s="141"/>
      <c r="J93"/>
      <c r="K93"/>
      <c r="L93"/>
      <c r="M93"/>
      <c r="N93"/>
      <c r="O93"/>
    </row>
    <row r="94" spans="1:15" s="23" customFormat="1" ht="13.35" customHeight="1">
      <c r="B94" s="1094"/>
      <c r="C94" s="140"/>
      <c r="E94" s="142"/>
      <c r="F94" s="14"/>
      <c r="G94" s="1107"/>
      <c r="H94" s="1093"/>
      <c r="I94" s="141"/>
      <c r="J94"/>
      <c r="K94"/>
      <c r="L94"/>
      <c r="M94"/>
      <c r="N94"/>
      <c r="O94"/>
    </row>
    <row r="95" spans="1:15" s="23" customFormat="1" ht="13.35" customHeight="1">
      <c r="B95" s="1094"/>
      <c r="C95" s="140"/>
      <c r="E95" s="142"/>
      <c r="F95" s="638" t="s">
        <v>464</v>
      </c>
      <c r="G95" s="1375">
        <f>SUM(G92:G93)</f>
        <v>1512.6</v>
      </c>
      <c r="H95" s="1093"/>
      <c r="I95" s="141"/>
      <c r="J95"/>
      <c r="K95"/>
      <c r="L95"/>
      <c r="M95"/>
      <c r="N95"/>
      <c r="O95"/>
    </row>
    <row r="96" spans="1:15" s="23" customFormat="1" ht="13.35" customHeight="1">
      <c r="B96" s="1095" t="s">
        <v>473</v>
      </c>
      <c r="C96" s="140"/>
      <c r="E96" s="142"/>
      <c r="F96" s="638"/>
      <c r="G96" s="1110"/>
      <c r="H96" s="42"/>
      <c r="I96" s="141"/>
      <c r="J96"/>
      <c r="K96"/>
      <c r="L96"/>
      <c r="M96"/>
      <c r="N96"/>
      <c r="O96"/>
    </row>
    <row r="97" spans="2:15" s="23" customFormat="1" ht="13.35" customHeight="1">
      <c r="B97" s="1094"/>
      <c r="C97" s="140"/>
      <c r="E97" s="142"/>
      <c r="F97" s="638"/>
      <c r="G97" s="848"/>
      <c r="H97" s="42"/>
      <c r="I97" s="141"/>
      <c r="J97"/>
      <c r="K97"/>
      <c r="L97"/>
      <c r="M97"/>
      <c r="N97"/>
      <c r="O97"/>
    </row>
    <row r="98" spans="2:15" s="23" customFormat="1" ht="13.35" customHeight="1">
      <c r="B98" s="1094"/>
      <c r="C98" s="140"/>
      <c r="E98" s="142"/>
      <c r="F98" s="638"/>
      <c r="G98" s="848"/>
      <c r="H98" s="42"/>
      <c r="I98" s="141"/>
      <c r="J98"/>
      <c r="K98"/>
      <c r="L98"/>
      <c r="M98"/>
      <c r="N98"/>
      <c r="O98"/>
    </row>
    <row r="99" spans="2:15" s="23" customFormat="1" ht="13.35" customHeight="1">
      <c r="B99" s="1094"/>
      <c r="C99" s="140"/>
      <c r="E99" s="142"/>
      <c r="F99" s="638"/>
      <c r="G99" s="848"/>
      <c r="H99" s="42"/>
      <c r="I99" s="141"/>
      <c r="J99"/>
      <c r="K99"/>
      <c r="L99"/>
      <c r="M99"/>
      <c r="N99"/>
      <c r="O99"/>
    </row>
    <row r="100" spans="2:15" s="23" customFormat="1" ht="13.35" customHeight="1">
      <c r="B100" s="1094"/>
      <c r="C100" s="140"/>
      <c r="E100" s="142"/>
      <c r="F100" s="638"/>
      <c r="G100" s="848"/>
      <c r="H100" s="42"/>
      <c r="I100" s="141"/>
      <c r="J100"/>
      <c r="K100"/>
      <c r="L100"/>
      <c r="M100"/>
      <c r="N100"/>
      <c r="O100"/>
    </row>
    <row r="101" spans="2:15" s="23" customFormat="1" ht="13.35" customHeight="1">
      <c r="B101" s="1094"/>
      <c r="C101" s="140"/>
      <c r="E101" s="142"/>
      <c r="F101" s="638"/>
      <c r="G101" s="1096"/>
      <c r="H101" s="42"/>
      <c r="I101" s="141"/>
      <c r="J101"/>
      <c r="K101"/>
      <c r="L101"/>
      <c r="M101"/>
      <c r="N101"/>
      <c r="O101"/>
    </row>
    <row r="102" spans="2:15" s="23" customFormat="1" ht="13.35" customHeight="1">
      <c r="B102" s="1094"/>
      <c r="C102" s="140"/>
      <c r="E102" s="142"/>
      <c r="F102" s="638"/>
      <c r="G102" s="1375">
        <f>SUM(G96:G101)</f>
        <v>0</v>
      </c>
      <c r="H102" s="42"/>
      <c r="I102" s="141"/>
      <c r="J102"/>
      <c r="K102"/>
      <c r="L102"/>
      <c r="M102"/>
      <c r="N102"/>
      <c r="O102"/>
    </row>
    <row r="103" spans="2:15">
      <c r="B103" s="1092" t="s">
        <v>484</v>
      </c>
      <c r="C103" s="144"/>
      <c r="D103" s="8"/>
      <c r="E103" s="8"/>
      <c r="F103" s="638"/>
      <c r="G103" s="1375">
        <f>SUM(G39:G102)/2</f>
        <v>63484.78</v>
      </c>
    </row>
    <row r="104" spans="2:15">
      <c r="B104" s="1100"/>
      <c r="C104" s="144"/>
      <c r="D104" s="8"/>
      <c r="E104" s="8"/>
      <c r="F104" s="57"/>
      <c r="G104" s="1433"/>
    </row>
    <row r="105" spans="2:15">
      <c r="B105" s="1092" t="s">
        <v>485</v>
      </c>
      <c r="C105" s="144"/>
      <c r="D105" s="8"/>
      <c r="E105" s="8"/>
      <c r="F105" s="57"/>
      <c r="G105" s="1105">
        <v>0</v>
      </c>
    </row>
    <row r="106" spans="2:15">
      <c r="B106" s="1100"/>
      <c r="C106" s="144"/>
      <c r="D106" s="8"/>
      <c r="E106" s="8"/>
      <c r="F106" s="57"/>
      <c r="G106" s="1105"/>
    </row>
    <row r="107" spans="2:15">
      <c r="B107" s="1101"/>
      <c r="D107" s="5"/>
      <c r="G107" s="802"/>
    </row>
    <row r="108" spans="2:15">
      <c r="B108" s="1430" t="s">
        <v>254</v>
      </c>
      <c r="C108" s="1431"/>
      <c r="D108" s="1431"/>
      <c r="E108" s="1431"/>
      <c r="F108" s="1431"/>
      <c r="G108" s="1434">
        <f>SUM(G103:G107)</f>
        <v>63484.78</v>
      </c>
    </row>
    <row r="109" spans="2:15" s="23" customFormat="1">
      <c r="B109" s="383"/>
      <c r="C109" s="383"/>
      <c r="D109" s="383"/>
      <c r="E109"/>
      <c r="F109"/>
      <c r="G109"/>
      <c r="J109"/>
      <c r="K109"/>
      <c r="L109"/>
      <c r="M109"/>
      <c r="N109"/>
      <c r="O109"/>
    </row>
    <row r="110" spans="2:15" s="42" customFormat="1">
      <c r="B110" s="7"/>
      <c r="C110" s="382"/>
      <c r="D110" s="382"/>
      <c r="E110" s="23"/>
      <c r="F110" s="23"/>
      <c r="G110" s="23"/>
      <c r="J110"/>
      <c r="K110"/>
      <c r="L110"/>
      <c r="M110"/>
      <c r="N110"/>
      <c r="O110"/>
    </row>
  </sheetData>
  <phoneticPr fontId="0" type="noConversion"/>
  <pageMargins left="0.47" right="0.42" top="0.984251969" bottom="0.984251969" header="0.4921259845" footer="0.4921259845"/>
  <pageSetup paperSize="9" scale="79" fitToHeight="0" orientation="portrait" r:id="rId1"/>
  <headerFooter alignWithMargins="0"/>
  <rowBreaks count="2" manualBreakCount="2">
    <brk id="45" max="7" man="1"/>
    <brk id="77" max="7"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41B17-3F9D-4029-9525-5CAF902102D2}">
  <sheetPr codeName="Feuil16"/>
  <dimension ref="A1:M102"/>
  <sheetViews>
    <sheetView view="pageBreakPreview" topLeftCell="P30" zoomScaleNormal="100" zoomScaleSheetLayoutView="100" workbookViewId="0">
      <selection activeCell="P29" sqref="P29"/>
    </sheetView>
  </sheetViews>
  <sheetFormatPr defaultColWidth="11.42578125" defaultRowHeight="12.75" outlineLevelCol="1"/>
  <cols>
    <col min="1" max="1" width="1.42578125" style="185" customWidth="1"/>
    <col min="2" max="5" width="11.42578125" style="185"/>
    <col min="6" max="6" width="23.85546875" style="185" customWidth="1"/>
    <col min="7" max="8" width="11.42578125" style="185"/>
    <col min="9" max="9" width="17.42578125" style="185" customWidth="1"/>
    <col min="10" max="10" width="17" style="185" customWidth="1" outlineLevel="1"/>
    <col min="11" max="11" width="1.42578125" style="185" customWidth="1"/>
    <col min="12" max="12" width="11.42578125" style="185"/>
    <col min="13" max="13" width="15.42578125" style="185" bestFit="1" customWidth="1"/>
    <col min="14" max="16384" width="11.42578125" style="185"/>
  </cols>
  <sheetData>
    <row r="1" spans="1:12" ht="15.75">
      <c r="B1" s="424" t="str">
        <f>Sommaire!A1</f>
        <v>BOLZEN - SLP</v>
      </c>
      <c r="C1" s="425"/>
      <c r="D1" s="425"/>
      <c r="E1" s="425"/>
      <c r="F1" s="425"/>
      <c r="G1" s="425" t="s">
        <v>486</v>
      </c>
      <c r="H1" s="425"/>
      <c r="I1" s="426">
        <f>Sommaire!C1</f>
        <v>46022</v>
      </c>
    </row>
    <row r="2" spans="1:12">
      <c r="G2" s="185" t="s">
        <v>487</v>
      </c>
      <c r="L2" s="185" t="s">
        <v>488</v>
      </c>
    </row>
    <row r="3" spans="1:12">
      <c r="A3" s="427"/>
      <c r="G3" s="428"/>
      <c r="J3" s="428"/>
      <c r="K3" s="427"/>
      <c r="L3" s="185" t="s">
        <v>489</v>
      </c>
    </row>
    <row r="4" spans="1:12">
      <c r="B4" s="1174" t="s">
        <v>490</v>
      </c>
      <c r="C4" s="1174"/>
      <c r="D4" s="1174"/>
      <c r="E4" s="1174"/>
      <c r="F4" s="1174"/>
      <c r="G4" s="1174"/>
      <c r="H4" s="1174"/>
      <c r="I4" s="1174"/>
      <c r="J4" s="1174"/>
      <c r="L4" s="185" t="s">
        <v>491</v>
      </c>
    </row>
    <row r="5" spans="1:12">
      <c r="B5" s="1435"/>
      <c r="C5" s="430"/>
      <c r="D5" s="430"/>
      <c r="E5" s="430"/>
      <c r="F5" s="430"/>
      <c r="G5" s="430"/>
      <c r="H5" s="430"/>
      <c r="I5" s="1436" t="s">
        <v>492</v>
      </c>
      <c r="J5" s="1436" t="s">
        <v>493</v>
      </c>
      <c r="L5" s="185" t="s">
        <v>494</v>
      </c>
    </row>
    <row r="6" spans="1:12">
      <c r="B6" s="1111"/>
      <c r="I6" s="809">
        <f>I1</f>
        <v>46022</v>
      </c>
      <c r="J6" s="809"/>
      <c r="L6" s="395" t="s">
        <v>495</v>
      </c>
    </row>
    <row r="7" spans="1:12">
      <c r="B7" s="1111"/>
      <c r="H7" s="431"/>
      <c r="I7" s="1437"/>
      <c r="J7" s="1437"/>
    </row>
    <row r="8" spans="1:12">
      <c r="B8" s="1112" t="s">
        <v>496</v>
      </c>
      <c r="H8" s="431"/>
      <c r="I8" s="1113">
        <f>+I10+I15+I20+I30+I38+I51</f>
        <v>151875510.47000003</v>
      </c>
      <c r="J8" s="1114">
        <f>+J10+J15+J20+J30+J38+J51</f>
        <v>0</v>
      </c>
    </row>
    <row r="9" spans="1:12">
      <c r="B9" s="1112"/>
      <c r="H9" s="431"/>
      <c r="I9" s="1115"/>
      <c r="J9" s="1115"/>
    </row>
    <row r="10" spans="1:12">
      <c r="B10" s="1111"/>
      <c r="C10" s="432" t="s">
        <v>497</v>
      </c>
      <c r="H10" s="431"/>
      <c r="I10" s="1116">
        <f>SUM(I12:I13)</f>
        <v>8878534.4399999995</v>
      </c>
      <c r="J10" s="1116">
        <f t="shared" ref="J10" si="0">SUM(J12:J13)</f>
        <v>0</v>
      </c>
      <c r="K10" s="1117"/>
    </row>
    <row r="11" spans="1:12">
      <c r="B11" s="1111"/>
      <c r="C11" s="432"/>
      <c r="H11" s="431"/>
      <c r="I11" s="822"/>
      <c r="J11" s="822"/>
    </row>
    <row r="12" spans="1:12">
      <c r="B12" s="1111"/>
      <c r="C12" s="432"/>
      <c r="D12" s="823" t="s">
        <v>498</v>
      </c>
      <c r="H12" s="431"/>
      <c r="I12" s="822">
        <f>SUMIFS(Inventaire!N15:N75,Inventaire!A15:A75,"I",Inventaire!C15:C75,"*Action*")</f>
        <v>0</v>
      </c>
      <c r="J12" s="822">
        <v>0</v>
      </c>
      <c r="L12" s="228" t="s">
        <v>499</v>
      </c>
    </row>
    <row r="13" spans="1:12">
      <c r="B13" s="1111"/>
      <c r="C13" s="432"/>
      <c r="D13" s="823" t="s">
        <v>500</v>
      </c>
      <c r="H13" s="431"/>
      <c r="I13" s="822">
        <f>SUMIF(Inventaire!$B$12:$B$67,"??AC*",Inventaire!$N$12:$N$67)+SUMIF(Inventaire!B12:B67,"??AD*",Inventaire!N12:N67)+SUMIF(Inventaire!B12:B67,"??SA*",Inventaire!N12:N67)+SUMIF(Inventaire!B12:B67,"??BS*",Inventaire!N12:N67)</f>
        <v>8878534.4399999995</v>
      </c>
      <c r="J13" s="1118">
        <v>0</v>
      </c>
      <c r="L13" s="708" t="s">
        <v>501</v>
      </c>
    </row>
    <row r="14" spans="1:12">
      <c r="B14" s="1111"/>
      <c r="C14" s="432"/>
      <c r="D14" s="823"/>
      <c r="H14" s="431"/>
      <c r="I14" s="822"/>
      <c r="J14" s="822"/>
    </row>
    <row r="15" spans="1:12">
      <c r="B15" s="1111"/>
      <c r="C15" s="432" t="s">
        <v>502</v>
      </c>
      <c r="D15" s="823"/>
      <c r="H15" s="431"/>
      <c r="I15" s="1116">
        <f>SUM(I17:I18)</f>
        <v>68919059.360000014</v>
      </c>
      <c r="J15" s="1116">
        <f>SUM(J17:J18)</f>
        <v>0</v>
      </c>
    </row>
    <row r="16" spans="1:12">
      <c r="B16" s="1111"/>
      <c r="C16" s="432"/>
      <c r="D16" s="823"/>
      <c r="H16" s="431"/>
      <c r="I16" s="822"/>
      <c r="J16" s="822"/>
    </row>
    <row r="17" spans="2:13">
      <c r="B17" s="1111"/>
      <c r="C17" s="432"/>
      <c r="D17" s="823" t="s">
        <v>498</v>
      </c>
      <c r="H17" s="431"/>
      <c r="I17" s="822"/>
      <c r="J17" s="822"/>
      <c r="M17" s="186"/>
    </row>
    <row r="18" spans="2:13">
      <c r="B18" s="1111"/>
      <c r="C18" s="432"/>
      <c r="D18" s="823" t="s">
        <v>500</v>
      </c>
      <c r="H18" s="431"/>
      <c r="I18" s="822">
        <f>SUMIF(Inventaire!$B$12:$B$67,"??OC*",Inventaire!$N$12:$N$67)</f>
        <v>68919059.360000014</v>
      </c>
      <c r="J18" s="822">
        <v>0</v>
      </c>
      <c r="L18" s="708" t="s">
        <v>148</v>
      </c>
    </row>
    <row r="19" spans="2:13">
      <c r="B19" s="1111"/>
      <c r="D19" s="433"/>
      <c r="H19" s="431"/>
      <c r="I19" s="822"/>
      <c r="J19" s="822"/>
    </row>
    <row r="20" spans="2:13">
      <c r="B20" s="1111"/>
      <c r="C20" s="432" t="s">
        <v>503</v>
      </c>
      <c r="D20" s="433"/>
      <c r="H20" s="431"/>
      <c r="I20" s="1116">
        <f>SUM(I22:I23)</f>
        <v>74077916.670000002</v>
      </c>
      <c r="J20" s="1119">
        <f>SUM(J22:J23)</f>
        <v>0</v>
      </c>
    </row>
    <row r="21" spans="2:13">
      <c r="B21" s="1111"/>
      <c r="C21" s="432"/>
      <c r="D21" s="433"/>
      <c r="H21" s="431"/>
      <c r="I21" s="822"/>
      <c r="J21" s="822"/>
    </row>
    <row r="22" spans="2:13">
      <c r="B22" s="1111"/>
      <c r="C22" s="432"/>
      <c r="D22" s="823" t="s">
        <v>498</v>
      </c>
      <c r="H22" s="431"/>
      <c r="I22" s="822"/>
      <c r="J22" s="822"/>
    </row>
    <row r="23" spans="2:13">
      <c r="B23" s="1111"/>
      <c r="C23" s="432"/>
      <c r="D23" s="823" t="s">
        <v>500</v>
      </c>
      <c r="H23" s="431"/>
      <c r="I23" s="822">
        <f>SUMIF(Inventaire!$B$12:$B$67,"??OS*",Inventaire!$N$12:$N$67)+SUMIF(Inventaire!$B$12:$B$67,"??OR*",Inventaire!$N$12:$N$67)+SUMIF(Inventaire!$B$12:$B$67,"??CN*",Inventaire!$N$12:$N$67)</f>
        <v>74077916.670000002</v>
      </c>
      <c r="J23" s="822"/>
      <c r="L23" s="708" t="s">
        <v>150</v>
      </c>
    </row>
    <row r="24" spans="2:13">
      <c r="B24" s="1111"/>
      <c r="C24" s="432"/>
      <c r="D24" s="433"/>
      <c r="H24" s="431"/>
      <c r="I24" s="822"/>
      <c r="J24" s="822"/>
    </row>
    <row r="25" spans="2:13">
      <c r="B25" s="1111"/>
      <c r="C25" s="432" t="s">
        <v>504</v>
      </c>
      <c r="D25" s="433"/>
      <c r="H25" s="431"/>
      <c r="I25" s="822"/>
      <c r="J25" s="822"/>
    </row>
    <row r="26" spans="2:13">
      <c r="B26" s="1111"/>
      <c r="C26" s="432"/>
      <c r="D26" s="433"/>
      <c r="H26" s="431"/>
      <c r="I26" s="822"/>
      <c r="J26" s="822"/>
    </row>
    <row r="27" spans="2:13">
      <c r="B27" s="1111"/>
      <c r="C27" s="432"/>
      <c r="D27" s="433" t="s">
        <v>498</v>
      </c>
      <c r="H27" s="431"/>
      <c r="I27" s="822"/>
      <c r="J27" s="822"/>
    </row>
    <row r="28" spans="2:13">
      <c r="B28" s="1111"/>
      <c r="C28" s="432"/>
      <c r="D28" s="433" t="s">
        <v>500</v>
      </c>
      <c r="H28" s="431"/>
      <c r="I28" s="822"/>
      <c r="J28" s="822"/>
    </row>
    <row r="29" spans="2:13">
      <c r="B29" s="1111"/>
      <c r="C29" s="432"/>
      <c r="D29" s="433"/>
      <c r="H29" s="431"/>
      <c r="I29" s="822"/>
      <c r="J29" s="822"/>
    </row>
    <row r="30" spans="2:13">
      <c r="B30" s="1111"/>
      <c r="C30" s="432" t="s">
        <v>505</v>
      </c>
      <c r="E30" s="433"/>
      <c r="H30" s="431"/>
      <c r="I30" s="1119">
        <f>SUM(I32:I34)</f>
        <v>0</v>
      </c>
      <c r="J30" s="1119">
        <f>SUM(J32:J34)</f>
        <v>0</v>
      </c>
    </row>
    <row r="31" spans="2:13">
      <c r="B31" s="1111"/>
      <c r="C31" s="432"/>
      <c r="E31" s="433"/>
      <c r="H31" s="431"/>
      <c r="I31" s="822"/>
      <c r="J31" s="822"/>
    </row>
    <row r="32" spans="2:13">
      <c r="B32" s="1111"/>
      <c r="C32" s="432"/>
      <c r="D32" s="433" t="s">
        <v>506</v>
      </c>
      <c r="E32" s="433"/>
      <c r="H32" s="431"/>
      <c r="I32" s="822">
        <f>SUMIF(Inventaire!$C$27:$C$80,"*FCP*",Inventaire!$N$27:$N$80)+SUMIF(Inventaire!$C$27:$C$80,"*SICAV*",Inventaire!$N$27:$N$80)</f>
        <v>0</v>
      </c>
      <c r="J32" s="822"/>
      <c r="L32" s="708" t="s">
        <v>507</v>
      </c>
    </row>
    <row r="33" spans="2:12">
      <c r="B33" s="1111"/>
      <c r="C33" s="432"/>
      <c r="D33" s="433" t="s">
        <v>508</v>
      </c>
      <c r="E33" s="433"/>
      <c r="H33" s="431"/>
      <c r="I33" s="822">
        <f>SUMIF(Inventaire!$C$12:$C$80,"*FPCI*",Inventaire!$N$12:$N$80)+SUMIF(Inventaire!$C$12:$C$80,"*SLP*",Inventaire!$N$12:$N$80)+SUMIF(Inventaire!$C$12:$C$80,"*FCPR*",Inventaire!$N$12:$N$80)+SUMIF(Inventaire!$C$12:$C$80,"*FCPI*",Inventaire!$N$12:$N$80)</f>
        <v>0</v>
      </c>
      <c r="J33" s="822"/>
      <c r="L33" s="708" t="s">
        <v>509</v>
      </c>
    </row>
    <row r="34" spans="2:12">
      <c r="B34" s="1111"/>
      <c r="D34" s="433" t="s">
        <v>510</v>
      </c>
      <c r="H34" s="431"/>
      <c r="I34" s="822"/>
      <c r="J34" s="822"/>
    </row>
    <row r="35" spans="2:12">
      <c r="B35" s="1111"/>
      <c r="D35" s="433"/>
      <c r="H35" s="431"/>
      <c r="I35" s="822"/>
      <c r="J35" s="822"/>
    </row>
    <row r="36" spans="2:12">
      <c r="B36" s="1111"/>
      <c r="C36" s="432" t="s">
        <v>511</v>
      </c>
      <c r="D36" s="433"/>
      <c r="H36" s="431"/>
      <c r="I36" s="822">
        <f>SUMIF(Inventaire!$B$12:$B$67,"??CT*",Inventaire!$N$12:$N$67)</f>
        <v>0</v>
      </c>
      <c r="J36" s="822"/>
      <c r="L36" s="185" t="s">
        <v>512</v>
      </c>
    </row>
    <row r="37" spans="2:12">
      <c r="B37" s="1111"/>
      <c r="D37" s="433"/>
      <c r="H37" s="431"/>
      <c r="I37" s="822"/>
      <c r="J37" s="822"/>
    </row>
    <row r="38" spans="2:12">
      <c r="B38" s="1111"/>
      <c r="C38" s="432" t="s">
        <v>513</v>
      </c>
      <c r="D38" s="433"/>
      <c r="H38" s="431"/>
      <c r="I38" s="822">
        <v>0</v>
      </c>
      <c r="J38" s="822"/>
    </row>
    <row r="39" spans="2:12">
      <c r="B39" s="1111"/>
      <c r="C39" s="432"/>
      <c r="D39" s="433"/>
      <c r="H39" s="431"/>
      <c r="I39" s="822"/>
      <c r="J39" s="822"/>
    </row>
    <row r="40" spans="2:12">
      <c r="B40" s="1111"/>
      <c r="C40" s="432" t="s">
        <v>514</v>
      </c>
      <c r="D40" s="433"/>
      <c r="H40" s="431"/>
      <c r="I40" s="822">
        <f>SUM(I42:I46)</f>
        <v>0</v>
      </c>
      <c r="J40" s="822"/>
    </row>
    <row r="41" spans="2:12">
      <c r="B41" s="1111"/>
      <c r="C41" s="432"/>
      <c r="D41" s="433"/>
      <c r="H41" s="431"/>
      <c r="I41" s="822"/>
      <c r="J41" s="822"/>
    </row>
    <row r="42" spans="2:12">
      <c r="B42" s="1111"/>
      <c r="C42" s="432"/>
      <c r="D42" s="433" t="s">
        <v>515</v>
      </c>
      <c r="H42" s="431"/>
      <c r="I42" s="822"/>
      <c r="J42" s="822"/>
    </row>
    <row r="43" spans="2:12">
      <c r="B43" s="1111"/>
      <c r="C43" s="432"/>
      <c r="D43" s="433" t="s">
        <v>516</v>
      </c>
      <c r="H43" s="431"/>
      <c r="I43" s="822"/>
      <c r="J43" s="822"/>
    </row>
    <row r="44" spans="2:12">
      <c r="B44" s="1111"/>
      <c r="C44" s="432"/>
      <c r="D44" s="433" t="s">
        <v>517</v>
      </c>
      <c r="H44" s="431"/>
      <c r="I44" s="822"/>
      <c r="J44" s="822"/>
    </row>
    <row r="45" spans="2:12">
      <c r="B45" s="1111"/>
      <c r="C45" s="432"/>
      <c r="D45" s="433" t="s">
        <v>518</v>
      </c>
      <c r="H45" s="431"/>
      <c r="I45" s="822"/>
      <c r="J45" s="822"/>
    </row>
    <row r="46" spans="2:12">
      <c r="B46" s="1111"/>
      <c r="C46" s="432"/>
      <c r="D46" s="433" t="s">
        <v>519</v>
      </c>
      <c r="H46" s="431"/>
      <c r="I46" s="822"/>
      <c r="J46" s="822"/>
    </row>
    <row r="47" spans="2:12">
      <c r="B47" s="1111"/>
      <c r="C47" s="432"/>
      <c r="D47" s="433"/>
      <c r="H47" s="431"/>
      <c r="I47" s="822"/>
      <c r="J47" s="822"/>
    </row>
    <row r="48" spans="2:12">
      <c r="B48" s="1111"/>
      <c r="C48" s="432"/>
      <c r="D48" s="433"/>
      <c r="H48" s="431"/>
      <c r="I48" s="822"/>
      <c r="J48" s="822"/>
    </row>
    <row r="49" spans="1:12">
      <c r="B49" s="1111"/>
      <c r="C49" s="432" t="s">
        <v>520</v>
      </c>
      <c r="D49" s="433"/>
      <c r="H49" s="431"/>
      <c r="I49" s="822">
        <f>SUMIF(Inventaire!$B$12:$B$67,"??CC*",Inventaire!$N$12:$N$67)+SUMIF(Inventaire!$B$12:$B$67,"??PR*",Inventaire!$N$12:$NT$67)+SUMIF(Inventaire!$B$12:$B$67,"??NO*",Inventaire!$N$12:$NT$67)</f>
        <v>0</v>
      </c>
      <c r="J49" s="822"/>
      <c r="L49" s="708" t="s">
        <v>521</v>
      </c>
    </row>
    <row r="50" spans="1:12">
      <c r="B50" s="1111"/>
      <c r="C50" s="432"/>
      <c r="D50" s="433"/>
      <c r="H50" s="431"/>
      <c r="I50" s="822"/>
      <c r="J50" s="822"/>
    </row>
    <row r="51" spans="1:12">
      <c r="B51" s="1111"/>
      <c r="C51" s="432" t="s">
        <v>522</v>
      </c>
      <c r="D51" s="433"/>
      <c r="H51" s="431"/>
      <c r="I51" s="822">
        <f>SUMIF(Inventaire!$B$12:$B$67,"??CT*",Inventaire!$N$12:$N$67)</f>
        <v>0</v>
      </c>
      <c r="J51" s="822"/>
      <c r="L51" s="708"/>
    </row>
    <row r="52" spans="1:12">
      <c r="B52" s="1111"/>
      <c r="C52" s="432"/>
      <c r="D52" s="433"/>
      <c r="H52" s="431"/>
      <c r="I52" s="822"/>
      <c r="J52" s="1115"/>
    </row>
    <row r="53" spans="1:12" ht="15">
      <c r="B53" s="1171" t="s">
        <v>523</v>
      </c>
      <c r="C53" s="1172"/>
      <c r="D53" s="1172"/>
      <c r="E53" s="1172"/>
      <c r="F53" s="1172"/>
      <c r="G53" s="1172"/>
      <c r="H53" s="1173"/>
      <c r="I53" s="1438">
        <f>+I10+I15+I20+I30+I38+I51+I49+I40+I36+I25</f>
        <v>151875510.47000003</v>
      </c>
      <c r="J53" s="1439">
        <f>+J10+J15+J20+J30+J38+J51</f>
        <v>0</v>
      </c>
    </row>
    <row r="54" spans="1:12">
      <c r="B54" s="1111"/>
      <c r="D54" s="433"/>
      <c r="H54" s="431"/>
      <c r="I54" s="822"/>
      <c r="J54" s="1115"/>
    </row>
    <row r="55" spans="1:12">
      <c r="B55" s="1112" t="s">
        <v>524</v>
      </c>
      <c r="C55" s="432"/>
      <c r="H55" s="431"/>
      <c r="I55" s="1120">
        <f>Inventaire!D68</f>
        <v>0</v>
      </c>
      <c r="J55" s="1113">
        <v>0</v>
      </c>
    </row>
    <row r="56" spans="1:12">
      <c r="B56" s="1112"/>
      <c r="C56" s="432"/>
      <c r="H56" s="431"/>
      <c r="I56" s="822"/>
      <c r="J56" s="1115"/>
    </row>
    <row r="57" spans="1:12">
      <c r="B57" s="1112" t="s">
        <v>525</v>
      </c>
      <c r="E57" s="433"/>
      <c r="H57" s="431"/>
      <c r="I57" s="1113">
        <f>Inventaire!D66</f>
        <v>2114169.77</v>
      </c>
      <c r="J57" s="1113">
        <v>0</v>
      </c>
    </row>
    <row r="58" spans="1:12">
      <c r="B58" s="1112"/>
      <c r="E58" s="433"/>
      <c r="H58" s="431"/>
      <c r="I58" s="1113"/>
      <c r="J58" s="1113"/>
    </row>
    <row r="59" spans="1:12" ht="15">
      <c r="B59" s="1171" t="s">
        <v>526</v>
      </c>
      <c r="C59" s="1172"/>
      <c r="D59" s="1172"/>
      <c r="E59" s="1172"/>
      <c r="F59" s="1172"/>
      <c r="G59" s="1172"/>
      <c r="H59" s="1173"/>
      <c r="I59" s="1439">
        <f>+I55+I57</f>
        <v>2114169.77</v>
      </c>
      <c r="J59" s="1439">
        <f>+J55+J57</f>
        <v>0</v>
      </c>
    </row>
    <row r="60" spans="1:12">
      <c r="B60" s="640"/>
      <c r="C60" s="1121"/>
      <c r="D60" s="1121"/>
      <c r="E60" s="1122"/>
      <c r="F60" s="1121"/>
      <c r="G60" s="1121"/>
      <c r="H60" s="1123"/>
      <c r="I60" s="810"/>
      <c r="J60" s="810"/>
    </row>
    <row r="61" spans="1:12" ht="15">
      <c r="A61" s="427"/>
      <c r="B61" s="1440" t="s">
        <v>527</v>
      </c>
      <c r="C61" s="1441"/>
      <c r="D61" s="1441"/>
      <c r="E61" s="1441"/>
      <c r="F61" s="1441"/>
      <c r="G61" s="1441"/>
      <c r="H61" s="1442"/>
      <c r="I61" s="1443">
        <f>+I53+I59</f>
        <v>153989680.24000004</v>
      </c>
      <c r="J61" s="1443">
        <f>+J53+J59</f>
        <v>0</v>
      </c>
      <c r="K61" s="427"/>
    </row>
    <row r="62" spans="1:12">
      <c r="B62" s="435"/>
      <c r="C62" s="435"/>
      <c r="D62" s="435"/>
      <c r="E62" s="435"/>
      <c r="F62" s="435"/>
      <c r="G62" s="435"/>
      <c r="H62" s="435"/>
      <c r="I62" s="435"/>
      <c r="J62" s="436"/>
    </row>
    <row r="63" spans="1:12">
      <c r="B63" s="1175" t="s">
        <v>528</v>
      </c>
      <c r="C63" s="1175"/>
      <c r="D63" s="1175"/>
      <c r="E63" s="1175"/>
      <c r="F63" s="1175"/>
      <c r="G63" s="1175"/>
      <c r="H63" s="1175"/>
      <c r="I63" s="1175"/>
      <c r="J63" s="1175"/>
    </row>
    <row r="64" spans="1:12">
      <c r="B64" s="1444"/>
      <c r="C64" s="435"/>
      <c r="D64" s="435"/>
      <c r="E64" s="435"/>
      <c r="F64" s="435"/>
      <c r="G64" s="435"/>
      <c r="H64" s="435"/>
      <c r="I64" s="1445">
        <f>+I6</f>
        <v>46022</v>
      </c>
      <c r="J64" s="1445"/>
    </row>
    <row r="65" spans="2:10">
      <c r="B65" s="1112" t="s">
        <v>529</v>
      </c>
      <c r="I65" s="1437"/>
      <c r="J65" s="1437"/>
    </row>
    <row r="66" spans="2:10">
      <c r="B66" s="1112"/>
      <c r="I66" s="1115"/>
      <c r="J66" s="1115"/>
    </row>
    <row r="67" spans="2:10">
      <c r="B67" s="1111"/>
      <c r="C67" s="432" t="s">
        <v>530</v>
      </c>
      <c r="I67" s="1115">
        <f>+I78-I75-I73-I71-I69</f>
        <v>88861539.400000006</v>
      </c>
      <c r="J67" s="1115">
        <f>+J78-J75-J73-J71-J69</f>
        <v>0</v>
      </c>
    </row>
    <row r="68" spans="2:10">
      <c r="B68" s="1111"/>
      <c r="D68" s="433"/>
      <c r="I68" s="1115"/>
      <c r="J68" s="1115"/>
    </row>
    <row r="69" spans="2:10">
      <c r="B69" s="1111"/>
      <c r="C69" s="432" t="s">
        <v>531</v>
      </c>
      <c r="D69" s="433"/>
      <c r="I69" s="1115"/>
      <c r="J69" s="1115"/>
    </row>
    <row r="70" spans="2:10">
      <c r="B70" s="1111"/>
      <c r="C70" s="432"/>
      <c r="D70" s="433"/>
      <c r="I70" s="1115"/>
      <c r="J70" s="1115"/>
    </row>
    <row r="71" spans="2:10">
      <c r="B71" s="1111"/>
      <c r="C71" s="432" t="s">
        <v>532</v>
      </c>
      <c r="D71" s="433"/>
      <c r="I71" s="1115"/>
      <c r="J71" s="1115"/>
    </row>
    <row r="72" spans="2:10">
      <c r="B72" s="1111"/>
      <c r="C72" s="432"/>
      <c r="D72" s="433"/>
      <c r="I72" s="1115"/>
      <c r="J72" s="1115"/>
    </row>
    <row r="73" spans="2:10">
      <c r="B73" s="1111"/>
      <c r="C73" s="432" t="s">
        <v>533</v>
      </c>
      <c r="D73" s="433"/>
      <c r="I73" s="1115"/>
      <c r="J73" s="1115"/>
    </row>
    <row r="74" spans="2:10">
      <c r="B74" s="1111"/>
      <c r="C74" s="432"/>
      <c r="D74" s="433"/>
      <c r="I74" s="1115"/>
      <c r="J74" s="1115"/>
    </row>
    <row r="75" spans="2:10">
      <c r="B75" s="1111"/>
      <c r="C75" s="432" t="s">
        <v>534</v>
      </c>
      <c r="E75" s="433"/>
      <c r="I75" s="1115">
        <f>Résultat!H189</f>
        <v>1202051.3899999999</v>
      </c>
      <c r="J75" s="1115">
        <v>0</v>
      </c>
    </row>
    <row r="76" spans="2:10">
      <c r="B76" s="1111"/>
      <c r="D76" s="433"/>
      <c r="I76" s="1115"/>
      <c r="J76" s="1115"/>
    </row>
    <row r="77" spans="2:10" ht="14.45" customHeight="1">
      <c r="B77" s="1171" t="s">
        <v>535</v>
      </c>
      <c r="C77" s="1172"/>
      <c r="D77" s="1172"/>
      <c r="E77" s="1172"/>
      <c r="F77" s="1172"/>
      <c r="G77" s="1172"/>
      <c r="H77" s="1173"/>
      <c r="I77" s="810"/>
      <c r="J77" s="810"/>
    </row>
    <row r="78" spans="2:10">
      <c r="B78" s="1111"/>
      <c r="D78" s="185" t="s">
        <v>536</v>
      </c>
      <c r="E78" s="433"/>
      <c r="I78" s="1439">
        <f>Inventaire!C7</f>
        <v>90063590.790000007</v>
      </c>
      <c r="J78" s="1439">
        <v>0</v>
      </c>
    </row>
    <row r="79" spans="2:10">
      <c r="B79" s="1111"/>
      <c r="I79" s="1115"/>
      <c r="J79" s="1115"/>
    </row>
    <row r="80" spans="2:10">
      <c r="B80" s="1112" t="s">
        <v>537</v>
      </c>
      <c r="C80" s="432"/>
      <c r="I80" s="1113"/>
      <c r="J80" s="1113"/>
    </row>
    <row r="81" spans="2:10">
      <c r="B81" s="1112"/>
      <c r="C81" s="432"/>
      <c r="I81" s="1115"/>
      <c r="J81" s="1115"/>
    </row>
    <row r="82" spans="2:10">
      <c r="B82" s="1112"/>
      <c r="C82" s="432" t="s">
        <v>538</v>
      </c>
      <c r="I82" s="1115"/>
      <c r="J82" s="1115"/>
    </row>
    <row r="83" spans="2:10">
      <c r="B83" s="1112"/>
      <c r="C83" s="432"/>
      <c r="I83" s="1115"/>
      <c r="J83" s="1115"/>
    </row>
    <row r="84" spans="2:10">
      <c r="B84" s="1112"/>
      <c r="C84" s="432" t="s">
        <v>539</v>
      </c>
      <c r="I84" s="1115">
        <f>-Inventaire!D49</f>
        <v>63862604.670000002</v>
      </c>
      <c r="J84" s="1115"/>
    </row>
    <row r="85" spans="2:10">
      <c r="B85" s="1112"/>
      <c r="C85" s="432"/>
      <c r="I85" s="1115"/>
      <c r="J85" s="1115"/>
    </row>
    <row r="86" spans="2:10">
      <c r="B86" s="1112"/>
      <c r="C86" s="432" t="s">
        <v>540</v>
      </c>
      <c r="I86" s="1115"/>
      <c r="J86" s="1115"/>
    </row>
    <row r="87" spans="2:10">
      <c r="B87" s="1112"/>
      <c r="C87" s="432"/>
      <c r="I87" s="1115"/>
      <c r="J87" s="1115"/>
    </row>
    <row r="88" spans="2:10" ht="15">
      <c r="B88" s="1171" t="s">
        <v>541</v>
      </c>
      <c r="C88" s="1172"/>
      <c r="D88" s="1172"/>
      <c r="E88" s="1172"/>
      <c r="F88" s="1172"/>
      <c r="G88" s="1172"/>
      <c r="H88" s="1173"/>
      <c r="I88" s="1437">
        <f>+I82+I84+I86</f>
        <v>63862604.670000002</v>
      </c>
      <c r="J88" s="1437">
        <f>+J82+J84+J86</f>
        <v>0</v>
      </c>
    </row>
    <row r="89" spans="2:10">
      <c r="B89" s="1112"/>
      <c r="C89" s="432"/>
      <c r="I89" s="1115"/>
      <c r="J89" s="1115"/>
    </row>
    <row r="90" spans="2:10">
      <c r="B90" s="1112" t="s">
        <v>542</v>
      </c>
      <c r="C90" s="432"/>
      <c r="I90" s="1115"/>
      <c r="J90" s="1115"/>
    </row>
    <row r="91" spans="2:10">
      <c r="B91" s="1111"/>
      <c r="E91" s="433"/>
      <c r="I91" s="1115"/>
      <c r="J91" s="1115"/>
    </row>
    <row r="92" spans="2:10">
      <c r="B92" s="1112"/>
      <c r="C92" s="432" t="s">
        <v>543</v>
      </c>
      <c r="E92" s="433"/>
      <c r="I92" s="1113">
        <f>-Inventaire!D70</f>
        <v>63484.78</v>
      </c>
      <c r="J92" s="1113">
        <v>0</v>
      </c>
    </row>
    <row r="93" spans="2:10">
      <c r="B93" s="1111"/>
      <c r="I93" s="1115"/>
      <c r="J93" s="1115"/>
    </row>
    <row r="94" spans="2:10">
      <c r="B94" s="1112"/>
      <c r="C94" s="432" t="s">
        <v>544</v>
      </c>
      <c r="E94" s="433"/>
      <c r="I94" s="1113"/>
      <c r="J94" s="1113"/>
    </row>
    <row r="95" spans="2:10">
      <c r="B95" s="1112"/>
      <c r="C95" s="432"/>
      <c r="E95" s="433"/>
      <c r="I95" s="1113"/>
      <c r="J95" s="1113"/>
    </row>
    <row r="96" spans="2:10" ht="15">
      <c r="B96" s="1171" t="s">
        <v>545</v>
      </c>
      <c r="C96" s="1172"/>
      <c r="D96" s="1172"/>
      <c r="E96" s="1172"/>
      <c r="F96" s="1172"/>
      <c r="G96" s="1172"/>
      <c r="H96" s="1173"/>
      <c r="I96" s="1439">
        <f>+I92+I94</f>
        <v>63484.78</v>
      </c>
      <c r="J96" s="1439">
        <f>+J92+J94</f>
        <v>0</v>
      </c>
    </row>
    <row r="97" spans="2:10">
      <c r="B97" s="640"/>
      <c r="C97" s="1121"/>
      <c r="D97" s="1121"/>
      <c r="E97" s="1122"/>
      <c r="F97" s="1121"/>
      <c r="G97" s="1121"/>
      <c r="H97" s="1121"/>
      <c r="I97" s="810"/>
      <c r="J97" s="810"/>
    </row>
    <row r="98" spans="2:10" ht="14.45" customHeight="1">
      <c r="B98" s="1171" t="s">
        <v>546</v>
      </c>
      <c r="C98" s="1172"/>
      <c r="D98" s="1172"/>
      <c r="E98" s="1172"/>
      <c r="F98" s="1172"/>
      <c r="G98" s="1172"/>
      <c r="H98" s="1173"/>
      <c r="I98" s="1443">
        <f>+I78+I88+I96</f>
        <v>153989680.24000001</v>
      </c>
      <c r="J98" s="1443">
        <f>+J78+J88+J96</f>
        <v>0</v>
      </c>
    </row>
    <row r="99" spans="2:10">
      <c r="B99" s="435" t="s">
        <v>547</v>
      </c>
      <c r="C99" s="437"/>
      <c r="D99" s="435"/>
      <c r="E99" s="435"/>
      <c r="F99" s="435"/>
      <c r="G99" s="435"/>
      <c r="H99" s="435"/>
    </row>
    <row r="100" spans="2:10" ht="13.5" thickBot="1">
      <c r="I100" s="438">
        <f>I61-I98</f>
        <v>0</v>
      </c>
      <c r="J100" s="438">
        <f>J61-J98</f>
        <v>0</v>
      </c>
    </row>
    <row r="101" spans="2:10" ht="13.5" thickBot="1">
      <c r="B101" s="1174"/>
      <c r="C101" s="1174"/>
      <c r="D101" s="1174"/>
      <c r="E101" s="1174"/>
      <c r="F101" s="439"/>
      <c r="G101" s="185" t="s">
        <v>116</v>
      </c>
      <c r="I101" s="440" t="str">
        <f>IF(ABS((I98-I61))&lt;0.01,"OK","ANOMALIE")</f>
        <v>OK</v>
      </c>
      <c r="J101" s="440" t="str">
        <f>IF(ABS((J61-J98))&lt;0.01,"OK","ANOMALIE")</f>
        <v>OK</v>
      </c>
    </row>
    <row r="102" spans="2:10">
      <c r="B102" s="1174"/>
      <c r="C102" s="1174"/>
      <c r="D102" s="1174"/>
      <c r="E102" s="1174"/>
      <c r="F102" s="441"/>
      <c r="G102" s="429"/>
      <c r="I102" s="442"/>
      <c r="J102" s="443"/>
    </row>
  </sheetData>
  <mergeCells count="11">
    <mergeCell ref="B88:H88"/>
    <mergeCell ref="B96:H96"/>
    <mergeCell ref="B98:H98"/>
    <mergeCell ref="B101:E101"/>
    <mergeCell ref="B102:E102"/>
    <mergeCell ref="B77:H77"/>
    <mergeCell ref="B4:J4"/>
    <mergeCell ref="B53:H53"/>
    <mergeCell ref="B59:H59"/>
    <mergeCell ref="B61:H61"/>
    <mergeCell ref="B63:J63"/>
  </mergeCells>
  <pageMargins left="0.7" right="0.7" top="0.75" bottom="0.75" header="0.3" footer="0.3"/>
  <pageSetup paperSize="9" scale="63" orientation="portrait" horizontalDpi="4294967293"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A1A88-6D56-4F2A-AF21-B28870DFE689}">
  <sheetPr>
    <pageSetUpPr fitToPage="1"/>
  </sheetPr>
  <dimension ref="A1:K205"/>
  <sheetViews>
    <sheetView view="pageBreakPreview" topLeftCell="A169" zoomScaleNormal="110" zoomScaleSheetLayoutView="100" workbookViewId="0">
      <selection activeCell="G204" sqref="G204"/>
    </sheetView>
  </sheetViews>
  <sheetFormatPr defaultColWidth="11.42578125" defaultRowHeight="12.75"/>
  <cols>
    <col min="1" max="1" width="1.42578125" style="395" customWidth="1"/>
    <col min="2" max="2" width="13.5703125" style="396" customWidth="1"/>
    <col min="3" max="3" width="24.140625" style="396" customWidth="1"/>
    <col min="4" max="4" width="17.42578125" style="396" customWidth="1"/>
    <col min="5" max="5" width="13.140625" style="396" customWidth="1"/>
    <col min="6" max="6" width="14" style="396" customWidth="1"/>
    <col min="7" max="7" width="29.85546875" style="396" customWidth="1"/>
    <col min="8" max="8" width="14.5703125" style="396" customWidth="1"/>
    <col min="9" max="9" width="14.5703125" style="520" customWidth="1"/>
    <col min="10" max="10" width="1.42578125" style="395" customWidth="1"/>
    <col min="11" max="11" width="36.85546875" style="395" customWidth="1"/>
    <col min="12" max="17" width="11.42578125" style="395"/>
    <col min="18" max="18" width="25.42578125" style="395" customWidth="1"/>
    <col min="19" max="16384" width="11.42578125" style="395"/>
  </cols>
  <sheetData>
    <row r="1" spans="2:11" ht="15">
      <c r="B1" s="1184" t="str">
        <f>Sommaire!A1</f>
        <v>BOLZEN - SLP</v>
      </c>
      <c r="C1" s="1184"/>
      <c r="D1" s="1184"/>
      <c r="E1" s="392" t="s">
        <v>548</v>
      </c>
      <c r="F1" s="392"/>
      <c r="G1" s="393">
        <f>Sommaire!C1</f>
        <v>46022</v>
      </c>
      <c r="H1" s="394"/>
      <c r="I1" s="519"/>
    </row>
    <row r="2" spans="2:11" s="397" customFormat="1" ht="21" customHeight="1">
      <c r="B2" s="396"/>
      <c r="C2" s="396"/>
      <c r="D2" s="396"/>
      <c r="E2" s="396"/>
      <c r="F2" s="396"/>
      <c r="G2" s="396"/>
      <c r="H2" s="396"/>
      <c r="I2" s="520"/>
    </row>
    <row r="3" spans="2:11" s="397" customFormat="1" ht="14.25">
      <c r="B3" s="626" t="s">
        <v>31</v>
      </c>
      <c r="C3" s="399"/>
      <c r="D3" s="404"/>
      <c r="E3" s="404"/>
      <c r="F3" s="404"/>
      <c r="G3" s="404"/>
      <c r="H3" s="404"/>
      <c r="I3" s="404"/>
      <c r="K3" s="395" t="s">
        <v>549</v>
      </c>
    </row>
    <row r="4" spans="2:11">
      <c r="I4" s="396"/>
    </row>
    <row r="5" spans="2:11">
      <c r="I5" s="396"/>
    </row>
    <row r="6" spans="2:11">
      <c r="F6" s="398"/>
      <c r="G6" s="398"/>
      <c r="H6" s="398"/>
      <c r="I6" s="521"/>
    </row>
    <row r="7" spans="2:11">
      <c r="E7" s="398"/>
      <c r="G7" s="707"/>
      <c r="H7" s="398"/>
      <c r="I7" s="521"/>
    </row>
    <row r="8" spans="2:11" ht="13.5" thickBot="1">
      <c r="B8" s="398"/>
      <c r="D8" s="707"/>
      <c r="E8" s="398"/>
      <c r="G8" s="398"/>
      <c r="H8" s="398"/>
      <c r="I8" s="521" t="s">
        <v>550</v>
      </c>
    </row>
    <row r="9" spans="2:11" s="400" customFormat="1" ht="18.600000000000001" customHeight="1">
      <c r="B9" s="1185" t="s">
        <v>551</v>
      </c>
      <c r="C9" s="1185"/>
      <c r="D9" s="1185"/>
      <c r="E9" s="1185"/>
      <c r="F9" s="1187" t="str">
        <f>Sommaire!B30</f>
        <v>Euro</v>
      </c>
      <c r="G9" s="398"/>
      <c r="H9" s="1182">
        <f>G1</f>
        <v>46022</v>
      </c>
      <c r="I9" s="1182">
        <v>45657</v>
      </c>
    </row>
    <row r="10" spans="2:11" s="400" customFormat="1" ht="13.5" thickBot="1">
      <c r="B10" s="1186"/>
      <c r="C10" s="1186"/>
      <c r="D10" s="1186"/>
      <c r="E10" s="1186"/>
      <c r="F10" s="1188"/>
      <c r="G10" s="401"/>
      <c r="H10" s="1183"/>
      <c r="I10" s="1183"/>
    </row>
    <row r="11" spans="2:11" s="400" customFormat="1">
      <c r="B11" s="824"/>
      <c r="C11" s="396"/>
      <c r="D11" s="396"/>
      <c r="E11" s="396"/>
      <c r="F11" s="396"/>
      <c r="G11" s="825"/>
      <c r="H11" s="826"/>
      <c r="I11" s="522"/>
    </row>
    <row r="12" spans="2:11" s="400" customFormat="1">
      <c r="B12" s="827" t="s">
        <v>552</v>
      </c>
      <c r="C12" s="396"/>
      <c r="D12" s="396"/>
      <c r="E12" s="396"/>
      <c r="F12" s="396"/>
      <c r="G12" s="825"/>
      <c r="H12" s="826"/>
      <c r="I12" s="522"/>
    </row>
    <row r="13" spans="2:11" s="400" customFormat="1">
      <c r="B13" s="824"/>
      <c r="C13" s="396"/>
      <c r="D13" s="396"/>
      <c r="E13" s="396"/>
      <c r="F13" s="396"/>
      <c r="G13" s="825"/>
      <c r="H13" s="826"/>
      <c r="I13" s="522"/>
    </row>
    <row r="14" spans="2:11" s="400" customFormat="1">
      <c r="B14" s="827" t="s">
        <v>553</v>
      </c>
      <c r="C14" s="396"/>
      <c r="D14" s="396"/>
      <c r="E14" s="396"/>
      <c r="F14" s="396"/>
      <c r="G14" s="825"/>
      <c r="H14" s="828"/>
      <c r="I14" s="523"/>
    </row>
    <row r="15" spans="2:11" ht="15" customHeight="1">
      <c r="B15" s="824"/>
      <c r="G15" s="825"/>
      <c r="H15" s="828"/>
      <c r="I15" s="523"/>
    </row>
    <row r="16" spans="2:11">
      <c r="B16" s="824"/>
      <c r="C16" s="396" t="s">
        <v>554</v>
      </c>
      <c r="G16" s="825"/>
      <c r="H16" s="829"/>
      <c r="I16" s="402"/>
    </row>
    <row r="17" spans="2:11">
      <c r="B17" s="824"/>
      <c r="C17" s="396">
        <v>7000000</v>
      </c>
      <c r="D17" s="396" t="s">
        <v>555</v>
      </c>
      <c r="G17" s="825"/>
      <c r="H17" s="531">
        <f>SUMIF('Balance '!A:A,"700000*",'Balance '!F:F)-SUMIF('Balance '!A:A,"700000*",'Balance '!E:E)</f>
        <v>90591.11</v>
      </c>
      <c r="I17" s="527"/>
      <c r="K17" s="403"/>
    </row>
    <row r="18" spans="2:11">
      <c r="B18" s="824"/>
      <c r="C18" s="396">
        <v>7011000</v>
      </c>
      <c r="D18" s="396" t="s">
        <v>556</v>
      </c>
      <c r="G18" s="825"/>
      <c r="H18" s="531">
        <f>SUMIF('Balance '!A:A,"701100*",'Balance '!F:F)-SUMIF('Balance '!A:A,"701100*",'Balance '!E:E)</f>
        <v>1712219.18</v>
      </c>
      <c r="I18" s="527"/>
      <c r="K18" s="403"/>
    </row>
    <row r="19" spans="2:11">
      <c r="B19" s="824"/>
      <c r="C19" s="396">
        <v>7012000</v>
      </c>
      <c r="D19" s="396" t="s">
        <v>557</v>
      </c>
      <c r="G19" s="825"/>
      <c r="H19" s="531">
        <f>SUMIF('Balance '!A:A,"701200*",'Balance '!F:F)-SUMIF('Balance '!A:A,"701200*",'Balance '!E:E)</f>
        <v>247916.67</v>
      </c>
      <c r="I19" s="527"/>
      <c r="K19" s="403"/>
    </row>
    <row r="20" spans="2:11">
      <c r="B20" s="824"/>
      <c r="C20" s="404"/>
      <c r="G20" s="825"/>
      <c r="H20" s="531"/>
      <c r="I20" s="527"/>
      <c r="K20" s="403"/>
    </row>
    <row r="21" spans="2:11">
      <c r="B21" s="824"/>
      <c r="C21" s="396" t="s">
        <v>558</v>
      </c>
      <c r="G21" s="825"/>
      <c r="H21" s="531"/>
      <c r="I21" s="527"/>
      <c r="K21" s="403"/>
    </row>
    <row r="22" spans="2:11">
      <c r="B22" s="824"/>
      <c r="C22" s="396">
        <v>70210000</v>
      </c>
      <c r="D22" s="396" t="s">
        <v>559</v>
      </c>
      <c r="G22" s="825"/>
      <c r="H22" s="531">
        <f>SUMIF('Balance '!A:A,"702100*",'Balance '!F:F)-SUMIF('Balance '!A:A,"702100*",'Balance '!E:E)</f>
        <v>0</v>
      </c>
      <c r="I22" s="527"/>
      <c r="K22" s="403"/>
    </row>
    <row r="23" spans="2:11">
      <c r="B23" s="824"/>
      <c r="C23" s="396">
        <v>70220000</v>
      </c>
      <c r="D23" s="396" t="s">
        <v>560</v>
      </c>
      <c r="G23" s="825"/>
      <c r="H23" s="531">
        <f>SUMIF('Balance '!A:A,"702200*",'Balance '!F:F)-SUMIF('Balance '!A:A,"702200*",'Balance '!E:E)</f>
        <v>0</v>
      </c>
      <c r="I23" s="527"/>
      <c r="K23" s="403"/>
    </row>
    <row r="24" spans="2:11">
      <c r="B24" s="824"/>
      <c r="C24" s="396">
        <v>70230000</v>
      </c>
      <c r="D24" s="396" t="s">
        <v>561</v>
      </c>
      <c r="G24" s="825"/>
      <c r="H24" s="531">
        <f>SUMIF('Balance '!A:A,"702300*",'Balance '!F:F)-SUMIF('Balance '!A:A,"702300*",'Balance '!E:E)</f>
        <v>0</v>
      </c>
      <c r="I24" s="527"/>
      <c r="K24" s="403"/>
    </row>
    <row r="25" spans="2:11">
      <c r="B25" s="824"/>
      <c r="G25" s="825"/>
      <c r="H25" s="531"/>
      <c r="I25" s="527"/>
      <c r="K25" s="403"/>
    </row>
    <row r="26" spans="2:11">
      <c r="B26" s="824"/>
      <c r="C26" s="396" t="s">
        <v>562</v>
      </c>
      <c r="G26" s="825"/>
      <c r="H26" s="531"/>
      <c r="I26" s="527"/>
      <c r="K26" s="403"/>
    </row>
    <row r="27" spans="2:11">
      <c r="B27" s="824"/>
      <c r="C27" s="396">
        <v>70300000</v>
      </c>
      <c r="D27" s="396" t="s">
        <v>563</v>
      </c>
      <c r="G27" s="825"/>
      <c r="H27" s="531">
        <f>SUMIF('Balance '!A:A,"703000*",'Balance '!F:F)-SUMIF('Balance '!A:A,"703000*",'Balance '!E:E)</f>
        <v>0</v>
      </c>
      <c r="I27" s="527"/>
      <c r="K27" s="403"/>
    </row>
    <row r="28" spans="2:11">
      <c r="B28" s="824"/>
      <c r="G28" s="825"/>
      <c r="H28" s="531"/>
      <c r="I28" s="527"/>
      <c r="K28" s="403"/>
    </row>
    <row r="29" spans="2:11">
      <c r="B29" s="824"/>
      <c r="C29" s="396" t="s">
        <v>564</v>
      </c>
      <c r="E29" s="395"/>
      <c r="F29" s="395"/>
      <c r="G29" s="825"/>
      <c r="H29" s="531"/>
      <c r="I29" s="527"/>
      <c r="K29" s="403"/>
    </row>
    <row r="30" spans="2:11">
      <c r="B30" s="824"/>
      <c r="C30" s="396">
        <v>7041000</v>
      </c>
      <c r="D30" s="396" t="s">
        <v>565</v>
      </c>
      <c r="G30" s="825"/>
      <c r="H30" s="531">
        <f>SUMIF('Balance '!A:A,"704100*",'Balance '!F:F)-SUMIF('Balance '!A:A,"704100*",'Balance '!E:E)</f>
        <v>0</v>
      </c>
      <c r="I30" s="527"/>
      <c r="K30" s="403"/>
    </row>
    <row r="31" spans="2:11">
      <c r="B31" s="824"/>
      <c r="C31" s="396">
        <v>7042000</v>
      </c>
      <c r="D31" s="396" t="s">
        <v>566</v>
      </c>
      <c r="G31" s="825"/>
      <c r="H31" s="531">
        <f>SUMIF('Balance '!A:A,"704200*",'Balance '!F:F)-SUMIF('Balance '!A:A,"704200*",'Balance '!E:E)</f>
        <v>0</v>
      </c>
      <c r="I31" s="527"/>
      <c r="K31" s="403"/>
    </row>
    <row r="32" spans="2:11">
      <c r="B32" s="824"/>
      <c r="G32" s="825"/>
      <c r="H32" s="531"/>
      <c r="I32" s="527"/>
      <c r="K32" s="403"/>
    </row>
    <row r="33" spans="2:11">
      <c r="B33" s="824"/>
      <c r="C33" s="396" t="s">
        <v>567</v>
      </c>
      <c r="G33" s="825"/>
      <c r="H33" s="531"/>
      <c r="I33" s="527"/>
      <c r="K33" s="403"/>
    </row>
    <row r="34" spans="2:11">
      <c r="B34" s="824"/>
      <c r="C34" s="396">
        <v>70500000</v>
      </c>
      <c r="D34" s="396" t="s">
        <v>568</v>
      </c>
      <c r="G34" s="825"/>
      <c r="H34" s="531">
        <f>SUMIF('Balance '!A:A,"705000*",'Balance '!F:F)-SUMIF('Balance '!A:A,"705000*",'Balance '!E:E)</f>
        <v>0</v>
      </c>
      <c r="I34" s="527"/>
      <c r="K34" s="403"/>
    </row>
    <row r="35" spans="2:11">
      <c r="B35" s="824"/>
      <c r="G35" s="825"/>
      <c r="H35" s="531"/>
      <c r="I35" s="527"/>
      <c r="K35" s="403"/>
    </row>
    <row r="36" spans="2:11">
      <c r="B36" s="824"/>
      <c r="C36" s="396" t="s">
        <v>569</v>
      </c>
      <c r="G36" s="825"/>
      <c r="H36" s="531"/>
      <c r="I36" s="527"/>
      <c r="K36" s="403"/>
    </row>
    <row r="37" spans="2:11">
      <c r="B37" s="824"/>
      <c r="C37" s="396">
        <v>7066000</v>
      </c>
      <c r="D37" s="396" t="s">
        <v>570</v>
      </c>
      <c r="G37" s="825"/>
      <c r="H37" s="531">
        <f>SUMIF('Balance '!A:A,"706600*",'Balance '!F:F)-SUMIF('Balance '!A:A,"706600*",'Balance '!E:E)</f>
        <v>0</v>
      </c>
      <c r="I37" s="527"/>
      <c r="K37" s="403"/>
    </row>
    <row r="38" spans="2:11">
      <c r="B38" s="824"/>
      <c r="G38" s="825"/>
      <c r="H38" s="531"/>
      <c r="I38" s="527"/>
      <c r="K38" s="403"/>
    </row>
    <row r="39" spans="2:11">
      <c r="B39" s="824"/>
      <c r="C39" s="396" t="s">
        <v>571</v>
      </c>
      <c r="G39" s="825"/>
      <c r="H39" s="531"/>
      <c r="I39" s="527"/>
      <c r="K39" s="403"/>
    </row>
    <row r="40" spans="2:11">
      <c r="B40" s="824"/>
      <c r="C40" s="396">
        <v>70710000</v>
      </c>
      <c r="D40" s="396" t="s">
        <v>572</v>
      </c>
      <c r="G40" s="825"/>
      <c r="H40" s="531">
        <f>SUMIF('Balance '!A:A,"707100*",'Balance '!F:F)-SUMIF('Balance '!A:A,"707100*",'Balance '!E:E)</f>
        <v>0</v>
      </c>
      <c r="I40" s="527"/>
      <c r="K40" s="403"/>
    </row>
    <row r="41" spans="2:11">
      <c r="B41" s="824"/>
      <c r="C41" s="396">
        <v>70760000</v>
      </c>
      <c r="D41" s="396" t="s">
        <v>573</v>
      </c>
      <c r="G41" s="825"/>
      <c r="H41" s="531">
        <f>SUMIF('Balance '!A:A,"707600*",'Balance '!F:F)-SUMIF('Balance '!A:A,"707600*",'Balance '!E:E)</f>
        <v>0</v>
      </c>
      <c r="I41" s="527"/>
      <c r="K41" s="403"/>
    </row>
    <row r="42" spans="2:11">
      <c r="B42" s="824"/>
      <c r="C42" s="396">
        <v>70770000</v>
      </c>
      <c r="D42" s="396" t="s">
        <v>574</v>
      </c>
      <c r="G42" s="825"/>
      <c r="H42" s="531">
        <f>SUMIF('Balance '!A:A,"707700*",'Balance '!F:F)-SUMIF('Balance '!A:A,"707700*",'Balance '!E:E)</f>
        <v>0</v>
      </c>
      <c r="I42" s="527"/>
      <c r="K42" s="403"/>
    </row>
    <row r="43" spans="2:11">
      <c r="B43" s="824"/>
      <c r="G43" s="825"/>
      <c r="H43" s="531"/>
      <c r="I43" s="527"/>
      <c r="K43" s="403"/>
    </row>
    <row r="44" spans="2:11">
      <c r="B44" s="824"/>
      <c r="C44" s="396" t="s">
        <v>575</v>
      </c>
      <c r="G44" s="825"/>
      <c r="H44" s="531"/>
      <c r="I44" s="527"/>
      <c r="K44" s="403"/>
    </row>
    <row r="45" spans="2:11">
      <c r="B45" s="824"/>
      <c r="C45" s="830">
        <v>7083000</v>
      </c>
      <c r="D45" s="396" t="s">
        <v>576</v>
      </c>
      <c r="G45" s="825"/>
      <c r="H45" s="531">
        <f>SUMIF('Balance '!A:A,"708300*",'Balance '!F:F)-SUMIF('Balance '!A:A,"708300*",'Balance '!E:E)</f>
        <v>5507.44</v>
      </c>
      <c r="I45" s="527"/>
      <c r="K45" s="403"/>
    </row>
    <row r="46" spans="2:11">
      <c r="B46" s="824"/>
      <c r="G46" s="825"/>
      <c r="H46" s="531"/>
      <c r="I46" s="527"/>
      <c r="K46" s="403"/>
    </row>
    <row r="47" spans="2:11">
      <c r="B47" s="824"/>
      <c r="G47" s="825"/>
      <c r="H47" s="531"/>
      <c r="I47" s="527"/>
      <c r="K47" s="403"/>
    </row>
    <row r="48" spans="2:11" ht="14.25" customHeight="1">
      <c r="B48" s="824"/>
      <c r="G48" s="825"/>
      <c r="H48" s="531"/>
      <c r="I48" s="528"/>
      <c r="K48" s="403"/>
    </row>
    <row r="49" spans="2:11" ht="14.25" customHeight="1">
      <c r="B49" s="1178" t="s">
        <v>577</v>
      </c>
      <c r="C49" s="1179"/>
      <c r="D49" s="1179"/>
      <c r="E49" s="1179"/>
      <c r="F49" s="1179"/>
      <c r="G49" s="1180"/>
      <c r="H49" s="625">
        <f>+SUM(H16:H47)</f>
        <v>2056234.4</v>
      </c>
      <c r="I49" s="529">
        <f>SUM(I16:I46)</f>
        <v>0</v>
      </c>
      <c r="K49" s="403"/>
    </row>
    <row r="50" spans="2:11" ht="14.25" customHeight="1">
      <c r="B50" s="831"/>
      <c r="C50" s="832"/>
      <c r="D50" s="832"/>
      <c r="E50" s="832"/>
      <c r="F50" s="832"/>
      <c r="G50" s="833"/>
      <c r="H50" s="531"/>
      <c r="I50" s="528"/>
      <c r="K50" s="403"/>
    </row>
    <row r="51" spans="2:11">
      <c r="B51" s="1189" t="s">
        <v>578</v>
      </c>
      <c r="C51" s="1190"/>
      <c r="D51" s="1190"/>
      <c r="E51" s="1190"/>
      <c r="F51" s="1190"/>
      <c r="G51" s="825"/>
      <c r="H51" s="531"/>
      <c r="I51" s="528"/>
      <c r="K51" s="403"/>
    </row>
    <row r="52" spans="2:11">
      <c r="B52" s="834"/>
      <c r="C52" s="835"/>
      <c r="D52" s="835"/>
      <c r="E52" s="835"/>
      <c r="F52" s="835"/>
      <c r="G52" s="825"/>
      <c r="H52" s="531"/>
      <c r="I52" s="528"/>
      <c r="K52" s="403"/>
    </row>
    <row r="53" spans="2:11">
      <c r="B53" s="824"/>
      <c r="C53" s="396" t="s">
        <v>579</v>
      </c>
      <c r="G53" s="825"/>
      <c r="H53" s="531"/>
      <c r="I53" s="527"/>
      <c r="K53" s="403"/>
    </row>
    <row r="54" spans="2:11">
      <c r="B54" s="824"/>
      <c r="C54" s="396">
        <v>6031000</v>
      </c>
      <c r="D54" s="396" t="s">
        <v>565</v>
      </c>
      <c r="G54" s="825"/>
      <c r="H54" s="531">
        <f>SUMIF('Balance '!A:A,"603100*",'Balance '!E:E)-SUMIF('Balance '!A:A,"603100*",'Balance '!F:F)</f>
        <v>0</v>
      </c>
      <c r="I54" s="527"/>
      <c r="K54" s="403"/>
    </row>
    <row r="55" spans="2:11">
      <c r="B55" s="824"/>
      <c r="C55" s="396">
        <v>6032000</v>
      </c>
      <c r="D55" s="396" t="s">
        <v>566</v>
      </c>
      <c r="G55" s="825"/>
      <c r="H55" s="531">
        <f>SUMIF('Balance '!A:A,"603200*",'Balance '!E:E)-SUMIF('Balance '!A:A,"603200*",'Balance '!F:F)</f>
        <v>0</v>
      </c>
      <c r="I55" s="527"/>
      <c r="K55" s="403"/>
    </row>
    <row r="56" spans="2:11">
      <c r="B56" s="824"/>
      <c r="C56" s="395"/>
      <c r="G56" s="825"/>
      <c r="H56" s="531"/>
      <c r="I56" s="527"/>
      <c r="K56" s="403"/>
    </row>
    <row r="57" spans="2:11">
      <c r="B57" s="824"/>
      <c r="C57" s="396" t="s">
        <v>580</v>
      </c>
      <c r="D57" s="395"/>
      <c r="G57" s="825"/>
      <c r="H57" s="531"/>
      <c r="I57" s="527"/>
      <c r="K57" s="403"/>
    </row>
    <row r="58" spans="2:11">
      <c r="B58" s="824"/>
      <c r="C58" s="396">
        <v>6050000</v>
      </c>
      <c r="D58" s="396" t="s">
        <v>580</v>
      </c>
      <c r="G58" s="825"/>
      <c r="H58" s="531">
        <f>SUMIF('Balance '!A:A,"605000*",'Balance '!E:E)-SUMIF('Balance '!A:A,"605000*",'Balance '!F:F)</f>
        <v>1105890.74</v>
      </c>
      <c r="I58" s="527"/>
      <c r="K58" s="403"/>
    </row>
    <row r="59" spans="2:11">
      <c r="B59" s="824"/>
      <c r="C59" s="396" t="s">
        <v>581</v>
      </c>
      <c r="D59" s="395"/>
      <c r="E59" s="395"/>
      <c r="G59" s="825"/>
      <c r="H59" s="531"/>
      <c r="I59" s="527"/>
      <c r="K59" s="403"/>
    </row>
    <row r="60" spans="2:11">
      <c r="B60" s="824"/>
      <c r="C60" s="830">
        <v>6083000</v>
      </c>
      <c r="D60" s="396" t="s">
        <v>450</v>
      </c>
      <c r="G60" s="825"/>
      <c r="H60" s="531">
        <f>SUMIF('Balance '!A:A,"608300*",'Balance '!E:E)-SUMIF('Balance '!A:A,"608300*",'Balance '!F:F)</f>
        <v>0</v>
      </c>
      <c r="I60" s="527"/>
      <c r="K60" s="403"/>
    </row>
    <row r="61" spans="2:11">
      <c r="B61" s="824"/>
      <c r="C61" s="395"/>
      <c r="D61" s="395"/>
      <c r="G61" s="825"/>
      <c r="H61" s="531"/>
      <c r="I61" s="528"/>
      <c r="K61" s="403"/>
    </row>
    <row r="62" spans="2:11" ht="15" customHeight="1">
      <c r="B62" s="1178" t="s">
        <v>582</v>
      </c>
      <c r="C62" s="1179"/>
      <c r="D62" s="1179"/>
      <c r="E62" s="1179"/>
      <c r="F62" s="1179"/>
      <c r="G62" s="1180"/>
      <c r="H62" s="625">
        <f>SUM(H53:H60)</f>
        <v>1105890.74</v>
      </c>
      <c r="I62" s="529">
        <f>SUM(I53:I60)</f>
        <v>0</v>
      </c>
      <c r="K62" s="403"/>
    </row>
    <row r="63" spans="2:11" ht="15" customHeight="1" thickBot="1">
      <c r="B63" s="824"/>
      <c r="G63" s="825"/>
      <c r="H63" s="836"/>
      <c r="I63" s="528"/>
      <c r="K63" s="403"/>
    </row>
    <row r="64" spans="2:11" ht="15" customHeight="1" thickBot="1">
      <c r="B64" s="827" t="s">
        <v>583</v>
      </c>
      <c r="G64" s="825"/>
      <c r="H64" s="837">
        <f>H49-H62</f>
        <v>950343.65999999992</v>
      </c>
      <c r="I64" s="530">
        <f>I49-I62</f>
        <v>0</v>
      </c>
      <c r="K64" s="403"/>
    </row>
    <row r="65" spans="2:11" ht="15" customHeight="1">
      <c r="B65" s="827"/>
      <c r="G65" s="825"/>
      <c r="H65" s="531"/>
      <c r="I65" s="528"/>
      <c r="K65" s="403"/>
    </row>
    <row r="66" spans="2:11" ht="15" customHeight="1">
      <c r="B66" s="1189" t="s">
        <v>584</v>
      </c>
      <c r="C66" s="1190"/>
      <c r="D66" s="1190"/>
      <c r="E66" s="1190"/>
      <c r="F66" s="1190"/>
      <c r="G66" s="825"/>
      <c r="H66" s="531"/>
      <c r="I66" s="528"/>
      <c r="K66" s="403"/>
    </row>
    <row r="67" spans="2:11" ht="15" customHeight="1">
      <c r="B67" s="827"/>
      <c r="G67" s="825"/>
      <c r="H67" s="625">
        <f>+SUM(H68:H71)</f>
        <v>0</v>
      </c>
      <c r="I67" s="529">
        <f>+SUM(I68:I71)</f>
        <v>0</v>
      </c>
      <c r="K67" s="403"/>
    </row>
    <row r="68" spans="2:11" ht="15" customHeight="1">
      <c r="B68" s="827"/>
      <c r="C68" s="396">
        <v>7110000</v>
      </c>
      <c r="D68" s="396" t="s">
        <v>585</v>
      </c>
      <c r="G68" s="825"/>
      <c r="H68" s="531">
        <f>SUMIF('Balance '!A:A,"711000*",'Balance '!F:F)-SUMIF('Balance '!A:A,"711000*",'Balance '!E:E)</f>
        <v>0</v>
      </c>
      <c r="I68" s="527"/>
      <c r="K68" s="403"/>
    </row>
    <row r="69" spans="2:11" ht="15" customHeight="1">
      <c r="B69" s="827"/>
      <c r="C69" s="396">
        <v>7200000</v>
      </c>
      <c r="D69" s="396" t="s">
        <v>586</v>
      </c>
      <c r="G69" s="825"/>
      <c r="H69" s="531">
        <f>SUMIF('Balance '!A:A,"720000*",'Balance '!F:F)-SUMIF('Balance '!A:A,"720000*",'Balance '!E:E)</f>
        <v>0</v>
      </c>
      <c r="I69" s="527"/>
      <c r="K69" s="403"/>
    </row>
    <row r="70" spans="2:11" ht="15" customHeight="1">
      <c r="B70" s="827"/>
      <c r="C70" s="396">
        <v>7210000</v>
      </c>
      <c r="D70" s="396" t="s">
        <v>587</v>
      </c>
      <c r="G70" s="825"/>
      <c r="H70" s="531">
        <f>SUMIF('Balance '!A:A,"721000*",'Balance '!F:F)-SUMIF('Balance '!A:A,"721000*",'Balance '!E:E)</f>
        <v>0</v>
      </c>
      <c r="I70" s="527"/>
      <c r="K70" s="403"/>
    </row>
    <row r="71" spans="2:11" ht="15" customHeight="1">
      <c r="B71" s="827"/>
      <c r="C71" s="396">
        <v>7240000</v>
      </c>
      <c r="D71" s="396" t="s">
        <v>588</v>
      </c>
      <c r="G71" s="825"/>
      <c r="H71" s="531">
        <f>SUMIF('Balance '!A:A,"724000*",'Balance '!F:F)-SUMIF('Balance '!A:A,"724000*",'Balance '!E:E)</f>
        <v>0</v>
      </c>
      <c r="I71" s="527"/>
      <c r="K71" s="403"/>
    </row>
    <row r="72" spans="2:11" ht="15" customHeight="1">
      <c r="B72" s="827"/>
      <c r="G72" s="825"/>
      <c r="H72" s="531"/>
      <c r="I72" s="528"/>
      <c r="K72" s="403"/>
    </row>
    <row r="73" spans="2:11" ht="15" customHeight="1">
      <c r="B73" s="1189" t="s">
        <v>589</v>
      </c>
      <c r="C73" s="1190"/>
      <c r="D73" s="1190"/>
      <c r="E73" s="1190"/>
      <c r="F73" s="1190"/>
      <c r="G73" s="825"/>
      <c r="H73" s="625">
        <f>+SUM(H75:H91)</f>
        <v>43075.779999999992</v>
      </c>
      <c r="I73" s="529">
        <f>+SUM(I75:I91)</f>
        <v>0</v>
      </c>
      <c r="K73" s="403"/>
    </row>
    <row r="74" spans="2:11" ht="15" customHeight="1">
      <c r="B74" s="827"/>
      <c r="G74" s="825"/>
      <c r="H74" s="531"/>
      <c r="I74" s="528"/>
      <c r="K74" s="403"/>
    </row>
    <row r="75" spans="2:11" ht="15" customHeight="1">
      <c r="B75" s="827"/>
      <c r="C75" s="830">
        <v>6111000</v>
      </c>
      <c r="D75" s="396" t="s">
        <v>590</v>
      </c>
      <c r="G75" s="825"/>
      <c r="H75" s="531">
        <f>SUMIF('Balance '!A:A,"611100*",'Balance '!E:E)-SUMIF('Balance '!A:A,"611100*",'Balance '!F:F)</f>
        <v>0</v>
      </c>
      <c r="I75" s="527"/>
      <c r="K75" s="403"/>
    </row>
    <row r="76" spans="2:11" ht="15" customHeight="1">
      <c r="B76" s="827"/>
      <c r="C76" s="830">
        <v>6112100</v>
      </c>
      <c r="D76" s="396" t="s">
        <v>591</v>
      </c>
      <c r="G76" s="825"/>
      <c r="H76" s="531">
        <f>SUMIF('Balance '!A:A,"6112100*",'Balance '!E:E)-SUMIF('Balance '!A:A,"6112100*",'Balance '!F:F)</f>
        <v>5712</v>
      </c>
      <c r="I76" s="527"/>
      <c r="K76" s="403"/>
    </row>
    <row r="77" spans="2:11" ht="15" customHeight="1">
      <c r="B77" s="827"/>
      <c r="C77" s="830">
        <v>6112200</v>
      </c>
      <c r="D77" s="396" t="s">
        <v>592</v>
      </c>
      <c r="G77" s="825"/>
      <c r="H77" s="531">
        <f>SUMIF('Balance '!A:A,"6112200*",'Balance '!E:E)-SUMIF('Balance '!A:A,"6112200*",'Balance '!F:F)</f>
        <v>7882</v>
      </c>
      <c r="I77" s="527"/>
      <c r="K77" s="403"/>
    </row>
    <row r="78" spans="2:11" ht="15" customHeight="1">
      <c r="B78" s="827"/>
      <c r="C78" s="830">
        <v>6112300</v>
      </c>
      <c r="D78" s="396" t="s">
        <v>593</v>
      </c>
      <c r="G78" s="825"/>
      <c r="H78" s="531">
        <f>SUMIF('Balance '!A:A,"6112300*",'Balance '!E:E)-SUMIF('Balance '!A:A,"6112300*",'Balance '!F:F)</f>
        <v>19463.009999999998</v>
      </c>
      <c r="I78" s="527"/>
      <c r="K78" s="403"/>
    </row>
    <row r="79" spans="2:11" ht="15" customHeight="1">
      <c r="B79" s="827"/>
      <c r="C79" s="830">
        <v>6112400</v>
      </c>
      <c r="D79" s="396" t="s">
        <v>594</v>
      </c>
      <c r="G79" s="825"/>
      <c r="H79" s="531">
        <f>SUMIF('Balance '!A:A,"6112400*",'Balance '!E:E)-SUMIF('Balance '!A:A,"6112400*",'Balance '!F:F)</f>
        <v>0</v>
      </c>
      <c r="I79" s="527"/>
      <c r="K79" s="403"/>
    </row>
    <row r="80" spans="2:11" ht="15" customHeight="1">
      <c r="B80" s="827"/>
      <c r="C80" s="830">
        <v>6112500</v>
      </c>
      <c r="D80" s="396" t="s">
        <v>444</v>
      </c>
      <c r="G80" s="825"/>
      <c r="H80" s="531">
        <f>SUMIF('Balance '!A:A,"6112500*",'Balance '!E:E)-SUMIF('Balance '!A:A,"6112500*",'Balance '!F:F)</f>
        <v>0</v>
      </c>
      <c r="I80" s="527"/>
      <c r="K80" s="403"/>
    </row>
    <row r="81" spans="2:11" ht="15" customHeight="1">
      <c r="B81" s="827"/>
      <c r="C81" s="830">
        <v>6113000</v>
      </c>
      <c r="D81" s="396" t="s">
        <v>595</v>
      </c>
      <c r="G81" s="825"/>
      <c r="H81" s="531">
        <f>SUMIF('Balance '!A:A,"6111300*",'Balance '!E:E)-SUMIF('Balance '!A:A,"6111300*",'Balance '!F:F)</f>
        <v>1512.6</v>
      </c>
      <c r="I81" s="527"/>
      <c r="K81" s="403"/>
    </row>
    <row r="82" spans="2:11" ht="15" customHeight="1">
      <c r="B82" s="827"/>
      <c r="C82" s="830"/>
      <c r="G82" s="825"/>
      <c r="H82" s="531"/>
      <c r="I82" s="527"/>
      <c r="K82" s="403"/>
    </row>
    <row r="83" spans="2:11" ht="15" customHeight="1">
      <c r="B83" s="827"/>
      <c r="G83" s="825"/>
      <c r="H83" s="531"/>
      <c r="I83" s="527"/>
      <c r="K83" s="403"/>
    </row>
    <row r="84" spans="2:11" ht="15" customHeight="1">
      <c r="B84" s="827"/>
      <c r="C84" s="396">
        <v>6120000</v>
      </c>
      <c r="D84" s="396" t="s">
        <v>596</v>
      </c>
      <c r="G84" s="825"/>
      <c r="H84" s="531">
        <f>SUMIF('Balance '!A:A,"6120000*",'Balance '!E:E)-SUMIF('Balance '!A:A,"6120000*",'Balance '!F:F)</f>
        <v>0</v>
      </c>
      <c r="I84" s="527"/>
      <c r="K84" s="403"/>
    </row>
    <row r="85" spans="2:11" ht="15" customHeight="1">
      <c r="B85" s="824"/>
      <c r="C85" s="396">
        <v>6130000</v>
      </c>
      <c r="D85" s="396" t="s">
        <v>597</v>
      </c>
      <c r="G85" s="825"/>
      <c r="H85" s="531">
        <f>SUMIF('Balance '!A:A,"6130000*",'Balance '!E:E)-SUMIF('Balance '!A:A,"6130000*",'Balance '!F:F)</f>
        <v>0</v>
      </c>
      <c r="I85" s="527"/>
      <c r="K85" s="403"/>
    </row>
    <row r="86" spans="2:11" ht="15" customHeight="1">
      <c r="B86" s="824"/>
      <c r="C86" s="396">
        <v>6130001</v>
      </c>
      <c r="D86" s="396" t="s">
        <v>598</v>
      </c>
      <c r="G86" s="825"/>
      <c r="H86" s="531">
        <f>SUMIF('Balance '!A:A,"6130001*",'Balance '!E:E)-SUMIF('Balance '!A:A,"6130001*",'Balance '!F:F)</f>
        <v>0</v>
      </c>
      <c r="I86" s="527"/>
      <c r="K86" s="403"/>
    </row>
    <row r="87" spans="2:11" ht="15" customHeight="1">
      <c r="B87" s="824"/>
      <c r="C87" s="396">
        <v>6150000</v>
      </c>
      <c r="D87" s="396" t="s">
        <v>449</v>
      </c>
      <c r="G87" s="825"/>
      <c r="H87" s="531">
        <f>SUMIF('Balance '!A:A,"6150000*",'Balance '!E:E)-SUMIF('Balance '!A:A,"6150000*",'Balance '!F:F)</f>
        <v>0</v>
      </c>
      <c r="I87" s="527"/>
      <c r="K87" s="403"/>
    </row>
    <row r="88" spans="2:11" ht="15" customHeight="1">
      <c r="B88" s="824"/>
      <c r="C88" s="396">
        <v>6151000</v>
      </c>
      <c r="D88" s="396" t="s">
        <v>452</v>
      </c>
      <c r="G88" s="825"/>
      <c r="H88" s="531">
        <f>SUMIF('Balance '!A:A,"6151000*",'Balance '!E:E)-SUMIF('Balance '!A:A,"6151000*",'Balance '!F:F)</f>
        <v>8506.17</v>
      </c>
      <c r="I88" s="527"/>
      <c r="K88" s="403"/>
    </row>
    <row r="89" spans="2:11" ht="15" customHeight="1">
      <c r="B89" s="824"/>
      <c r="C89" s="396">
        <v>6156000</v>
      </c>
      <c r="D89" s="396" t="s">
        <v>461</v>
      </c>
      <c r="G89" s="825"/>
      <c r="H89" s="531">
        <f>SUMIF('Balance '!A:A,"6156000*",'Balance '!E:E)-SUMIF('Balance '!A:A,"6156000*",'Balance '!F:F)</f>
        <v>0</v>
      </c>
      <c r="I89" s="527"/>
      <c r="K89" s="403"/>
    </row>
    <row r="90" spans="2:11" ht="15" customHeight="1">
      <c r="B90" s="824"/>
      <c r="C90" s="396">
        <v>6160000</v>
      </c>
      <c r="D90" s="396" t="s">
        <v>458</v>
      </c>
      <c r="G90" s="825"/>
      <c r="H90" s="531">
        <f>SUMIF('Balance '!A:A,"6160000*",'Balance '!E:E)-SUMIF('Balance '!A:A,"6160000*",'Balance '!F:F)</f>
        <v>0</v>
      </c>
      <c r="I90" s="527"/>
      <c r="K90" s="403"/>
    </row>
    <row r="91" spans="2:11" ht="15" customHeight="1">
      <c r="B91" s="824"/>
      <c r="C91" s="396">
        <v>6190000</v>
      </c>
      <c r="D91" s="396" t="s">
        <v>599</v>
      </c>
      <c r="G91" s="825"/>
      <c r="H91" s="531">
        <f>SUMIF('Balance '!A:A,"6190000*",'Balance '!E:E)-SUMIF('Balance '!A:A,"6190000*",'Balance '!F:F)</f>
        <v>0</v>
      </c>
      <c r="I91" s="527"/>
      <c r="K91" s="403"/>
    </row>
    <row r="92" spans="2:11">
      <c r="B92" s="824"/>
      <c r="G92" s="825"/>
      <c r="H92" s="531"/>
      <c r="I92" s="528"/>
      <c r="K92" s="403"/>
    </row>
    <row r="93" spans="2:11">
      <c r="B93" s="1178" t="s">
        <v>600</v>
      </c>
      <c r="C93" s="1179"/>
      <c r="D93" s="1179"/>
      <c r="E93" s="1179"/>
      <c r="F93" s="1179"/>
      <c r="G93" s="1180"/>
      <c r="H93" s="625">
        <f>-H67+H73</f>
        <v>43075.779999999992</v>
      </c>
      <c r="I93" s="529">
        <f>+I67+I73</f>
        <v>0</v>
      </c>
      <c r="K93" s="403"/>
    </row>
    <row r="94" spans="2:11" ht="13.5" thickBot="1">
      <c r="B94" s="831"/>
      <c r="C94" s="832"/>
      <c r="D94" s="832"/>
      <c r="E94" s="832"/>
      <c r="F94" s="832"/>
      <c r="G94" s="833"/>
      <c r="H94" s="838"/>
      <c r="I94" s="529"/>
      <c r="K94" s="403"/>
    </row>
    <row r="95" spans="2:11" ht="13.5" thickBot="1">
      <c r="B95" s="827" t="s">
        <v>601</v>
      </c>
      <c r="C95" s="832"/>
      <c r="D95" s="832"/>
      <c r="E95" s="832"/>
      <c r="F95" s="832"/>
      <c r="G95" s="833"/>
      <c r="H95" s="837">
        <f>+H64-H93</f>
        <v>907267.87999999989</v>
      </c>
      <c r="I95" s="530">
        <f>+I64-I93</f>
        <v>0</v>
      </c>
      <c r="K95" s="403"/>
    </row>
    <row r="96" spans="2:11">
      <c r="B96" s="831"/>
      <c r="C96" s="832"/>
      <c r="D96" s="832"/>
      <c r="E96" s="832"/>
      <c r="F96" s="832"/>
      <c r="G96" s="833"/>
      <c r="H96" s="625"/>
      <c r="I96" s="529"/>
      <c r="K96" s="403"/>
    </row>
    <row r="97" spans="1:11">
      <c r="B97" s="824"/>
      <c r="C97" s="396" t="s">
        <v>602</v>
      </c>
      <c r="D97" s="832"/>
      <c r="E97" s="832"/>
      <c r="F97" s="832"/>
      <c r="G97" s="833"/>
      <c r="H97" s="625">
        <f>SUMIF('Balance '!A:A,"771000*",'Balance '!F:F)-SUMIF('Balance '!A:A,"771000*",'Balance '!E:E)</f>
        <v>0</v>
      </c>
      <c r="I97" s="529"/>
      <c r="K97" s="403"/>
    </row>
    <row r="98" spans="1:11" ht="13.5" thickBot="1">
      <c r="B98" s="831"/>
      <c r="C98" s="832"/>
      <c r="D98" s="832"/>
      <c r="E98" s="832"/>
      <c r="F98" s="832"/>
      <c r="G98" s="833"/>
      <c r="H98" s="625"/>
      <c r="I98" s="529"/>
      <c r="K98" s="403"/>
    </row>
    <row r="99" spans="1:11" ht="13.5" thickBot="1">
      <c r="A99" s="395" t="s">
        <v>98</v>
      </c>
      <c r="B99" s="834" t="s">
        <v>603</v>
      </c>
      <c r="G99" s="825"/>
      <c r="H99" s="837">
        <f>+H95+H97</f>
        <v>907267.87999999989</v>
      </c>
      <c r="I99" s="530">
        <f>+I95+I97</f>
        <v>0</v>
      </c>
      <c r="K99" s="403"/>
    </row>
    <row r="100" spans="1:11">
      <c r="B100" s="824"/>
      <c r="G100" s="825"/>
      <c r="H100" s="531"/>
      <c r="I100" s="528"/>
      <c r="K100" s="403"/>
    </row>
    <row r="101" spans="1:11">
      <c r="B101" s="827" t="s">
        <v>604</v>
      </c>
      <c r="G101" s="825"/>
      <c r="H101" s="531"/>
      <c r="I101" s="528"/>
      <c r="K101" s="403"/>
    </row>
    <row r="102" spans="1:11">
      <c r="B102" s="824"/>
      <c r="G102" s="825"/>
      <c r="H102" s="531"/>
      <c r="I102" s="528"/>
      <c r="K102" s="403"/>
    </row>
    <row r="103" spans="1:11">
      <c r="B103" s="824"/>
      <c r="C103" s="396" t="s">
        <v>605</v>
      </c>
      <c r="G103" s="825"/>
      <c r="H103" s="625">
        <f>SUM(H105:H132)</f>
        <v>0</v>
      </c>
      <c r="I103" s="625">
        <f>SUM(I105:I132)</f>
        <v>0</v>
      </c>
      <c r="K103" s="403"/>
    </row>
    <row r="104" spans="1:11">
      <c r="B104" s="824"/>
      <c r="C104" s="396" t="s">
        <v>606</v>
      </c>
      <c r="G104" s="825"/>
      <c r="H104" s="531"/>
      <c r="I104" s="531"/>
      <c r="K104" s="403"/>
    </row>
    <row r="105" spans="1:11" ht="13.5" customHeight="1">
      <c r="B105" s="824"/>
      <c r="C105" s="396">
        <v>6440000</v>
      </c>
      <c r="D105" s="396" t="s">
        <v>555</v>
      </c>
      <c r="G105" s="825"/>
      <c r="H105" s="531">
        <f>-(SUMIF('Balance '!A:A,"6440000*",'Balance '!E:E)-SUMIF('Balance '!A:A,"6440000*",'Balance '!F:F))</f>
        <v>0</v>
      </c>
      <c r="I105" s="527"/>
      <c r="K105" s="403"/>
    </row>
    <row r="106" spans="1:11">
      <c r="B106" s="824"/>
      <c r="C106" s="396">
        <v>6441200</v>
      </c>
      <c r="D106" s="396" t="s">
        <v>607</v>
      </c>
      <c r="G106" s="825"/>
      <c r="H106" s="531">
        <f>-(SUMIF('Balance '!A:A,"6441200*",'Balance '!E:E)-SUMIF('Balance '!A:A,"6441200*",'Balance '!F:F))</f>
        <v>0</v>
      </c>
      <c r="I106" s="527"/>
      <c r="K106" s="403"/>
    </row>
    <row r="107" spans="1:11">
      <c r="B107" s="824"/>
      <c r="C107" s="396">
        <v>6441500</v>
      </c>
      <c r="D107" s="396" t="s">
        <v>557</v>
      </c>
      <c r="G107" s="825"/>
      <c r="H107" s="531">
        <f>-(SUMIF('Balance '!A:A,"6441500*",'Balance '!E:E)-SUMIF('Balance '!A:A,"6441500*",'Balance '!F:F))</f>
        <v>0</v>
      </c>
      <c r="I107" s="527"/>
      <c r="K107" s="403"/>
    </row>
    <row r="108" spans="1:11">
      <c r="B108" s="824"/>
      <c r="C108" s="396">
        <v>6442000</v>
      </c>
      <c r="D108" s="396" t="s">
        <v>608</v>
      </c>
      <c r="G108" s="825"/>
      <c r="H108" s="531">
        <f>-(SUMIF('Balance '!A:A,"6442000*",'Balance '!E:E)-SUMIF('Balance '!A:A,"6442000*",'Balance '!F:F))</f>
        <v>0</v>
      </c>
      <c r="I108" s="527"/>
      <c r="K108" s="403"/>
    </row>
    <row r="109" spans="1:11">
      <c r="B109" s="824"/>
      <c r="C109" s="396">
        <v>6443000</v>
      </c>
      <c r="D109" s="396" t="s">
        <v>609</v>
      </c>
      <c r="G109" s="825"/>
      <c r="H109" s="531">
        <f>-(SUMIF('Balance '!A:A,"6443000*",'Balance '!E:E)-SUMIF('Balance '!A:A,"6443000*",'Balance '!F:F))</f>
        <v>0</v>
      </c>
      <c r="I109" s="527"/>
      <c r="K109" s="403"/>
    </row>
    <row r="110" spans="1:11">
      <c r="B110" s="824"/>
      <c r="C110" s="396">
        <v>6444000</v>
      </c>
      <c r="D110" s="396" t="s">
        <v>610</v>
      </c>
      <c r="G110" s="825"/>
      <c r="H110" s="531">
        <f>-(SUMIF('Balance '!A:A,"6444000*",'Balance '!E:E)-SUMIF('Balance '!A:A,"6444000*",'Balance '!F:F))</f>
        <v>0</v>
      </c>
      <c r="I110" s="527"/>
      <c r="K110" s="403"/>
    </row>
    <row r="111" spans="1:11">
      <c r="B111" s="824"/>
      <c r="C111" s="396">
        <v>6445000</v>
      </c>
      <c r="D111" s="396" t="s">
        <v>611</v>
      </c>
      <c r="G111" s="825"/>
      <c r="H111" s="531">
        <f>-(SUMIF('Balance '!A:A,"6445000*",'Balance '!E:E)-SUMIF('Balance '!A:A,"6445000*",'Balance '!F:F))</f>
        <v>0</v>
      </c>
      <c r="I111" s="527"/>
      <c r="K111" s="403"/>
    </row>
    <row r="112" spans="1:11">
      <c r="B112" s="824"/>
      <c r="C112" s="396">
        <v>6446100</v>
      </c>
      <c r="D112" s="396" t="s">
        <v>612</v>
      </c>
      <c r="G112" s="825"/>
      <c r="H112" s="531">
        <f>-(SUMIF('Balance '!A:A,"6446100*",'Balance '!E:E)-SUMIF('Balance '!A:A,"6446100*",'Balance '!F:F))</f>
        <v>0</v>
      </c>
      <c r="I112" s="527"/>
      <c r="K112" s="403"/>
    </row>
    <row r="113" spans="2:11">
      <c r="B113" s="824"/>
      <c r="C113" s="396">
        <v>6446200</v>
      </c>
      <c r="D113" s="396" t="s">
        <v>613</v>
      </c>
      <c r="G113" s="825"/>
      <c r="H113" s="531">
        <f>-(SUMIF('Balance '!A:A,"6446200*",'Balance '!E:E)-SUMIF('Balance '!A:A,"6446200*",'Balance '!F:F))</f>
        <v>0</v>
      </c>
      <c r="I113" s="527"/>
      <c r="K113" s="403"/>
    </row>
    <row r="114" spans="2:11">
      <c r="B114" s="824"/>
      <c r="C114" s="396">
        <v>6447000</v>
      </c>
      <c r="D114" s="396" t="s">
        <v>614</v>
      </c>
      <c r="G114" s="825"/>
      <c r="H114" s="531">
        <f>-(SUMIF('Balance '!A:A,"6447000*",'Balance '!E:E)-SUMIF('Balance '!A:A,"6447000*",'Balance '!F:F))</f>
        <v>0</v>
      </c>
      <c r="I114" s="527"/>
      <c r="K114" s="403"/>
    </row>
    <row r="115" spans="2:11">
      <c r="B115" s="824"/>
      <c r="C115" s="396">
        <v>6448000</v>
      </c>
      <c r="D115" s="396" t="s">
        <v>615</v>
      </c>
      <c r="G115" s="825"/>
      <c r="H115" s="531">
        <f>-(SUMIF('Balance '!A:A,"6448000*",'Balance '!E:E)-SUMIF('Balance '!A:A,"6448000*",'Balance '!F:F))</f>
        <v>0</v>
      </c>
      <c r="I115" s="527"/>
      <c r="K115" s="403"/>
    </row>
    <row r="116" spans="2:11">
      <c r="B116" s="824"/>
      <c r="C116" s="396">
        <v>6449000</v>
      </c>
      <c r="D116" s="396" t="s">
        <v>616</v>
      </c>
      <c r="G116" s="825"/>
      <c r="H116" s="531">
        <f>-(SUMIF('Balance '!A:A,"6449000*",'Balance '!E:E)-SUMIF('Balance '!A:A,"6449000*",'Balance '!F:F))</f>
        <v>0</v>
      </c>
      <c r="I116" s="527"/>
      <c r="K116" s="403"/>
    </row>
    <row r="117" spans="2:11">
      <c r="B117" s="824"/>
      <c r="G117" s="825"/>
      <c r="H117" s="531"/>
      <c r="I117" s="531"/>
      <c r="K117" s="403"/>
    </row>
    <row r="118" spans="2:11">
      <c r="B118" s="824"/>
      <c r="C118" s="396" t="s">
        <v>617</v>
      </c>
      <c r="G118" s="825"/>
      <c r="H118" s="531"/>
      <c r="I118" s="531"/>
      <c r="K118" s="403"/>
    </row>
    <row r="119" spans="2:11">
      <c r="B119" s="824"/>
      <c r="C119" s="396">
        <v>7440000</v>
      </c>
      <c r="D119" s="396" t="s">
        <v>555</v>
      </c>
      <c r="G119" s="825"/>
      <c r="H119" s="531">
        <f>SUMIF('Balance '!A:A,"7440000*",'Balance '!F:F)-SUMIF('Balance '!A:A,"7440000*",'Balance '!E:E)</f>
        <v>0</v>
      </c>
      <c r="I119" s="527"/>
      <c r="K119" s="403"/>
    </row>
    <row r="120" spans="2:11">
      <c r="B120" s="824"/>
      <c r="C120" s="396">
        <v>7441200</v>
      </c>
      <c r="D120" s="396" t="s">
        <v>607</v>
      </c>
      <c r="G120" s="825"/>
      <c r="H120" s="531">
        <f>SUMIF('Balance '!A:A,"7441200*",'Balance '!F:F)-SUMIF('Balance '!A:A,"7441200*",'Balance '!E:E)</f>
        <v>0</v>
      </c>
      <c r="I120" s="527"/>
      <c r="K120" s="403"/>
    </row>
    <row r="121" spans="2:11">
      <c r="B121" s="824"/>
      <c r="C121" s="396">
        <v>7441500</v>
      </c>
      <c r="D121" s="396" t="s">
        <v>557</v>
      </c>
      <c r="G121" s="825"/>
      <c r="H121" s="531">
        <f>SUMIF('Balance '!A:A,"7441500*",'Balance '!F:F)-SUMIF('Balance '!A:A,"7441500*",'Balance '!E:E)</f>
        <v>0</v>
      </c>
      <c r="I121" s="527"/>
      <c r="K121" s="403"/>
    </row>
    <row r="122" spans="2:11">
      <c r="B122" s="824"/>
      <c r="C122" s="396">
        <v>7442000</v>
      </c>
      <c r="D122" s="396" t="s">
        <v>608</v>
      </c>
      <c r="G122" s="825"/>
      <c r="H122" s="531">
        <f>SUMIF('Balance '!A:A,"7442000*",'Balance '!F:F)-SUMIF('Balance '!A:A,"7442000*",'Balance '!E:E)</f>
        <v>0</v>
      </c>
      <c r="I122" s="527"/>
      <c r="K122" s="403"/>
    </row>
    <row r="123" spans="2:11">
      <c r="B123" s="824"/>
      <c r="C123" s="396">
        <v>7443000</v>
      </c>
      <c r="D123" s="396" t="s">
        <v>609</v>
      </c>
      <c r="G123" s="825"/>
      <c r="H123" s="531">
        <f>SUMIF('Balance '!A:A,"7443000*",'Balance '!F:F)-SUMIF('Balance '!A:A,"7443000*",'Balance '!E:E)</f>
        <v>0</v>
      </c>
      <c r="I123" s="527"/>
      <c r="K123" s="403"/>
    </row>
    <row r="124" spans="2:11">
      <c r="B124" s="824"/>
      <c r="C124" s="396">
        <v>7444000</v>
      </c>
      <c r="D124" s="396" t="s">
        <v>610</v>
      </c>
      <c r="G124" s="825"/>
      <c r="H124" s="531">
        <f>SUMIF('Balance '!A:A,"7444000*",'Balance '!F:F)-SUMIF('Balance '!A:A,"7444000*",'Balance '!E:E)</f>
        <v>0</v>
      </c>
      <c r="I124" s="527"/>
      <c r="K124" s="403"/>
    </row>
    <row r="125" spans="2:11">
      <c r="B125" s="824"/>
      <c r="C125" s="396">
        <v>7445000</v>
      </c>
      <c r="D125" s="396" t="s">
        <v>611</v>
      </c>
      <c r="G125" s="825"/>
      <c r="H125" s="531">
        <f>SUMIF('Balance '!A:A,"7445000*",'Balance '!F:F)-SUMIF('Balance '!A:A,"7445000*",'Balance '!E:E)</f>
        <v>0</v>
      </c>
      <c r="I125" s="527"/>
      <c r="K125" s="403"/>
    </row>
    <row r="126" spans="2:11">
      <c r="B126" s="824"/>
      <c r="C126" s="396">
        <v>7446100</v>
      </c>
      <c r="D126" s="396" t="s">
        <v>612</v>
      </c>
      <c r="G126" s="825"/>
      <c r="H126" s="531">
        <f>SUMIF('Balance '!A:A,"7446100*",'Balance '!F:F)-SUMIF('Balance '!A:A,"7446100*",'Balance '!E:E)</f>
        <v>0</v>
      </c>
      <c r="I126" s="527"/>
      <c r="K126" s="403"/>
    </row>
    <row r="127" spans="2:11">
      <c r="B127" s="824"/>
      <c r="C127" s="396">
        <v>7446200</v>
      </c>
      <c r="D127" s="396" t="s">
        <v>613</v>
      </c>
      <c r="G127" s="825"/>
      <c r="H127" s="531">
        <f>SUMIF('Balance '!A:A,"7446200*",'Balance '!F:F)-SUMIF('Balance '!A:A,"7446200*",'Balance '!E:E)</f>
        <v>0</v>
      </c>
      <c r="I127" s="527"/>
      <c r="K127" s="403"/>
    </row>
    <row r="128" spans="2:11">
      <c r="B128" s="824"/>
      <c r="C128" s="396">
        <v>7447000</v>
      </c>
      <c r="D128" s="396" t="s">
        <v>614</v>
      </c>
      <c r="G128" s="825"/>
      <c r="H128" s="531">
        <f>SUMIF('Balance '!A:A,"7447000*",'Balance '!F:F)-SUMIF('Balance '!A:A,"7447000*",'Balance '!E:E)</f>
        <v>0</v>
      </c>
      <c r="I128" s="527"/>
      <c r="K128" s="403"/>
    </row>
    <row r="129" spans="2:11">
      <c r="B129" s="824"/>
      <c r="C129" s="396">
        <v>7448000</v>
      </c>
      <c r="D129" s="396" t="s">
        <v>615</v>
      </c>
      <c r="G129" s="825"/>
      <c r="H129" s="531">
        <f>SUMIF('Balance '!A:A,"7448000*",'Balance '!F:F)-SUMIF('Balance '!A:A,"7448000*",'Balance '!E:E)</f>
        <v>0</v>
      </c>
      <c r="I129" s="527"/>
      <c r="K129" s="403"/>
    </row>
    <row r="130" spans="2:11">
      <c r="B130" s="824"/>
      <c r="C130" s="396">
        <v>7460000</v>
      </c>
      <c r="D130" s="396" t="s">
        <v>618</v>
      </c>
      <c r="G130" s="825"/>
      <c r="H130" s="531">
        <f>SUMIF('Balance '!A:A,"7460000*",'Balance '!F:F)-SUMIF('Balance '!A:A,"7460000*",'Balance '!E:E)</f>
        <v>0</v>
      </c>
      <c r="I130" s="527"/>
      <c r="K130" s="403"/>
    </row>
    <row r="131" spans="2:11">
      <c r="B131" s="824"/>
      <c r="C131" s="396">
        <v>7471000</v>
      </c>
      <c r="D131" s="396" t="s">
        <v>619</v>
      </c>
      <c r="G131" s="825"/>
      <c r="H131" s="531">
        <f>SUMIF('Balance '!A:A,"7471000*",'Balance '!F:F)-SUMIF('Balance '!A:A,"7471000*",'Balance '!E:E)</f>
        <v>0</v>
      </c>
      <c r="I131" s="527"/>
      <c r="K131" s="403"/>
    </row>
    <row r="132" spans="2:11">
      <c r="B132" s="824"/>
      <c r="C132" s="396">
        <v>7479000</v>
      </c>
      <c r="D132" s="396" t="s">
        <v>620</v>
      </c>
      <c r="G132" s="825"/>
      <c r="H132" s="531">
        <f>SUMIF('Balance '!A:A,"7479000*",'Balance '!F:F)-SUMIF('Balance '!A:A,"7479000*",'Balance '!E:E)</f>
        <v>0</v>
      </c>
      <c r="I132" s="527"/>
      <c r="K132" s="403"/>
    </row>
    <row r="133" spans="2:11">
      <c r="B133" s="824"/>
      <c r="G133" s="825"/>
      <c r="H133" s="531"/>
      <c r="I133" s="527"/>
      <c r="K133" s="403"/>
    </row>
    <row r="134" spans="2:11">
      <c r="B134" s="824"/>
      <c r="C134" s="396" t="s">
        <v>621</v>
      </c>
      <c r="G134" s="825"/>
      <c r="H134" s="531"/>
      <c r="I134" s="527"/>
      <c r="K134" s="403"/>
    </row>
    <row r="135" spans="2:11">
      <c r="B135" s="824"/>
      <c r="C135" s="396">
        <v>64511100</v>
      </c>
      <c r="D135" s="396" t="s">
        <v>622</v>
      </c>
      <c r="G135" s="825"/>
      <c r="H135" s="531">
        <f>-SUMIF('Balance '!A:A,"64511100*",'Balance '!E:E)-SUMIF('Balance '!A:A,"64511100*",'Balance '!F:F)</f>
        <v>0</v>
      </c>
      <c r="I135" s="527"/>
      <c r="K135" s="403"/>
    </row>
    <row r="136" spans="2:11">
      <c r="B136" s="824"/>
      <c r="C136" s="396">
        <v>64511200</v>
      </c>
      <c r="D136" s="396" t="s">
        <v>623</v>
      </c>
      <c r="G136" s="825"/>
      <c r="H136" s="531">
        <f>-SUMIF('Balance '!A:A,"64511200*",'Balance '!E:E)-SUMIF('Balance '!A:A,"64511200*",'Balance '!F:F)</f>
        <v>0</v>
      </c>
      <c r="I136" s="527"/>
      <c r="K136" s="403"/>
    </row>
    <row r="137" spans="2:11">
      <c r="B137" s="824"/>
      <c r="G137" s="825"/>
      <c r="H137" s="531"/>
      <c r="I137" s="527"/>
      <c r="K137" s="403"/>
    </row>
    <row r="138" spans="2:11">
      <c r="B138" s="824"/>
      <c r="C138" s="396">
        <v>6451200</v>
      </c>
      <c r="D138" s="396" t="s">
        <v>624</v>
      </c>
      <c r="G138" s="825"/>
      <c r="H138" s="531">
        <f>-SUMIF('Balance '!A:A,"6451200*",'Balance '!E:E)-SUMIF('Balance '!A:A,"6451200*",'Balance '!F:F)</f>
        <v>0</v>
      </c>
      <c r="I138" s="527"/>
      <c r="K138" s="403"/>
    </row>
    <row r="139" spans="2:11">
      <c r="B139" s="824"/>
      <c r="C139" s="396">
        <v>6452000</v>
      </c>
      <c r="D139" s="396" t="s">
        <v>625</v>
      </c>
      <c r="G139" s="825"/>
      <c r="H139" s="531">
        <f>-SUMIF('Balance '!A:A,"645200*",'Balance '!E:E)-SUMIF('Balance '!A:A,"645200*",'Balance '!F:F)</f>
        <v>0</v>
      </c>
      <c r="I139" s="527"/>
      <c r="K139" s="403"/>
    </row>
    <row r="140" spans="2:11">
      <c r="B140" s="824"/>
      <c r="G140" s="825"/>
      <c r="H140" s="531"/>
      <c r="I140" s="527"/>
      <c r="K140" s="403"/>
    </row>
    <row r="141" spans="2:11">
      <c r="B141" s="824"/>
      <c r="G141" s="825"/>
      <c r="H141" s="531"/>
      <c r="I141" s="528"/>
      <c r="K141" s="403"/>
    </row>
    <row r="142" spans="2:11">
      <c r="B142" s="1178" t="s">
        <v>626</v>
      </c>
      <c r="C142" s="1179"/>
      <c r="D142" s="1179"/>
      <c r="E142" s="1179"/>
      <c r="F142" s="1179"/>
      <c r="G142" s="1180"/>
      <c r="H142" s="531">
        <f>+SUM(H105:H140)</f>
        <v>0</v>
      </c>
      <c r="I142" s="531">
        <f>+SUM(I105:I140)</f>
        <v>0</v>
      </c>
      <c r="K142" s="403"/>
    </row>
    <row r="143" spans="2:11">
      <c r="B143" s="824"/>
      <c r="G143" s="825"/>
      <c r="H143" s="531"/>
      <c r="I143" s="528"/>
      <c r="K143" s="403"/>
    </row>
    <row r="144" spans="2:11">
      <c r="B144" s="824"/>
      <c r="C144" s="396" t="s">
        <v>627</v>
      </c>
      <c r="G144" s="825"/>
      <c r="H144" s="531">
        <f>SUMIF('Balance '!A:A,"774000*",'Balance '!F:F)-SUMIF('Balance '!A:A,"774000*",'Balance '!E:E)</f>
        <v>0</v>
      </c>
      <c r="I144" s="528"/>
      <c r="K144" s="403"/>
    </row>
    <row r="145" spans="1:11" ht="13.5" thickBot="1">
      <c r="B145" s="824"/>
      <c r="G145" s="825"/>
      <c r="H145" s="531"/>
      <c r="I145" s="528"/>
      <c r="K145" s="403"/>
    </row>
    <row r="146" spans="1:11" ht="13.5" thickBot="1">
      <c r="B146" s="827" t="s">
        <v>628</v>
      </c>
      <c r="G146" s="825"/>
      <c r="H146" s="837">
        <f>+H142+H144</f>
        <v>0</v>
      </c>
      <c r="I146" s="530">
        <f>+I142+I144</f>
        <v>0</v>
      </c>
      <c r="K146" s="403"/>
    </row>
    <row r="147" spans="1:11">
      <c r="B147" s="824"/>
      <c r="G147" s="825"/>
      <c r="H147" s="531"/>
      <c r="I147" s="528"/>
      <c r="K147" s="403"/>
    </row>
    <row r="148" spans="1:11">
      <c r="B148" s="827" t="s">
        <v>629</v>
      </c>
      <c r="G148" s="825"/>
      <c r="H148" s="531"/>
      <c r="I148" s="528"/>
      <c r="K148" s="403"/>
    </row>
    <row r="149" spans="1:11">
      <c r="B149" s="827"/>
      <c r="G149" s="825"/>
      <c r="H149" s="531"/>
      <c r="I149" s="528"/>
      <c r="K149" s="403"/>
    </row>
    <row r="150" spans="1:11">
      <c r="B150" s="824"/>
      <c r="C150" s="396" t="s">
        <v>630</v>
      </c>
      <c r="G150" s="825"/>
      <c r="H150" s="531"/>
      <c r="I150" s="528"/>
      <c r="K150" s="403"/>
    </row>
    <row r="151" spans="1:11">
      <c r="A151" s="405" t="s">
        <v>631</v>
      </c>
      <c r="B151" s="824"/>
      <c r="C151" s="396">
        <v>6510000</v>
      </c>
      <c r="D151" s="396" t="s">
        <v>632</v>
      </c>
      <c r="G151" s="825"/>
      <c r="H151" s="531">
        <f>-(SUMIF('Balance '!A:A,"6510000*",'Balance '!E:E)-SUMIF('Balance '!A:A,"6510000*",'Balance '!F:F))</f>
        <v>0</v>
      </c>
      <c r="I151" s="527"/>
      <c r="K151" s="403"/>
    </row>
    <row r="152" spans="1:11">
      <c r="B152" s="824"/>
      <c r="C152" s="396">
        <v>6560000</v>
      </c>
      <c r="D152" s="396" t="s">
        <v>633</v>
      </c>
      <c r="G152" s="825"/>
      <c r="H152" s="531">
        <f>-SUMIF('Balance '!A:A,"6560000*",'Balance '!E:E)-SUMIF('Balance '!A:A,"6560000*",'Balance '!F:F)</f>
        <v>0</v>
      </c>
      <c r="I152" s="527"/>
      <c r="K152" s="403"/>
    </row>
    <row r="153" spans="1:11">
      <c r="B153" s="824"/>
      <c r="G153" s="825"/>
      <c r="H153" s="531"/>
      <c r="I153" s="527"/>
      <c r="K153" s="403"/>
    </row>
    <row r="154" spans="1:11">
      <c r="B154" s="824"/>
      <c r="C154" s="396" t="s">
        <v>634</v>
      </c>
      <c r="G154" s="825"/>
      <c r="H154" s="531"/>
      <c r="I154" s="527"/>
      <c r="K154" s="403"/>
    </row>
    <row r="155" spans="1:11">
      <c r="B155" s="824"/>
      <c r="C155" s="396">
        <v>7550000</v>
      </c>
      <c r="D155" s="396" t="s">
        <v>555</v>
      </c>
      <c r="G155" s="825"/>
      <c r="H155" s="531">
        <f>SUMIF('Balance '!A:A,"7550000*",'Balance '!F:F)-SUMIF('Balance '!A:A,"7550000*",'Balance '!E:E)</f>
        <v>67943.33</v>
      </c>
      <c r="I155" s="527"/>
      <c r="K155" s="403"/>
    </row>
    <row r="156" spans="1:11">
      <c r="B156" s="824"/>
      <c r="C156" s="396">
        <v>7551200</v>
      </c>
      <c r="D156" s="396" t="s">
        <v>607</v>
      </c>
      <c r="G156" s="825"/>
      <c r="H156" s="531">
        <f>SUMIF('Balance '!A:A,"7551200*",'Balance '!F:F)-SUMIF('Balance '!A:A,"7551200*",'Balance '!E:E)</f>
        <v>226840.18</v>
      </c>
      <c r="I156" s="527"/>
      <c r="K156" s="403"/>
    </row>
    <row r="157" spans="1:11">
      <c r="B157" s="824"/>
      <c r="C157" s="396">
        <v>7551500</v>
      </c>
      <c r="D157" s="396" t="s">
        <v>557</v>
      </c>
      <c r="G157" s="825"/>
      <c r="H157" s="531">
        <f>SUMIF('Balance '!A:A,"7551500*",'Balance '!F:F)-SUMIF('Balance '!A:A,"7551500*",'Balance '!E:E)</f>
        <v>0</v>
      </c>
      <c r="I157" s="527"/>
      <c r="K157" s="403"/>
    </row>
    <row r="158" spans="1:11">
      <c r="B158" s="824"/>
      <c r="C158" s="396">
        <v>7552000</v>
      </c>
      <c r="D158" s="396" t="s">
        <v>608</v>
      </c>
      <c r="G158" s="825"/>
      <c r="H158" s="531">
        <f>SUMIF('Balance '!A:A,"7552000*",'Balance '!F:F)-SUMIF('Balance '!A:A,"7552000*",'Balance '!E:E)</f>
        <v>0</v>
      </c>
      <c r="I158" s="527"/>
      <c r="K158" s="403"/>
    </row>
    <row r="159" spans="1:11">
      <c r="B159" s="824"/>
      <c r="C159" s="396">
        <v>7553000</v>
      </c>
      <c r="D159" s="396" t="s">
        <v>609</v>
      </c>
      <c r="G159" s="825"/>
      <c r="H159" s="531">
        <f>SUMIF('Balance '!A:A,"7553000*",'Balance '!F:F)-SUMIF('Balance '!A:A,"7553000*",'Balance '!E:E)</f>
        <v>0</v>
      </c>
      <c r="I159" s="527"/>
      <c r="K159" s="403"/>
    </row>
    <row r="160" spans="1:11">
      <c r="B160" s="824"/>
      <c r="C160" s="396">
        <v>7554000</v>
      </c>
      <c r="D160" s="396" t="s">
        <v>610</v>
      </c>
      <c r="G160" s="825"/>
      <c r="H160" s="531">
        <f>SUMIF('Balance '!A:A,"7554000*",'Balance '!F:F)-SUMIF('Balance '!A:A,"7554000*",'Balance '!E:E)</f>
        <v>0</v>
      </c>
      <c r="I160" s="527"/>
      <c r="K160" s="403"/>
    </row>
    <row r="161" spans="2:11">
      <c r="B161" s="824"/>
      <c r="C161" s="396">
        <v>7555000</v>
      </c>
      <c r="D161" s="396" t="s">
        <v>611</v>
      </c>
      <c r="G161" s="825"/>
      <c r="H161" s="531">
        <f>SUMIF('Balance '!A:A,"7555000*",'Balance '!F:F)-SUMIF('Balance '!A:A,"7555000*",'Balance '!E:E)</f>
        <v>0</v>
      </c>
      <c r="I161" s="527"/>
      <c r="K161" s="403"/>
    </row>
    <row r="162" spans="2:11">
      <c r="B162" s="824"/>
      <c r="C162" s="396">
        <v>7556100</v>
      </c>
      <c r="D162" s="396" t="s">
        <v>612</v>
      </c>
      <c r="G162" s="825"/>
      <c r="H162" s="531">
        <f>SUMIF('Balance '!A:A,"7556100*",'Balance '!F:F)-SUMIF('Balance '!A:A,"7556100*",'Balance '!E:E)</f>
        <v>0</v>
      </c>
      <c r="I162" s="527"/>
      <c r="K162" s="403"/>
    </row>
    <row r="163" spans="2:11">
      <c r="B163" s="824"/>
      <c r="C163" s="396">
        <v>7556200</v>
      </c>
      <c r="D163" s="396" t="s">
        <v>613</v>
      </c>
      <c r="G163" s="825"/>
      <c r="H163" s="531">
        <f>SUMIF('Balance '!A:A,"7556200*",'Balance '!F:F)-SUMIF('Balance '!A:A,"7556200*",'Balance '!E:E)</f>
        <v>0</v>
      </c>
      <c r="I163" s="527"/>
      <c r="K163" s="403"/>
    </row>
    <row r="164" spans="2:11">
      <c r="B164" s="824"/>
      <c r="C164" s="396">
        <v>7557000</v>
      </c>
      <c r="D164" s="396" t="s">
        <v>614</v>
      </c>
      <c r="G164" s="825"/>
      <c r="H164" s="531">
        <f>SUMIF('Balance '!A:A,"7557000*",'Balance '!F:F)-SUMIF('Balance '!A:A,"7557000*",'Balance '!E:E)</f>
        <v>0</v>
      </c>
      <c r="I164" s="527"/>
      <c r="K164" s="403"/>
    </row>
    <row r="165" spans="2:11">
      <c r="B165" s="824"/>
      <c r="C165" s="396">
        <v>7558000</v>
      </c>
      <c r="D165" s="396" t="s">
        <v>615</v>
      </c>
      <c r="G165" s="825"/>
      <c r="H165" s="531">
        <f>SUMIF('Balance '!A:A,"7558000*",'Balance '!F:F)-SUMIF('Balance '!A:A,"7558000*",'Balance '!E:E)</f>
        <v>0</v>
      </c>
      <c r="I165" s="527"/>
      <c r="K165" s="403"/>
    </row>
    <row r="166" spans="2:11">
      <c r="B166" s="824"/>
      <c r="C166" s="396">
        <v>7559000</v>
      </c>
      <c r="D166" s="396" t="s">
        <v>635</v>
      </c>
      <c r="G166" s="825"/>
      <c r="H166" s="531">
        <f>SUMIF('Balance '!A:A,"7559000*",'Balance '!F:F)-SUMIF('Balance '!A:A,"7559000*",'Balance '!E:E)</f>
        <v>0</v>
      </c>
      <c r="I166" s="527"/>
      <c r="K166" s="403"/>
    </row>
    <row r="167" spans="2:11">
      <c r="B167" s="824"/>
      <c r="C167" s="396">
        <v>7560000</v>
      </c>
      <c r="D167" s="396" t="s">
        <v>633</v>
      </c>
      <c r="G167" s="825"/>
      <c r="H167" s="531">
        <f>SUMIF('Balance '!A:A,"7560000*",'Balance '!F:F)-SUMIF('Balance '!A:A,"7560000*",'Balance '!E:E)</f>
        <v>0</v>
      </c>
      <c r="I167" s="527"/>
      <c r="K167" s="403"/>
    </row>
    <row r="168" spans="2:11">
      <c r="B168" s="824"/>
      <c r="C168" s="396">
        <v>7570000</v>
      </c>
      <c r="D168" s="396" t="s">
        <v>636</v>
      </c>
      <c r="G168" s="825"/>
      <c r="H168" s="531">
        <f>SUMIF('Balance '!A:A,"7570000*",'Balance '!F:F)-SUMIF('Balance '!A:A,"7570000*",'Balance '!E:E)</f>
        <v>0</v>
      </c>
      <c r="I168" s="527"/>
      <c r="K168" s="403"/>
    </row>
    <row r="169" spans="2:11">
      <c r="B169" s="824"/>
      <c r="C169" s="396">
        <v>7580000</v>
      </c>
      <c r="D169" s="396" t="s">
        <v>637</v>
      </c>
      <c r="G169" s="825"/>
      <c r="H169" s="531">
        <f>SUMIF('Balance '!A:A,"7580000*",'Balance '!F:F)-SUMIF('Balance '!A:A,"7580000*",'Balance '!E:E)</f>
        <v>0</v>
      </c>
      <c r="I169" s="527"/>
      <c r="K169" s="403"/>
    </row>
    <row r="170" spans="2:11">
      <c r="B170" s="824"/>
      <c r="C170" s="396">
        <v>7590000</v>
      </c>
      <c r="D170" s="396" t="s">
        <v>638</v>
      </c>
      <c r="G170" s="825"/>
      <c r="H170" s="531">
        <f>SUMIF('Balance '!A:A,"7590000*",'Balance '!F:F)-SUMIF('Balance '!A:A,"7590000*",'Balance '!E:E)</f>
        <v>0</v>
      </c>
      <c r="I170" s="527"/>
      <c r="K170" s="403"/>
    </row>
    <row r="171" spans="2:11">
      <c r="B171" s="824"/>
      <c r="G171" s="825"/>
      <c r="H171" s="531"/>
      <c r="I171" s="527"/>
      <c r="K171" s="403"/>
    </row>
    <row r="172" spans="2:11">
      <c r="B172" s="1178" t="s">
        <v>639</v>
      </c>
      <c r="C172" s="1179"/>
      <c r="D172" s="1179"/>
      <c r="E172" s="1179"/>
      <c r="F172" s="1179"/>
      <c r="G172" s="1180"/>
      <c r="H172" s="531">
        <f>+SUM(H151:H171)</f>
        <v>294783.51</v>
      </c>
      <c r="I172" s="531">
        <f>+SUM(I151:I171)</f>
        <v>0</v>
      </c>
      <c r="K172" s="403"/>
    </row>
    <row r="173" spans="2:11">
      <c r="B173" s="824"/>
      <c r="G173" s="825"/>
      <c r="H173" s="531"/>
      <c r="I173" s="528"/>
      <c r="K173" s="403"/>
    </row>
    <row r="174" spans="2:11">
      <c r="B174" s="824"/>
      <c r="C174" s="396" t="s">
        <v>640</v>
      </c>
      <c r="G174" s="825"/>
      <c r="H174" s="531">
        <f>SUMIF('Balance '!A:A,"775000*",'Balance '!F:F)-SUMIF('Balance '!A:A,"775000*",'Balance '!E:E)</f>
        <v>0</v>
      </c>
      <c r="I174" s="528"/>
      <c r="K174" s="403"/>
    </row>
    <row r="175" spans="2:11" ht="13.5" thickBot="1">
      <c r="B175" s="824"/>
      <c r="G175" s="825"/>
      <c r="H175" s="531"/>
      <c r="I175" s="528"/>
      <c r="K175" s="403"/>
    </row>
    <row r="176" spans="2:11" ht="13.5" thickBot="1">
      <c r="B176" s="827" t="s">
        <v>641</v>
      </c>
      <c r="G176" s="825"/>
      <c r="H176" s="837">
        <f>+H172+H174</f>
        <v>294783.51</v>
      </c>
      <c r="I176" s="530">
        <f>+I172+I174</f>
        <v>0</v>
      </c>
      <c r="K176" s="403"/>
    </row>
    <row r="177" spans="2:11">
      <c r="B177" s="824"/>
      <c r="G177" s="825"/>
      <c r="H177" s="531"/>
      <c r="I177" s="528"/>
      <c r="K177" s="403"/>
    </row>
    <row r="178" spans="2:11">
      <c r="B178" s="827" t="s">
        <v>642</v>
      </c>
      <c r="G178" s="825"/>
      <c r="H178" s="531"/>
      <c r="I178" s="528"/>
      <c r="K178" s="403"/>
    </row>
    <row r="179" spans="2:11">
      <c r="B179" s="824"/>
      <c r="C179" s="396" t="s">
        <v>643</v>
      </c>
      <c r="G179" s="825"/>
      <c r="H179" s="531">
        <f>SUMIF('Balance '!A:A,"791000*",'Balance '!F:F)-SUMIF('Balance '!A:A,"791000*",'Balance '!E:E)</f>
        <v>0</v>
      </c>
      <c r="I179" s="527"/>
      <c r="K179" s="403"/>
    </row>
    <row r="180" spans="2:11">
      <c r="B180" s="824"/>
      <c r="C180" s="396" t="s">
        <v>644</v>
      </c>
      <c r="G180" s="825"/>
      <c r="H180" s="531">
        <f>SUMIF('Balance '!A:A,"794000*",'Balance '!F:F)-SUMIF('Balance '!A:A,"794000*",'Balance '!E:E)</f>
        <v>0</v>
      </c>
      <c r="I180" s="527"/>
      <c r="K180" s="403"/>
    </row>
    <row r="181" spans="2:11">
      <c r="B181" s="824"/>
      <c r="C181" s="396" t="s">
        <v>645</v>
      </c>
      <c r="G181" s="825"/>
      <c r="H181" s="531">
        <f>SUMIF('Balance '!A:A,"795000*",'Balance '!F:F)-SUMIF('Balance '!A:A,"795000*",'Balance '!E:E)</f>
        <v>0</v>
      </c>
      <c r="I181" s="527"/>
      <c r="K181" s="403"/>
    </row>
    <row r="182" spans="2:11" ht="13.5" thickBot="1">
      <c r="B182" s="824"/>
      <c r="G182" s="825"/>
      <c r="H182" s="531"/>
      <c r="I182" s="528"/>
      <c r="K182" s="403"/>
    </row>
    <row r="183" spans="2:11" ht="13.5" thickBot="1">
      <c r="B183" s="827" t="s">
        <v>646</v>
      </c>
      <c r="G183" s="825"/>
      <c r="H183" s="837">
        <f>+SUM(H179:H181)</f>
        <v>0</v>
      </c>
      <c r="I183" s="530">
        <f>+SUM(I179:I180)</f>
        <v>0</v>
      </c>
      <c r="K183" s="403"/>
    </row>
    <row r="184" spans="2:11">
      <c r="B184" s="827"/>
      <c r="G184" s="825"/>
      <c r="H184" s="625"/>
      <c r="I184" s="529"/>
      <c r="K184" s="403"/>
    </row>
    <row r="185" spans="2:11" ht="13.5" thickBot="1">
      <c r="B185" s="827" t="s">
        <v>647</v>
      </c>
      <c r="G185" s="825"/>
      <c r="H185" s="531"/>
      <c r="I185" s="527"/>
      <c r="K185" s="403"/>
    </row>
    <row r="186" spans="2:11" ht="13.5" thickBot="1">
      <c r="B186" s="827"/>
      <c r="G186" s="825"/>
      <c r="H186" s="837">
        <f>+SUM(H184:H185)</f>
        <v>0</v>
      </c>
      <c r="I186" s="530">
        <f>+SUM(I184:I185)</f>
        <v>0</v>
      </c>
      <c r="K186" s="403"/>
    </row>
    <row r="187" spans="2:11" ht="13.5" thickBot="1">
      <c r="B187" s="406"/>
      <c r="C187" s="401"/>
      <c r="D187" s="401"/>
      <c r="E187" s="401"/>
      <c r="F187" s="401"/>
      <c r="G187" s="407"/>
      <c r="H187" s="839"/>
      <c r="I187" s="532"/>
      <c r="K187" s="403"/>
    </row>
    <row r="188" spans="2:11">
      <c r="B188" s="840"/>
      <c r="C188" s="841"/>
      <c r="D188" s="841"/>
      <c r="E188" s="841"/>
      <c r="F188" s="841"/>
      <c r="G188" s="842"/>
      <c r="H188" s="843"/>
      <c r="I188" s="533"/>
      <c r="K188" s="403"/>
    </row>
    <row r="189" spans="2:11">
      <c r="B189" s="1178" t="s">
        <v>648</v>
      </c>
      <c r="C189" s="1179"/>
      <c r="D189" s="1179"/>
      <c r="E189" s="1179"/>
      <c r="F189" s="404"/>
      <c r="G189" s="825"/>
      <c r="H189" s="844">
        <f>+H99+H146+H176-H183-H186</f>
        <v>1202051.3899999999</v>
      </c>
      <c r="I189" s="534">
        <f>+I99+I146+I176-I183-I186</f>
        <v>0</v>
      </c>
      <c r="K189" s="403"/>
    </row>
    <row r="190" spans="2:11">
      <c r="B190" s="1178" t="s">
        <v>649</v>
      </c>
      <c r="C190" s="1179"/>
      <c r="D190" s="1179"/>
      <c r="E190" s="1179"/>
      <c r="F190" s="835"/>
      <c r="G190" s="833"/>
      <c r="H190" s="845"/>
      <c r="I190" s="408"/>
      <c r="K190" s="403"/>
    </row>
    <row r="191" spans="2:11" ht="13.5" thickBot="1">
      <c r="B191" s="406"/>
      <c r="C191" s="401"/>
      <c r="D191" s="401"/>
      <c r="E191" s="401"/>
      <c r="F191" s="401"/>
      <c r="G191" s="407"/>
      <c r="H191" s="409"/>
      <c r="I191" s="409"/>
      <c r="K191" s="403"/>
    </row>
    <row r="192" spans="2:11">
      <c r="G192" s="396" t="s">
        <v>650</v>
      </c>
      <c r="H192" s="410">
        <f>'Rappro Balance'!D15</f>
        <v>1202051.3900000001</v>
      </c>
      <c r="I192" s="524"/>
      <c r="K192" s="403"/>
    </row>
    <row r="193" spans="1:11">
      <c r="B193" s="396" t="s">
        <v>651</v>
      </c>
      <c r="G193" s="396" t="s">
        <v>85</v>
      </c>
      <c r="H193" s="411">
        <f>H189-H192</f>
        <v>0</v>
      </c>
      <c r="I193" s="525">
        <f>I189-I192</f>
        <v>0</v>
      </c>
      <c r="K193" s="403"/>
    </row>
    <row r="194" spans="1:11">
      <c r="G194" s="396" t="s">
        <v>384</v>
      </c>
      <c r="H194" s="412" t="str">
        <f>IF(ABS(H193)&gt;0.01,"ANOMALIE","OK")</f>
        <v>OK</v>
      </c>
      <c r="I194" s="526" t="str">
        <f>IF(ABS(I193)&gt;0.01,"ANOMALIE","OK")</f>
        <v>OK</v>
      </c>
    </row>
    <row r="196" spans="1:11" ht="13.5" thickBot="1"/>
    <row r="197" spans="1:11">
      <c r="E197" s="413"/>
      <c r="F197" s="414"/>
      <c r="G197" s="414"/>
      <c r="H197" s="415"/>
    </row>
    <row r="198" spans="1:11">
      <c r="E198" s="416"/>
      <c r="F198" s="1181" t="s">
        <v>652</v>
      </c>
      <c r="G198" s="1181"/>
      <c r="H198" s="417"/>
    </row>
    <row r="199" spans="1:11">
      <c r="E199" s="1176" t="s">
        <v>653</v>
      </c>
      <c r="F199" s="1177"/>
      <c r="G199" s="713">
        <v>0</v>
      </c>
      <c r="H199" s="417"/>
      <c r="K199" s="395" t="s">
        <v>654</v>
      </c>
    </row>
    <row r="200" spans="1:11" s="396" customFormat="1">
      <c r="A200" s="395"/>
      <c r="E200" s="1176" t="s">
        <v>655</v>
      </c>
      <c r="F200" s="1177"/>
      <c r="G200" s="712">
        <f>'Capitaux propres'!D26</f>
        <v>90063590.789999977</v>
      </c>
      <c r="H200" s="417"/>
      <c r="I200" s="520"/>
      <c r="J200" s="395"/>
      <c r="K200" s="395"/>
    </row>
    <row r="201" spans="1:11" s="396" customFormat="1">
      <c r="A201" s="395"/>
      <c r="E201" s="1176" t="s">
        <v>656</v>
      </c>
      <c r="F201" s="1177"/>
      <c r="G201" s="418">
        <f>SUM(G199:G200)/1</f>
        <v>90063590.789999977</v>
      </c>
      <c r="H201" s="417"/>
      <c r="I201" s="520"/>
      <c r="J201" s="395"/>
      <c r="K201" s="395"/>
    </row>
    <row r="202" spans="1:11" s="396" customFormat="1">
      <c r="A202" s="395"/>
      <c r="E202" s="416"/>
      <c r="H202" s="417"/>
      <c r="I202" s="520"/>
      <c r="J202" s="395"/>
      <c r="K202" s="395"/>
    </row>
    <row r="203" spans="1:11" s="396" customFormat="1">
      <c r="A203" s="395"/>
      <c r="E203" s="1176" t="s">
        <v>657</v>
      </c>
      <c r="F203" s="1177"/>
      <c r="G203" s="419">
        <f>H73</f>
        <v>43075.779999999992</v>
      </c>
      <c r="H203" s="417"/>
      <c r="I203" s="520"/>
      <c r="J203" s="395"/>
      <c r="K203" s="395"/>
    </row>
    <row r="204" spans="1:11" s="396" customFormat="1">
      <c r="A204" s="395"/>
      <c r="E204" s="1176" t="s">
        <v>658</v>
      </c>
      <c r="F204" s="1177"/>
      <c r="G204" s="420">
        <f>G203/G201</f>
        <v>4.7828184088772555E-4</v>
      </c>
      <c r="H204" s="417"/>
      <c r="I204" s="520"/>
      <c r="J204" s="395"/>
      <c r="K204" s="395"/>
    </row>
    <row r="205" spans="1:11" s="396" customFormat="1" ht="13.5" thickBot="1">
      <c r="A205" s="395"/>
      <c r="E205" s="421"/>
      <c r="F205" s="422"/>
      <c r="G205" s="422"/>
      <c r="H205" s="423"/>
      <c r="I205" s="520"/>
      <c r="J205" s="395"/>
      <c r="K205" s="395"/>
    </row>
  </sheetData>
  <mergeCells count="21">
    <mergeCell ref="I9:I10"/>
    <mergeCell ref="B49:G49"/>
    <mergeCell ref="B142:G142"/>
    <mergeCell ref="B1:D1"/>
    <mergeCell ref="B9:E10"/>
    <mergeCell ref="F9:F10"/>
    <mergeCell ref="H9:H10"/>
    <mergeCell ref="B51:F51"/>
    <mergeCell ref="B62:G62"/>
    <mergeCell ref="B66:F66"/>
    <mergeCell ref="B73:F73"/>
    <mergeCell ref="B93:G93"/>
    <mergeCell ref="E201:F201"/>
    <mergeCell ref="E203:F203"/>
    <mergeCell ref="E204:F204"/>
    <mergeCell ref="B172:G172"/>
    <mergeCell ref="B189:E189"/>
    <mergeCell ref="B190:E190"/>
    <mergeCell ref="F198:G198"/>
    <mergeCell ref="E199:F199"/>
    <mergeCell ref="E200:F200"/>
  </mergeCells>
  <pageMargins left="0.78740157499999996" right="0.78740157499999996" top="0.984251969" bottom="0.984251969" header="0.4921259845" footer="0.4921259845"/>
  <pageSetup paperSize="9" scale="26" orientation="portrait" r:id="rId1"/>
  <headerFooter alignWithMargins="0"/>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CD4A2-0C75-4178-9473-700520C7D1B0}">
  <sheetPr codeName="Feuil25">
    <pageSetUpPr fitToPage="1"/>
  </sheetPr>
  <dimension ref="B1:Q41"/>
  <sheetViews>
    <sheetView view="pageBreakPreview" zoomScale="107" zoomScaleNormal="100" zoomScaleSheetLayoutView="107" workbookViewId="0">
      <selection activeCell="D5" sqref="D5"/>
    </sheetView>
  </sheetViews>
  <sheetFormatPr defaultColWidth="11.42578125" defaultRowHeight="12.75"/>
  <cols>
    <col min="1" max="1" width="1.140625" style="185" customWidth="1"/>
    <col min="2" max="2" width="62.42578125" style="185" customWidth="1"/>
    <col min="3" max="3" width="4.140625" style="185" customWidth="1"/>
    <col min="4" max="5" width="17.42578125" style="449" customWidth="1"/>
    <col min="6" max="6" width="17.42578125" style="185" customWidth="1"/>
    <col min="7" max="7" width="1.5703125" style="185" customWidth="1"/>
    <col min="8" max="8" width="18.42578125" style="185" bestFit="1" customWidth="1"/>
    <col min="9" max="16" width="11.42578125" style="185"/>
    <col min="17" max="17" width="13.140625" style="185" bestFit="1" customWidth="1"/>
    <col min="18" max="16384" width="11.42578125" style="185"/>
  </cols>
  <sheetData>
    <row r="1" spans="2:10" s="445" customFormat="1" ht="15.75">
      <c r="B1" s="444" t="str">
        <f>Sommaire!A1</f>
        <v>BOLZEN - SLP</v>
      </c>
      <c r="D1" s="446" t="s">
        <v>659</v>
      </c>
      <c r="E1" s="447"/>
      <c r="F1" s="448">
        <f>Sommaire!C1</f>
        <v>46022</v>
      </c>
    </row>
    <row r="2" spans="2:10" ht="15">
      <c r="B2" s="434"/>
    </row>
    <row r="4" spans="2:10" ht="30">
      <c r="B4" s="1446" t="s">
        <v>660</v>
      </c>
      <c r="C4" s="1447"/>
      <c r="D4" s="1448">
        <f>F1</f>
        <v>46022</v>
      </c>
      <c r="E4" s="1448"/>
      <c r="F4" s="1447" t="s">
        <v>661</v>
      </c>
      <c r="H4" s="185" t="s">
        <v>662</v>
      </c>
    </row>
    <row r="5" spans="2:10">
      <c r="B5" s="1449" t="s">
        <v>663</v>
      </c>
      <c r="C5" s="1450" t="s">
        <v>664</v>
      </c>
      <c r="D5" s="1451">
        <f>+D6+D7</f>
        <v>88886539.399999976</v>
      </c>
      <c r="E5" s="1451">
        <f>SUM(E6:E7)</f>
        <v>0</v>
      </c>
      <c r="F5" s="1451">
        <f>D5-E5</f>
        <v>88886539.399999976</v>
      </c>
      <c r="H5" s="185" t="s">
        <v>665</v>
      </c>
      <c r="J5" s="450"/>
    </row>
    <row r="6" spans="2:10">
      <c r="B6" s="1124" t="s">
        <v>666</v>
      </c>
      <c r="C6" s="1125" t="s">
        <v>664</v>
      </c>
      <c r="D6" s="1126">
        <v>943269700</v>
      </c>
      <c r="E6" s="1126">
        <v>0</v>
      </c>
      <c r="F6" s="1127">
        <f>D6-E6</f>
        <v>943269700</v>
      </c>
      <c r="H6" s="451"/>
    </row>
    <row r="7" spans="2:10">
      <c r="B7" s="641" t="s">
        <v>667</v>
      </c>
      <c r="C7" s="811" t="s">
        <v>668</v>
      </c>
      <c r="D7" s="812">
        <v>-854383160.60000002</v>
      </c>
      <c r="E7" s="812">
        <v>0</v>
      </c>
      <c r="F7" s="813">
        <f>D7-E7</f>
        <v>-854383160.60000002</v>
      </c>
      <c r="H7" s="451"/>
    </row>
    <row r="8" spans="2:10" hidden="1">
      <c r="B8" s="1452" t="s">
        <v>669</v>
      </c>
      <c r="C8" s="1128" t="s">
        <v>664</v>
      </c>
      <c r="D8" s="1129"/>
      <c r="E8" s="1129"/>
      <c r="F8" s="814"/>
      <c r="H8" s="451"/>
    </row>
    <row r="9" spans="2:10">
      <c r="B9" s="1449" t="s">
        <v>670</v>
      </c>
      <c r="C9" s="1450" t="s">
        <v>671</v>
      </c>
      <c r="D9" s="1451">
        <f>SUM(D10:D11)</f>
        <v>907267.87999999989</v>
      </c>
      <c r="E9" s="1451">
        <f>SUM(E10:E11)</f>
        <v>0</v>
      </c>
      <c r="F9" s="1451">
        <f>D9-E9</f>
        <v>907267.87999999989</v>
      </c>
      <c r="H9" s="451"/>
    </row>
    <row r="10" spans="2:10">
      <c r="B10" s="1124" t="s">
        <v>672</v>
      </c>
      <c r="C10" s="1125" t="s">
        <v>671</v>
      </c>
      <c r="D10" s="1130">
        <f>Résultat!H99</f>
        <v>907267.87999999989</v>
      </c>
      <c r="E10" s="1130">
        <v>0</v>
      </c>
      <c r="F10" s="1127">
        <f>D10-E10</f>
        <v>907267.87999999989</v>
      </c>
      <c r="H10" s="452"/>
    </row>
    <row r="11" spans="2:10">
      <c r="B11" s="1124" t="s">
        <v>673</v>
      </c>
      <c r="C11" s="1125" t="s">
        <v>671</v>
      </c>
      <c r="D11" s="1131">
        <f>E10+E11</f>
        <v>0</v>
      </c>
      <c r="E11" s="1127">
        <v>0</v>
      </c>
      <c r="F11" s="1127">
        <f t="shared" ref="F11:F25" si="0">D11-E11</f>
        <v>0</v>
      </c>
      <c r="H11" s="451" t="s">
        <v>674</v>
      </c>
    </row>
    <row r="12" spans="2:10">
      <c r="B12" s="1132" t="s">
        <v>675</v>
      </c>
      <c r="C12" s="1133" t="s">
        <v>671</v>
      </c>
      <c r="D12" s="1134">
        <f>SUM(D13:D14)</f>
        <v>0</v>
      </c>
      <c r="E12" s="1134">
        <f>E14+E13</f>
        <v>0</v>
      </c>
      <c r="F12" s="1127">
        <f t="shared" si="0"/>
        <v>0</v>
      </c>
      <c r="H12" s="451"/>
    </row>
    <row r="13" spans="2:10">
      <c r="B13" s="1124" t="s">
        <v>676</v>
      </c>
      <c r="C13" s="1125" t="s">
        <v>671</v>
      </c>
      <c r="D13" s="1130">
        <f>Résultat!H146</f>
        <v>0</v>
      </c>
      <c r="E13" s="1135">
        <v>0</v>
      </c>
      <c r="F13" s="1127">
        <f t="shared" si="0"/>
        <v>0</v>
      </c>
      <c r="H13" s="451"/>
    </row>
    <row r="14" spans="2:10" ht="12.95" customHeight="1">
      <c r="B14" s="1124" t="s">
        <v>677</v>
      </c>
      <c r="C14" s="1125" t="s">
        <v>671</v>
      </c>
      <c r="D14" s="1131">
        <f>E13+E14</f>
        <v>0</v>
      </c>
      <c r="E14" s="1130">
        <v>0</v>
      </c>
      <c r="F14" s="1127">
        <f t="shared" si="0"/>
        <v>0</v>
      </c>
      <c r="H14" s="451" t="s">
        <v>678</v>
      </c>
    </row>
    <row r="15" spans="2:10" ht="12.95" customHeight="1">
      <c r="B15" s="1132" t="s">
        <v>679</v>
      </c>
      <c r="C15" s="1133" t="s">
        <v>671</v>
      </c>
      <c r="D15" s="1134">
        <f>SUM(D16:D17)</f>
        <v>294783.51</v>
      </c>
      <c r="E15" s="1134">
        <f>E16+E17</f>
        <v>0</v>
      </c>
      <c r="F15" s="1127">
        <f t="shared" si="0"/>
        <v>294783.51</v>
      </c>
      <c r="H15" s="451"/>
    </row>
    <row r="16" spans="2:10" ht="12.95" customHeight="1">
      <c r="B16" s="1124" t="s">
        <v>680</v>
      </c>
      <c r="C16" s="1125" t="s">
        <v>671</v>
      </c>
      <c r="D16" s="1130">
        <f>Résultat!H176</f>
        <v>294783.51</v>
      </c>
      <c r="E16" s="1135">
        <v>0</v>
      </c>
      <c r="F16" s="1127">
        <f t="shared" si="0"/>
        <v>294783.51</v>
      </c>
      <c r="H16" s="451"/>
    </row>
    <row r="17" spans="2:17" ht="12.95" customHeight="1">
      <c r="B17" s="1124" t="s">
        <v>681</v>
      </c>
      <c r="C17" s="1125" t="s">
        <v>671</v>
      </c>
      <c r="D17" s="1131">
        <f>E17+E16</f>
        <v>0</v>
      </c>
      <c r="E17" s="1130">
        <v>0</v>
      </c>
      <c r="F17" s="1127">
        <f t="shared" si="0"/>
        <v>0</v>
      </c>
      <c r="H17" s="451" t="s">
        <v>682</v>
      </c>
    </row>
    <row r="18" spans="2:17">
      <c r="B18" s="642" t="s">
        <v>683</v>
      </c>
      <c r="C18" s="815" t="s">
        <v>668</v>
      </c>
      <c r="D18" s="813"/>
      <c r="E18" s="813"/>
      <c r="F18" s="1127">
        <f t="shared" si="0"/>
        <v>0</v>
      </c>
      <c r="H18" s="451"/>
    </row>
    <row r="19" spans="2:17">
      <c r="B19" s="1453" t="s">
        <v>684</v>
      </c>
      <c r="C19" s="1450" t="s">
        <v>668</v>
      </c>
      <c r="D19" s="1451">
        <f>SUM(D20:D23)</f>
        <v>0</v>
      </c>
      <c r="E19" s="1451">
        <f>SUM(E20:E23)</f>
        <v>0</v>
      </c>
      <c r="F19" s="1451">
        <f t="shared" si="0"/>
        <v>0</v>
      </c>
      <c r="H19" s="451"/>
    </row>
    <row r="20" spans="2:17">
      <c r="B20" s="1136" t="s">
        <v>685</v>
      </c>
      <c r="C20" s="1125" t="s">
        <v>668</v>
      </c>
      <c r="D20" s="1135"/>
      <c r="E20" s="1135"/>
      <c r="F20" s="1137">
        <f t="shared" si="0"/>
        <v>0</v>
      </c>
      <c r="H20" s="451"/>
    </row>
    <row r="21" spans="2:17">
      <c r="B21" s="1138" t="s">
        <v>686</v>
      </c>
      <c r="C21" s="1125" t="s">
        <v>668</v>
      </c>
      <c r="D21" s="1135">
        <v>0</v>
      </c>
      <c r="E21" s="1135">
        <v>0</v>
      </c>
      <c r="F21" s="1127">
        <f>D21-E21</f>
        <v>0</v>
      </c>
      <c r="H21" s="451"/>
    </row>
    <row r="22" spans="2:17">
      <c r="B22" s="1136" t="s">
        <v>687</v>
      </c>
      <c r="C22" s="1125" t="s">
        <v>668</v>
      </c>
      <c r="D22" s="1135"/>
      <c r="E22" s="1135"/>
      <c r="F22" s="1137">
        <f t="shared" si="0"/>
        <v>0</v>
      </c>
      <c r="H22" s="451"/>
    </row>
    <row r="23" spans="2:17">
      <c r="B23" s="1136" t="s">
        <v>688</v>
      </c>
      <c r="C23" s="1125" t="s">
        <v>668</v>
      </c>
      <c r="D23" s="1135"/>
      <c r="E23" s="1135"/>
      <c r="F23" s="1137">
        <f t="shared" si="0"/>
        <v>0</v>
      </c>
      <c r="H23" s="451"/>
    </row>
    <row r="24" spans="2:17" ht="25.5" hidden="1">
      <c r="B24" s="1452" t="s">
        <v>689</v>
      </c>
      <c r="C24" s="1454" t="s">
        <v>671</v>
      </c>
      <c r="D24" s="1455"/>
      <c r="E24" s="1455"/>
      <c r="F24" s="1455">
        <f t="shared" si="0"/>
        <v>0</v>
      </c>
      <c r="H24" s="451"/>
    </row>
    <row r="25" spans="2:17">
      <c r="B25" s="1456" t="s">
        <v>690</v>
      </c>
      <c r="C25" s="1457" t="s">
        <v>671</v>
      </c>
      <c r="D25" s="1458">
        <f>D33</f>
        <v>-25000</v>
      </c>
      <c r="E25" s="1458">
        <v>0</v>
      </c>
      <c r="F25" s="1459">
        <f t="shared" si="0"/>
        <v>-25000</v>
      </c>
      <c r="H25" s="451" t="s">
        <v>691</v>
      </c>
    </row>
    <row r="26" spans="2:17">
      <c r="B26" s="643" t="s">
        <v>692</v>
      </c>
      <c r="C26" s="816" t="s">
        <v>693</v>
      </c>
      <c r="D26" s="817">
        <f>D25+D19+D9+D5+D12+D15</f>
        <v>90063590.789999977</v>
      </c>
      <c r="E26" s="817">
        <f>E25+E9+E19+E5+E15+E12</f>
        <v>0</v>
      </c>
      <c r="F26" s="817">
        <f>D26-E26</f>
        <v>90063590.789999977</v>
      </c>
      <c r="H26" s="14">
        <v>134869668.03</v>
      </c>
    </row>
    <row r="27" spans="2:17">
      <c r="D27" s="453"/>
      <c r="E27" s="453"/>
      <c r="F27" s="454"/>
      <c r="H27" s="14">
        <f>H26-D26</f>
        <v>44806077.240000024</v>
      </c>
    </row>
    <row r="28" spans="2:17">
      <c r="D28" s="453"/>
      <c r="E28" s="453"/>
      <c r="F28" s="454"/>
      <c r="H28" s="14"/>
    </row>
    <row r="29" spans="2:17">
      <c r="B29" s="185" t="s">
        <v>694</v>
      </c>
      <c r="D29" s="453"/>
      <c r="E29" s="453"/>
      <c r="F29" s="454"/>
      <c r="H29" s="451"/>
    </row>
    <row r="30" spans="2:17">
      <c r="B30" s="455" t="s">
        <v>695</v>
      </c>
      <c r="D30" s="453">
        <f>-25000</f>
        <v>-25000</v>
      </c>
      <c r="E30" s="453"/>
      <c r="F30" s="454"/>
      <c r="H30" s="451"/>
      <c r="Q30" s="186"/>
    </row>
    <row r="31" spans="2:17">
      <c r="B31" s="455" t="s">
        <v>696</v>
      </c>
      <c r="D31" s="453">
        <v>0</v>
      </c>
      <c r="E31" s="453">
        <v>0</v>
      </c>
      <c r="F31" s="454"/>
      <c r="H31" s="451"/>
    </row>
    <row r="32" spans="2:17">
      <c r="B32" s="455" t="s">
        <v>697</v>
      </c>
      <c r="D32" s="1139">
        <v>0</v>
      </c>
      <c r="E32" s="453"/>
      <c r="F32" s="454"/>
      <c r="H32" s="451"/>
    </row>
    <row r="33" spans="2:8">
      <c r="D33" s="453">
        <f>SUM(D30:D32)</f>
        <v>-25000</v>
      </c>
      <c r="E33" s="453"/>
      <c r="F33" s="454"/>
      <c r="H33" s="451"/>
    </row>
    <row r="34" spans="2:8">
      <c r="D34" s="453"/>
      <c r="E34" s="453"/>
      <c r="F34" s="454"/>
      <c r="H34" s="14"/>
    </row>
    <row r="35" spans="2:8">
      <c r="B35" s="456" t="s">
        <v>698</v>
      </c>
      <c r="C35" s="457"/>
      <c r="D35" s="458">
        <f>Inventaire!C7</f>
        <v>90063590.790000007</v>
      </c>
      <c r="E35" s="459">
        <f>E25+E19+E9+E5+E12+E15</f>
        <v>0</v>
      </c>
      <c r="F35" s="459">
        <f>F25+F19+F9+F5+F12+F15</f>
        <v>90063590.789999977</v>
      </c>
      <c r="H35" s="14"/>
    </row>
    <row r="36" spans="2:8">
      <c r="B36" s="456" t="s">
        <v>258</v>
      </c>
      <c r="C36" s="457"/>
      <c r="D36" s="460">
        <f>D26-D35</f>
        <v>0</v>
      </c>
      <c r="E36" s="461">
        <f>E26-E35</f>
        <v>0</v>
      </c>
      <c r="F36" s="461">
        <f>ROUND(F26-F35,2)</f>
        <v>0</v>
      </c>
      <c r="H36" s="14">
        <f>Inventaire!L34+Inventaire!M34</f>
        <v>2345510.4700000002</v>
      </c>
    </row>
    <row r="37" spans="2:8">
      <c r="B37" s="491" t="s">
        <v>699</v>
      </c>
      <c r="D37" s="462" t="str">
        <f>+IF(ABS(D36)&lt;0.01,"OK","ANOMALIE")</f>
        <v>OK</v>
      </c>
      <c r="E37" s="462" t="str">
        <f>+IF(ABS(E36)&lt;0.01,"OK","ANOMALIE")</f>
        <v>OK</v>
      </c>
      <c r="F37" s="462" t="str">
        <f>+IF(ABS(F36)&lt;0.01,"OK","ANOMALIE")</f>
        <v>OK</v>
      </c>
      <c r="H37" s="14">
        <f>ROUNDDOWN(D36+H36,0)</f>
        <v>2345510</v>
      </c>
    </row>
    <row r="38" spans="2:8">
      <c r="D38" s="492"/>
      <c r="H38" s="14"/>
    </row>
    <row r="39" spans="2:8">
      <c r="B39" s="493" t="s">
        <v>258</v>
      </c>
      <c r="D39" s="494">
        <f>ROUNDDOWN(+D36+Inventaire!L25+Inventaire!M25-H40,0)</f>
        <v>2232905</v>
      </c>
      <c r="H39" s="185" t="s">
        <v>328</v>
      </c>
    </row>
    <row r="40" spans="2:8">
      <c r="B40" s="491" t="s">
        <v>700</v>
      </c>
      <c r="D40" s="462" t="str">
        <f>IF(D37="OK","OK",+IF(D39&lt;0.0000001,"OK","ANOMALIE"))</f>
        <v>OK</v>
      </c>
      <c r="H40" s="14">
        <f>Emprunt!K186</f>
        <v>112604.67</v>
      </c>
    </row>
    <row r="41" spans="2:8">
      <c r="D41" s="463"/>
    </row>
  </sheetData>
  <pageMargins left="0.78740157499999996" right="0.78740157499999996" top="0.984251969" bottom="0.984251969" header="0.4921259845" footer="0.4921259845"/>
  <pageSetup paperSize="9" scale="71"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19">
    <pageSetUpPr fitToPage="1"/>
  </sheetPr>
  <dimension ref="B1:I30"/>
  <sheetViews>
    <sheetView view="pageBreakPreview" zoomScaleNormal="90" zoomScaleSheetLayoutView="100" workbookViewId="0">
      <selection activeCell="F20" sqref="F20"/>
    </sheetView>
  </sheetViews>
  <sheetFormatPr defaultColWidth="11.42578125" defaultRowHeight="12.75"/>
  <cols>
    <col min="1" max="1" width="1" customWidth="1"/>
    <col min="2" max="2" width="27.42578125" customWidth="1"/>
    <col min="3" max="3" width="18.42578125" customWidth="1"/>
    <col min="4" max="4" width="27.5703125" bestFit="1" customWidth="1"/>
    <col min="5" max="5" width="25" customWidth="1"/>
    <col min="6" max="6" width="17.5703125" style="14" customWidth="1"/>
    <col min="7" max="7" width="15.42578125" customWidth="1"/>
    <col min="8" max="8" width="4.5703125" customWidth="1"/>
    <col min="9" max="9" width="27.5703125" customWidth="1"/>
    <col min="10" max="10" width="19.5703125" customWidth="1"/>
    <col min="11" max="11" width="2.42578125" customWidth="1"/>
    <col min="12" max="12" width="13.42578125" bestFit="1" customWidth="1"/>
  </cols>
  <sheetData>
    <row r="1" spans="2:8" s="3" customFormat="1" ht="15">
      <c r="B1" s="39" t="str">
        <f>+Inventaire!B1</f>
        <v>BOLZEN - SLP</v>
      </c>
      <c r="C1" s="58"/>
      <c r="D1" s="100" t="s">
        <v>701</v>
      </c>
      <c r="E1" s="58"/>
      <c r="F1" s="39">
        <f>Sommaire!C1</f>
        <v>46022</v>
      </c>
      <c r="G1" s="58"/>
      <c r="H1" s="58"/>
    </row>
    <row r="2" spans="2:8" ht="15">
      <c r="B2" s="39"/>
      <c r="G2" s="38"/>
      <c r="H2" s="38"/>
    </row>
    <row r="3" spans="2:8" s="15" customFormat="1" ht="15">
      <c r="D3" s="19"/>
      <c r="E3" s="19"/>
    </row>
    <row r="4" spans="2:8" s="15" customFormat="1" ht="15" hidden="1">
      <c r="C4" s="40"/>
      <c r="D4" s="40"/>
      <c r="E4" s="40"/>
      <c r="G4" s="38"/>
      <c r="H4" s="38"/>
    </row>
    <row r="5" spans="2:8" ht="24.75" hidden="1" customHeight="1">
      <c r="B5" s="1460" t="s">
        <v>702</v>
      </c>
      <c r="C5" s="1461"/>
      <c r="D5" s="1461"/>
      <c r="E5" s="1461"/>
      <c r="F5" s="1461"/>
      <c r="G5" s="1462"/>
      <c r="H5" s="4"/>
    </row>
    <row r="6" spans="2:8" hidden="1">
      <c r="B6" s="1463"/>
      <c r="C6" s="1464" t="s">
        <v>703</v>
      </c>
      <c r="D6" s="1465"/>
      <c r="E6" s="1466"/>
      <c r="F6" s="1467" t="s">
        <v>704</v>
      </c>
      <c r="G6" s="1468"/>
    </row>
    <row r="7" spans="2:8" s="4" customFormat="1" ht="25.5" hidden="1">
      <c r="B7" s="903" t="s">
        <v>70</v>
      </c>
      <c r="C7" s="903" t="s">
        <v>705</v>
      </c>
      <c r="D7" s="903" t="s">
        <v>706</v>
      </c>
      <c r="E7" s="903" t="s">
        <v>70</v>
      </c>
      <c r="F7" s="903" t="s">
        <v>705</v>
      </c>
      <c r="G7" s="903" t="s">
        <v>706</v>
      </c>
    </row>
    <row r="8" spans="2:8" s="1" customFormat="1" hidden="1">
      <c r="B8" s="1004" t="s">
        <v>707</v>
      </c>
      <c r="C8" s="1140">
        <v>0</v>
      </c>
      <c r="D8" s="1141"/>
      <c r="E8" s="1004" t="s">
        <v>708</v>
      </c>
      <c r="F8" s="1140">
        <v>0</v>
      </c>
      <c r="G8" s="1142"/>
    </row>
    <row r="9" spans="2:8" hidden="1">
      <c r="B9" s="858"/>
      <c r="C9" s="1141"/>
      <c r="D9" s="962"/>
      <c r="E9" s="858"/>
      <c r="F9" s="962"/>
      <c r="G9" s="858"/>
    </row>
    <row r="10" spans="2:8" hidden="1">
      <c r="B10" s="1430" t="s">
        <v>254</v>
      </c>
      <c r="C10" s="1469">
        <f>SUM(C8:C9)</f>
        <v>0</v>
      </c>
      <c r="D10" s="1469"/>
      <c r="E10" s="1470" t="s">
        <v>254</v>
      </c>
      <c r="F10" s="1469">
        <f>SUM(F8:F9)</f>
        <v>0</v>
      </c>
      <c r="G10" s="857"/>
    </row>
    <row r="11" spans="2:8" s="3" customFormat="1" hidden="1">
      <c r="B11" s="1368" t="s">
        <v>709</v>
      </c>
      <c r="C11" s="1471">
        <f>F10-C10</f>
        <v>0</v>
      </c>
      <c r="D11" s="58"/>
      <c r="E11" s="58"/>
      <c r="F11" s="196"/>
      <c r="G11" s="58"/>
      <c r="H11" s="58"/>
    </row>
    <row r="12" spans="2:8" hidden="1">
      <c r="C12" s="318" t="str">
        <f>IF(C11=0,"OK","ANOMALIE")</f>
        <v>OK</v>
      </c>
      <c r="D12" s="319"/>
    </row>
    <row r="13" spans="2:8">
      <c r="B13" s="1044"/>
      <c r="C13" s="41"/>
      <c r="D13" s="14"/>
    </row>
    <row r="14" spans="2:8" ht="24.75" customHeight="1">
      <c r="B14" s="1472" t="s">
        <v>710</v>
      </c>
      <c r="C14" s="1300"/>
      <c r="D14" s="1300"/>
      <c r="E14" s="1300"/>
      <c r="F14" s="1300"/>
      <c r="G14" s="1301"/>
      <c r="H14" s="26"/>
    </row>
    <row r="15" spans="2:8">
      <c r="B15" s="1463"/>
      <c r="C15" s="1464" t="s">
        <v>711</v>
      </c>
      <c r="D15" s="1465"/>
      <c r="E15" s="1466"/>
      <c r="F15" s="1467" t="s">
        <v>704</v>
      </c>
      <c r="G15" s="1468"/>
    </row>
    <row r="16" spans="2:8" s="4" customFormat="1" ht="35.25" customHeight="1">
      <c r="B16" s="903" t="s">
        <v>70</v>
      </c>
      <c r="C16" s="903" t="s">
        <v>705</v>
      </c>
      <c r="D16" s="903" t="s">
        <v>706</v>
      </c>
      <c r="E16" s="903" t="s">
        <v>70</v>
      </c>
      <c r="F16" s="903" t="s">
        <v>705</v>
      </c>
      <c r="G16" s="903" t="s">
        <v>706</v>
      </c>
    </row>
    <row r="17" spans="2:9" s="4" customFormat="1">
      <c r="B17" s="1143"/>
      <c r="C17" s="1143"/>
      <c r="D17" s="1143"/>
      <c r="E17" s="1143"/>
      <c r="F17" s="1143"/>
      <c r="G17" s="1143"/>
    </row>
    <row r="18" spans="2:9">
      <c r="B18" s="1065" t="s">
        <v>712</v>
      </c>
      <c r="D18" s="962"/>
      <c r="E18" s="1065" t="s">
        <v>713</v>
      </c>
      <c r="G18" s="858"/>
    </row>
    <row r="19" spans="2:9">
      <c r="B19" s="1144">
        <f>+F1</f>
        <v>46022</v>
      </c>
      <c r="C19" s="1145">
        <v>2114169.77</v>
      </c>
      <c r="D19" s="962"/>
      <c r="E19" s="1144">
        <f>+F1</f>
        <v>46022</v>
      </c>
      <c r="F19" s="1145">
        <v>2114169.77</v>
      </c>
      <c r="G19" s="858"/>
    </row>
    <row r="20" spans="2:9">
      <c r="B20" s="1143"/>
      <c r="C20" s="1141"/>
      <c r="D20" s="962"/>
      <c r="E20" s="1143"/>
      <c r="F20" s="1141"/>
      <c r="G20" s="1146"/>
      <c r="H20" s="89"/>
    </row>
    <row r="21" spans="2:9">
      <c r="B21" s="1430" t="s">
        <v>254</v>
      </c>
      <c r="C21" s="1469">
        <f>C19</f>
        <v>2114169.77</v>
      </c>
      <c r="D21" s="1469"/>
      <c r="E21" s="1470" t="s">
        <v>254</v>
      </c>
      <c r="F21" s="1469">
        <f>SUM(F19:F20)</f>
        <v>2114169.77</v>
      </c>
      <c r="G21" s="857"/>
    </row>
    <row r="22" spans="2:9" s="3" customFormat="1">
      <c r="B22" s="1368" t="s">
        <v>709</v>
      </c>
      <c r="C22" s="1471">
        <f>F21-C21</f>
        <v>0</v>
      </c>
      <c r="D22" s="58"/>
      <c r="E22" s="58"/>
      <c r="F22" s="196"/>
      <c r="G22" s="58"/>
      <c r="H22" s="58"/>
      <c r="I22" s="58"/>
    </row>
    <row r="23" spans="2:9">
      <c r="C23" s="317" t="str">
        <f>IF(C22=0,"OK","ANOMALIE")</f>
        <v>OK</v>
      </c>
      <c r="D23" s="319"/>
    </row>
    <row r="24" spans="2:9" s="3" customFormat="1">
      <c r="B24" s="58"/>
      <c r="C24" s="317"/>
      <c r="D24" s="58"/>
      <c r="E24" s="58"/>
      <c r="F24" s="196"/>
      <c r="G24" s="58"/>
      <c r="H24" s="58"/>
      <c r="I24" s="58"/>
    </row>
    <row r="25" spans="2:9" s="1" customFormat="1">
      <c r="C25" s="41"/>
      <c r="F25" s="41"/>
    </row>
    <row r="26" spans="2:9">
      <c r="B26" t="s">
        <v>714</v>
      </c>
      <c r="C26" s="197">
        <v>0</v>
      </c>
      <c r="D26" s="232"/>
      <c r="E26" s="92"/>
      <c r="F26" s="228"/>
    </row>
    <row r="27" spans="2:9">
      <c r="B27" t="s">
        <v>715</v>
      </c>
      <c r="C27" s="197">
        <v>0</v>
      </c>
      <c r="D27" s="232"/>
      <c r="E27" s="92"/>
    </row>
    <row r="28" spans="2:9">
      <c r="C28" s="199">
        <f>SUM(C26:C27)</f>
        <v>0</v>
      </c>
      <c r="I28" s="92"/>
    </row>
    <row r="29" spans="2:9">
      <c r="B29" s="58"/>
      <c r="C29" s="171"/>
      <c r="D29" s="58"/>
      <c r="E29" s="160"/>
      <c r="F29" s="90"/>
      <c r="G29" s="58"/>
    </row>
    <row r="30" spans="2:9">
      <c r="B30" s="1430" t="s">
        <v>716</v>
      </c>
      <c r="C30" s="1473">
        <f>F21+C28</f>
        <v>2114169.77</v>
      </c>
      <c r="D30" s="58"/>
      <c r="E30" s="58"/>
      <c r="F30" s="90"/>
      <c r="G30" s="58"/>
    </row>
  </sheetData>
  <mergeCells count="2">
    <mergeCell ref="B5:G5"/>
    <mergeCell ref="B14:G14"/>
  </mergeCells>
  <phoneticPr fontId="0" type="noConversion"/>
  <pageMargins left="0.45" right="0.27" top="0.984251969" bottom="0.984251969" header="0.4921259845" footer="0.4921259845"/>
  <pageSetup paperSize="9" scale="71"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4">
    <pageSetUpPr fitToPage="1"/>
  </sheetPr>
  <dimension ref="B1:M37"/>
  <sheetViews>
    <sheetView view="pageBreakPreview" zoomScaleNormal="100" zoomScaleSheetLayoutView="100" workbookViewId="0">
      <selection activeCell="K32" sqref="K32"/>
    </sheetView>
  </sheetViews>
  <sheetFormatPr defaultColWidth="11.42578125" defaultRowHeight="12.75"/>
  <cols>
    <col min="1" max="1" width="0.5703125" customWidth="1"/>
    <col min="2" max="2" width="14.42578125" customWidth="1"/>
    <col min="3" max="3" width="25.5703125" bestFit="1" customWidth="1"/>
    <col min="4" max="7" width="21.140625" customWidth="1"/>
    <col min="8" max="8" width="12.5703125" bestFit="1" customWidth="1"/>
    <col min="9" max="10" width="18.85546875" customWidth="1"/>
    <col min="11" max="11" width="12.5703125" bestFit="1" customWidth="1"/>
    <col min="13" max="13" width="15.140625" bestFit="1" customWidth="1"/>
  </cols>
  <sheetData>
    <row r="1" spans="2:12" s="35" customFormat="1" ht="20.25" customHeight="1">
      <c r="B1" s="1191" t="str">
        <f>Sommaire!A1</f>
        <v>BOLZEN - SLP</v>
      </c>
      <c r="C1" s="1192"/>
      <c r="E1" s="142" t="s">
        <v>717</v>
      </c>
      <c r="F1" s="36"/>
      <c r="G1" s="1193">
        <f>Sommaire!C1</f>
        <v>46022</v>
      </c>
      <c r="H1" s="1194"/>
    </row>
    <row r="2" spans="2:12">
      <c r="B2" s="1195"/>
      <c r="C2" s="1195"/>
      <c r="D2" s="6"/>
      <c r="G2" s="1"/>
      <c r="H2" s="1"/>
    </row>
    <row r="3" spans="2:12">
      <c r="B3" s="1"/>
      <c r="C3" s="1147"/>
      <c r="D3" s="6"/>
      <c r="F3" s="1044"/>
      <c r="G3" s="1"/>
      <c r="H3" s="1"/>
    </row>
    <row r="4" spans="2:12" s="22" customFormat="1" ht="21.75" customHeight="1">
      <c r="B4" s="1353" t="s">
        <v>718</v>
      </c>
      <c r="C4" s="1353" t="s">
        <v>719</v>
      </c>
      <c r="D4" s="1474" t="s">
        <v>720</v>
      </c>
      <c r="E4" s="1474" t="s">
        <v>721</v>
      </c>
      <c r="F4" s="1353" t="s">
        <v>35</v>
      </c>
      <c r="G4" s="1353" t="s">
        <v>722</v>
      </c>
      <c r="H4" s="142" t="s">
        <v>116</v>
      </c>
      <c r="I4" s="142"/>
      <c r="J4" s="142"/>
      <c r="K4" s="142"/>
      <c r="L4" s="142"/>
    </row>
    <row r="5" spans="2:12" s="7" customFormat="1" ht="16.5" customHeight="1">
      <c r="B5" s="1475"/>
      <c r="C5" s="320"/>
      <c r="D5" s="1204"/>
      <c r="E5" s="1204"/>
      <c r="F5" s="1204"/>
      <c r="G5" s="1204"/>
    </row>
    <row r="6" spans="2:12">
      <c r="B6" s="1148" t="s">
        <v>723</v>
      </c>
      <c r="C6" s="8" t="s">
        <v>724</v>
      </c>
      <c r="D6" s="957">
        <f>SUMIF('Balance '!A:A,"1*",'Balance '!E:E)</f>
        <v>943294700</v>
      </c>
      <c r="E6" s="1149"/>
      <c r="F6" s="1149"/>
      <c r="G6" s="1150"/>
    </row>
    <row r="7" spans="2:12">
      <c r="B7" s="1148"/>
      <c r="C7" s="8" t="s">
        <v>725</v>
      </c>
      <c r="D7" s="818">
        <f>SUMIF('Balance '!A:A,"1*",'Balance '!F:F)</f>
        <v>1032156239.4</v>
      </c>
      <c r="E7" s="1149"/>
      <c r="F7" s="1149"/>
      <c r="G7" s="1149"/>
      <c r="L7" s="135"/>
    </row>
    <row r="8" spans="2:12">
      <c r="B8" s="1148"/>
      <c r="C8" s="9" t="s">
        <v>726</v>
      </c>
      <c r="D8" s="957"/>
      <c r="E8" s="1149">
        <f>D7-D6</f>
        <v>88861539.399999976</v>
      </c>
      <c r="F8" s="1149"/>
      <c r="G8" s="1149"/>
    </row>
    <row r="9" spans="2:12">
      <c r="B9" s="1148" t="s">
        <v>727</v>
      </c>
      <c r="C9" s="8" t="s">
        <v>724</v>
      </c>
      <c r="D9" s="957">
        <f>SUMIF('Balance '!A:A,"6*",'Balance '!E:E)</f>
        <v>1148966.52</v>
      </c>
      <c r="E9" s="1149"/>
      <c r="F9" s="1149"/>
      <c r="G9" s="1149"/>
    </row>
    <row r="10" spans="2:12">
      <c r="B10" s="1148"/>
      <c r="C10" s="8" t="s">
        <v>725</v>
      </c>
      <c r="D10" s="819">
        <f>SUMIF('Balance '!A:A,"6*",'Balance '!F:F)</f>
        <v>0</v>
      </c>
      <c r="E10" s="1149"/>
      <c r="F10" s="1149"/>
      <c r="G10" s="1149"/>
    </row>
    <row r="11" spans="2:12">
      <c r="B11" s="1148"/>
      <c r="C11" s="9" t="s">
        <v>726</v>
      </c>
      <c r="D11" s="957"/>
      <c r="E11" s="1149">
        <f>D10-D9</f>
        <v>-1148966.52</v>
      </c>
      <c r="F11" s="1149"/>
      <c r="G11" s="1149"/>
    </row>
    <row r="12" spans="2:12">
      <c r="B12" s="1148" t="s">
        <v>728</v>
      </c>
      <c r="C12" s="8" t="s">
        <v>724</v>
      </c>
      <c r="D12" s="957">
        <f>SUMIF('Balance '!A:A,"7*",'Balance '!E:E)</f>
        <v>0</v>
      </c>
      <c r="E12" s="1149"/>
      <c r="F12" s="1149"/>
      <c r="G12" s="1149"/>
    </row>
    <row r="13" spans="2:12">
      <c r="B13" s="1148"/>
      <c r="C13" s="8" t="s">
        <v>725</v>
      </c>
      <c r="D13" s="818">
        <f>SUMIF('Balance '!A:A,"7*",'Balance '!F:F)</f>
        <v>2351017.91</v>
      </c>
      <c r="E13" s="1149"/>
      <c r="F13" s="1149"/>
      <c r="G13" s="1149"/>
    </row>
    <row r="14" spans="2:12">
      <c r="B14" s="1148"/>
      <c r="C14" s="9" t="s">
        <v>726</v>
      </c>
      <c r="D14" s="957"/>
      <c r="E14" s="1149">
        <f>D13-D12</f>
        <v>2351017.91</v>
      </c>
      <c r="F14" s="1149"/>
      <c r="G14" s="1149"/>
    </row>
    <row r="15" spans="2:12">
      <c r="B15" s="1148"/>
      <c r="C15" s="8" t="s">
        <v>43</v>
      </c>
      <c r="D15" s="818">
        <f>+E11+E14</f>
        <v>1202051.3900000001</v>
      </c>
      <c r="E15" s="820"/>
      <c r="F15" s="820"/>
      <c r="G15" s="820"/>
    </row>
    <row r="16" spans="2:12" s="3" customFormat="1">
      <c r="B16" s="1476" t="s">
        <v>108</v>
      </c>
      <c r="C16" s="1477"/>
      <c r="D16" s="1478"/>
      <c r="E16" s="1479">
        <f>SUM(E8:E15)</f>
        <v>90063590.789999977</v>
      </c>
      <c r="F16" s="1478">
        <f>ROUND(+Inventaire!D74,2)</f>
        <v>90063590.790000007</v>
      </c>
      <c r="G16" s="1478">
        <f>ROUND((E16-F16),2)</f>
        <v>0</v>
      </c>
      <c r="H16" s="105" t="str">
        <f>IF(ABS(G16)&lt;0.01,"OK","ANOMALIE")</f>
        <v>OK</v>
      </c>
      <c r="I16" s="58" t="s">
        <v>729</v>
      </c>
      <c r="J16" s="58"/>
      <c r="K16" s="58"/>
      <c r="L16" s="58"/>
    </row>
    <row r="17" spans="2:13" s="1" customFormat="1">
      <c r="B17" s="10"/>
      <c r="C17" s="10"/>
      <c r="D17" s="196"/>
      <c r="E17" s="41"/>
      <c r="F17" s="41"/>
      <c r="G17" s="28"/>
    </row>
    <row r="18" spans="2:13" s="22" customFormat="1" ht="21.75" customHeight="1">
      <c r="B18" s="1353" t="s">
        <v>718</v>
      </c>
      <c r="C18" s="1353" t="s">
        <v>719</v>
      </c>
      <c r="D18" s="1480" t="s">
        <v>720</v>
      </c>
      <c r="E18" s="1480" t="s">
        <v>721</v>
      </c>
      <c r="F18" s="1480" t="s">
        <v>35</v>
      </c>
      <c r="G18" s="1480" t="s">
        <v>722</v>
      </c>
      <c r="H18" s="142"/>
      <c r="I18" s="142"/>
      <c r="J18" s="142"/>
      <c r="K18" s="142"/>
      <c r="L18" s="142"/>
      <c r="M18" s="142"/>
    </row>
    <row r="19" spans="2:13">
      <c r="B19" s="1148"/>
      <c r="C19" s="334"/>
      <c r="D19" s="1481"/>
      <c r="E19" s="338"/>
      <c r="F19" s="1149"/>
      <c r="G19" s="335"/>
    </row>
    <row r="20" spans="2:13">
      <c r="B20" s="1148" t="s">
        <v>730</v>
      </c>
      <c r="C20" s="336" t="s">
        <v>724</v>
      </c>
      <c r="D20" s="957">
        <f>SUMIF('Balance '!A:A,"3*",'Balance '!E:E)</f>
        <v>151875510.47000003</v>
      </c>
      <c r="E20" s="338"/>
      <c r="F20" s="1149"/>
      <c r="G20" s="335"/>
      <c r="I20" s="140" t="s">
        <v>731</v>
      </c>
    </row>
    <row r="21" spans="2:13">
      <c r="B21" s="1148"/>
      <c r="C21" s="336" t="s">
        <v>725</v>
      </c>
      <c r="D21" s="818">
        <f>SUMIF('Balance '!A:A,"3*",'Balance '!F:F)</f>
        <v>63862604.670000002</v>
      </c>
      <c r="E21" s="338"/>
      <c r="F21" s="1149"/>
      <c r="G21" s="335"/>
      <c r="I21" t="s">
        <v>732</v>
      </c>
      <c r="J21" s="137" t="s">
        <v>258</v>
      </c>
      <c r="K21" t="s">
        <v>384</v>
      </c>
    </row>
    <row r="22" spans="2:13">
      <c r="B22" s="1148"/>
      <c r="C22" s="9" t="s">
        <v>726</v>
      </c>
      <c r="D22" s="1140"/>
      <c r="E22" s="1149">
        <f>-(D21-D20)</f>
        <v>88012905.800000027</v>
      </c>
      <c r="F22" s="1149">
        <f>ROUND(+Inventaire!D64+Inventaire!D72,2)</f>
        <v>88012905.799999997</v>
      </c>
      <c r="G22" s="337">
        <f>ROUND(-(E22-F22),2)</f>
        <v>0</v>
      </c>
      <c r="H22" s="92"/>
      <c r="I22" s="499">
        <f>+Inventaire!L34+Inventaire!M34</f>
        <v>2345510.4700000002</v>
      </c>
      <c r="J22" s="709">
        <f>ROUND(G22-I22,2)+I25</f>
        <v>-2232905.8000000003</v>
      </c>
      <c r="K22" s="1" t="str">
        <f>IF(G22=0,"OK",IF(ABS(J22)=0,"OK","ERREUR"))</f>
        <v>OK</v>
      </c>
      <c r="M22" s="143"/>
    </row>
    <row r="23" spans="2:13">
      <c r="B23" s="1148" t="s">
        <v>733</v>
      </c>
      <c r="C23" s="336" t="s">
        <v>724</v>
      </c>
      <c r="D23" s="1109">
        <f>SUMIF('Balance '!A:A,"4*",'Balance '!E:E)</f>
        <v>0</v>
      </c>
      <c r="E23" s="338"/>
      <c r="F23" s="1149"/>
      <c r="G23" s="335"/>
      <c r="H23" s="92"/>
      <c r="J23" s="2"/>
      <c r="M23" s="58"/>
    </row>
    <row r="24" spans="2:13">
      <c r="B24" s="1148"/>
      <c r="C24" s="336" t="s">
        <v>725</v>
      </c>
      <c r="D24" s="821">
        <f>SUMIF('Balance '!A:A,"4*",'Balance '!F:F)</f>
        <v>63484.779999999992</v>
      </c>
      <c r="E24" s="338"/>
      <c r="F24" s="1149"/>
      <c r="G24" s="335"/>
      <c r="I24" s="58" t="s">
        <v>734</v>
      </c>
      <c r="L24" s="58"/>
      <c r="M24" s="710"/>
    </row>
    <row r="25" spans="2:13">
      <c r="B25" s="1148"/>
      <c r="C25" s="9" t="s">
        <v>726</v>
      </c>
      <c r="D25" s="1140"/>
      <c r="E25" s="1149">
        <f>D23-D24</f>
        <v>-63484.779999999992</v>
      </c>
      <c r="F25" s="1149">
        <f>Inventaire!D68+Inventaire!D70</f>
        <v>-63484.78</v>
      </c>
      <c r="G25" s="337">
        <f>ROUND(-(E25-F25),2)</f>
        <v>0</v>
      </c>
      <c r="H25" s="2"/>
      <c r="I25" s="139">
        <f>Emprunt!K186</f>
        <v>112604.67</v>
      </c>
      <c r="J25" s="92"/>
    </row>
    <row r="26" spans="2:13">
      <c r="B26" s="1148" t="s">
        <v>735</v>
      </c>
      <c r="C26" s="336" t="s">
        <v>724</v>
      </c>
      <c r="D26" s="957">
        <f>SUMIF('Balance '!A:A,"5*",'Balance '!E:E)</f>
        <v>2114169.77</v>
      </c>
      <c r="E26" s="338"/>
      <c r="F26" s="1149"/>
      <c r="G26" s="335"/>
      <c r="I26" s="92"/>
      <c r="J26" s="2"/>
    </row>
    <row r="27" spans="2:13">
      <c r="B27" s="1148"/>
      <c r="C27" s="336" t="s">
        <v>725</v>
      </c>
      <c r="D27" s="818">
        <f>SUMIF('Balance '!A:A,"5*",'Balance '!F:F)</f>
        <v>0</v>
      </c>
      <c r="E27" s="338"/>
      <c r="F27" s="1149"/>
      <c r="G27" s="335"/>
      <c r="I27" s="140"/>
      <c r="J27" s="2"/>
    </row>
    <row r="28" spans="2:13">
      <c r="B28" s="1148"/>
      <c r="C28" s="9" t="s">
        <v>726</v>
      </c>
      <c r="D28" s="1149"/>
      <c r="E28" s="338">
        <f>+D26-D27</f>
        <v>2114169.77</v>
      </c>
      <c r="F28" s="1149">
        <f>ROUND(Inventaire!D66,2)</f>
        <v>2114169.77</v>
      </c>
      <c r="G28" s="337">
        <f>E28-F28</f>
        <v>0</v>
      </c>
      <c r="I28" s="283"/>
      <c r="J28" s="2"/>
    </row>
    <row r="29" spans="2:13">
      <c r="B29" s="1148"/>
      <c r="C29" s="334"/>
      <c r="D29" s="820"/>
      <c r="E29" s="338"/>
      <c r="F29" s="1149"/>
      <c r="G29" s="335"/>
      <c r="J29" s="2"/>
    </row>
    <row r="30" spans="2:13" s="3" customFormat="1">
      <c r="B30" s="1476" t="s">
        <v>108</v>
      </c>
      <c r="C30" s="1482"/>
      <c r="D30" s="1483"/>
      <c r="E30" s="1479">
        <f>SUM(E22:E29)</f>
        <v>90063590.790000021</v>
      </c>
      <c r="F30" s="1478">
        <f>SUM(F20:F29)</f>
        <v>90063590.789999992</v>
      </c>
      <c r="G30" s="1478">
        <f>ROUND((F30-E30),2)</f>
        <v>0</v>
      </c>
      <c r="H30" s="104" t="str">
        <f>IF(ABS(G30)&lt;0.01,"OK","ANOMALIE")</f>
        <v>OK</v>
      </c>
      <c r="I30" s="58"/>
      <c r="J30" s="58"/>
      <c r="K30" s="58"/>
      <c r="L30" s="58"/>
      <c r="M30" s="58"/>
    </row>
    <row r="31" spans="2:13">
      <c r="G31" s="28"/>
      <c r="H31" s="53"/>
    </row>
    <row r="32" spans="2:13">
      <c r="D32" s="58"/>
      <c r="E32" s="87">
        <f>E16-E30</f>
        <v>0</v>
      </c>
      <c r="F32" t="s">
        <v>736</v>
      </c>
      <c r="G32" s="87">
        <f>G16+G30</f>
        <v>0</v>
      </c>
    </row>
    <row r="33" spans="3:7">
      <c r="C33" s="58"/>
      <c r="D33" s="58"/>
      <c r="E33" s="126" t="str">
        <f>IF(ABS(E32)&lt;0.01,"OK","ANOMALIE")</f>
        <v>OK</v>
      </c>
      <c r="F33" t="s">
        <v>384</v>
      </c>
      <c r="G33" s="321" t="str">
        <f>IF(ABS(G32)&lt;0.01,"OK","ANOMALIE")</f>
        <v>OK</v>
      </c>
    </row>
    <row r="35" spans="3:7">
      <c r="E35" s="92"/>
    </row>
    <row r="36" spans="3:7">
      <c r="G36" s="37"/>
    </row>
    <row r="37" spans="3:7">
      <c r="E37" s="37"/>
    </row>
  </sheetData>
  <mergeCells count="3">
    <mergeCell ref="B1:C1"/>
    <mergeCell ref="G1:H1"/>
    <mergeCell ref="B2:C2"/>
  </mergeCells>
  <phoneticPr fontId="0" type="noConversion"/>
  <pageMargins left="0.78740157499999996" right="0.78740157499999996" top="0.984251969" bottom="0.984251969" header="0.4921259845" footer="0.4921259845"/>
  <pageSetup paperSize="9" scale="95"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6F11-A3D8-42CD-BF78-938807CB60E5}">
  <sheetPr codeName="Feuil28"/>
  <dimension ref="A1:F80"/>
  <sheetViews>
    <sheetView workbookViewId="0">
      <selection sqref="A1:XFD1048576"/>
    </sheetView>
  </sheetViews>
  <sheetFormatPr defaultColWidth="11.42578125" defaultRowHeight="12.75"/>
  <cols>
    <col min="1" max="1" width="36.85546875" style="554" customWidth="1"/>
    <col min="2" max="2" width="36" bestFit="1" customWidth="1"/>
    <col min="3" max="3" width="13.7109375" bestFit="1" customWidth="1"/>
    <col min="4" max="4" width="13.85546875" bestFit="1" customWidth="1"/>
    <col min="5" max="6" width="14.5703125" bestFit="1" customWidth="1"/>
  </cols>
  <sheetData>
    <row r="1" spans="1:6">
      <c r="A1" s="553" t="s">
        <v>0</v>
      </c>
    </row>
    <row r="3" spans="1:6">
      <c r="A3" s="553" t="s">
        <v>737</v>
      </c>
    </row>
    <row r="4" spans="1:6">
      <c r="A4" s="553" t="s">
        <v>738</v>
      </c>
      <c r="B4" t="s">
        <v>739</v>
      </c>
    </row>
    <row r="5" spans="1:6">
      <c r="A5" s="553" t="s">
        <v>139</v>
      </c>
      <c r="B5" t="s">
        <v>70</v>
      </c>
      <c r="C5" t="s">
        <v>740</v>
      </c>
      <c r="D5" t="s">
        <v>741</v>
      </c>
      <c r="E5" t="s">
        <v>742</v>
      </c>
      <c r="F5" t="s">
        <v>743</v>
      </c>
    </row>
    <row r="6" spans="1:6">
      <c r="A6" s="553" t="s">
        <v>744</v>
      </c>
      <c r="B6" t="s">
        <v>745</v>
      </c>
      <c r="C6">
        <v>0</v>
      </c>
      <c r="D6" s="5">
        <v>943268700</v>
      </c>
      <c r="E6">
        <v>0</v>
      </c>
      <c r="F6" s="5">
        <v>943268700</v>
      </c>
    </row>
    <row r="7" spans="1:6">
      <c r="A7" s="553" t="s">
        <v>746</v>
      </c>
      <c r="B7" t="s">
        <v>747</v>
      </c>
      <c r="C7">
        <v>0</v>
      </c>
      <c r="D7" s="5">
        <v>1000</v>
      </c>
      <c r="E7">
        <v>0</v>
      </c>
      <c r="F7" s="5">
        <v>1000</v>
      </c>
    </row>
    <row r="8" spans="1:6">
      <c r="A8" s="553" t="s">
        <v>748</v>
      </c>
      <c r="B8" t="s">
        <v>749</v>
      </c>
      <c r="C8" s="5">
        <v>943268700</v>
      </c>
      <c r="D8" s="5">
        <v>0</v>
      </c>
      <c r="E8" s="5">
        <v>943268700</v>
      </c>
      <c r="F8" s="5">
        <v>0</v>
      </c>
    </row>
    <row r="9" spans="1:6">
      <c r="A9" s="553" t="s">
        <v>750</v>
      </c>
      <c r="B9" t="s">
        <v>751</v>
      </c>
      <c r="C9" s="5">
        <v>1000</v>
      </c>
      <c r="D9" s="5">
        <v>0</v>
      </c>
      <c r="E9" s="5">
        <v>1000</v>
      </c>
      <c r="F9" s="5">
        <v>0</v>
      </c>
    </row>
    <row r="10" spans="1:6">
      <c r="A10" s="553" t="s">
        <v>752</v>
      </c>
      <c r="B10" t="s">
        <v>753</v>
      </c>
      <c r="C10" s="5">
        <v>0</v>
      </c>
      <c r="D10" s="5">
        <v>88886445.170000002</v>
      </c>
      <c r="E10">
        <v>0</v>
      </c>
      <c r="F10" s="5">
        <v>88886445.170000002</v>
      </c>
    </row>
    <row r="11" spans="1:6">
      <c r="A11" s="553" t="s">
        <v>754</v>
      </c>
      <c r="B11" t="s">
        <v>755</v>
      </c>
      <c r="C11" s="5">
        <v>0</v>
      </c>
      <c r="D11" s="5">
        <v>94.23</v>
      </c>
      <c r="E11" s="5">
        <v>0</v>
      </c>
      <c r="F11" s="5">
        <v>94.23</v>
      </c>
    </row>
    <row r="12" spans="1:6">
      <c r="A12" s="553" t="s">
        <v>756</v>
      </c>
      <c r="B12" t="s">
        <v>757</v>
      </c>
      <c r="C12" s="5">
        <v>25710.32</v>
      </c>
      <c r="D12" s="5">
        <v>710.32</v>
      </c>
      <c r="E12" s="5">
        <v>25000</v>
      </c>
      <c r="F12" s="5">
        <v>0</v>
      </c>
    </row>
    <row r="13" spans="1:6">
      <c r="A13" s="553" t="s">
        <v>758</v>
      </c>
      <c r="B13" t="s">
        <v>249</v>
      </c>
      <c r="C13" s="5">
        <v>8720000</v>
      </c>
      <c r="D13" s="5">
        <v>0</v>
      </c>
      <c r="E13" s="5">
        <v>8720000</v>
      </c>
      <c r="F13" s="5">
        <v>0</v>
      </c>
    </row>
    <row r="14" spans="1:6">
      <c r="A14" s="553" t="s">
        <v>759</v>
      </c>
      <c r="B14" t="s">
        <v>245</v>
      </c>
      <c r="C14" s="5">
        <v>40320000</v>
      </c>
      <c r="D14" s="5">
        <v>0</v>
      </c>
      <c r="E14" s="5">
        <v>40320000</v>
      </c>
      <c r="F14" s="5">
        <v>0</v>
      </c>
    </row>
    <row r="15" spans="1:6">
      <c r="A15" s="553" t="s">
        <v>760</v>
      </c>
      <c r="B15" t="s">
        <v>251</v>
      </c>
      <c r="C15" s="5">
        <v>26160000</v>
      </c>
      <c r="D15" s="5">
        <v>0</v>
      </c>
      <c r="E15" s="5">
        <v>26160000</v>
      </c>
      <c r="F15" s="5">
        <v>0</v>
      </c>
    </row>
    <row r="16" spans="1:6">
      <c r="A16" s="553" t="s">
        <v>761</v>
      </c>
      <c r="B16" t="s">
        <v>252</v>
      </c>
      <c r="C16" s="5">
        <v>500000</v>
      </c>
      <c r="D16" s="5">
        <v>0</v>
      </c>
      <c r="E16" s="5">
        <v>500000</v>
      </c>
      <c r="F16" s="5">
        <v>0</v>
      </c>
    </row>
    <row r="17" spans="1:6">
      <c r="A17" s="553" t="s">
        <v>762</v>
      </c>
      <c r="B17" t="s">
        <v>248</v>
      </c>
      <c r="C17" s="5">
        <v>10080000</v>
      </c>
      <c r="D17" s="5">
        <v>0</v>
      </c>
      <c r="E17" s="5">
        <v>10080000</v>
      </c>
      <c r="F17" s="5">
        <v>0</v>
      </c>
    </row>
    <row r="18" spans="1:6">
      <c r="A18" s="553" t="s">
        <v>763</v>
      </c>
      <c r="B18" t="s">
        <v>253</v>
      </c>
      <c r="C18" s="5">
        <v>63750000</v>
      </c>
      <c r="D18" s="5">
        <v>0</v>
      </c>
      <c r="E18" s="5">
        <v>63750000</v>
      </c>
      <c r="F18" s="5">
        <v>0</v>
      </c>
    </row>
    <row r="19" spans="1:6">
      <c r="A19" s="553" t="s">
        <v>764</v>
      </c>
      <c r="B19" t="s">
        <v>147</v>
      </c>
      <c r="C19" s="5">
        <v>2746661.21</v>
      </c>
      <c r="D19" s="5">
        <v>695934.25</v>
      </c>
      <c r="E19" s="5">
        <v>2050726.96</v>
      </c>
      <c r="F19" s="5">
        <v>0</v>
      </c>
    </row>
    <row r="20" spans="1:6">
      <c r="A20" s="553" t="s">
        <v>765</v>
      </c>
      <c r="B20" t="s">
        <v>766</v>
      </c>
      <c r="C20" s="5">
        <v>67943.33</v>
      </c>
      <c r="D20" s="5">
        <v>0</v>
      </c>
      <c r="E20" s="5">
        <v>67943.33</v>
      </c>
      <c r="F20" s="5">
        <v>0</v>
      </c>
    </row>
    <row r="21" spans="1:6">
      <c r="A21" s="553" t="s">
        <v>767</v>
      </c>
      <c r="B21" t="s">
        <v>768</v>
      </c>
      <c r="C21" s="5">
        <v>226840.18</v>
      </c>
      <c r="D21" s="5">
        <v>0</v>
      </c>
      <c r="E21" s="5">
        <v>226840.18</v>
      </c>
      <c r="F21" s="5">
        <v>0</v>
      </c>
    </row>
    <row r="22" spans="1:6">
      <c r="A22" s="553" t="s">
        <v>769</v>
      </c>
      <c r="B22" t="s">
        <v>539</v>
      </c>
      <c r="C22" s="5">
        <v>85780000</v>
      </c>
      <c r="D22" s="5">
        <v>149530000</v>
      </c>
      <c r="E22" s="5">
        <v>0</v>
      </c>
      <c r="F22" s="5">
        <v>63750000</v>
      </c>
    </row>
    <row r="23" spans="1:6">
      <c r="A23" s="553" t="s">
        <v>770</v>
      </c>
      <c r="B23" t="s">
        <v>165</v>
      </c>
      <c r="C23" s="5">
        <v>364806.40000000002</v>
      </c>
      <c r="D23" s="5">
        <v>477411.07</v>
      </c>
      <c r="E23" s="5">
        <v>0</v>
      </c>
      <c r="F23" s="5">
        <v>112604.67</v>
      </c>
    </row>
    <row r="24" spans="1:6">
      <c r="A24" s="553" t="s">
        <v>771</v>
      </c>
      <c r="B24" t="s">
        <v>478</v>
      </c>
      <c r="C24" s="5">
        <v>710.32</v>
      </c>
      <c r="D24" s="5">
        <v>34216.49</v>
      </c>
      <c r="E24" s="5">
        <v>0</v>
      </c>
      <c r="F24" s="5">
        <v>33506.17</v>
      </c>
    </row>
    <row r="25" spans="1:6">
      <c r="A25" s="553" t="s">
        <v>772</v>
      </c>
      <c r="B25" t="s">
        <v>773</v>
      </c>
      <c r="C25" s="5">
        <v>0</v>
      </c>
      <c r="D25" s="5">
        <v>5712</v>
      </c>
      <c r="E25" s="5">
        <v>0</v>
      </c>
      <c r="F25" s="5">
        <v>5712</v>
      </c>
    </row>
    <row r="26" spans="1:6">
      <c r="A26" s="553" t="s">
        <v>774</v>
      </c>
      <c r="B26" t="s">
        <v>775</v>
      </c>
      <c r="C26" s="5">
        <v>4591</v>
      </c>
      <c r="D26" s="5">
        <v>7882</v>
      </c>
      <c r="E26" s="5">
        <v>0</v>
      </c>
      <c r="F26" s="5">
        <v>3291</v>
      </c>
    </row>
    <row r="27" spans="1:6">
      <c r="A27" s="553" t="s">
        <v>776</v>
      </c>
      <c r="B27" t="s">
        <v>23</v>
      </c>
      <c r="C27" s="5">
        <v>0</v>
      </c>
      <c r="D27" s="5">
        <v>19463.009999999998</v>
      </c>
      <c r="E27" s="5">
        <v>0</v>
      </c>
      <c r="F27" s="5">
        <v>19463.009999999998</v>
      </c>
    </row>
    <row r="28" spans="1:6">
      <c r="A28" s="553" t="s">
        <v>777</v>
      </c>
      <c r="B28" t="s">
        <v>778</v>
      </c>
      <c r="C28" s="5">
        <v>0</v>
      </c>
      <c r="D28" s="5">
        <v>1512.6</v>
      </c>
      <c r="E28" s="5">
        <v>0</v>
      </c>
      <c r="F28" s="5">
        <v>1512.6</v>
      </c>
    </row>
    <row r="29" spans="1:6">
      <c r="A29" s="553" t="s">
        <v>779</v>
      </c>
      <c r="B29" t="s">
        <v>780</v>
      </c>
      <c r="C29" s="5">
        <v>238422046.84</v>
      </c>
      <c r="D29" s="5">
        <v>236307877.06999999</v>
      </c>
      <c r="E29" s="5">
        <v>2114169.77</v>
      </c>
      <c r="F29" s="5">
        <v>0</v>
      </c>
    </row>
    <row r="30" spans="1:6">
      <c r="A30" s="553" t="s">
        <v>781</v>
      </c>
      <c r="B30" t="s">
        <v>782</v>
      </c>
      <c r="C30" s="5">
        <v>1470697.14</v>
      </c>
      <c r="D30" s="5">
        <v>364806.40000000002</v>
      </c>
      <c r="E30" s="5">
        <v>1105890.74</v>
      </c>
      <c r="F30">
        <v>0</v>
      </c>
    </row>
    <row r="31" spans="1:6">
      <c r="A31" s="553" t="s">
        <v>783</v>
      </c>
      <c r="B31" t="s">
        <v>595</v>
      </c>
      <c r="C31" s="5">
        <v>1512.6</v>
      </c>
      <c r="D31" s="5">
        <v>0</v>
      </c>
      <c r="E31" s="5">
        <v>1512.6</v>
      </c>
      <c r="F31">
        <v>0</v>
      </c>
    </row>
    <row r="32" spans="1:6">
      <c r="A32" s="553" t="s">
        <v>784</v>
      </c>
      <c r="B32" t="s">
        <v>785</v>
      </c>
      <c r="C32" s="5">
        <v>5712</v>
      </c>
      <c r="D32" s="5">
        <v>0</v>
      </c>
      <c r="E32" s="5">
        <v>5712</v>
      </c>
      <c r="F32">
        <v>0</v>
      </c>
    </row>
    <row r="33" spans="1:6">
      <c r="A33" s="553" t="s">
        <v>786</v>
      </c>
      <c r="B33" t="s">
        <v>787</v>
      </c>
      <c r="C33" s="5">
        <v>12473</v>
      </c>
      <c r="D33" s="5">
        <v>4591</v>
      </c>
      <c r="E33" s="5">
        <v>7882</v>
      </c>
      <c r="F33" s="5">
        <v>0</v>
      </c>
    </row>
    <row r="34" spans="1:6">
      <c r="A34" s="553" t="s">
        <v>788</v>
      </c>
      <c r="B34" t="s">
        <v>789</v>
      </c>
      <c r="C34" s="5">
        <v>19463.009999999998</v>
      </c>
      <c r="D34" s="5">
        <v>0</v>
      </c>
      <c r="E34" s="5">
        <v>19463.009999999998</v>
      </c>
      <c r="F34" s="5">
        <v>0</v>
      </c>
    </row>
    <row r="35" spans="1:6">
      <c r="A35" s="553" t="s">
        <v>790</v>
      </c>
      <c r="B35" t="s">
        <v>452</v>
      </c>
      <c r="C35" s="5">
        <v>8506.17</v>
      </c>
      <c r="D35" s="5">
        <v>0</v>
      </c>
      <c r="E35" s="5">
        <v>8506.17</v>
      </c>
      <c r="F35" s="5">
        <v>0</v>
      </c>
    </row>
    <row r="36" spans="1:6">
      <c r="A36" s="553" t="s">
        <v>791</v>
      </c>
      <c r="B36" t="s">
        <v>792</v>
      </c>
      <c r="C36" s="5">
        <v>0</v>
      </c>
      <c r="D36" s="5">
        <v>90591.11</v>
      </c>
      <c r="E36" s="5">
        <v>0</v>
      </c>
      <c r="F36" s="5">
        <v>90591.11</v>
      </c>
    </row>
    <row r="37" spans="1:6">
      <c r="A37" s="553" t="s">
        <v>793</v>
      </c>
      <c r="B37" t="s">
        <v>794</v>
      </c>
      <c r="C37" s="5">
        <v>695934.25</v>
      </c>
      <c r="D37" s="5">
        <v>2408153.4300000002</v>
      </c>
      <c r="E37" s="5">
        <v>0</v>
      </c>
      <c r="F37" s="5">
        <v>1712219.18</v>
      </c>
    </row>
    <row r="38" spans="1:6">
      <c r="A38" s="553" t="s">
        <v>795</v>
      </c>
      <c r="B38" t="s">
        <v>796</v>
      </c>
      <c r="C38">
        <v>0</v>
      </c>
      <c r="D38" s="5">
        <v>247916.67</v>
      </c>
      <c r="E38">
        <v>0</v>
      </c>
      <c r="F38" s="5">
        <v>247916.67</v>
      </c>
    </row>
    <row r="39" spans="1:6">
      <c r="A39" s="553" t="s">
        <v>797</v>
      </c>
      <c r="B39" t="s">
        <v>798</v>
      </c>
      <c r="C39">
        <v>0</v>
      </c>
      <c r="D39" s="5">
        <v>5507.44</v>
      </c>
      <c r="E39">
        <v>0</v>
      </c>
      <c r="F39" s="5">
        <v>5507.44</v>
      </c>
    </row>
    <row r="40" spans="1:6">
      <c r="A40" s="553" t="s">
        <v>799</v>
      </c>
      <c r="B40" t="s">
        <v>800</v>
      </c>
      <c r="C40">
        <v>0</v>
      </c>
      <c r="D40" s="5">
        <v>67943.33</v>
      </c>
      <c r="E40">
        <v>0</v>
      </c>
      <c r="F40" s="5">
        <v>67943.33</v>
      </c>
    </row>
    <row r="41" spans="1:6">
      <c r="A41" s="553" t="s">
        <v>801</v>
      </c>
      <c r="B41" t="s">
        <v>802</v>
      </c>
      <c r="C41">
        <v>0</v>
      </c>
      <c r="D41" s="5">
        <v>226840.18</v>
      </c>
      <c r="E41">
        <v>0</v>
      </c>
      <c r="F41" s="5">
        <v>226840.18</v>
      </c>
    </row>
    <row r="42" spans="1:6">
      <c r="A42" s="553"/>
      <c r="C42" s="5"/>
      <c r="D42" s="5"/>
      <c r="F42" s="5"/>
    </row>
    <row r="43" spans="1:6">
      <c r="A43" s="553"/>
    </row>
    <row r="44" spans="1:6">
      <c r="A44" s="553"/>
      <c r="C44" s="5"/>
      <c r="D44" s="5"/>
      <c r="F44" s="5"/>
    </row>
    <row r="45" spans="1:6">
      <c r="A45" s="553"/>
      <c r="C45" s="5"/>
      <c r="D45" s="5"/>
    </row>
    <row r="46" spans="1:6">
      <c r="A46" s="553"/>
      <c r="C46" s="5"/>
      <c r="D46" s="5"/>
      <c r="F46" s="5"/>
    </row>
    <row r="47" spans="1:6">
      <c r="A47" s="553"/>
      <c r="C47" s="5"/>
      <c r="D47" s="5"/>
      <c r="E47" s="5"/>
    </row>
    <row r="48" spans="1:6">
      <c r="A48" s="553"/>
      <c r="C48" s="5"/>
      <c r="E48" s="5"/>
    </row>
    <row r="49" spans="1:6">
      <c r="A49" s="553"/>
      <c r="D49" s="5"/>
      <c r="F49" s="5"/>
    </row>
    <row r="50" spans="1:6">
      <c r="A50" s="553"/>
      <c r="C50" s="5"/>
      <c r="D50" s="5"/>
      <c r="E50" s="5"/>
    </row>
    <row r="51" spans="1:6">
      <c r="A51" s="553"/>
      <c r="C51" s="5"/>
      <c r="D51" s="5"/>
      <c r="E51" s="5"/>
    </row>
    <row r="52" spans="1:6">
      <c r="A52" s="553"/>
      <c r="C52" s="5"/>
      <c r="D52" s="5"/>
      <c r="E52" s="5"/>
    </row>
    <row r="53" spans="1:6">
      <c r="A53" s="553"/>
      <c r="C53" s="5"/>
      <c r="D53" s="5"/>
      <c r="E53" s="5"/>
    </row>
    <row r="54" spans="1:6">
      <c r="A54" s="553"/>
      <c r="C54" s="5"/>
      <c r="D54" s="5"/>
      <c r="E54" s="5"/>
    </row>
    <row r="55" spans="1:6">
      <c r="A55" s="553"/>
      <c r="C55" s="5"/>
      <c r="D55" s="5"/>
      <c r="E55" s="5"/>
    </row>
    <row r="56" spans="1:6">
      <c r="A56" s="553"/>
      <c r="C56" s="5"/>
      <c r="D56" s="5"/>
      <c r="E56" s="5"/>
    </row>
    <row r="57" spans="1:6">
      <c r="A57" s="553"/>
      <c r="D57" s="5"/>
      <c r="F57" s="5"/>
    </row>
    <row r="58" spans="1:6">
      <c r="A58" s="553"/>
    </row>
    <row r="59" spans="1:6">
      <c r="A59" s="553"/>
      <c r="D59" s="5"/>
      <c r="F59" s="5"/>
    </row>
    <row r="60" spans="1:6">
      <c r="A60" s="553"/>
      <c r="C60" s="5"/>
      <c r="D60" s="5"/>
      <c r="E60" s="5"/>
    </row>
    <row r="61" spans="1:6">
      <c r="A61" s="553"/>
      <c r="C61" s="5"/>
      <c r="D61" s="5"/>
      <c r="F61" s="5"/>
    </row>
    <row r="62" spans="1:6">
      <c r="A62" s="553"/>
    </row>
    <row r="63" spans="1:6">
      <c r="A63" s="553"/>
    </row>
    <row r="64" spans="1:6">
      <c r="A64" s="553"/>
    </row>
    <row r="65" spans="1:1">
      <c r="A65" s="553"/>
    </row>
    <row r="66" spans="1:1">
      <c r="A66" s="553"/>
    </row>
    <row r="67" spans="1:1">
      <c r="A67" s="553"/>
    </row>
    <row r="68" spans="1:1">
      <c r="A68" s="553"/>
    </row>
    <row r="69" spans="1:1">
      <c r="A69" s="553"/>
    </row>
    <row r="70" spans="1:1">
      <c r="A70" s="553"/>
    </row>
    <row r="71" spans="1:1">
      <c r="A71" s="553"/>
    </row>
    <row r="72" spans="1:1">
      <c r="A72" s="553"/>
    </row>
    <row r="73" spans="1:1">
      <c r="A73" s="553"/>
    </row>
    <row r="74" spans="1:1">
      <c r="A74" s="553"/>
    </row>
    <row r="75" spans="1:1">
      <c r="A75" s="553"/>
    </row>
    <row r="76" spans="1:1">
      <c r="A76" s="553"/>
    </row>
    <row r="77" spans="1:1">
      <c r="A77" s="553"/>
    </row>
    <row r="78" spans="1:1">
      <c r="A78" s="553"/>
    </row>
    <row r="79" spans="1:1">
      <c r="A79" s="553"/>
    </row>
    <row r="80" spans="1:1">
      <c r="A80" s="55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7D1F-B985-404B-94F3-896C4DBE128F}">
  <dimension ref="A1:J243"/>
  <sheetViews>
    <sheetView workbookViewId="0">
      <selection activeCell="L30" sqref="L30"/>
    </sheetView>
  </sheetViews>
  <sheetFormatPr defaultColWidth="11.42578125" defaultRowHeight="12.75"/>
  <cols>
    <col min="1" max="1" width="49.42578125" bestFit="1" customWidth="1"/>
    <col min="2" max="2" width="10.42578125" bestFit="1" customWidth="1"/>
    <col min="3" max="3" width="13.7109375" bestFit="1" customWidth="1"/>
    <col min="4" max="4" width="13.5703125" bestFit="1" customWidth="1"/>
    <col min="5" max="5" width="45.42578125" bestFit="1" customWidth="1"/>
    <col min="6" max="7" width="15.7109375" bestFit="1" customWidth="1"/>
    <col min="8" max="8" width="2.140625" bestFit="1" customWidth="1"/>
    <col min="9" max="10" width="15.7109375" bestFit="1" customWidth="1"/>
  </cols>
  <sheetData>
    <row r="1" spans="1:10" ht="15">
      <c r="A1" s="892" t="s">
        <v>803</v>
      </c>
      <c r="B1" s="892"/>
      <c r="C1" s="892"/>
      <c r="D1" s="892"/>
      <c r="E1" s="892"/>
      <c r="F1" s="892" t="s">
        <v>740</v>
      </c>
      <c r="G1" s="892" t="s">
        <v>741</v>
      </c>
      <c r="H1" s="892"/>
      <c r="I1" s="892" t="s">
        <v>742</v>
      </c>
      <c r="J1" s="892" t="s">
        <v>743</v>
      </c>
    </row>
    <row r="2" spans="1:10" ht="15">
      <c r="A2" s="892"/>
      <c r="B2" s="893">
        <v>45726</v>
      </c>
      <c r="C2" s="892" t="s">
        <v>804</v>
      </c>
      <c r="D2" s="892" t="s">
        <v>805</v>
      </c>
      <c r="E2" s="892" t="s">
        <v>806</v>
      </c>
      <c r="F2" s="892">
        <v>0</v>
      </c>
      <c r="G2" s="894">
        <v>303040500</v>
      </c>
      <c r="H2" s="892"/>
      <c r="I2" s="892">
        <v>0</v>
      </c>
      <c r="J2" s="894">
        <v>303040500</v>
      </c>
    </row>
    <row r="3" spans="1:10" ht="15">
      <c r="A3" s="892"/>
      <c r="B3" s="893">
        <v>45726</v>
      </c>
      <c r="C3" s="892" t="s">
        <v>804</v>
      </c>
      <c r="D3" s="892" t="s">
        <v>807</v>
      </c>
      <c r="E3" s="892" t="s">
        <v>808</v>
      </c>
      <c r="F3" s="892">
        <v>0</v>
      </c>
      <c r="G3" s="894">
        <v>17210000</v>
      </c>
      <c r="H3" s="892"/>
      <c r="I3" s="892">
        <v>0</v>
      </c>
      <c r="J3" s="894">
        <v>320250500</v>
      </c>
    </row>
    <row r="4" spans="1:10" ht="15">
      <c r="A4" s="892"/>
      <c r="B4" s="893">
        <v>45726</v>
      </c>
      <c r="C4" s="892" t="s">
        <v>804</v>
      </c>
      <c r="D4" s="892" t="s">
        <v>809</v>
      </c>
      <c r="E4" s="892" t="s">
        <v>810</v>
      </c>
      <c r="F4" s="892">
        <v>0</v>
      </c>
      <c r="G4" s="894">
        <v>401807100.04000002</v>
      </c>
      <c r="H4" s="892"/>
      <c r="I4" s="892">
        <v>0</v>
      </c>
      <c r="J4" s="894">
        <v>722057600.03999996</v>
      </c>
    </row>
    <row r="5" spans="1:10" ht="15">
      <c r="A5" s="892"/>
      <c r="B5" s="893">
        <v>45861</v>
      </c>
      <c r="C5" s="892" t="s">
        <v>804</v>
      </c>
      <c r="D5" s="892">
        <v>13</v>
      </c>
      <c r="E5" s="892" t="s">
        <v>811</v>
      </c>
      <c r="F5" s="892">
        <v>0</v>
      </c>
      <c r="G5" s="894">
        <v>155000000</v>
      </c>
      <c r="H5" s="892"/>
      <c r="I5" s="892">
        <v>0</v>
      </c>
      <c r="J5" s="894">
        <v>877057600.03999996</v>
      </c>
    </row>
    <row r="6" spans="1:10" ht="15">
      <c r="A6" s="892"/>
      <c r="B6" s="893">
        <v>45930</v>
      </c>
      <c r="C6" s="892" t="s">
        <v>804</v>
      </c>
      <c r="D6" s="892">
        <v>14</v>
      </c>
      <c r="E6" s="892" t="s">
        <v>812</v>
      </c>
      <c r="F6" s="892">
        <v>0</v>
      </c>
      <c r="G6" s="894">
        <v>1564699.96</v>
      </c>
      <c r="H6" s="892"/>
      <c r="I6" s="892">
        <v>0</v>
      </c>
      <c r="J6" s="894">
        <v>878622300</v>
      </c>
    </row>
    <row r="7" spans="1:10" ht="15">
      <c r="A7" s="892"/>
      <c r="B7" s="893">
        <v>45995</v>
      </c>
      <c r="C7" s="892" t="s">
        <v>804</v>
      </c>
      <c r="D7" s="892">
        <v>15</v>
      </c>
      <c r="E7" s="892" t="s">
        <v>813</v>
      </c>
      <c r="F7" s="892">
        <v>0</v>
      </c>
      <c r="G7" s="894">
        <v>64646400</v>
      </c>
      <c r="H7" s="892"/>
      <c r="I7" s="892">
        <v>0</v>
      </c>
      <c r="J7" s="894">
        <v>943268700</v>
      </c>
    </row>
    <row r="8" spans="1:10" ht="15">
      <c r="A8" s="892" t="s">
        <v>814</v>
      </c>
      <c r="B8" s="892"/>
      <c r="C8" s="892"/>
      <c r="D8" s="892"/>
      <c r="E8" s="892"/>
      <c r="F8" s="892">
        <v>0</v>
      </c>
      <c r="G8" s="894">
        <v>943268700</v>
      </c>
      <c r="H8" s="892"/>
      <c r="I8" s="892">
        <v>0</v>
      </c>
      <c r="J8" s="894">
        <v>943268700</v>
      </c>
    </row>
    <row r="9" spans="1:10" ht="15">
      <c r="A9" s="892"/>
      <c r="B9" s="892"/>
      <c r="C9" s="892"/>
      <c r="D9" s="892"/>
      <c r="E9" s="892"/>
      <c r="F9" s="892"/>
      <c r="G9" s="892"/>
      <c r="H9" s="892"/>
      <c r="I9" s="892"/>
      <c r="J9" s="892"/>
    </row>
    <row r="10" spans="1:10" ht="15">
      <c r="A10" s="892" t="s">
        <v>815</v>
      </c>
      <c r="B10" s="892"/>
      <c r="C10" s="892"/>
      <c r="D10" s="892"/>
      <c r="E10" s="892"/>
      <c r="F10" s="892" t="s">
        <v>740</v>
      </c>
      <c r="G10" s="892" t="s">
        <v>741</v>
      </c>
      <c r="H10" s="892"/>
      <c r="I10" s="892" t="s">
        <v>742</v>
      </c>
      <c r="J10" s="892" t="s">
        <v>743</v>
      </c>
    </row>
    <row r="11" spans="1:10" ht="15">
      <c r="A11" s="892"/>
      <c r="B11" s="893">
        <v>45726</v>
      </c>
      <c r="C11" s="892" t="s">
        <v>804</v>
      </c>
      <c r="D11" s="892" t="s">
        <v>816</v>
      </c>
      <c r="E11" s="892" t="s">
        <v>817</v>
      </c>
      <c r="F11" s="892">
        <v>0</v>
      </c>
      <c r="G11" s="894">
        <v>1000</v>
      </c>
      <c r="H11" s="892"/>
      <c r="I11" s="892">
        <v>0</v>
      </c>
      <c r="J11" s="894">
        <v>1000</v>
      </c>
    </row>
    <row r="12" spans="1:10" ht="15">
      <c r="A12" s="892" t="s">
        <v>818</v>
      </c>
      <c r="B12" s="892"/>
      <c r="C12" s="892"/>
      <c r="D12" s="892"/>
      <c r="E12" s="892"/>
      <c r="F12" s="892">
        <v>0</v>
      </c>
      <c r="G12" s="894">
        <v>1000</v>
      </c>
      <c r="H12" s="892"/>
      <c r="I12" s="892">
        <v>0</v>
      </c>
      <c r="J12" s="894">
        <v>1000</v>
      </c>
    </row>
    <row r="13" spans="1:10" ht="15">
      <c r="A13" s="892"/>
      <c r="B13" s="892"/>
      <c r="C13" s="892"/>
      <c r="D13" s="892"/>
      <c r="E13" s="892"/>
      <c r="F13" s="892"/>
      <c r="G13" s="892"/>
      <c r="H13" s="892"/>
      <c r="I13" s="892"/>
      <c r="J13" s="892"/>
    </row>
    <row r="14" spans="1:10" ht="15">
      <c r="A14" s="892" t="s">
        <v>819</v>
      </c>
      <c r="B14" s="892"/>
      <c r="C14" s="892"/>
      <c r="D14" s="892"/>
      <c r="E14" s="892"/>
      <c r="F14" s="892" t="s">
        <v>740</v>
      </c>
      <c r="G14" s="892" t="s">
        <v>741</v>
      </c>
      <c r="H14" s="892"/>
      <c r="I14" s="892" t="s">
        <v>742</v>
      </c>
      <c r="J14" s="892" t="s">
        <v>743</v>
      </c>
    </row>
    <row r="15" spans="1:10" ht="15">
      <c r="A15" s="892"/>
      <c r="B15" s="893">
        <v>45726</v>
      </c>
      <c r="C15" s="892" t="s">
        <v>804</v>
      </c>
      <c r="D15" s="892" t="s">
        <v>805</v>
      </c>
      <c r="E15" s="892" t="s">
        <v>806</v>
      </c>
      <c r="F15" s="894">
        <v>303040500</v>
      </c>
      <c r="G15" s="892">
        <v>0</v>
      </c>
      <c r="H15" s="892"/>
      <c r="I15" s="894">
        <v>303040500</v>
      </c>
      <c r="J15" s="892">
        <v>0</v>
      </c>
    </row>
    <row r="16" spans="1:10" ht="15">
      <c r="A16" s="892"/>
      <c r="B16" s="893">
        <v>45726</v>
      </c>
      <c r="C16" s="892" t="s">
        <v>804</v>
      </c>
      <c r="D16" s="892" t="s">
        <v>807</v>
      </c>
      <c r="E16" s="892" t="s">
        <v>808</v>
      </c>
      <c r="F16" s="894">
        <v>17210000</v>
      </c>
      <c r="G16" s="892">
        <v>0</v>
      </c>
      <c r="H16" s="892"/>
      <c r="I16" s="894">
        <v>320250500</v>
      </c>
      <c r="J16" s="892">
        <v>0</v>
      </c>
    </row>
    <row r="17" spans="1:10" ht="15">
      <c r="A17" s="892"/>
      <c r="B17" s="893">
        <v>45726</v>
      </c>
      <c r="C17" s="892" t="s">
        <v>804</v>
      </c>
      <c r="D17" s="892" t="s">
        <v>809</v>
      </c>
      <c r="E17" s="892" t="s">
        <v>810</v>
      </c>
      <c r="F17" s="894">
        <v>401807100.04000002</v>
      </c>
      <c r="G17" s="892">
        <v>0</v>
      </c>
      <c r="H17" s="892"/>
      <c r="I17" s="894">
        <v>722057600.03999996</v>
      </c>
      <c r="J17" s="892">
        <v>0</v>
      </c>
    </row>
    <row r="18" spans="1:10" ht="15">
      <c r="A18" s="892"/>
      <c r="B18" s="893">
        <v>45861</v>
      </c>
      <c r="C18" s="892" t="s">
        <v>804</v>
      </c>
      <c r="D18" s="892">
        <v>13</v>
      </c>
      <c r="E18" s="892" t="s">
        <v>811</v>
      </c>
      <c r="F18" s="894">
        <v>155000000</v>
      </c>
      <c r="G18" s="892">
        <v>0</v>
      </c>
      <c r="H18" s="892"/>
      <c r="I18" s="894">
        <v>877057600.03999996</v>
      </c>
      <c r="J18" s="892">
        <v>0</v>
      </c>
    </row>
    <row r="19" spans="1:10" ht="15">
      <c r="A19" s="892"/>
      <c r="B19" s="893">
        <v>45930</v>
      </c>
      <c r="C19" s="892" t="s">
        <v>804</v>
      </c>
      <c r="D19" s="892">
        <v>14</v>
      </c>
      <c r="E19" s="892" t="s">
        <v>812</v>
      </c>
      <c r="F19" s="894">
        <v>1564699.96</v>
      </c>
      <c r="G19" s="892">
        <v>0</v>
      </c>
      <c r="H19" s="892"/>
      <c r="I19" s="894">
        <v>878622300</v>
      </c>
      <c r="J19" s="892">
        <v>0</v>
      </c>
    </row>
    <row r="20" spans="1:10" ht="15">
      <c r="A20" s="892"/>
      <c r="B20" s="893">
        <v>45995</v>
      </c>
      <c r="C20" s="892" t="s">
        <v>804</v>
      </c>
      <c r="D20" s="892">
        <v>15</v>
      </c>
      <c r="E20" s="892" t="s">
        <v>813</v>
      </c>
      <c r="F20" s="894">
        <v>64646400</v>
      </c>
      <c r="G20" s="892">
        <v>0</v>
      </c>
      <c r="H20" s="892"/>
      <c r="I20" s="894">
        <v>943268700</v>
      </c>
      <c r="J20" s="892">
        <v>0</v>
      </c>
    </row>
    <row r="21" spans="1:10" ht="15">
      <c r="A21" s="892" t="s">
        <v>820</v>
      </c>
      <c r="B21" s="892"/>
      <c r="C21" s="892"/>
      <c r="D21" s="892"/>
      <c r="E21" s="892"/>
      <c r="F21" s="894">
        <v>943268700</v>
      </c>
      <c r="G21" s="892">
        <v>0</v>
      </c>
      <c r="H21" s="892"/>
      <c r="I21" s="894">
        <v>943268700</v>
      </c>
      <c r="J21" s="892">
        <v>0</v>
      </c>
    </row>
    <row r="22" spans="1:10" ht="15">
      <c r="A22" s="892"/>
      <c r="B22" s="892"/>
      <c r="C22" s="892"/>
      <c r="D22" s="892"/>
      <c r="E22" s="892"/>
      <c r="F22" s="892"/>
      <c r="G22" s="892"/>
      <c r="H22" s="892"/>
      <c r="I22" s="892"/>
      <c r="J22" s="892"/>
    </row>
    <row r="23" spans="1:10" ht="15">
      <c r="A23" s="892" t="s">
        <v>821</v>
      </c>
      <c r="B23" s="892"/>
      <c r="C23" s="892"/>
      <c r="D23" s="892"/>
      <c r="E23" s="892"/>
      <c r="F23" s="892" t="s">
        <v>740</v>
      </c>
      <c r="G23" s="892" t="s">
        <v>741</v>
      </c>
      <c r="H23" s="892"/>
      <c r="I23" s="892" t="s">
        <v>742</v>
      </c>
      <c r="J23" s="892" t="s">
        <v>743</v>
      </c>
    </row>
    <row r="24" spans="1:10" ht="15">
      <c r="A24" s="892"/>
      <c r="B24" s="893">
        <v>45726</v>
      </c>
      <c r="C24" s="892" t="s">
        <v>804</v>
      </c>
      <c r="D24" s="892" t="s">
        <v>816</v>
      </c>
      <c r="E24" s="892" t="s">
        <v>817</v>
      </c>
      <c r="F24" s="894">
        <v>1000</v>
      </c>
      <c r="G24" s="892">
        <v>0</v>
      </c>
      <c r="H24" s="892"/>
      <c r="I24" s="894">
        <v>1000</v>
      </c>
      <c r="J24" s="892">
        <v>0</v>
      </c>
    </row>
    <row r="25" spans="1:10" ht="15">
      <c r="A25" s="892" t="s">
        <v>822</v>
      </c>
      <c r="B25" s="892"/>
      <c r="C25" s="892"/>
      <c r="D25" s="892"/>
      <c r="E25" s="892"/>
      <c r="F25" s="894">
        <v>1000</v>
      </c>
      <c r="G25" s="892">
        <v>0</v>
      </c>
      <c r="H25" s="892"/>
      <c r="I25" s="894">
        <v>1000</v>
      </c>
      <c r="J25" s="892">
        <v>0</v>
      </c>
    </row>
    <row r="26" spans="1:10" ht="15">
      <c r="A26" s="892"/>
      <c r="B26" s="892"/>
      <c r="C26" s="892"/>
      <c r="D26" s="892"/>
      <c r="E26" s="892"/>
      <c r="F26" s="892"/>
      <c r="G26" s="892"/>
      <c r="H26" s="892"/>
      <c r="I26" s="892"/>
      <c r="J26" s="892"/>
    </row>
    <row r="27" spans="1:10" ht="15">
      <c r="A27" s="892" t="s">
        <v>823</v>
      </c>
      <c r="B27" s="892"/>
      <c r="C27" s="892"/>
      <c r="D27" s="892"/>
      <c r="E27" s="892"/>
      <c r="F27" s="892" t="s">
        <v>740</v>
      </c>
      <c r="G27" s="892" t="s">
        <v>741</v>
      </c>
      <c r="H27" s="892"/>
      <c r="I27" s="892" t="s">
        <v>742</v>
      </c>
      <c r="J27" s="892" t="s">
        <v>743</v>
      </c>
    </row>
    <row r="28" spans="1:10" ht="15">
      <c r="A28" s="892"/>
      <c r="B28" s="893">
        <v>45726</v>
      </c>
      <c r="C28" s="892" t="s">
        <v>824</v>
      </c>
      <c r="D28" s="892">
        <v>1</v>
      </c>
      <c r="E28" s="892" t="s">
        <v>825</v>
      </c>
      <c r="F28" s="892">
        <v>0</v>
      </c>
      <c r="G28" s="892">
        <v>2</v>
      </c>
      <c r="H28" s="892"/>
      <c r="I28" s="892">
        <v>0</v>
      </c>
      <c r="J28" s="892">
        <v>2</v>
      </c>
    </row>
    <row r="29" spans="1:10" ht="15">
      <c r="A29" s="892"/>
      <c r="B29" s="893">
        <v>46020</v>
      </c>
      <c r="C29" s="892" t="s">
        <v>824</v>
      </c>
      <c r="D29" s="892" t="s">
        <v>826</v>
      </c>
      <c r="E29" s="892" t="s">
        <v>827</v>
      </c>
      <c r="F29" s="892">
        <v>0</v>
      </c>
      <c r="G29" s="894">
        <v>1246034.3999999999</v>
      </c>
      <c r="H29" s="892"/>
      <c r="I29" s="892">
        <v>0</v>
      </c>
      <c r="J29" s="894">
        <v>1246036.3999999999</v>
      </c>
    </row>
    <row r="30" spans="1:10" ht="15">
      <c r="A30" s="892"/>
      <c r="B30" s="893">
        <v>46020</v>
      </c>
      <c r="C30" s="892" t="s">
        <v>824</v>
      </c>
      <c r="D30" s="892" t="s">
        <v>826</v>
      </c>
      <c r="E30" s="892" t="s">
        <v>828</v>
      </c>
      <c r="F30" s="892">
        <v>0</v>
      </c>
      <c r="G30" s="894">
        <v>606081</v>
      </c>
      <c r="H30" s="892"/>
      <c r="I30" s="892">
        <v>0</v>
      </c>
      <c r="J30" s="894">
        <v>1852117.4</v>
      </c>
    </row>
    <row r="31" spans="1:10" ht="15">
      <c r="A31" s="892"/>
      <c r="B31" s="893">
        <v>46020</v>
      </c>
      <c r="C31" s="892" t="s">
        <v>824</v>
      </c>
      <c r="D31" s="892" t="s">
        <v>826</v>
      </c>
      <c r="E31" s="892" t="s">
        <v>829</v>
      </c>
      <c r="F31" s="892">
        <v>0</v>
      </c>
      <c r="G31" s="894">
        <v>34420</v>
      </c>
      <c r="H31" s="892"/>
      <c r="I31" s="892">
        <v>0</v>
      </c>
      <c r="J31" s="894">
        <v>1886537.4</v>
      </c>
    </row>
    <row r="32" spans="1:10" ht="15">
      <c r="A32" s="892"/>
      <c r="B32" s="893">
        <v>46020</v>
      </c>
      <c r="C32" s="892" t="s">
        <v>824</v>
      </c>
      <c r="D32" s="892" t="s">
        <v>830</v>
      </c>
      <c r="E32" s="892" t="s">
        <v>827</v>
      </c>
      <c r="F32" s="892">
        <v>0</v>
      </c>
      <c r="G32" s="894">
        <v>57462445.149999999</v>
      </c>
      <c r="H32" s="892"/>
      <c r="I32" s="892">
        <v>0</v>
      </c>
      <c r="J32" s="894">
        <v>59348982.549999997</v>
      </c>
    </row>
    <row r="33" spans="1:10" ht="15">
      <c r="A33" s="892"/>
      <c r="B33" s="893">
        <v>46020</v>
      </c>
      <c r="C33" s="892" t="s">
        <v>824</v>
      </c>
      <c r="D33" s="892" t="s">
        <v>830</v>
      </c>
      <c r="E33" s="892" t="s">
        <v>828</v>
      </c>
      <c r="F33" s="892">
        <v>0</v>
      </c>
      <c r="G33" s="894">
        <v>27950143.530000001</v>
      </c>
      <c r="H33" s="892"/>
      <c r="I33" s="892">
        <v>0</v>
      </c>
      <c r="J33" s="894">
        <v>87299126.079999998</v>
      </c>
    </row>
    <row r="34" spans="1:10" ht="15">
      <c r="A34" s="892"/>
      <c r="B34" s="893">
        <v>46020</v>
      </c>
      <c r="C34" s="892" t="s">
        <v>824</v>
      </c>
      <c r="D34" s="892" t="s">
        <v>830</v>
      </c>
      <c r="E34" s="892" t="s">
        <v>829</v>
      </c>
      <c r="F34" s="892">
        <v>0</v>
      </c>
      <c r="G34" s="894">
        <v>1587319.09</v>
      </c>
      <c r="H34" s="892"/>
      <c r="I34" s="892">
        <v>0</v>
      </c>
      <c r="J34" s="894">
        <v>88886445.170000002</v>
      </c>
    </row>
    <row r="35" spans="1:10" ht="15">
      <c r="A35" s="892" t="s">
        <v>831</v>
      </c>
      <c r="B35" s="892"/>
      <c r="C35" s="892"/>
      <c r="D35" s="892"/>
      <c r="E35" s="892"/>
      <c r="F35" s="892">
        <v>0</v>
      </c>
      <c r="G35" s="894">
        <v>88886445.170000002</v>
      </c>
      <c r="H35" s="892"/>
      <c r="I35" s="892">
        <v>0</v>
      </c>
      <c r="J35" s="894">
        <v>88886445.170000002</v>
      </c>
    </row>
    <row r="36" spans="1:10" ht="15">
      <c r="A36" s="892"/>
      <c r="B36" s="892"/>
      <c r="C36" s="892"/>
      <c r="D36" s="892"/>
      <c r="E36" s="892"/>
      <c r="F36" s="892"/>
      <c r="G36" s="892"/>
      <c r="H36" s="892"/>
      <c r="I36" s="892"/>
      <c r="J36" s="892"/>
    </row>
    <row r="37" spans="1:10" ht="15">
      <c r="A37" s="892" t="s">
        <v>832</v>
      </c>
      <c r="B37" s="892"/>
      <c r="C37" s="892"/>
      <c r="D37" s="892"/>
      <c r="E37" s="892"/>
      <c r="F37" s="892" t="s">
        <v>740</v>
      </c>
      <c r="G37" s="892" t="s">
        <v>741</v>
      </c>
      <c r="H37" s="892"/>
      <c r="I37" s="892" t="s">
        <v>742</v>
      </c>
      <c r="J37" s="892" t="s">
        <v>743</v>
      </c>
    </row>
    <row r="38" spans="1:10" ht="15">
      <c r="A38" s="892"/>
      <c r="B38" s="893">
        <v>45726</v>
      </c>
      <c r="C38" s="892" t="s">
        <v>824</v>
      </c>
      <c r="D38" s="892">
        <v>2</v>
      </c>
      <c r="E38" s="892" t="s">
        <v>833</v>
      </c>
      <c r="F38" s="892">
        <v>0</v>
      </c>
      <c r="G38" s="892">
        <v>2</v>
      </c>
      <c r="H38" s="892"/>
      <c r="I38" s="892">
        <v>0</v>
      </c>
      <c r="J38" s="892">
        <v>2</v>
      </c>
    </row>
    <row r="39" spans="1:10" ht="15">
      <c r="A39" s="892"/>
      <c r="B39" s="893">
        <v>46020</v>
      </c>
      <c r="C39" s="892" t="s">
        <v>824</v>
      </c>
      <c r="D39" s="892" t="s">
        <v>830</v>
      </c>
      <c r="E39" s="892" t="s">
        <v>834</v>
      </c>
      <c r="F39" s="892">
        <v>0</v>
      </c>
      <c r="G39" s="892">
        <v>92.23</v>
      </c>
      <c r="H39" s="892"/>
      <c r="I39" s="892">
        <v>0</v>
      </c>
      <c r="J39" s="892">
        <v>94.23</v>
      </c>
    </row>
    <row r="40" spans="1:10" ht="15">
      <c r="A40" s="892" t="s">
        <v>835</v>
      </c>
      <c r="B40" s="892"/>
      <c r="C40" s="892"/>
      <c r="D40" s="892"/>
      <c r="E40" s="892"/>
      <c r="F40" s="892">
        <v>0</v>
      </c>
      <c r="G40" s="892">
        <v>94.23</v>
      </c>
      <c r="H40" s="892"/>
      <c r="I40" s="892">
        <v>0</v>
      </c>
      <c r="J40" s="892">
        <v>94.23</v>
      </c>
    </row>
    <row r="41" spans="1:10" ht="15">
      <c r="A41" s="892"/>
      <c r="B41" s="892"/>
      <c r="C41" s="892"/>
      <c r="D41" s="892"/>
      <c r="E41" s="892"/>
      <c r="F41" s="892"/>
      <c r="G41" s="892"/>
      <c r="H41" s="892"/>
      <c r="I41" s="892"/>
      <c r="J41" s="892"/>
    </row>
    <row r="42" spans="1:10" ht="15">
      <c r="A42" s="892" t="s">
        <v>836</v>
      </c>
      <c r="B42" s="892"/>
      <c r="C42" s="892"/>
      <c r="D42" s="892"/>
      <c r="E42" s="892"/>
      <c r="F42" s="892" t="s">
        <v>740</v>
      </c>
      <c r="G42" s="892" t="s">
        <v>741</v>
      </c>
      <c r="H42" s="892"/>
      <c r="I42" s="892" t="s">
        <v>742</v>
      </c>
      <c r="J42" s="892" t="s">
        <v>743</v>
      </c>
    </row>
    <row r="43" spans="1:10" ht="15">
      <c r="A43" s="892"/>
      <c r="B43" s="893">
        <v>45930</v>
      </c>
      <c r="C43" s="892" t="s">
        <v>804</v>
      </c>
      <c r="D43" s="892">
        <v>7</v>
      </c>
      <c r="E43" s="892" t="s">
        <v>695</v>
      </c>
      <c r="F43" s="892">
        <v>710.32</v>
      </c>
      <c r="G43" s="892">
        <v>0</v>
      </c>
      <c r="H43" s="892"/>
      <c r="I43" s="892">
        <v>710.32</v>
      </c>
      <c r="J43" s="892">
        <v>0</v>
      </c>
    </row>
    <row r="44" spans="1:10" ht="15">
      <c r="A44" s="892"/>
      <c r="B44" s="893">
        <v>45930</v>
      </c>
      <c r="C44" s="892" t="s">
        <v>804</v>
      </c>
      <c r="D44" s="892">
        <v>12</v>
      </c>
      <c r="E44" s="892" t="s">
        <v>479</v>
      </c>
      <c r="F44" s="894">
        <v>25000</v>
      </c>
      <c r="G44" s="892">
        <v>0</v>
      </c>
      <c r="H44" s="892"/>
      <c r="I44" s="894">
        <v>25710.32</v>
      </c>
      <c r="J44" s="892">
        <v>0</v>
      </c>
    </row>
    <row r="45" spans="1:10" ht="15">
      <c r="A45" s="892"/>
      <c r="B45" s="893">
        <v>45931</v>
      </c>
      <c r="C45" s="892" t="s">
        <v>804</v>
      </c>
      <c r="D45" s="892">
        <v>18</v>
      </c>
      <c r="E45" s="892" t="s">
        <v>837</v>
      </c>
      <c r="F45" s="894">
        <v>0</v>
      </c>
      <c r="G45" s="892">
        <v>710.32</v>
      </c>
      <c r="H45" s="892"/>
      <c r="I45" s="894">
        <v>25000</v>
      </c>
      <c r="J45" s="892">
        <v>0</v>
      </c>
    </row>
    <row r="46" spans="1:10" ht="15">
      <c r="A46" s="892" t="s">
        <v>838</v>
      </c>
      <c r="B46" s="892"/>
      <c r="C46" s="892"/>
      <c r="D46" s="892"/>
      <c r="E46" s="892"/>
      <c r="F46" s="894">
        <v>25710.32</v>
      </c>
      <c r="G46" s="892">
        <v>710.32</v>
      </c>
      <c r="H46" s="892"/>
      <c r="I46" s="894">
        <v>25000</v>
      </c>
      <c r="J46" s="892">
        <v>0</v>
      </c>
    </row>
    <row r="47" spans="1:10" ht="15">
      <c r="A47" s="892"/>
      <c r="B47" s="892"/>
      <c r="C47" s="892"/>
      <c r="D47" s="892"/>
      <c r="E47" s="892"/>
      <c r="F47" s="892"/>
      <c r="G47" s="892"/>
      <c r="H47" s="892"/>
      <c r="I47" s="892"/>
      <c r="J47" s="892"/>
    </row>
    <row r="48" spans="1:10" ht="15">
      <c r="A48" s="892" t="s">
        <v>839</v>
      </c>
      <c r="B48" s="893"/>
      <c r="C48" s="892"/>
      <c r="D48" s="892"/>
      <c r="E48" s="892"/>
      <c r="F48" s="894" t="s">
        <v>740</v>
      </c>
      <c r="G48" s="892" t="s">
        <v>741</v>
      </c>
      <c r="H48" s="892"/>
      <c r="I48" s="894" t="s">
        <v>742</v>
      </c>
      <c r="J48" s="892" t="s">
        <v>743</v>
      </c>
    </row>
    <row r="49" spans="1:10" ht="15">
      <c r="A49" s="892"/>
      <c r="B49" s="893">
        <v>45986</v>
      </c>
      <c r="C49" s="892" t="s">
        <v>824</v>
      </c>
      <c r="D49" s="892" t="s">
        <v>840</v>
      </c>
      <c r="E49" s="892" t="s">
        <v>841</v>
      </c>
      <c r="F49" s="894">
        <v>87200</v>
      </c>
      <c r="G49" s="892">
        <v>0</v>
      </c>
      <c r="H49" s="892"/>
      <c r="I49" s="894">
        <v>87200</v>
      </c>
      <c r="J49" s="892">
        <v>0</v>
      </c>
    </row>
    <row r="50" spans="1:10" ht="15">
      <c r="A50" s="892"/>
      <c r="B50" s="893">
        <v>45986</v>
      </c>
      <c r="C50" s="892" t="s">
        <v>824</v>
      </c>
      <c r="D50" s="892" t="s">
        <v>840</v>
      </c>
      <c r="E50" s="892" t="s">
        <v>842</v>
      </c>
      <c r="F50" s="894">
        <v>8632800</v>
      </c>
      <c r="G50" s="892">
        <v>0</v>
      </c>
      <c r="H50" s="892"/>
      <c r="I50" s="894">
        <v>8720000</v>
      </c>
      <c r="J50" s="892">
        <v>0</v>
      </c>
    </row>
    <row r="51" spans="1:10" ht="15">
      <c r="A51" s="892" t="s">
        <v>843</v>
      </c>
      <c r="B51" s="892"/>
      <c r="C51" s="892"/>
      <c r="D51" s="892"/>
      <c r="E51" s="892"/>
      <c r="F51" s="894">
        <v>8720000</v>
      </c>
      <c r="G51" s="892">
        <v>0</v>
      </c>
      <c r="H51" s="892"/>
      <c r="I51" s="894">
        <v>8720000</v>
      </c>
      <c r="J51" s="892">
        <v>0</v>
      </c>
    </row>
    <row r="52" spans="1:10" ht="15">
      <c r="A52" s="892"/>
      <c r="B52" s="892"/>
      <c r="C52" s="892"/>
      <c r="D52" s="892"/>
      <c r="E52" s="892"/>
      <c r="F52" s="892"/>
      <c r="G52" s="892"/>
      <c r="H52" s="892"/>
      <c r="I52" s="892"/>
      <c r="J52" s="892"/>
    </row>
    <row r="53" spans="1:10" ht="15">
      <c r="A53" s="892" t="s">
        <v>844</v>
      </c>
      <c r="B53" s="893"/>
      <c r="C53" s="892"/>
      <c r="D53" s="892"/>
      <c r="E53" s="892"/>
      <c r="F53" s="894" t="s">
        <v>740</v>
      </c>
      <c r="G53" s="892" t="s">
        <v>741</v>
      </c>
      <c r="H53" s="892"/>
      <c r="I53" s="894" t="s">
        <v>742</v>
      </c>
      <c r="J53" s="892" t="s">
        <v>743</v>
      </c>
    </row>
    <row r="54" spans="1:10" ht="15">
      <c r="A54" s="892"/>
      <c r="B54" s="893">
        <v>45863</v>
      </c>
      <c r="C54" s="892" t="s">
        <v>824</v>
      </c>
      <c r="D54" s="892" t="s">
        <v>845</v>
      </c>
      <c r="E54" s="892" t="s">
        <v>846</v>
      </c>
      <c r="F54" s="894">
        <v>40320000</v>
      </c>
      <c r="G54" s="892">
        <v>0</v>
      </c>
      <c r="H54" s="892"/>
      <c r="I54" s="894">
        <v>40320000</v>
      </c>
      <c r="J54" s="892">
        <v>0</v>
      </c>
    </row>
    <row r="55" spans="1:10" ht="15">
      <c r="A55" s="892" t="s">
        <v>847</v>
      </c>
      <c r="B55" s="892"/>
      <c r="C55" s="892"/>
      <c r="D55" s="892"/>
      <c r="E55" s="892"/>
      <c r="F55" s="894">
        <v>40320000</v>
      </c>
      <c r="G55" s="892">
        <v>0</v>
      </c>
      <c r="H55" s="892"/>
      <c r="I55" s="894">
        <v>40320000</v>
      </c>
      <c r="J55" s="892">
        <v>0</v>
      </c>
    </row>
    <row r="56" spans="1:10" ht="15">
      <c r="A56" s="892"/>
      <c r="B56" s="892"/>
      <c r="C56" s="892"/>
      <c r="D56" s="892"/>
      <c r="E56" s="892"/>
      <c r="F56" s="892"/>
      <c r="G56" s="892"/>
      <c r="H56" s="892"/>
      <c r="I56" s="892"/>
      <c r="J56" s="892"/>
    </row>
    <row r="57" spans="1:10" ht="15">
      <c r="A57" s="892" t="s">
        <v>848</v>
      </c>
      <c r="B57" s="893"/>
      <c r="C57" s="892"/>
      <c r="D57" s="892"/>
      <c r="E57" s="892"/>
      <c r="F57" s="894" t="s">
        <v>740</v>
      </c>
      <c r="G57" s="892" t="s">
        <v>741</v>
      </c>
      <c r="H57" s="892"/>
      <c r="I57" s="894" t="s">
        <v>742</v>
      </c>
      <c r="J57" s="892" t="s">
        <v>743</v>
      </c>
    </row>
    <row r="58" spans="1:10" ht="15">
      <c r="A58" s="892"/>
      <c r="B58" s="893">
        <v>45986</v>
      </c>
      <c r="C58" s="892" t="s">
        <v>824</v>
      </c>
      <c r="D58" s="892" t="s">
        <v>840</v>
      </c>
      <c r="E58" s="892" t="s">
        <v>849</v>
      </c>
      <c r="F58" s="894">
        <v>3200</v>
      </c>
      <c r="G58" s="892">
        <v>0</v>
      </c>
      <c r="H58" s="892"/>
      <c r="I58" s="894">
        <v>3200</v>
      </c>
      <c r="J58" s="892">
        <v>0</v>
      </c>
    </row>
    <row r="59" spans="1:10" ht="15">
      <c r="A59" s="892"/>
      <c r="B59" s="893">
        <v>45986</v>
      </c>
      <c r="C59" s="892" t="s">
        <v>824</v>
      </c>
      <c r="D59" s="892" t="s">
        <v>840</v>
      </c>
      <c r="E59" s="892" t="s">
        <v>850</v>
      </c>
      <c r="F59" s="894">
        <v>26156800</v>
      </c>
      <c r="G59" s="892">
        <v>0</v>
      </c>
      <c r="H59" s="892"/>
      <c r="I59" s="894">
        <v>26160000</v>
      </c>
      <c r="J59" s="892">
        <v>0</v>
      </c>
    </row>
    <row r="60" spans="1:10" ht="15">
      <c r="A60" s="892" t="s">
        <v>851</v>
      </c>
      <c r="B60" s="892"/>
      <c r="C60" s="892"/>
      <c r="D60" s="892"/>
      <c r="E60" s="892"/>
      <c r="F60" s="894">
        <v>26160000</v>
      </c>
      <c r="G60" s="892">
        <v>0</v>
      </c>
      <c r="H60" s="892"/>
      <c r="I60" s="894">
        <v>26160000</v>
      </c>
      <c r="J60" s="892">
        <v>0</v>
      </c>
    </row>
    <row r="61" spans="1:10" ht="15">
      <c r="A61" s="892"/>
      <c r="B61" s="892"/>
      <c r="C61" s="892"/>
      <c r="D61" s="892"/>
      <c r="E61" s="892"/>
      <c r="F61" s="892"/>
      <c r="G61" s="892"/>
      <c r="H61" s="892"/>
      <c r="I61" s="892"/>
      <c r="J61" s="892"/>
    </row>
    <row r="62" spans="1:10" ht="15">
      <c r="A62" s="892" t="s">
        <v>852</v>
      </c>
      <c r="B62" s="893"/>
      <c r="C62" s="892"/>
      <c r="D62" s="892"/>
      <c r="E62" s="892"/>
      <c r="F62" s="894" t="s">
        <v>740</v>
      </c>
      <c r="G62" s="892" t="s">
        <v>741</v>
      </c>
      <c r="H62" s="892"/>
      <c r="I62" s="894" t="s">
        <v>742</v>
      </c>
      <c r="J62" s="892" t="s">
        <v>743</v>
      </c>
    </row>
    <row r="63" spans="1:10" ht="15">
      <c r="A63" s="892"/>
      <c r="B63" s="893">
        <v>45986</v>
      </c>
      <c r="C63" s="892" t="s">
        <v>824</v>
      </c>
      <c r="D63" s="892" t="s">
        <v>840</v>
      </c>
      <c r="E63" s="892" t="s">
        <v>853</v>
      </c>
      <c r="F63" s="894">
        <v>500000</v>
      </c>
      <c r="G63" s="892">
        <v>0</v>
      </c>
      <c r="H63" s="892"/>
      <c r="I63" s="894">
        <v>500000</v>
      </c>
      <c r="J63" s="892">
        <v>0</v>
      </c>
    </row>
    <row r="64" spans="1:10" ht="15">
      <c r="A64" s="892" t="s">
        <v>854</v>
      </c>
      <c r="B64" s="892"/>
      <c r="C64" s="892"/>
      <c r="D64" s="892"/>
      <c r="E64" s="892"/>
      <c r="F64" s="894">
        <v>500000</v>
      </c>
      <c r="G64" s="892">
        <v>0</v>
      </c>
      <c r="H64" s="892"/>
      <c r="I64" s="894">
        <v>500000</v>
      </c>
      <c r="J64" s="892">
        <v>0</v>
      </c>
    </row>
    <row r="65" spans="1:10" ht="15">
      <c r="A65" s="892"/>
      <c r="B65" s="892"/>
      <c r="C65" s="892"/>
      <c r="D65" s="892"/>
      <c r="E65" s="892"/>
      <c r="F65" s="892"/>
      <c r="G65" s="892"/>
      <c r="H65" s="892"/>
      <c r="I65" s="892"/>
      <c r="J65" s="892"/>
    </row>
    <row r="66" spans="1:10" ht="15">
      <c r="A66" s="892" t="s">
        <v>855</v>
      </c>
      <c r="B66" s="893"/>
      <c r="C66" s="892"/>
      <c r="D66" s="892"/>
      <c r="E66" s="892"/>
      <c r="F66" s="894" t="s">
        <v>740</v>
      </c>
      <c r="G66" s="892" t="s">
        <v>741</v>
      </c>
      <c r="H66" s="892"/>
      <c r="I66" s="894" t="s">
        <v>742</v>
      </c>
      <c r="J66" s="892" t="s">
        <v>743</v>
      </c>
    </row>
    <row r="67" spans="1:10" ht="15">
      <c r="A67" s="892"/>
      <c r="B67" s="893">
        <v>45863</v>
      </c>
      <c r="C67" s="892" t="s">
        <v>824</v>
      </c>
      <c r="D67" s="892" t="s">
        <v>845</v>
      </c>
      <c r="E67" s="892" t="s">
        <v>856</v>
      </c>
      <c r="F67" s="894">
        <v>10080000</v>
      </c>
      <c r="G67" s="892">
        <v>0</v>
      </c>
      <c r="H67" s="892"/>
      <c r="I67" s="894">
        <v>10080000</v>
      </c>
      <c r="J67" s="892">
        <v>0</v>
      </c>
    </row>
    <row r="68" spans="1:10" ht="15">
      <c r="A68" s="892" t="s">
        <v>857</v>
      </c>
      <c r="B68" s="892"/>
      <c r="C68" s="892"/>
      <c r="D68" s="892"/>
      <c r="E68" s="892"/>
      <c r="F68" s="894">
        <v>10080000</v>
      </c>
      <c r="G68" s="892">
        <v>0</v>
      </c>
      <c r="H68" s="892"/>
      <c r="I68" s="894">
        <v>10080000</v>
      </c>
      <c r="J68" s="892">
        <v>0</v>
      </c>
    </row>
    <row r="69" spans="1:10" ht="15">
      <c r="A69" s="892"/>
      <c r="B69" s="892"/>
      <c r="C69" s="892"/>
      <c r="D69" s="892"/>
      <c r="E69" s="892"/>
      <c r="F69" s="892"/>
      <c r="G69" s="892"/>
      <c r="H69" s="892"/>
      <c r="I69" s="892"/>
      <c r="J69" s="892"/>
    </row>
    <row r="70" spans="1:10" ht="15">
      <c r="A70" s="892" t="s">
        <v>858</v>
      </c>
      <c r="B70" s="893"/>
      <c r="C70" s="892"/>
      <c r="D70" s="892"/>
      <c r="E70" s="892"/>
      <c r="F70" s="894" t="s">
        <v>740</v>
      </c>
      <c r="G70" s="892" t="s">
        <v>741</v>
      </c>
      <c r="H70" s="892"/>
      <c r="I70" s="894" t="s">
        <v>742</v>
      </c>
      <c r="J70" s="892" t="s">
        <v>743</v>
      </c>
    </row>
    <row r="71" spans="1:10" ht="15">
      <c r="A71" s="892"/>
      <c r="B71" s="893">
        <v>46007</v>
      </c>
      <c r="C71" s="892" t="s">
        <v>824</v>
      </c>
      <c r="D71" s="892" t="s">
        <v>859</v>
      </c>
      <c r="E71" s="892" t="s">
        <v>860</v>
      </c>
      <c r="F71" s="894">
        <v>63750000</v>
      </c>
      <c r="G71" s="892">
        <v>0</v>
      </c>
      <c r="H71" s="892"/>
      <c r="I71" s="894">
        <v>63750000</v>
      </c>
      <c r="J71" s="892">
        <v>0</v>
      </c>
    </row>
    <row r="72" spans="1:10" ht="15">
      <c r="A72" s="892" t="s">
        <v>861</v>
      </c>
      <c r="B72" s="892"/>
      <c r="C72" s="892"/>
      <c r="D72" s="892"/>
      <c r="E72" s="892"/>
      <c r="F72" s="894">
        <v>63750000</v>
      </c>
      <c r="G72" s="892">
        <v>0</v>
      </c>
      <c r="H72" s="892"/>
      <c r="I72" s="894">
        <v>63750000</v>
      </c>
      <c r="J72" s="892">
        <v>0</v>
      </c>
    </row>
    <row r="73" spans="1:10" ht="15">
      <c r="A73" s="892"/>
      <c r="B73" s="892"/>
      <c r="C73" s="892"/>
      <c r="D73" s="892"/>
      <c r="E73" s="892"/>
      <c r="F73" s="892"/>
      <c r="G73" s="892"/>
      <c r="H73" s="892"/>
      <c r="I73" s="892"/>
      <c r="J73" s="892"/>
    </row>
    <row r="74" spans="1:10" ht="15">
      <c r="A74" s="892" t="s">
        <v>862</v>
      </c>
      <c r="B74" s="893"/>
      <c r="C74" s="892"/>
      <c r="D74" s="892"/>
      <c r="E74" s="892"/>
      <c r="F74" s="894" t="s">
        <v>740</v>
      </c>
      <c r="G74" s="892" t="s">
        <v>741</v>
      </c>
      <c r="H74" s="892"/>
      <c r="I74" s="894" t="s">
        <v>742</v>
      </c>
      <c r="J74" s="892" t="s">
        <v>743</v>
      </c>
    </row>
    <row r="75" spans="1:10" ht="15">
      <c r="A75" s="892"/>
      <c r="B75" s="893">
        <v>45930</v>
      </c>
      <c r="C75" s="892" t="s">
        <v>863</v>
      </c>
      <c r="D75" s="892">
        <v>3</v>
      </c>
      <c r="E75" s="892" t="s">
        <v>864</v>
      </c>
      <c r="F75" s="894">
        <v>695934.25</v>
      </c>
      <c r="G75" s="894">
        <v>0</v>
      </c>
      <c r="H75" s="892"/>
      <c r="I75" s="894">
        <v>695934.25</v>
      </c>
      <c r="J75" s="892">
        <v>0</v>
      </c>
    </row>
    <row r="76" spans="1:10" ht="15">
      <c r="A76" s="892"/>
      <c r="B76" s="893">
        <v>45931</v>
      </c>
      <c r="C76" s="892" t="s">
        <v>863</v>
      </c>
      <c r="D76" s="892">
        <v>3</v>
      </c>
      <c r="E76" s="892" t="s">
        <v>865</v>
      </c>
      <c r="F76" s="894">
        <v>0</v>
      </c>
      <c r="G76" s="894">
        <v>695934.25</v>
      </c>
      <c r="H76" s="892"/>
      <c r="I76" s="894">
        <v>0</v>
      </c>
      <c r="J76" s="892">
        <v>0</v>
      </c>
    </row>
    <row r="77" spans="1:10" ht="15">
      <c r="A77" s="892"/>
      <c r="B77" s="893">
        <v>46022</v>
      </c>
      <c r="C77" s="892" t="s">
        <v>804</v>
      </c>
      <c r="D77" s="892">
        <v>17</v>
      </c>
      <c r="E77" s="892" t="s">
        <v>866</v>
      </c>
      <c r="F77" s="894">
        <v>1712219.18</v>
      </c>
      <c r="G77" s="892">
        <v>0</v>
      </c>
      <c r="H77" s="892"/>
      <c r="I77" s="894">
        <v>1712219.18</v>
      </c>
      <c r="J77" s="892">
        <v>0</v>
      </c>
    </row>
    <row r="78" spans="1:10" ht="15">
      <c r="A78" s="892"/>
      <c r="B78" s="893">
        <v>46022</v>
      </c>
      <c r="C78" s="892" t="s">
        <v>804</v>
      </c>
      <c r="D78" s="892">
        <v>17</v>
      </c>
      <c r="E78" s="892" t="s">
        <v>866</v>
      </c>
      <c r="F78" s="894">
        <v>247916.67</v>
      </c>
      <c r="G78" s="892">
        <v>0</v>
      </c>
      <c r="H78" s="892"/>
      <c r="I78" s="894">
        <v>1960135.85</v>
      </c>
      <c r="J78" s="892">
        <v>0</v>
      </c>
    </row>
    <row r="79" spans="1:10" ht="15">
      <c r="A79" s="892"/>
      <c r="B79" s="893">
        <v>46022</v>
      </c>
      <c r="C79" s="892" t="s">
        <v>804</v>
      </c>
      <c r="D79" s="892">
        <v>17</v>
      </c>
      <c r="E79" s="892" t="s">
        <v>866</v>
      </c>
      <c r="F79" s="894">
        <v>90591.11</v>
      </c>
      <c r="G79" s="894">
        <v>0</v>
      </c>
      <c r="H79" s="892"/>
      <c r="I79" s="894">
        <v>2050726.96</v>
      </c>
      <c r="J79" s="892">
        <v>0</v>
      </c>
    </row>
    <row r="80" spans="1:10" ht="15">
      <c r="A80" s="892" t="s">
        <v>867</v>
      </c>
      <c r="B80" s="892"/>
      <c r="C80" s="892"/>
      <c r="D80" s="892"/>
      <c r="E80" s="892"/>
      <c r="F80" s="894">
        <v>2746661.21</v>
      </c>
      <c r="G80" s="894">
        <v>695934.25</v>
      </c>
      <c r="H80" s="892"/>
      <c r="I80" s="894">
        <v>2050726.96</v>
      </c>
      <c r="J80" s="892">
        <v>0</v>
      </c>
    </row>
    <row r="81" spans="1:10" ht="15">
      <c r="A81" s="892"/>
      <c r="B81" s="892"/>
      <c r="C81" s="892"/>
      <c r="D81" s="892"/>
      <c r="E81" s="892"/>
      <c r="F81" s="892"/>
      <c r="G81" s="892"/>
      <c r="H81" s="892"/>
      <c r="I81" s="892"/>
      <c r="J81" s="892"/>
    </row>
    <row r="82" spans="1:10" ht="15">
      <c r="A82" s="892" t="s">
        <v>868</v>
      </c>
      <c r="B82" s="893"/>
      <c r="C82" s="892"/>
      <c r="D82" s="892"/>
      <c r="E82" s="892"/>
      <c r="F82" s="894" t="s">
        <v>740</v>
      </c>
      <c r="G82" s="892" t="s">
        <v>741</v>
      </c>
      <c r="H82" s="892"/>
      <c r="I82" s="894" t="s">
        <v>742</v>
      </c>
      <c r="J82" s="892" t="s">
        <v>743</v>
      </c>
    </row>
    <row r="83" spans="1:10" ht="15">
      <c r="A83" s="892"/>
      <c r="B83" s="893">
        <v>46022</v>
      </c>
      <c r="C83" s="892" t="s">
        <v>804</v>
      </c>
      <c r="D83" s="892">
        <v>17</v>
      </c>
      <c r="E83" s="892" t="s">
        <v>866</v>
      </c>
      <c r="F83" s="894">
        <v>67943.33</v>
      </c>
      <c r="G83" s="892">
        <v>0</v>
      </c>
      <c r="H83" s="892"/>
      <c r="I83" s="894">
        <v>67943.33</v>
      </c>
      <c r="J83" s="892">
        <v>0</v>
      </c>
    </row>
    <row r="84" spans="1:10" ht="15">
      <c r="A84" s="892" t="s">
        <v>869</v>
      </c>
      <c r="B84" s="892"/>
      <c r="C84" s="892"/>
      <c r="D84" s="892"/>
      <c r="E84" s="892"/>
      <c r="F84" s="894">
        <v>67943.33</v>
      </c>
      <c r="G84" s="892">
        <v>0</v>
      </c>
      <c r="H84" s="892"/>
      <c r="I84" s="894">
        <v>67943.33</v>
      </c>
      <c r="J84" s="892">
        <v>0</v>
      </c>
    </row>
    <row r="85" spans="1:10" ht="15">
      <c r="A85" s="892"/>
      <c r="B85" s="892"/>
      <c r="C85" s="892"/>
      <c r="D85" s="892"/>
      <c r="E85" s="892"/>
      <c r="F85" s="892"/>
      <c r="G85" s="892"/>
      <c r="H85" s="892"/>
      <c r="I85" s="892"/>
      <c r="J85" s="892"/>
    </row>
    <row r="86" spans="1:10" ht="15">
      <c r="A86" s="892" t="s">
        <v>870</v>
      </c>
      <c r="B86" s="893"/>
      <c r="C86" s="892"/>
      <c r="D86" s="892"/>
      <c r="E86" s="892"/>
      <c r="F86" s="894" t="s">
        <v>740</v>
      </c>
      <c r="G86" s="892" t="s">
        <v>741</v>
      </c>
      <c r="H86" s="892"/>
      <c r="I86" s="894" t="s">
        <v>742</v>
      </c>
      <c r="J86" s="892" t="s">
        <v>743</v>
      </c>
    </row>
    <row r="87" spans="1:10" ht="15">
      <c r="A87" s="892"/>
      <c r="B87" s="893">
        <v>46022</v>
      </c>
      <c r="C87" s="892" t="s">
        <v>804</v>
      </c>
      <c r="D87" s="892">
        <v>17</v>
      </c>
      <c r="E87" s="892" t="s">
        <v>866</v>
      </c>
      <c r="F87" s="894">
        <v>226840.18</v>
      </c>
      <c r="G87" s="892">
        <v>0</v>
      </c>
      <c r="H87" s="892"/>
      <c r="I87" s="894">
        <v>226840.18</v>
      </c>
      <c r="J87" s="892">
        <v>0</v>
      </c>
    </row>
    <row r="88" spans="1:10" ht="15">
      <c r="A88" s="892" t="s">
        <v>871</v>
      </c>
      <c r="B88" s="892"/>
      <c r="C88" s="892"/>
      <c r="D88" s="892"/>
      <c r="E88" s="892"/>
      <c r="F88" s="894">
        <v>226840.18</v>
      </c>
      <c r="G88" s="892">
        <v>0</v>
      </c>
      <c r="H88" s="892"/>
      <c r="I88" s="894">
        <v>226840.18</v>
      </c>
      <c r="J88" s="892">
        <v>0</v>
      </c>
    </row>
    <row r="89" spans="1:10" ht="15">
      <c r="A89" s="892"/>
      <c r="B89" s="892"/>
      <c r="C89" s="892"/>
      <c r="D89" s="892"/>
      <c r="E89" s="892"/>
      <c r="F89" s="892"/>
      <c r="G89" s="892"/>
      <c r="H89" s="892"/>
      <c r="I89" s="892"/>
      <c r="J89" s="892"/>
    </row>
    <row r="90" spans="1:10" ht="15">
      <c r="A90" s="892" t="s">
        <v>872</v>
      </c>
      <c r="B90" s="893"/>
      <c r="C90" s="892"/>
      <c r="D90" s="892"/>
      <c r="E90" s="892"/>
      <c r="F90" s="892" t="s">
        <v>740</v>
      </c>
      <c r="G90" s="894" t="s">
        <v>741</v>
      </c>
      <c r="H90" s="892"/>
      <c r="I90" s="892" t="s">
        <v>742</v>
      </c>
      <c r="J90" s="894" t="s">
        <v>743</v>
      </c>
    </row>
    <row r="91" spans="1:10" ht="15">
      <c r="A91" s="892"/>
      <c r="B91" s="893">
        <v>45862</v>
      </c>
      <c r="C91" s="892" t="s">
        <v>824</v>
      </c>
      <c r="D91" s="892" t="s">
        <v>873</v>
      </c>
      <c r="E91" s="892" t="s">
        <v>874</v>
      </c>
      <c r="F91" s="892">
        <v>0</v>
      </c>
      <c r="G91" s="894">
        <v>50400000</v>
      </c>
      <c r="H91" s="892"/>
      <c r="I91" s="892">
        <v>0</v>
      </c>
      <c r="J91" s="894">
        <v>50400000</v>
      </c>
    </row>
    <row r="92" spans="1:10" ht="15">
      <c r="A92" s="892"/>
      <c r="B92" s="893">
        <v>45982</v>
      </c>
      <c r="C92" s="892" t="s">
        <v>824</v>
      </c>
      <c r="D92" s="892" t="s">
        <v>875</v>
      </c>
      <c r="E92" s="892" t="s">
        <v>876</v>
      </c>
      <c r="F92" s="892">
        <v>0</v>
      </c>
      <c r="G92" s="894">
        <v>35380000</v>
      </c>
      <c r="H92" s="892"/>
      <c r="I92" s="892">
        <v>0</v>
      </c>
      <c r="J92" s="894">
        <v>85780000</v>
      </c>
    </row>
    <row r="93" spans="1:10" ht="15">
      <c r="A93" s="892"/>
      <c r="B93" s="893">
        <v>46007</v>
      </c>
      <c r="C93" s="892" t="s">
        <v>824</v>
      </c>
      <c r="D93" s="892" t="s">
        <v>877</v>
      </c>
      <c r="E93" s="892" t="s">
        <v>878</v>
      </c>
      <c r="F93" s="892">
        <v>0</v>
      </c>
      <c r="G93" s="894">
        <v>40906250</v>
      </c>
      <c r="H93" s="892"/>
      <c r="I93" s="892">
        <v>0</v>
      </c>
      <c r="J93" s="894">
        <v>126686250</v>
      </c>
    </row>
    <row r="94" spans="1:10" ht="15">
      <c r="A94" s="892"/>
      <c r="B94" s="893">
        <v>46007</v>
      </c>
      <c r="C94" s="892" t="s">
        <v>824</v>
      </c>
      <c r="D94" s="892" t="s">
        <v>877</v>
      </c>
      <c r="E94" s="892" t="s">
        <v>878</v>
      </c>
      <c r="F94" s="892">
        <v>0</v>
      </c>
      <c r="G94" s="894">
        <v>16843750</v>
      </c>
      <c r="H94" s="892"/>
      <c r="I94" s="892">
        <v>0</v>
      </c>
      <c r="J94" s="894">
        <v>143530000</v>
      </c>
    </row>
    <row r="95" spans="1:10" ht="15">
      <c r="A95" s="892"/>
      <c r="B95" s="893">
        <v>46007</v>
      </c>
      <c r="C95" s="892" t="s">
        <v>824</v>
      </c>
      <c r="D95" s="892" t="s">
        <v>877</v>
      </c>
      <c r="E95" s="892" t="s">
        <v>879</v>
      </c>
      <c r="F95" s="892">
        <v>0</v>
      </c>
      <c r="G95" s="894">
        <v>4250000</v>
      </c>
      <c r="H95" s="892"/>
      <c r="I95" s="892">
        <v>0</v>
      </c>
      <c r="J95" s="894">
        <v>147780000</v>
      </c>
    </row>
    <row r="96" spans="1:10" ht="15">
      <c r="A96" s="892"/>
      <c r="B96" s="893">
        <v>46007</v>
      </c>
      <c r="C96" s="892" t="s">
        <v>824</v>
      </c>
      <c r="D96" s="892" t="s">
        <v>877</v>
      </c>
      <c r="E96" s="892" t="s">
        <v>879</v>
      </c>
      <c r="F96" s="894">
        <v>0</v>
      </c>
      <c r="G96" s="894">
        <v>1750000</v>
      </c>
      <c r="H96" s="892"/>
      <c r="I96" s="892">
        <v>0</v>
      </c>
      <c r="J96" s="894">
        <v>149530000</v>
      </c>
    </row>
    <row r="97" spans="1:10" ht="15">
      <c r="A97" s="892"/>
      <c r="B97" s="893">
        <v>46020</v>
      </c>
      <c r="C97" s="892" t="s">
        <v>824</v>
      </c>
      <c r="D97" s="892" t="s">
        <v>880</v>
      </c>
      <c r="E97" s="892" t="s">
        <v>881</v>
      </c>
      <c r="F97" s="894">
        <v>50400000</v>
      </c>
      <c r="G97" s="892">
        <v>0</v>
      </c>
      <c r="H97" s="892"/>
      <c r="I97" s="892">
        <v>0</v>
      </c>
      <c r="J97" s="894">
        <v>99130000</v>
      </c>
    </row>
    <row r="98" spans="1:10" ht="15">
      <c r="A98" s="892"/>
      <c r="B98" s="893">
        <v>46020</v>
      </c>
      <c r="C98" s="892" t="s">
        <v>824</v>
      </c>
      <c r="D98" s="892" t="s">
        <v>880</v>
      </c>
      <c r="E98" s="892" t="s">
        <v>882</v>
      </c>
      <c r="F98" s="894">
        <v>35380000</v>
      </c>
      <c r="G98" s="894">
        <v>0</v>
      </c>
      <c r="H98" s="892"/>
      <c r="I98" s="892">
        <v>0</v>
      </c>
      <c r="J98" s="894">
        <v>63750000</v>
      </c>
    </row>
    <row r="99" spans="1:10" ht="15">
      <c r="A99" s="892" t="s">
        <v>883</v>
      </c>
      <c r="B99" s="892"/>
      <c r="C99" s="892"/>
      <c r="D99" s="892"/>
      <c r="E99" s="892"/>
      <c r="F99" s="894">
        <v>85780000</v>
      </c>
      <c r="G99" s="894">
        <v>149530000</v>
      </c>
      <c r="H99" s="892"/>
      <c r="I99" s="892">
        <v>0</v>
      </c>
      <c r="J99" s="894">
        <v>63750000</v>
      </c>
    </row>
    <row r="100" spans="1:10" ht="15">
      <c r="A100" s="892"/>
      <c r="B100" s="892"/>
      <c r="C100" s="892"/>
      <c r="D100" s="892"/>
      <c r="E100" s="892"/>
      <c r="F100" s="892"/>
      <c r="G100" s="892"/>
      <c r="H100" s="892"/>
      <c r="I100" s="892"/>
      <c r="J100" s="892"/>
    </row>
    <row r="101" spans="1:10" ht="15">
      <c r="A101" s="892" t="s">
        <v>884</v>
      </c>
      <c r="B101" s="893"/>
      <c r="C101" s="892"/>
      <c r="D101" s="892"/>
      <c r="E101" s="892"/>
      <c r="F101" s="892" t="s">
        <v>740</v>
      </c>
      <c r="G101" s="894" t="s">
        <v>741</v>
      </c>
      <c r="H101" s="892"/>
      <c r="I101" s="892" t="s">
        <v>742</v>
      </c>
      <c r="J101" s="894" t="s">
        <v>743</v>
      </c>
    </row>
    <row r="102" spans="1:10" ht="15">
      <c r="A102" s="892"/>
      <c r="B102" s="893">
        <v>45930</v>
      </c>
      <c r="C102" s="892" t="s">
        <v>863</v>
      </c>
      <c r="D102" s="892">
        <v>1</v>
      </c>
      <c r="E102" s="892" t="s">
        <v>864</v>
      </c>
      <c r="F102" s="894">
        <v>0</v>
      </c>
      <c r="G102" s="894">
        <v>364806.40000000002</v>
      </c>
      <c r="H102" s="892"/>
      <c r="I102" s="892">
        <v>0</v>
      </c>
      <c r="J102" s="894">
        <v>364806.40000000002</v>
      </c>
    </row>
    <row r="103" spans="1:10" ht="15">
      <c r="A103" s="892"/>
      <c r="B103" s="893">
        <v>45931</v>
      </c>
      <c r="C103" s="892" t="s">
        <v>863</v>
      </c>
      <c r="D103" s="892">
        <v>1</v>
      </c>
      <c r="E103" s="892" t="s">
        <v>865</v>
      </c>
      <c r="F103" s="894">
        <v>364806.40000000002</v>
      </c>
      <c r="G103" s="894">
        <v>0</v>
      </c>
      <c r="H103" s="892"/>
      <c r="I103" s="892">
        <v>0</v>
      </c>
      <c r="J103" s="894">
        <v>0</v>
      </c>
    </row>
    <row r="104" spans="1:10" ht="15">
      <c r="A104" s="892"/>
      <c r="B104" s="893">
        <v>46022</v>
      </c>
      <c r="C104" s="892" t="s">
        <v>804</v>
      </c>
      <c r="D104" s="892">
        <v>17</v>
      </c>
      <c r="E104" s="892" t="s">
        <v>866</v>
      </c>
      <c r="F104" s="894">
        <v>0</v>
      </c>
      <c r="G104" s="894">
        <v>112604.67</v>
      </c>
      <c r="H104" s="892"/>
      <c r="I104" s="892">
        <v>0</v>
      </c>
      <c r="J104" s="894">
        <v>112604.67</v>
      </c>
    </row>
    <row r="105" spans="1:10" ht="15">
      <c r="A105" s="892" t="s">
        <v>885</v>
      </c>
      <c r="B105" s="892"/>
      <c r="C105" s="892"/>
      <c r="D105" s="892"/>
      <c r="E105" s="892"/>
      <c r="F105" s="894">
        <v>364806.40000000002</v>
      </c>
      <c r="G105" s="894">
        <v>477411.07</v>
      </c>
      <c r="H105" s="892"/>
      <c r="I105" s="892">
        <v>0</v>
      </c>
      <c r="J105" s="894">
        <v>112604.67</v>
      </c>
    </row>
    <row r="106" spans="1:10" ht="15">
      <c r="A106" s="892"/>
      <c r="B106" s="892"/>
      <c r="C106" s="892"/>
      <c r="D106" s="892"/>
      <c r="E106" s="892"/>
      <c r="F106" s="892"/>
      <c r="G106" s="892"/>
      <c r="H106" s="892"/>
      <c r="I106" s="892"/>
      <c r="J106" s="892"/>
    </row>
    <row r="107" spans="1:10" ht="15">
      <c r="A107" s="892" t="s">
        <v>886</v>
      </c>
      <c r="B107" s="893"/>
      <c r="C107" s="892"/>
      <c r="D107" s="892"/>
      <c r="E107" s="892"/>
      <c r="F107" s="892" t="s">
        <v>740</v>
      </c>
      <c r="G107" s="892" t="s">
        <v>741</v>
      </c>
      <c r="H107" s="892"/>
      <c r="I107" s="892" t="s">
        <v>742</v>
      </c>
      <c r="J107" s="892" t="s">
        <v>743</v>
      </c>
    </row>
    <row r="108" spans="1:10" ht="15">
      <c r="A108" s="892"/>
      <c r="B108" s="893">
        <v>45930</v>
      </c>
      <c r="C108" s="892" t="s">
        <v>804</v>
      </c>
      <c r="D108" s="892">
        <v>7</v>
      </c>
      <c r="E108" s="892" t="s">
        <v>695</v>
      </c>
      <c r="F108" s="892">
        <v>0</v>
      </c>
      <c r="G108" s="894">
        <v>710.32</v>
      </c>
      <c r="H108" s="892" t="s">
        <v>887</v>
      </c>
      <c r="I108" s="892">
        <v>0</v>
      </c>
      <c r="J108" s="894">
        <v>710.32</v>
      </c>
    </row>
    <row r="109" spans="1:10" ht="15">
      <c r="A109" s="892"/>
      <c r="B109" s="893">
        <v>45930</v>
      </c>
      <c r="C109" s="892" t="s">
        <v>804</v>
      </c>
      <c r="D109" s="892">
        <v>12</v>
      </c>
      <c r="E109" s="892" t="s">
        <v>479</v>
      </c>
      <c r="F109" s="892">
        <v>0</v>
      </c>
      <c r="G109" s="894">
        <v>25000</v>
      </c>
      <c r="H109" s="892"/>
      <c r="I109" s="892">
        <v>0</v>
      </c>
      <c r="J109" s="894">
        <v>25710.32</v>
      </c>
    </row>
    <row r="110" spans="1:10" ht="15">
      <c r="A110" s="892"/>
      <c r="B110" s="893">
        <v>45931</v>
      </c>
      <c r="C110" s="892" t="s">
        <v>804</v>
      </c>
      <c r="D110" s="892">
        <v>18</v>
      </c>
      <c r="E110" s="892" t="s">
        <v>837</v>
      </c>
      <c r="F110" s="892">
        <v>710.32</v>
      </c>
      <c r="G110" s="894">
        <v>0</v>
      </c>
      <c r="H110" s="892" t="s">
        <v>887</v>
      </c>
      <c r="I110" s="892">
        <v>0</v>
      </c>
      <c r="J110" s="894">
        <v>25000</v>
      </c>
    </row>
    <row r="111" spans="1:10" ht="15">
      <c r="A111" s="892"/>
      <c r="B111" s="893">
        <v>46022</v>
      </c>
      <c r="C111" s="892" t="s">
        <v>804</v>
      </c>
      <c r="D111" s="892" t="s">
        <v>888</v>
      </c>
      <c r="E111" s="892" t="s">
        <v>480</v>
      </c>
      <c r="F111" s="892">
        <v>0</v>
      </c>
      <c r="G111" s="894">
        <v>8506.17</v>
      </c>
      <c r="H111" s="892"/>
      <c r="I111" s="892">
        <v>0</v>
      </c>
      <c r="J111" s="894">
        <v>33506.17</v>
      </c>
    </row>
    <row r="112" spans="1:10" ht="15">
      <c r="A112" s="892" t="s">
        <v>889</v>
      </c>
      <c r="B112" s="892"/>
      <c r="C112" s="892"/>
      <c r="D112" s="892"/>
      <c r="E112" s="892"/>
      <c r="F112" s="892">
        <v>710.32</v>
      </c>
      <c r="G112" s="894">
        <v>34216.49</v>
      </c>
      <c r="H112" s="892"/>
      <c r="I112" s="892">
        <v>0</v>
      </c>
      <c r="J112" s="894">
        <v>33506.17</v>
      </c>
    </row>
    <row r="113" spans="1:10" ht="15">
      <c r="A113" s="892"/>
      <c r="B113" s="893"/>
      <c r="C113" s="892"/>
      <c r="D113" s="892"/>
      <c r="E113" s="892"/>
      <c r="F113" s="892"/>
      <c r="G113" s="894"/>
      <c r="H113" s="892"/>
      <c r="I113" s="892"/>
      <c r="J113" s="894"/>
    </row>
    <row r="114" spans="1:10" ht="15">
      <c r="A114" s="892" t="s">
        <v>890</v>
      </c>
      <c r="B114" s="893"/>
      <c r="C114" s="892"/>
      <c r="D114" s="892"/>
      <c r="E114" s="892"/>
      <c r="F114" s="892" t="s">
        <v>740</v>
      </c>
      <c r="G114" s="892" t="s">
        <v>741</v>
      </c>
      <c r="H114" s="892"/>
      <c r="I114" s="892" t="s">
        <v>742</v>
      </c>
      <c r="J114" s="894" t="s">
        <v>743</v>
      </c>
    </row>
    <row r="115" spans="1:10" ht="15">
      <c r="A115" s="892"/>
      <c r="B115" s="893">
        <v>45930</v>
      </c>
      <c r="C115" s="892" t="s">
        <v>804</v>
      </c>
      <c r="D115" s="892">
        <v>1</v>
      </c>
      <c r="E115" s="892" t="s">
        <v>891</v>
      </c>
      <c r="F115" s="892">
        <v>0</v>
      </c>
      <c r="G115" s="894">
        <v>2550</v>
      </c>
      <c r="H115" s="892"/>
      <c r="I115" s="892">
        <v>0</v>
      </c>
      <c r="J115" s="894">
        <v>2550</v>
      </c>
    </row>
    <row r="116" spans="1:10" ht="15">
      <c r="A116" s="892"/>
      <c r="B116" s="893">
        <v>45931</v>
      </c>
      <c r="C116" s="892" t="s">
        <v>804</v>
      </c>
      <c r="D116" s="892">
        <v>14</v>
      </c>
      <c r="E116" s="892" t="s">
        <v>892</v>
      </c>
      <c r="F116" s="892">
        <v>0</v>
      </c>
      <c r="G116" s="894">
        <v>306</v>
      </c>
      <c r="H116" s="892"/>
      <c r="I116" s="892">
        <v>0</v>
      </c>
      <c r="J116" s="894">
        <v>2856</v>
      </c>
    </row>
    <row r="117" spans="1:10" ht="15">
      <c r="A117" s="892"/>
      <c r="B117" s="893">
        <v>46022</v>
      </c>
      <c r="C117" s="892" t="s">
        <v>804</v>
      </c>
      <c r="D117" s="892">
        <v>15</v>
      </c>
      <c r="E117" s="892" t="s">
        <v>893</v>
      </c>
      <c r="F117" s="892">
        <v>0</v>
      </c>
      <c r="G117" s="894">
        <v>2856</v>
      </c>
      <c r="H117" s="892"/>
      <c r="I117" s="892">
        <v>0</v>
      </c>
      <c r="J117" s="894">
        <v>5712</v>
      </c>
    </row>
    <row r="118" spans="1:10" ht="15">
      <c r="A118" s="892" t="s">
        <v>894</v>
      </c>
      <c r="B118" s="892"/>
      <c r="C118" s="892"/>
      <c r="D118" s="892"/>
      <c r="E118" s="892"/>
      <c r="F118" s="892">
        <v>0</v>
      </c>
      <c r="G118" s="894">
        <v>5712</v>
      </c>
      <c r="H118" s="892"/>
      <c r="I118" s="892">
        <v>0</v>
      </c>
      <c r="J118" s="894">
        <v>5712</v>
      </c>
    </row>
    <row r="119" spans="1:10" ht="15">
      <c r="A119" s="892"/>
      <c r="B119" s="893"/>
      <c r="C119" s="892"/>
      <c r="D119" s="892"/>
      <c r="E119" s="892"/>
      <c r="F119" s="892"/>
      <c r="G119" s="894"/>
      <c r="H119" s="892"/>
      <c r="I119" s="892"/>
      <c r="J119" s="894"/>
    </row>
    <row r="120" spans="1:10" ht="15">
      <c r="A120" s="892" t="s">
        <v>895</v>
      </c>
      <c r="B120" s="893"/>
      <c r="C120" s="892"/>
      <c r="D120" s="892"/>
      <c r="E120" s="892"/>
      <c r="F120" s="892" t="s">
        <v>740</v>
      </c>
      <c r="G120" s="894" t="s">
        <v>741</v>
      </c>
      <c r="H120" s="892"/>
      <c r="I120" s="892" t="s">
        <v>742</v>
      </c>
      <c r="J120" s="894" t="s">
        <v>743</v>
      </c>
    </row>
    <row r="121" spans="1:10" ht="15">
      <c r="A121" s="892"/>
      <c r="B121" s="893">
        <v>45930</v>
      </c>
      <c r="C121" s="892" t="s">
        <v>804</v>
      </c>
      <c r="D121" s="892">
        <v>2</v>
      </c>
      <c r="E121" s="892" t="s">
        <v>896</v>
      </c>
      <c r="F121" s="892">
        <v>0</v>
      </c>
      <c r="G121" s="894">
        <v>1100</v>
      </c>
      <c r="H121" s="892" t="s">
        <v>887</v>
      </c>
      <c r="I121" s="892">
        <v>0</v>
      </c>
      <c r="J121" s="894">
        <v>1100</v>
      </c>
    </row>
    <row r="122" spans="1:10" ht="15">
      <c r="A122" s="892"/>
      <c r="B122" s="893">
        <v>45930</v>
      </c>
      <c r="C122" s="892" t="s">
        <v>804</v>
      </c>
      <c r="D122" s="892">
        <v>3</v>
      </c>
      <c r="E122" s="892" t="s">
        <v>897</v>
      </c>
      <c r="F122" s="892">
        <v>0</v>
      </c>
      <c r="G122" s="894">
        <v>2950</v>
      </c>
      <c r="H122" s="892" t="s">
        <v>887</v>
      </c>
      <c r="I122" s="892">
        <v>0</v>
      </c>
      <c r="J122" s="894">
        <v>4050</v>
      </c>
    </row>
    <row r="123" spans="1:10" ht="15">
      <c r="A123" s="892"/>
      <c r="B123" s="893">
        <v>45930</v>
      </c>
      <c r="C123" s="892" t="s">
        <v>804</v>
      </c>
      <c r="D123" s="892">
        <v>4</v>
      </c>
      <c r="E123" s="892" t="s">
        <v>898</v>
      </c>
      <c r="F123" s="892">
        <v>0</v>
      </c>
      <c r="G123" s="892">
        <v>161</v>
      </c>
      <c r="H123" s="892" t="s">
        <v>887</v>
      </c>
      <c r="I123" s="892">
        <v>0</v>
      </c>
      <c r="J123" s="894">
        <v>4211</v>
      </c>
    </row>
    <row r="124" spans="1:10" ht="15">
      <c r="A124" s="892"/>
      <c r="B124" s="893">
        <v>45930</v>
      </c>
      <c r="C124" s="892" t="s">
        <v>804</v>
      </c>
      <c r="D124" s="892">
        <v>5</v>
      </c>
      <c r="E124" s="892" t="s">
        <v>899</v>
      </c>
      <c r="F124" s="892">
        <v>0</v>
      </c>
      <c r="G124" s="892">
        <v>110</v>
      </c>
      <c r="H124" s="892" t="s">
        <v>887</v>
      </c>
      <c r="I124" s="892">
        <v>0</v>
      </c>
      <c r="J124" s="894">
        <v>4321</v>
      </c>
    </row>
    <row r="125" spans="1:10" ht="15">
      <c r="A125" s="892"/>
      <c r="B125" s="893">
        <v>45930</v>
      </c>
      <c r="C125" s="892" t="s">
        <v>804</v>
      </c>
      <c r="D125" s="892">
        <v>6</v>
      </c>
      <c r="E125" s="892" t="s">
        <v>900</v>
      </c>
      <c r="F125" s="894">
        <v>0</v>
      </c>
      <c r="G125" s="892">
        <v>70</v>
      </c>
      <c r="H125" s="892" t="s">
        <v>887</v>
      </c>
      <c r="I125" s="892">
        <v>0</v>
      </c>
      <c r="J125" s="894">
        <v>4391</v>
      </c>
    </row>
    <row r="126" spans="1:10" ht="15">
      <c r="A126" s="892"/>
      <c r="B126" s="893">
        <v>45930</v>
      </c>
      <c r="C126" s="892" t="s">
        <v>804</v>
      </c>
      <c r="D126" s="892">
        <v>8</v>
      </c>
      <c r="E126" s="892" t="s">
        <v>901</v>
      </c>
      <c r="F126" s="892">
        <v>0</v>
      </c>
      <c r="G126" s="894">
        <v>200</v>
      </c>
      <c r="H126" s="892" t="s">
        <v>887</v>
      </c>
      <c r="I126" s="892">
        <v>0</v>
      </c>
      <c r="J126" s="894">
        <v>4591</v>
      </c>
    </row>
    <row r="127" spans="1:10" ht="15">
      <c r="A127" s="892"/>
      <c r="B127" s="893">
        <v>46013</v>
      </c>
      <c r="C127" s="892" t="s">
        <v>804</v>
      </c>
      <c r="D127" s="892" t="s">
        <v>902</v>
      </c>
      <c r="E127" s="892" t="s">
        <v>903</v>
      </c>
      <c r="F127" s="894">
        <v>4591</v>
      </c>
      <c r="G127" s="892">
        <v>0</v>
      </c>
      <c r="H127" s="892" t="s">
        <v>887</v>
      </c>
      <c r="I127" s="892">
        <v>0</v>
      </c>
      <c r="J127" s="894">
        <v>0</v>
      </c>
    </row>
    <row r="128" spans="1:10" ht="15">
      <c r="A128" s="892"/>
      <c r="B128" s="893">
        <v>46022</v>
      </c>
      <c r="C128" s="892" t="s">
        <v>804</v>
      </c>
      <c r="D128" s="892">
        <v>16</v>
      </c>
      <c r="E128" s="892" t="s">
        <v>904</v>
      </c>
      <c r="F128" s="892">
        <v>0</v>
      </c>
      <c r="G128" s="894">
        <v>2950</v>
      </c>
      <c r="H128" s="892"/>
      <c r="I128" s="892">
        <v>0</v>
      </c>
      <c r="J128" s="894">
        <v>2950</v>
      </c>
    </row>
    <row r="129" spans="1:10" ht="15">
      <c r="A129" s="892"/>
      <c r="B129" s="893">
        <v>46022</v>
      </c>
      <c r="C129" s="892" t="s">
        <v>804</v>
      </c>
      <c r="D129" s="892">
        <v>17</v>
      </c>
      <c r="E129" s="892" t="s">
        <v>905</v>
      </c>
      <c r="F129" s="892">
        <v>0</v>
      </c>
      <c r="G129" s="892">
        <v>161</v>
      </c>
      <c r="H129" s="892"/>
      <c r="I129" s="892">
        <v>0</v>
      </c>
      <c r="J129" s="894">
        <v>3111</v>
      </c>
    </row>
    <row r="130" spans="1:10" ht="15">
      <c r="A130" s="892"/>
      <c r="B130" s="893">
        <v>46022</v>
      </c>
      <c r="C130" s="892" t="s">
        <v>804</v>
      </c>
      <c r="D130" s="892">
        <v>18</v>
      </c>
      <c r="E130" s="892" t="s">
        <v>906</v>
      </c>
      <c r="F130" s="894">
        <v>0</v>
      </c>
      <c r="G130" s="894">
        <v>110</v>
      </c>
      <c r="H130" s="892"/>
      <c r="I130" s="892">
        <v>0</v>
      </c>
      <c r="J130" s="894">
        <v>3221</v>
      </c>
    </row>
    <row r="131" spans="1:10" ht="15">
      <c r="A131" s="892"/>
      <c r="B131" s="893">
        <v>46022</v>
      </c>
      <c r="C131" s="892" t="s">
        <v>804</v>
      </c>
      <c r="D131" s="892">
        <v>19</v>
      </c>
      <c r="E131" s="892" t="s">
        <v>906</v>
      </c>
      <c r="F131" s="892">
        <v>0</v>
      </c>
      <c r="G131" s="892">
        <v>70</v>
      </c>
      <c r="H131" s="892"/>
      <c r="I131" s="892">
        <v>0</v>
      </c>
      <c r="J131" s="894">
        <v>3291</v>
      </c>
    </row>
    <row r="132" spans="1:10" ht="15">
      <c r="A132" s="892" t="s">
        <v>907</v>
      </c>
      <c r="B132" s="892"/>
      <c r="C132" s="892"/>
      <c r="D132" s="892"/>
      <c r="E132" s="892"/>
      <c r="F132" s="894">
        <v>4591</v>
      </c>
      <c r="G132" s="894">
        <v>7882</v>
      </c>
      <c r="H132" s="892"/>
      <c r="I132" s="892">
        <v>0</v>
      </c>
      <c r="J132" s="894">
        <v>3291</v>
      </c>
    </row>
    <row r="133" spans="1:10" ht="15">
      <c r="A133" s="892"/>
      <c r="B133" s="893"/>
      <c r="C133" s="892"/>
      <c r="D133" s="892"/>
      <c r="E133" s="892"/>
      <c r="F133" s="892"/>
      <c r="G133" s="894"/>
      <c r="H133" s="892"/>
      <c r="I133" s="892"/>
      <c r="J133" s="894"/>
    </row>
    <row r="134" spans="1:10" ht="15">
      <c r="A134" s="892" t="s">
        <v>908</v>
      </c>
      <c r="B134" s="893"/>
      <c r="C134" s="892"/>
      <c r="D134" s="892"/>
      <c r="E134" s="892"/>
      <c r="F134" s="892" t="s">
        <v>740</v>
      </c>
      <c r="G134" s="894" t="s">
        <v>741</v>
      </c>
      <c r="H134" s="892"/>
      <c r="I134" s="892" t="s">
        <v>742</v>
      </c>
      <c r="J134" s="894" t="s">
        <v>743</v>
      </c>
    </row>
    <row r="135" spans="1:10" ht="15">
      <c r="A135" s="892"/>
      <c r="B135" s="893">
        <v>45930</v>
      </c>
      <c r="C135" s="892" t="s">
        <v>804</v>
      </c>
      <c r="D135" s="892">
        <v>11</v>
      </c>
      <c r="E135" s="892" t="s">
        <v>909</v>
      </c>
      <c r="F135" s="892">
        <v>0</v>
      </c>
      <c r="G135" s="894">
        <v>13413</v>
      </c>
      <c r="H135" s="892"/>
      <c r="I135" s="892">
        <v>0</v>
      </c>
      <c r="J135" s="894">
        <v>13413</v>
      </c>
    </row>
    <row r="136" spans="1:10" ht="15">
      <c r="A136" s="892"/>
      <c r="B136" s="893">
        <v>46022</v>
      </c>
      <c r="C136" s="892" t="s">
        <v>804</v>
      </c>
      <c r="D136" s="892">
        <v>16</v>
      </c>
      <c r="E136" s="892" t="s">
        <v>910</v>
      </c>
      <c r="F136" s="892">
        <v>0</v>
      </c>
      <c r="G136" s="894">
        <v>6050.01</v>
      </c>
      <c r="H136" s="892"/>
      <c r="I136" s="892">
        <v>0</v>
      </c>
      <c r="J136" s="894">
        <v>19463.009999999998</v>
      </c>
    </row>
    <row r="137" spans="1:10" ht="15">
      <c r="A137" s="892" t="s">
        <v>911</v>
      </c>
      <c r="B137" s="892"/>
      <c r="C137" s="892"/>
      <c r="D137" s="892"/>
      <c r="E137" s="892"/>
      <c r="F137" s="892">
        <v>0</v>
      </c>
      <c r="G137" s="894">
        <v>19463.009999999998</v>
      </c>
      <c r="H137" s="892"/>
      <c r="I137" s="892">
        <v>0</v>
      </c>
      <c r="J137" s="894">
        <v>19463.009999999998</v>
      </c>
    </row>
    <row r="138" spans="1:10" ht="15">
      <c r="A138" s="892"/>
      <c r="B138" s="893"/>
      <c r="C138" s="892"/>
      <c r="D138" s="892"/>
      <c r="E138" s="892"/>
      <c r="F138" s="892"/>
      <c r="G138" s="892"/>
      <c r="H138" s="892"/>
      <c r="I138" s="892"/>
      <c r="J138" s="892"/>
    </row>
    <row r="139" spans="1:10" ht="15">
      <c r="A139" s="892" t="s">
        <v>912</v>
      </c>
      <c r="B139" s="893"/>
      <c r="C139" s="892"/>
      <c r="D139" s="892"/>
      <c r="E139" s="892"/>
      <c r="F139" s="892" t="s">
        <v>740</v>
      </c>
      <c r="G139" s="892" t="s">
        <v>741</v>
      </c>
      <c r="H139" s="892"/>
      <c r="I139" s="892" t="s">
        <v>742</v>
      </c>
      <c r="J139" s="892" t="s">
        <v>743</v>
      </c>
    </row>
    <row r="140" spans="1:10" ht="15">
      <c r="A140" s="892"/>
      <c r="B140" s="893">
        <v>46022</v>
      </c>
      <c r="C140" s="892" t="s">
        <v>804</v>
      </c>
      <c r="D140" s="892">
        <v>19</v>
      </c>
      <c r="E140" s="892" t="s">
        <v>403</v>
      </c>
      <c r="F140" s="894">
        <v>0</v>
      </c>
      <c r="G140" s="894">
        <v>756.3</v>
      </c>
      <c r="H140" s="892"/>
      <c r="I140" s="894">
        <v>0</v>
      </c>
      <c r="J140" s="894">
        <v>756.3</v>
      </c>
    </row>
    <row r="141" spans="1:10" ht="15">
      <c r="A141" s="892"/>
      <c r="B141" s="893">
        <v>46022</v>
      </c>
      <c r="C141" s="892" t="s">
        <v>804</v>
      </c>
      <c r="D141" s="892">
        <v>20</v>
      </c>
      <c r="E141" s="892" t="s">
        <v>404</v>
      </c>
      <c r="F141" s="892">
        <v>0</v>
      </c>
      <c r="G141" s="894">
        <v>756.3</v>
      </c>
      <c r="H141" s="892"/>
      <c r="I141" s="892">
        <v>0</v>
      </c>
      <c r="J141" s="894">
        <v>1512.6</v>
      </c>
    </row>
    <row r="142" spans="1:10" ht="15">
      <c r="A142" s="892" t="s">
        <v>913</v>
      </c>
      <c r="B142" s="893"/>
      <c r="C142" s="892"/>
      <c r="D142" s="892"/>
      <c r="E142" s="892"/>
      <c r="F142" s="894">
        <v>0</v>
      </c>
      <c r="G142" s="894">
        <v>1512.6</v>
      </c>
      <c r="H142" s="892"/>
      <c r="I142" s="894">
        <v>0</v>
      </c>
      <c r="J142" s="894">
        <v>1512.6</v>
      </c>
    </row>
    <row r="143" spans="1:10" ht="15">
      <c r="A143" s="892"/>
      <c r="B143" s="893"/>
      <c r="C143" s="892"/>
      <c r="D143" s="892"/>
      <c r="E143" s="892"/>
      <c r="F143" s="894"/>
      <c r="G143" s="894"/>
      <c r="H143" s="892"/>
      <c r="I143" s="894"/>
      <c r="J143" s="892"/>
    </row>
    <row r="144" spans="1:10" ht="15">
      <c r="A144" s="892" t="s">
        <v>914</v>
      </c>
      <c r="B144" s="893"/>
      <c r="C144" s="892"/>
      <c r="D144" s="892"/>
      <c r="E144" s="892"/>
      <c r="F144" s="894" t="s">
        <v>740</v>
      </c>
      <c r="G144" s="894" t="s">
        <v>741</v>
      </c>
      <c r="H144" s="892"/>
      <c r="I144" s="894" t="s">
        <v>742</v>
      </c>
      <c r="J144" s="892" t="s">
        <v>743</v>
      </c>
    </row>
    <row r="145" spans="1:10" ht="15">
      <c r="A145" s="892"/>
      <c r="B145" s="893">
        <v>45726</v>
      </c>
      <c r="C145" s="892" t="s">
        <v>824</v>
      </c>
      <c r="D145" s="892">
        <v>1</v>
      </c>
      <c r="E145" s="892" t="s">
        <v>825</v>
      </c>
      <c r="F145" s="894">
        <v>2</v>
      </c>
      <c r="G145" s="894">
        <v>0</v>
      </c>
      <c r="H145" s="892"/>
      <c r="I145" s="894">
        <v>2</v>
      </c>
      <c r="J145" s="892">
        <v>0</v>
      </c>
    </row>
    <row r="146" spans="1:10" ht="15">
      <c r="A146" s="892"/>
      <c r="B146" s="893">
        <v>45726</v>
      </c>
      <c r="C146" s="892" t="s">
        <v>824</v>
      </c>
      <c r="D146" s="892">
        <v>2</v>
      </c>
      <c r="E146" s="892" t="s">
        <v>833</v>
      </c>
      <c r="F146" s="894">
        <v>2</v>
      </c>
      <c r="G146" s="894">
        <v>0</v>
      </c>
      <c r="H146" s="892"/>
      <c r="I146" s="894">
        <v>4</v>
      </c>
      <c r="J146" s="892">
        <v>0</v>
      </c>
    </row>
    <row r="147" spans="1:10" ht="15">
      <c r="A147" s="892"/>
      <c r="B147" s="893">
        <v>45862</v>
      </c>
      <c r="C147" s="892" t="s">
        <v>824</v>
      </c>
      <c r="D147" s="892" t="s">
        <v>873</v>
      </c>
      <c r="E147" s="892" t="s">
        <v>874</v>
      </c>
      <c r="F147" s="894">
        <v>50400000</v>
      </c>
      <c r="G147" s="894">
        <v>0</v>
      </c>
      <c r="H147" s="892"/>
      <c r="I147" s="894">
        <v>50400004</v>
      </c>
      <c r="J147" s="892">
        <v>0</v>
      </c>
    </row>
    <row r="148" spans="1:10" ht="15">
      <c r="A148" s="892"/>
      <c r="B148" s="893">
        <v>45863</v>
      </c>
      <c r="C148" s="892" t="s">
        <v>824</v>
      </c>
      <c r="D148" s="892" t="s">
        <v>845</v>
      </c>
      <c r="E148" s="892" t="s">
        <v>915</v>
      </c>
      <c r="F148" s="894">
        <v>0</v>
      </c>
      <c r="G148" s="894">
        <v>50400000</v>
      </c>
      <c r="H148" s="892"/>
      <c r="I148" s="894">
        <v>4</v>
      </c>
      <c r="J148" s="892">
        <v>0</v>
      </c>
    </row>
    <row r="149" spans="1:10" ht="15">
      <c r="A149" s="892"/>
      <c r="B149" s="893">
        <v>45869</v>
      </c>
      <c r="C149" s="892" t="s">
        <v>824</v>
      </c>
      <c r="D149" s="892">
        <v>1</v>
      </c>
      <c r="E149" s="892" t="s">
        <v>916</v>
      </c>
      <c r="F149" s="894">
        <v>1400</v>
      </c>
      <c r="G149" s="892">
        <v>0</v>
      </c>
      <c r="H149" s="892"/>
      <c r="I149" s="894">
        <v>1404</v>
      </c>
      <c r="J149" s="892">
        <v>0</v>
      </c>
    </row>
    <row r="150" spans="1:10" ht="15">
      <c r="A150" s="892"/>
      <c r="B150" s="893">
        <v>45982</v>
      </c>
      <c r="C150" s="892" t="s">
        <v>824</v>
      </c>
      <c r="D150" s="892" t="s">
        <v>875</v>
      </c>
      <c r="E150" s="892" t="s">
        <v>876</v>
      </c>
      <c r="F150" s="894">
        <v>35380000</v>
      </c>
      <c r="G150" s="892">
        <v>0</v>
      </c>
      <c r="H150" s="892"/>
      <c r="I150" s="894">
        <v>35381404</v>
      </c>
      <c r="J150" s="892">
        <v>0</v>
      </c>
    </row>
    <row r="151" spans="1:10" ht="15">
      <c r="A151" s="892"/>
      <c r="B151" s="893">
        <v>45986</v>
      </c>
      <c r="C151" s="892" t="s">
        <v>824</v>
      </c>
      <c r="D151" s="892" t="s">
        <v>840</v>
      </c>
      <c r="E151" s="892" t="s">
        <v>917</v>
      </c>
      <c r="F151" s="894">
        <v>0</v>
      </c>
      <c r="G151" s="894">
        <v>90400</v>
      </c>
      <c r="H151" s="892"/>
      <c r="I151" s="894">
        <v>35291004</v>
      </c>
      <c r="J151" s="892">
        <v>0</v>
      </c>
    </row>
    <row r="152" spans="1:10" ht="15">
      <c r="A152" s="892"/>
      <c r="B152" s="893">
        <v>45986</v>
      </c>
      <c r="C152" s="892" t="s">
        <v>824</v>
      </c>
      <c r="D152" s="892" t="s">
        <v>840</v>
      </c>
      <c r="E152" s="892" t="s">
        <v>918</v>
      </c>
      <c r="F152" s="894">
        <v>0</v>
      </c>
      <c r="G152" s="894">
        <v>35289600</v>
      </c>
      <c r="H152" s="892"/>
      <c r="I152" s="894">
        <v>1404</v>
      </c>
      <c r="J152" s="892">
        <v>0</v>
      </c>
    </row>
    <row r="153" spans="1:10" ht="15">
      <c r="A153" s="892"/>
      <c r="B153" s="893">
        <v>45989</v>
      </c>
      <c r="C153" s="892" t="s">
        <v>824</v>
      </c>
      <c r="D153" s="892">
        <v>15</v>
      </c>
      <c r="E153" s="892" t="s">
        <v>919</v>
      </c>
      <c r="F153" s="894">
        <v>3931.27</v>
      </c>
      <c r="G153" s="894">
        <v>0</v>
      </c>
      <c r="H153" s="892"/>
      <c r="I153" s="894">
        <v>5335.27</v>
      </c>
      <c r="J153" s="892">
        <v>0</v>
      </c>
    </row>
    <row r="154" spans="1:10" ht="15">
      <c r="A154" s="892"/>
      <c r="B154" s="893">
        <v>46007</v>
      </c>
      <c r="C154" s="892" t="s">
        <v>824</v>
      </c>
      <c r="D154" s="892" t="s">
        <v>877</v>
      </c>
      <c r="E154" s="892" t="s">
        <v>879</v>
      </c>
      <c r="F154" s="894">
        <v>4250000</v>
      </c>
      <c r="G154" s="894">
        <v>0</v>
      </c>
      <c r="H154" s="892"/>
      <c r="I154" s="894">
        <v>4255335.2699999996</v>
      </c>
      <c r="J154" s="892">
        <v>0</v>
      </c>
    </row>
    <row r="155" spans="1:10" ht="15">
      <c r="A155" s="892"/>
      <c r="B155" s="893">
        <v>46007</v>
      </c>
      <c r="C155" s="892" t="s">
        <v>824</v>
      </c>
      <c r="D155" s="892" t="s">
        <v>877</v>
      </c>
      <c r="E155" s="892" t="s">
        <v>878</v>
      </c>
      <c r="F155" s="894">
        <v>40906250</v>
      </c>
      <c r="G155" s="892">
        <v>0</v>
      </c>
      <c r="H155" s="892"/>
      <c r="I155" s="894">
        <v>45161585.270000003</v>
      </c>
      <c r="J155" s="892">
        <v>0</v>
      </c>
    </row>
    <row r="156" spans="1:10" ht="15">
      <c r="A156" s="892"/>
      <c r="B156" s="893">
        <v>46007</v>
      </c>
      <c r="C156" s="892" t="s">
        <v>824</v>
      </c>
      <c r="D156" s="892" t="s">
        <v>877</v>
      </c>
      <c r="E156" s="892" t="s">
        <v>878</v>
      </c>
      <c r="F156" s="894">
        <v>16843750</v>
      </c>
      <c r="G156" s="892">
        <v>0</v>
      </c>
      <c r="H156" s="892"/>
      <c r="I156" s="894">
        <v>62005335.270000003</v>
      </c>
      <c r="J156" s="892">
        <v>0</v>
      </c>
    </row>
    <row r="157" spans="1:10" ht="15">
      <c r="A157" s="892"/>
      <c r="B157" s="893">
        <v>46007</v>
      </c>
      <c r="C157" s="892" t="s">
        <v>824</v>
      </c>
      <c r="D157" s="892" t="s">
        <v>877</v>
      </c>
      <c r="E157" s="892" t="s">
        <v>879</v>
      </c>
      <c r="F157" s="894">
        <v>1750000</v>
      </c>
      <c r="G157" s="892">
        <v>0</v>
      </c>
      <c r="H157" s="892"/>
      <c r="I157" s="894">
        <v>63755335.270000003</v>
      </c>
      <c r="J157" s="892">
        <v>0</v>
      </c>
    </row>
    <row r="158" spans="1:10" ht="15">
      <c r="A158" s="892"/>
      <c r="B158" s="893">
        <v>46007</v>
      </c>
      <c r="C158" s="892" t="s">
        <v>824</v>
      </c>
      <c r="D158" s="892" t="s">
        <v>859</v>
      </c>
      <c r="E158" s="892" t="s">
        <v>860</v>
      </c>
      <c r="F158" s="894">
        <v>0</v>
      </c>
      <c r="G158" s="894">
        <v>63750000</v>
      </c>
      <c r="H158" s="892"/>
      <c r="I158" s="894">
        <v>5335.27</v>
      </c>
      <c r="J158" s="892">
        <v>0</v>
      </c>
    </row>
    <row r="159" spans="1:10" ht="15">
      <c r="A159" s="892"/>
      <c r="B159" s="893">
        <v>46013</v>
      </c>
      <c r="C159" s="892" t="s">
        <v>824</v>
      </c>
      <c r="D159" s="892" t="s">
        <v>902</v>
      </c>
      <c r="E159" s="892" t="s">
        <v>920</v>
      </c>
      <c r="F159" s="894">
        <v>0</v>
      </c>
      <c r="G159" s="894">
        <v>4591</v>
      </c>
      <c r="H159" s="892"/>
      <c r="I159" s="894">
        <v>744.27</v>
      </c>
      <c r="J159" s="892">
        <v>0</v>
      </c>
    </row>
    <row r="160" spans="1:10" ht="15">
      <c r="A160" s="892"/>
      <c r="B160" s="893">
        <v>46020</v>
      </c>
      <c r="C160" s="892" t="s">
        <v>824</v>
      </c>
      <c r="D160" s="892" t="s">
        <v>826</v>
      </c>
      <c r="E160" s="892" t="s">
        <v>827</v>
      </c>
      <c r="F160" s="894">
        <v>1246034.3999999999</v>
      </c>
      <c r="G160" s="892">
        <v>0</v>
      </c>
      <c r="H160" s="892"/>
      <c r="I160" s="894">
        <v>1246778.67</v>
      </c>
      <c r="J160" s="892">
        <v>0</v>
      </c>
    </row>
    <row r="161" spans="1:10" ht="15">
      <c r="A161" s="892"/>
      <c r="B161" s="893">
        <v>46020</v>
      </c>
      <c r="C161" s="892" t="s">
        <v>824</v>
      </c>
      <c r="D161" s="892" t="s">
        <v>826</v>
      </c>
      <c r="E161" s="892" t="s">
        <v>828</v>
      </c>
      <c r="F161" s="894">
        <v>606081</v>
      </c>
      <c r="G161" s="894">
        <v>0</v>
      </c>
      <c r="H161" s="892"/>
      <c r="I161" s="894">
        <v>1852859.67</v>
      </c>
      <c r="J161" s="892">
        <v>0</v>
      </c>
    </row>
    <row r="162" spans="1:10" ht="15">
      <c r="A162" s="892"/>
      <c r="B162" s="893">
        <v>46020</v>
      </c>
      <c r="C162" s="892" t="s">
        <v>824</v>
      </c>
      <c r="D162" s="892" t="s">
        <v>826</v>
      </c>
      <c r="E162" s="892" t="s">
        <v>829</v>
      </c>
      <c r="F162" s="894">
        <v>34420</v>
      </c>
      <c r="G162" s="894">
        <v>0</v>
      </c>
      <c r="H162" s="892"/>
      <c r="I162" s="894">
        <v>1887279.67</v>
      </c>
      <c r="J162" s="892">
        <v>0</v>
      </c>
    </row>
    <row r="163" spans="1:10" ht="15">
      <c r="A163" s="892"/>
      <c r="B163" s="893">
        <v>46020</v>
      </c>
      <c r="C163" s="892" t="s">
        <v>824</v>
      </c>
      <c r="D163" s="892" t="s">
        <v>830</v>
      </c>
      <c r="E163" s="892" t="s">
        <v>827</v>
      </c>
      <c r="F163" s="894">
        <v>57462445.149999999</v>
      </c>
      <c r="G163" s="892">
        <v>0</v>
      </c>
      <c r="H163" s="892"/>
      <c r="I163" s="894">
        <v>59349724.82</v>
      </c>
      <c r="J163" s="892">
        <v>0</v>
      </c>
    </row>
    <row r="164" spans="1:10" ht="15">
      <c r="A164" s="892"/>
      <c r="B164" s="893">
        <v>46020</v>
      </c>
      <c r="C164" s="892" t="s">
        <v>824</v>
      </c>
      <c r="D164" s="892" t="s">
        <v>830</v>
      </c>
      <c r="E164" s="892" t="s">
        <v>828</v>
      </c>
      <c r="F164" s="894">
        <v>27950143.530000001</v>
      </c>
      <c r="G164" s="894">
        <v>0</v>
      </c>
      <c r="H164" s="892"/>
      <c r="I164" s="894">
        <v>87299868.349999994</v>
      </c>
      <c r="J164" s="892">
        <v>0</v>
      </c>
    </row>
    <row r="165" spans="1:10" ht="15">
      <c r="A165" s="892"/>
      <c r="B165" s="893">
        <v>46020</v>
      </c>
      <c r="C165" s="892" t="s">
        <v>824</v>
      </c>
      <c r="D165" s="892" t="s">
        <v>830</v>
      </c>
      <c r="E165" s="892" t="s">
        <v>829</v>
      </c>
      <c r="F165" s="894">
        <v>1587319.09</v>
      </c>
      <c r="G165" s="892">
        <v>0</v>
      </c>
      <c r="H165" s="892"/>
      <c r="I165" s="894">
        <v>88887187.439999998</v>
      </c>
      <c r="J165" s="892">
        <v>0</v>
      </c>
    </row>
    <row r="166" spans="1:10" ht="15">
      <c r="A166" s="892"/>
      <c r="B166" s="893">
        <v>46020</v>
      </c>
      <c r="C166" s="892" t="s">
        <v>824</v>
      </c>
      <c r="D166" s="892" t="s">
        <v>880</v>
      </c>
      <c r="E166" s="892" t="s">
        <v>921</v>
      </c>
      <c r="F166" s="892">
        <v>0</v>
      </c>
      <c r="G166" s="894">
        <v>86773286.069999993</v>
      </c>
      <c r="H166" s="892"/>
      <c r="I166" s="894">
        <v>2113901.37</v>
      </c>
      <c r="J166" s="892">
        <v>0</v>
      </c>
    </row>
    <row r="167" spans="1:10" ht="15">
      <c r="A167" s="892"/>
      <c r="B167" s="893">
        <v>46020</v>
      </c>
      <c r="C167" s="892" t="s">
        <v>824</v>
      </c>
      <c r="D167" s="892" t="s">
        <v>830</v>
      </c>
      <c r="E167" s="892" t="s">
        <v>834</v>
      </c>
      <c r="F167" s="894">
        <v>92.23</v>
      </c>
      <c r="G167" s="892">
        <v>0</v>
      </c>
      <c r="H167" s="892"/>
      <c r="I167" s="894">
        <v>2113993.6</v>
      </c>
      <c r="J167" s="892">
        <v>0</v>
      </c>
    </row>
    <row r="168" spans="1:10" ht="15">
      <c r="A168" s="892"/>
      <c r="B168" s="893">
        <v>46022</v>
      </c>
      <c r="C168" s="892" t="s">
        <v>824</v>
      </c>
      <c r="D168" s="892">
        <v>18</v>
      </c>
      <c r="E168" s="892" t="s">
        <v>922</v>
      </c>
      <c r="F168" s="894">
        <v>176.17</v>
      </c>
      <c r="G168" s="894">
        <v>0</v>
      </c>
      <c r="H168" s="892"/>
      <c r="I168" s="894">
        <v>2114169.77</v>
      </c>
      <c r="J168" s="892">
        <v>0</v>
      </c>
    </row>
    <row r="169" spans="1:10" ht="15">
      <c r="A169" s="892" t="s">
        <v>923</v>
      </c>
      <c r="B169" s="893"/>
      <c r="C169" s="892"/>
      <c r="D169" s="892"/>
      <c r="E169" s="892"/>
      <c r="F169" s="894">
        <v>238422046.84</v>
      </c>
      <c r="G169" s="894">
        <v>236307877.06999999</v>
      </c>
      <c r="H169" s="892"/>
      <c r="I169" s="894">
        <v>2114169.77</v>
      </c>
      <c r="J169" s="892">
        <v>0</v>
      </c>
    </row>
    <row r="170" spans="1:10" ht="15">
      <c r="A170" s="892"/>
      <c r="B170" s="893"/>
      <c r="C170" s="892"/>
      <c r="D170" s="892"/>
      <c r="E170" s="892"/>
      <c r="F170" s="894"/>
      <c r="G170" s="894"/>
      <c r="H170" s="892"/>
      <c r="I170" s="894"/>
      <c r="J170" s="892"/>
    </row>
    <row r="171" spans="1:10" ht="15">
      <c r="A171" s="892" t="s">
        <v>924</v>
      </c>
      <c r="B171" s="893"/>
      <c r="C171" s="892"/>
      <c r="D171" s="892"/>
      <c r="E171" s="892"/>
      <c r="F171" s="894" t="s">
        <v>740</v>
      </c>
      <c r="G171" s="892" t="s">
        <v>741</v>
      </c>
      <c r="H171" s="892"/>
      <c r="I171" s="894" t="s">
        <v>742</v>
      </c>
      <c r="J171" s="892" t="s">
        <v>743</v>
      </c>
    </row>
    <row r="172" spans="1:10" ht="15">
      <c r="A172" s="892"/>
      <c r="B172" s="893">
        <v>45930</v>
      </c>
      <c r="C172" s="892" t="s">
        <v>863</v>
      </c>
      <c r="D172" s="892">
        <v>1</v>
      </c>
      <c r="E172" s="892" t="s">
        <v>864</v>
      </c>
      <c r="F172" s="894">
        <v>364806.40000000002</v>
      </c>
      <c r="G172" s="894">
        <v>0</v>
      </c>
      <c r="H172" s="892"/>
      <c r="I172" s="894">
        <v>364806.40000000002</v>
      </c>
      <c r="J172" s="892">
        <v>0</v>
      </c>
    </row>
    <row r="173" spans="1:10" ht="15">
      <c r="A173" s="892"/>
      <c r="B173" s="893">
        <v>45931</v>
      </c>
      <c r="C173" s="892" t="s">
        <v>863</v>
      </c>
      <c r="D173" s="892">
        <v>1</v>
      </c>
      <c r="E173" s="892" t="s">
        <v>865</v>
      </c>
      <c r="F173" s="894">
        <v>0</v>
      </c>
      <c r="G173" s="894">
        <v>364806.40000000002</v>
      </c>
      <c r="H173" s="892"/>
      <c r="I173" s="894">
        <v>0</v>
      </c>
      <c r="J173" s="892">
        <v>0</v>
      </c>
    </row>
    <row r="174" spans="1:10" ht="15">
      <c r="A174" s="892"/>
      <c r="B174" s="893">
        <v>46020</v>
      </c>
      <c r="C174" s="892" t="s">
        <v>824</v>
      </c>
      <c r="D174" s="892" t="s">
        <v>880</v>
      </c>
      <c r="E174" s="892" t="s">
        <v>925</v>
      </c>
      <c r="F174" s="894">
        <v>847638.4</v>
      </c>
      <c r="G174" s="892">
        <v>0</v>
      </c>
      <c r="H174" s="892"/>
      <c r="I174" s="894">
        <v>847638.4</v>
      </c>
      <c r="J174" s="892">
        <v>0</v>
      </c>
    </row>
    <row r="175" spans="1:10" ht="15">
      <c r="A175" s="892"/>
      <c r="B175" s="893">
        <v>46020</v>
      </c>
      <c r="C175" s="892" t="s">
        <v>824</v>
      </c>
      <c r="D175" s="892" t="s">
        <v>880</v>
      </c>
      <c r="E175" s="892" t="s">
        <v>926</v>
      </c>
      <c r="F175" s="894">
        <v>145647.67000000001</v>
      </c>
      <c r="G175" s="892">
        <v>0</v>
      </c>
      <c r="H175" s="892"/>
      <c r="I175" s="894">
        <v>993286.07</v>
      </c>
      <c r="J175" s="892">
        <v>0</v>
      </c>
    </row>
    <row r="176" spans="1:10" ht="15">
      <c r="A176" s="892"/>
      <c r="B176" s="893">
        <v>46022</v>
      </c>
      <c r="C176" s="892" t="s">
        <v>804</v>
      </c>
      <c r="D176" s="892">
        <v>17</v>
      </c>
      <c r="E176" s="892" t="s">
        <v>866</v>
      </c>
      <c r="F176" s="894">
        <v>112604.67</v>
      </c>
      <c r="G176" s="892">
        <v>0</v>
      </c>
      <c r="H176" s="892"/>
      <c r="I176" s="894">
        <v>1105890.74</v>
      </c>
      <c r="J176" s="892">
        <v>0</v>
      </c>
    </row>
    <row r="177" spans="1:10" ht="15">
      <c r="A177" s="892" t="s">
        <v>927</v>
      </c>
      <c r="B177" s="893"/>
      <c r="C177" s="892"/>
      <c r="D177" s="892"/>
      <c r="E177" s="892"/>
      <c r="F177" s="894">
        <v>1470697.14</v>
      </c>
      <c r="G177" s="894">
        <v>364806.40000000002</v>
      </c>
      <c r="H177" s="892"/>
      <c r="I177" s="894">
        <v>1105890.74</v>
      </c>
      <c r="J177" s="892">
        <v>0</v>
      </c>
    </row>
    <row r="178" spans="1:10" ht="15">
      <c r="A178" s="892"/>
      <c r="B178" s="892"/>
      <c r="C178" s="892"/>
      <c r="D178" s="892"/>
      <c r="E178" s="892"/>
      <c r="F178" s="894"/>
      <c r="G178" s="892"/>
      <c r="H178" s="892"/>
      <c r="I178" s="894"/>
      <c r="J178" s="892"/>
    </row>
    <row r="179" spans="1:10" ht="15">
      <c r="A179" s="892" t="s">
        <v>928</v>
      </c>
      <c r="B179" s="893"/>
      <c r="C179" s="892"/>
      <c r="D179" s="892"/>
      <c r="E179" s="892"/>
      <c r="F179" s="894" t="s">
        <v>740</v>
      </c>
      <c r="G179" s="892" t="s">
        <v>741</v>
      </c>
      <c r="H179" s="892"/>
      <c r="I179" s="894" t="s">
        <v>742</v>
      </c>
      <c r="J179" s="892" t="s">
        <v>743</v>
      </c>
    </row>
    <row r="180" spans="1:10" ht="15">
      <c r="A180" s="892"/>
      <c r="B180" s="893">
        <v>46022</v>
      </c>
      <c r="C180" s="892" t="s">
        <v>804</v>
      </c>
      <c r="D180" s="892">
        <v>19</v>
      </c>
      <c r="E180" s="892" t="s">
        <v>403</v>
      </c>
      <c r="F180" s="894">
        <v>756.3</v>
      </c>
      <c r="G180" s="892">
        <v>0</v>
      </c>
      <c r="H180" s="892"/>
      <c r="I180" s="894">
        <v>756.3</v>
      </c>
      <c r="J180" s="892">
        <v>0</v>
      </c>
    </row>
    <row r="181" spans="1:10" ht="15">
      <c r="A181" s="892"/>
      <c r="B181" s="893">
        <v>46022</v>
      </c>
      <c r="C181" s="892" t="s">
        <v>804</v>
      </c>
      <c r="D181" s="892">
        <v>20</v>
      </c>
      <c r="E181" s="892" t="s">
        <v>404</v>
      </c>
      <c r="F181" s="894">
        <v>756.3</v>
      </c>
      <c r="G181" s="892">
        <v>0</v>
      </c>
      <c r="H181" s="892"/>
      <c r="I181" s="894">
        <v>1512.6</v>
      </c>
      <c r="J181" s="892">
        <v>0</v>
      </c>
    </row>
    <row r="182" spans="1:10" ht="15">
      <c r="A182" s="892" t="s">
        <v>929</v>
      </c>
      <c r="B182" s="893"/>
      <c r="C182" s="892"/>
      <c r="D182" s="892"/>
      <c r="E182" s="892"/>
      <c r="F182" s="894">
        <v>1512.6</v>
      </c>
      <c r="G182" s="892">
        <v>0</v>
      </c>
      <c r="H182" s="892"/>
      <c r="I182" s="894">
        <v>1512.6</v>
      </c>
      <c r="J182" s="892">
        <v>0</v>
      </c>
    </row>
    <row r="183" spans="1:10" ht="15">
      <c r="A183" s="892"/>
      <c r="B183" s="893"/>
      <c r="C183" s="892"/>
      <c r="D183" s="892"/>
      <c r="E183" s="892"/>
      <c r="F183" s="894"/>
      <c r="G183" s="892"/>
      <c r="H183" s="892"/>
      <c r="I183" s="894"/>
      <c r="J183" s="892"/>
    </row>
    <row r="184" spans="1:10" ht="15">
      <c r="A184" s="892" t="s">
        <v>930</v>
      </c>
      <c r="B184" s="893"/>
      <c r="C184" s="892"/>
      <c r="D184" s="892"/>
      <c r="E184" s="892"/>
      <c r="F184" s="892" t="s">
        <v>740</v>
      </c>
      <c r="G184" s="892" t="s">
        <v>741</v>
      </c>
      <c r="H184" s="892"/>
      <c r="I184" s="894" t="s">
        <v>742</v>
      </c>
      <c r="J184" s="892" t="s">
        <v>743</v>
      </c>
    </row>
    <row r="185" spans="1:10" ht="15">
      <c r="A185" s="892"/>
      <c r="B185" s="893">
        <v>45930</v>
      </c>
      <c r="C185" s="892" t="s">
        <v>804</v>
      </c>
      <c r="D185" s="892">
        <v>1</v>
      </c>
      <c r="E185" s="892" t="s">
        <v>891</v>
      </c>
      <c r="F185" s="894">
        <v>2550</v>
      </c>
      <c r="G185" s="894">
        <v>0</v>
      </c>
      <c r="H185" s="892"/>
      <c r="I185" s="894">
        <v>2550</v>
      </c>
      <c r="J185" s="892">
        <v>0</v>
      </c>
    </row>
    <row r="186" spans="1:10" ht="15">
      <c r="A186" s="892"/>
      <c r="B186" s="893">
        <v>45931</v>
      </c>
      <c r="C186" s="892" t="s">
        <v>804</v>
      </c>
      <c r="D186" s="892">
        <v>14</v>
      </c>
      <c r="E186" s="892" t="s">
        <v>892</v>
      </c>
      <c r="F186" s="894">
        <v>306</v>
      </c>
      <c r="G186" s="892">
        <v>0</v>
      </c>
      <c r="H186" s="892"/>
      <c r="I186" s="894">
        <v>2856</v>
      </c>
      <c r="J186" s="892">
        <v>0</v>
      </c>
    </row>
    <row r="187" spans="1:10" ht="15">
      <c r="A187" s="892"/>
      <c r="B187" s="893">
        <v>46022</v>
      </c>
      <c r="C187" s="892" t="s">
        <v>804</v>
      </c>
      <c r="D187" s="892">
        <v>15</v>
      </c>
      <c r="E187" s="892" t="s">
        <v>893</v>
      </c>
      <c r="F187" s="894">
        <v>2856</v>
      </c>
      <c r="G187" s="894">
        <v>0</v>
      </c>
      <c r="H187" s="892"/>
      <c r="I187" s="894">
        <v>5712</v>
      </c>
      <c r="J187" s="892">
        <v>0</v>
      </c>
    </row>
    <row r="188" spans="1:10" ht="15">
      <c r="A188" s="892" t="s">
        <v>931</v>
      </c>
      <c r="B188" s="893"/>
      <c r="C188" s="892"/>
      <c r="D188" s="892"/>
      <c r="E188" s="892"/>
      <c r="F188" s="894">
        <v>5712</v>
      </c>
      <c r="G188" s="892">
        <v>0</v>
      </c>
      <c r="H188" s="892"/>
      <c r="I188" s="894">
        <v>5712</v>
      </c>
      <c r="J188" s="892">
        <v>0</v>
      </c>
    </row>
    <row r="189" spans="1:10" ht="15">
      <c r="A189" s="892"/>
      <c r="B189" s="893"/>
      <c r="C189" s="892"/>
      <c r="D189" s="892"/>
      <c r="E189" s="892"/>
      <c r="F189" s="894"/>
      <c r="G189" s="892"/>
      <c r="H189" s="892"/>
      <c r="I189" s="894"/>
      <c r="J189" s="892"/>
    </row>
    <row r="190" spans="1:10" ht="15">
      <c r="A190" s="892" t="s">
        <v>932</v>
      </c>
      <c r="B190" s="893"/>
      <c r="C190" s="892"/>
      <c r="D190" s="892"/>
      <c r="E190" s="892"/>
      <c r="F190" s="892" t="s">
        <v>740</v>
      </c>
      <c r="G190" s="892" t="s">
        <v>741</v>
      </c>
      <c r="H190" s="892"/>
      <c r="I190" s="894" t="s">
        <v>742</v>
      </c>
      <c r="J190" s="892" t="s">
        <v>743</v>
      </c>
    </row>
    <row r="191" spans="1:10" ht="15">
      <c r="A191" s="892"/>
      <c r="B191" s="893">
        <v>45930</v>
      </c>
      <c r="C191" s="892" t="s">
        <v>804</v>
      </c>
      <c r="D191" s="892">
        <v>2</v>
      </c>
      <c r="E191" s="892" t="s">
        <v>896</v>
      </c>
      <c r="F191" s="894">
        <v>1100</v>
      </c>
      <c r="G191" s="894">
        <v>0</v>
      </c>
      <c r="H191" s="892"/>
      <c r="I191" s="894">
        <v>1100</v>
      </c>
      <c r="J191" s="892">
        <v>0</v>
      </c>
    </row>
    <row r="192" spans="1:10" ht="15">
      <c r="A192" s="892"/>
      <c r="B192" s="893">
        <v>45930</v>
      </c>
      <c r="C192" s="892" t="s">
        <v>804</v>
      </c>
      <c r="D192" s="892">
        <v>3</v>
      </c>
      <c r="E192" s="892" t="s">
        <v>897</v>
      </c>
      <c r="F192" s="894">
        <v>2950</v>
      </c>
      <c r="G192" s="894">
        <v>0</v>
      </c>
      <c r="H192" s="892"/>
      <c r="I192" s="894">
        <v>4050</v>
      </c>
      <c r="J192" s="892">
        <v>0</v>
      </c>
    </row>
    <row r="193" spans="1:10" ht="15">
      <c r="A193" s="892"/>
      <c r="B193" s="893">
        <v>45930</v>
      </c>
      <c r="C193" s="892" t="s">
        <v>804</v>
      </c>
      <c r="D193" s="892">
        <v>4</v>
      </c>
      <c r="E193" s="892" t="s">
        <v>898</v>
      </c>
      <c r="F193" s="894">
        <v>161</v>
      </c>
      <c r="G193" s="894">
        <v>0</v>
      </c>
      <c r="H193" s="892"/>
      <c r="I193" s="894">
        <v>4211</v>
      </c>
      <c r="J193" s="892">
        <v>0</v>
      </c>
    </row>
    <row r="194" spans="1:10" ht="15">
      <c r="A194" s="892"/>
      <c r="B194" s="893">
        <v>45930</v>
      </c>
      <c r="C194" s="892" t="s">
        <v>804</v>
      </c>
      <c r="D194" s="892">
        <v>5</v>
      </c>
      <c r="E194" s="892" t="s">
        <v>899</v>
      </c>
      <c r="F194" s="894">
        <v>110</v>
      </c>
      <c r="G194" s="892">
        <v>0</v>
      </c>
      <c r="H194" s="892"/>
      <c r="I194" s="894">
        <v>4321</v>
      </c>
      <c r="J194" s="892">
        <v>0</v>
      </c>
    </row>
    <row r="195" spans="1:10" ht="15">
      <c r="A195" s="892"/>
      <c r="B195" s="893">
        <v>45930</v>
      </c>
      <c r="C195" s="892" t="s">
        <v>804</v>
      </c>
      <c r="D195" s="892">
        <v>6</v>
      </c>
      <c r="E195" s="892" t="s">
        <v>900</v>
      </c>
      <c r="F195" s="894">
        <v>70</v>
      </c>
      <c r="G195" s="892">
        <v>0</v>
      </c>
      <c r="H195" s="892"/>
      <c r="I195" s="894">
        <v>4391</v>
      </c>
      <c r="J195" s="892">
        <v>0</v>
      </c>
    </row>
    <row r="196" spans="1:10" ht="15">
      <c r="A196" s="892"/>
      <c r="B196" s="893">
        <v>45930</v>
      </c>
      <c r="C196" s="892" t="s">
        <v>804</v>
      </c>
      <c r="D196" s="892">
        <v>8</v>
      </c>
      <c r="E196" s="892" t="s">
        <v>901</v>
      </c>
      <c r="F196" s="894">
        <v>200</v>
      </c>
      <c r="G196" s="892">
        <v>0</v>
      </c>
      <c r="H196" s="892"/>
      <c r="I196" s="894">
        <v>4591</v>
      </c>
      <c r="J196" s="892">
        <v>0</v>
      </c>
    </row>
    <row r="197" spans="1:10" ht="15">
      <c r="A197" s="892"/>
      <c r="B197" s="893">
        <v>46013</v>
      </c>
      <c r="C197" s="892" t="s">
        <v>804</v>
      </c>
      <c r="D197" s="892" t="s">
        <v>902</v>
      </c>
      <c r="E197" s="892" t="s">
        <v>903</v>
      </c>
      <c r="F197" s="894">
        <v>0</v>
      </c>
      <c r="G197" s="894">
        <v>4591</v>
      </c>
      <c r="H197" s="892"/>
      <c r="I197" s="894">
        <v>0</v>
      </c>
      <c r="J197" s="892">
        <v>0</v>
      </c>
    </row>
    <row r="198" spans="1:10" ht="15">
      <c r="A198" s="892"/>
      <c r="B198" s="893">
        <v>46013</v>
      </c>
      <c r="C198" s="892" t="s">
        <v>824</v>
      </c>
      <c r="D198" s="892" t="s">
        <v>902</v>
      </c>
      <c r="E198" s="892" t="s">
        <v>920</v>
      </c>
      <c r="F198" s="894">
        <v>4591</v>
      </c>
      <c r="G198" s="894">
        <v>0</v>
      </c>
      <c r="H198" s="892"/>
      <c r="I198" s="894">
        <v>4591</v>
      </c>
      <c r="J198" s="892">
        <v>0</v>
      </c>
    </row>
    <row r="199" spans="1:10" ht="15">
      <c r="A199" s="892"/>
      <c r="B199" s="893">
        <v>46022</v>
      </c>
      <c r="C199" s="892" t="s">
        <v>804</v>
      </c>
      <c r="D199" s="892">
        <v>16</v>
      </c>
      <c r="E199" s="892" t="s">
        <v>904</v>
      </c>
      <c r="F199" s="894">
        <v>2950</v>
      </c>
      <c r="G199" s="892">
        <v>0</v>
      </c>
      <c r="H199" s="892"/>
      <c r="I199" s="894">
        <v>7541</v>
      </c>
      <c r="J199" s="892">
        <v>0</v>
      </c>
    </row>
    <row r="200" spans="1:10" ht="15">
      <c r="A200" s="892"/>
      <c r="B200" s="893">
        <v>46022</v>
      </c>
      <c r="C200" s="892" t="s">
        <v>804</v>
      </c>
      <c r="D200" s="892">
        <v>17</v>
      </c>
      <c r="E200" s="892" t="s">
        <v>905</v>
      </c>
      <c r="F200" s="894">
        <v>161</v>
      </c>
      <c r="G200" s="892">
        <v>0</v>
      </c>
      <c r="H200" s="892"/>
      <c r="I200" s="894">
        <v>7702</v>
      </c>
      <c r="J200" s="892">
        <v>0</v>
      </c>
    </row>
    <row r="201" spans="1:10" ht="15">
      <c r="A201" s="892"/>
      <c r="B201" s="893">
        <v>46022</v>
      </c>
      <c r="C201" s="892" t="s">
        <v>804</v>
      </c>
      <c r="D201" s="892">
        <v>18</v>
      </c>
      <c r="E201" s="892" t="s">
        <v>906</v>
      </c>
      <c r="F201" s="894">
        <v>110</v>
      </c>
      <c r="G201" s="892">
        <v>0</v>
      </c>
      <c r="H201" s="892"/>
      <c r="I201" s="894">
        <v>7812</v>
      </c>
      <c r="J201" s="892">
        <v>0</v>
      </c>
    </row>
    <row r="202" spans="1:10" ht="15">
      <c r="A202" s="892"/>
      <c r="B202" s="893">
        <v>46022</v>
      </c>
      <c r="C202" s="892" t="s">
        <v>804</v>
      </c>
      <c r="D202" s="892">
        <v>19</v>
      </c>
      <c r="E202" s="892" t="s">
        <v>906</v>
      </c>
      <c r="F202" s="894">
        <v>70</v>
      </c>
      <c r="G202" s="892">
        <v>0</v>
      </c>
      <c r="H202" s="892"/>
      <c r="I202" s="894">
        <v>7882</v>
      </c>
      <c r="J202" s="892">
        <v>0</v>
      </c>
    </row>
    <row r="203" spans="1:10" ht="15">
      <c r="A203" s="892" t="s">
        <v>933</v>
      </c>
      <c r="B203" s="892"/>
      <c r="C203" s="892"/>
      <c r="D203" s="892"/>
      <c r="E203" s="892"/>
      <c r="F203" s="894">
        <v>12473</v>
      </c>
      <c r="G203" s="894">
        <v>4591</v>
      </c>
      <c r="H203" s="892"/>
      <c r="I203" s="894">
        <v>7882</v>
      </c>
      <c r="J203" s="892">
        <v>0</v>
      </c>
    </row>
    <row r="204" spans="1:10" ht="15">
      <c r="A204" s="892"/>
      <c r="B204" s="893"/>
      <c r="C204" s="892"/>
      <c r="D204" s="892"/>
      <c r="E204" s="892"/>
      <c r="F204" s="892"/>
      <c r="G204" s="894"/>
      <c r="H204" s="892"/>
      <c r="I204" s="892"/>
      <c r="J204" s="894"/>
    </row>
    <row r="205" spans="1:10" ht="15">
      <c r="A205" s="892" t="s">
        <v>934</v>
      </c>
      <c r="B205" s="892"/>
      <c r="C205" s="892"/>
      <c r="D205" s="892"/>
      <c r="E205" s="892"/>
      <c r="F205" s="892" t="s">
        <v>740</v>
      </c>
      <c r="G205" s="894" t="s">
        <v>741</v>
      </c>
      <c r="H205" s="892"/>
      <c r="I205" s="892" t="s">
        <v>742</v>
      </c>
      <c r="J205" s="894" t="s">
        <v>743</v>
      </c>
    </row>
    <row r="206" spans="1:10" ht="15">
      <c r="A206" s="892"/>
      <c r="B206" s="893">
        <v>45930</v>
      </c>
      <c r="C206" s="892" t="s">
        <v>804</v>
      </c>
      <c r="D206" s="892">
        <v>11</v>
      </c>
      <c r="E206" s="892" t="s">
        <v>909</v>
      </c>
      <c r="F206" s="894">
        <v>13413</v>
      </c>
      <c r="G206" s="894">
        <v>0</v>
      </c>
      <c r="H206" s="892"/>
      <c r="I206" s="894">
        <v>13413</v>
      </c>
      <c r="J206" s="894">
        <v>0</v>
      </c>
    </row>
    <row r="207" spans="1:10" ht="15">
      <c r="A207" s="892"/>
      <c r="B207" s="893">
        <v>46022</v>
      </c>
      <c r="C207" s="892" t="s">
        <v>804</v>
      </c>
      <c r="D207" s="892">
        <v>16</v>
      </c>
      <c r="E207" s="892" t="s">
        <v>910</v>
      </c>
      <c r="F207" s="894">
        <v>6050.01</v>
      </c>
      <c r="G207" s="894">
        <v>0</v>
      </c>
      <c r="H207" s="892"/>
      <c r="I207" s="894">
        <v>19463.009999999998</v>
      </c>
      <c r="J207" s="894">
        <v>0</v>
      </c>
    </row>
    <row r="208" spans="1:10" ht="15">
      <c r="A208" s="892" t="s">
        <v>935</v>
      </c>
      <c r="B208" s="893"/>
      <c r="C208" s="892"/>
      <c r="D208" s="892"/>
      <c r="E208" s="892"/>
      <c r="F208" s="894">
        <v>19463.009999999998</v>
      </c>
      <c r="G208" s="894">
        <v>0</v>
      </c>
      <c r="H208" s="892"/>
      <c r="I208" s="894">
        <v>19463.009999999998</v>
      </c>
      <c r="J208" s="894">
        <v>0</v>
      </c>
    </row>
    <row r="209" spans="1:10" ht="15">
      <c r="A209" s="892"/>
      <c r="B209" s="893"/>
      <c r="C209" s="892"/>
      <c r="D209" s="892"/>
      <c r="E209" s="892"/>
      <c r="F209" s="894"/>
      <c r="G209" s="892"/>
      <c r="H209" s="892"/>
      <c r="I209" s="892"/>
      <c r="J209" s="892"/>
    </row>
    <row r="210" spans="1:10" ht="15">
      <c r="A210" s="892" t="s">
        <v>936</v>
      </c>
      <c r="B210" s="893"/>
      <c r="C210" s="892"/>
      <c r="D210" s="892"/>
      <c r="E210" s="892"/>
      <c r="F210" s="892" t="s">
        <v>740</v>
      </c>
      <c r="G210" s="894" t="s">
        <v>741</v>
      </c>
      <c r="H210" s="892"/>
      <c r="I210" s="892" t="s">
        <v>742</v>
      </c>
      <c r="J210" s="894" t="s">
        <v>743</v>
      </c>
    </row>
    <row r="211" spans="1:10" ht="15">
      <c r="A211" s="892"/>
      <c r="B211" s="893">
        <v>46022</v>
      </c>
      <c r="C211" s="892" t="s">
        <v>804</v>
      </c>
      <c r="D211" s="892" t="s">
        <v>888</v>
      </c>
      <c r="E211" s="892" t="s">
        <v>937</v>
      </c>
      <c r="F211" s="894">
        <v>3652.25</v>
      </c>
      <c r="G211" s="894">
        <v>0</v>
      </c>
      <c r="H211" s="892"/>
      <c r="I211" s="894">
        <v>3652.25</v>
      </c>
      <c r="J211" s="894">
        <v>0</v>
      </c>
    </row>
    <row r="212" spans="1:10" ht="15">
      <c r="A212" s="892"/>
      <c r="B212" s="893">
        <v>46022</v>
      </c>
      <c r="C212" s="892" t="s">
        <v>804</v>
      </c>
      <c r="D212" s="892" t="s">
        <v>888</v>
      </c>
      <c r="E212" s="892" t="s">
        <v>938</v>
      </c>
      <c r="F212" s="894">
        <v>4853.92</v>
      </c>
      <c r="G212" s="894">
        <v>0</v>
      </c>
      <c r="H212" s="892"/>
      <c r="I212" s="894">
        <v>8506.17</v>
      </c>
      <c r="J212" s="894">
        <v>0</v>
      </c>
    </row>
    <row r="213" spans="1:10" ht="15">
      <c r="A213" s="892" t="s">
        <v>939</v>
      </c>
      <c r="B213" s="892"/>
      <c r="C213" s="892"/>
      <c r="D213" s="892"/>
      <c r="E213" s="892"/>
      <c r="F213" s="894">
        <v>8506.17</v>
      </c>
      <c r="G213" s="894">
        <v>0</v>
      </c>
      <c r="H213" s="892"/>
      <c r="I213" s="894">
        <v>8506.17</v>
      </c>
      <c r="J213" s="894">
        <v>0</v>
      </c>
    </row>
    <row r="214" spans="1:10" ht="15">
      <c r="A214" s="892"/>
      <c r="B214" s="893"/>
      <c r="C214" s="892"/>
      <c r="D214" s="892"/>
      <c r="E214" s="892"/>
      <c r="F214" s="892"/>
      <c r="G214" s="894"/>
      <c r="H214" s="892"/>
      <c r="I214" s="892"/>
      <c r="J214" s="894"/>
    </row>
    <row r="215" spans="1:10" ht="15">
      <c r="A215" s="892" t="s">
        <v>940</v>
      </c>
      <c r="B215" s="892"/>
      <c r="C215" s="892"/>
      <c r="D215" s="892"/>
      <c r="E215" s="892"/>
      <c r="F215" s="892" t="s">
        <v>740</v>
      </c>
      <c r="G215" s="894" t="s">
        <v>741</v>
      </c>
      <c r="H215" s="892"/>
      <c r="I215" s="892" t="s">
        <v>742</v>
      </c>
      <c r="J215" s="894" t="s">
        <v>743</v>
      </c>
    </row>
    <row r="216" spans="1:10" ht="15">
      <c r="A216" s="892"/>
      <c r="B216" s="893">
        <v>46022</v>
      </c>
      <c r="C216" s="892" t="s">
        <v>804</v>
      </c>
      <c r="D216" s="892">
        <v>17</v>
      </c>
      <c r="E216" s="892" t="s">
        <v>866</v>
      </c>
      <c r="F216" s="892">
        <v>0</v>
      </c>
      <c r="G216" s="894">
        <v>90591.11</v>
      </c>
      <c r="H216" s="892"/>
      <c r="I216" s="892">
        <v>0</v>
      </c>
      <c r="J216" s="894">
        <v>90591.11</v>
      </c>
    </row>
    <row r="217" spans="1:10" ht="15">
      <c r="A217" s="892" t="s">
        <v>941</v>
      </c>
      <c r="B217" s="892"/>
      <c r="C217" s="892"/>
      <c r="D217" s="892"/>
      <c r="E217" s="892"/>
      <c r="F217" s="892">
        <v>0</v>
      </c>
      <c r="G217" s="894">
        <v>90591.11</v>
      </c>
      <c r="H217" s="892"/>
      <c r="I217" s="892">
        <v>0</v>
      </c>
      <c r="J217" s="894">
        <v>90591.11</v>
      </c>
    </row>
    <row r="218" spans="1:10" ht="15">
      <c r="A218" s="892"/>
      <c r="B218" s="893"/>
      <c r="C218" s="892"/>
      <c r="D218" s="892"/>
      <c r="E218" s="892"/>
      <c r="F218" s="892"/>
      <c r="G218" s="894"/>
      <c r="H218" s="892"/>
      <c r="I218" s="892"/>
      <c r="J218" s="894"/>
    </row>
    <row r="219" spans="1:10" ht="15">
      <c r="A219" s="892" t="s">
        <v>942</v>
      </c>
      <c r="B219" s="893"/>
      <c r="C219" s="892"/>
      <c r="D219" s="892"/>
      <c r="E219" s="892"/>
      <c r="F219" s="892" t="s">
        <v>740</v>
      </c>
      <c r="G219" s="894" t="s">
        <v>741</v>
      </c>
      <c r="H219" s="892"/>
      <c r="I219" s="892" t="s">
        <v>742</v>
      </c>
      <c r="J219" s="894" t="s">
        <v>743</v>
      </c>
    </row>
    <row r="220" spans="1:10" ht="15">
      <c r="A220" s="892"/>
      <c r="B220" s="893">
        <v>45930</v>
      </c>
      <c r="C220" s="892" t="s">
        <v>863</v>
      </c>
      <c r="D220" s="892">
        <v>3</v>
      </c>
      <c r="E220" s="892" t="s">
        <v>864</v>
      </c>
      <c r="F220" s="892">
        <v>0</v>
      </c>
      <c r="G220" s="894">
        <v>695934.25</v>
      </c>
      <c r="H220" s="892"/>
      <c r="I220" s="892">
        <v>0</v>
      </c>
      <c r="J220" s="894">
        <v>695934.25</v>
      </c>
    </row>
    <row r="221" spans="1:10" ht="15">
      <c r="A221" s="892"/>
      <c r="B221" s="893">
        <v>45931</v>
      </c>
      <c r="C221" s="892" t="s">
        <v>863</v>
      </c>
      <c r="D221" s="892">
        <v>3</v>
      </c>
      <c r="E221" s="892" t="s">
        <v>865</v>
      </c>
      <c r="F221" s="894">
        <v>695934.25</v>
      </c>
      <c r="G221" s="894">
        <v>0</v>
      </c>
      <c r="H221" s="892"/>
      <c r="I221" s="892">
        <v>0</v>
      </c>
      <c r="J221" s="894">
        <v>0</v>
      </c>
    </row>
    <row r="222" spans="1:10" ht="15">
      <c r="A222" s="892"/>
      <c r="B222" s="893">
        <v>46022</v>
      </c>
      <c r="C222" s="892" t="s">
        <v>804</v>
      </c>
      <c r="D222" s="892">
        <v>17</v>
      </c>
      <c r="E222" s="892" t="s">
        <v>866</v>
      </c>
      <c r="F222" s="892">
        <v>0</v>
      </c>
      <c r="G222" s="894">
        <v>1712219.18</v>
      </c>
      <c r="H222" s="892"/>
      <c r="I222" s="892">
        <v>0</v>
      </c>
      <c r="J222" s="894">
        <v>1712219.18</v>
      </c>
    </row>
    <row r="223" spans="1:10" ht="15">
      <c r="A223" s="892" t="s">
        <v>943</v>
      </c>
      <c r="B223" s="892"/>
      <c r="C223" s="892"/>
      <c r="D223" s="892"/>
      <c r="E223" s="892"/>
      <c r="F223" s="894">
        <v>695934.25</v>
      </c>
      <c r="G223" s="894">
        <v>2408153.4300000002</v>
      </c>
      <c r="H223" s="892"/>
      <c r="I223" s="892">
        <v>0</v>
      </c>
      <c r="J223" s="894">
        <v>1712219.18</v>
      </c>
    </row>
    <row r="224" spans="1:10" ht="15">
      <c r="A224" s="892"/>
      <c r="B224" s="893"/>
      <c r="C224" s="892"/>
      <c r="D224" s="892"/>
      <c r="E224" s="892"/>
      <c r="F224" s="892"/>
      <c r="G224" s="894"/>
      <c r="H224" s="892"/>
      <c r="I224" s="892"/>
      <c r="J224" s="894"/>
    </row>
    <row r="225" spans="1:10" ht="15">
      <c r="A225" s="892" t="s">
        <v>944</v>
      </c>
      <c r="B225" s="892"/>
      <c r="C225" s="892"/>
      <c r="D225" s="892"/>
      <c r="E225" s="892"/>
      <c r="F225" s="892" t="s">
        <v>740</v>
      </c>
      <c r="G225" s="894" t="s">
        <v>741</v>
      </c>
      <c r="H225" s="892"/>
      <c r="I225" s="892" t="s">
        <v>742</v>
      </c>
      <c r="J225" s="894" t="s">
        <v>743</v>
      </c>
    </row>
    <row r="226" spans="1:10" ht="15">
      <c r="A226" s="892"/>
      <c r="B226" s="893">
        <v>46022</v>
      </c>
      <c r="C226" s="892" t="s">
        <v>804</v>
      </c>
      <c r="D226" s="892">
        <v>17</v>
      </c>
      <c r="E226" s="892" t="s">
        <v>866</v>
      </c>
      <c r="F226" s="892">
        <v>0</v>
      </c>
      <c r="G226" s="894">
        <v>247916.67</v>
      </c>
      <c r="H226" s="892"/>
      <c r="I226" s="892">
        <v>0</v>
      </c>
      <c r="J226" s="894">
        <v>247916.67</v>
      </c>
    </row>
    <row r="227" spans="1:10" ht="15">
      <c r="A227" s="892" t="s">
        <v>945</v>
      </c>
      <c r="B227" s="892"/>
      <c r="C227" s="892"/>
      <c r="D227" s="892"/>
      <c r="E227" s="892"/>
      <c r="F227" s="892">
        <v>0</v>
      </c>
      <c r="G227" s="894">
        <v>247916.67</v>
      </c>
      <c r="H227" s="892"/>
      <c r="I227" s="892">
        <v>0</v>
      </c>
      <c r="J227" s="894">
        <v>247916.67</v>
      </c>
    </row>
    <row r="228" spans="1:10" ht="15">
      <c r="A228" s="892"/>
      <c r="B228" s="893"/>
      <c r="C228" s="892"/>
      <c r="D228" s="892"/>
      <c r="E228" s="892"/>
      <c r="F228" s="892"/>
      <c r="G228" s="894"/>
      <c r="H228" s="892"/>
      <c r="I228" s="892"/>
      <c r="J228" s="894"/>
    </row>
    <row r="229" spans="1:10" ht="15">
      <c r="A229" s="892" t="s">
        <v>946</v>
      </c>
      <c r="B229" s="892"/>
      <c r="C229" s="892"/>
      <c r="D229" s="892"/>
      <c r="E229" s="892"/>
      <c r="F229" s="892" t="s">
        <v>740</v>
      </c>
      <c r="G229" s="894" t="s">
        <v>741</v>
      </c>
      <c r="H229" s="892"/>
      <c r="I229" s="892" t="s">
        <v>742</v>
      </c>
      <c r="J229" s="894" t="s">
        <v>743</v>
      </c>
    </row>
    <row r="230" spans="1:10" ht="15">
      <c r="A230" s="892"/>
      <c r="B230" s="893">
        <v>45869</v>
      </c>
      <c r="C230" s="892" t="s">
        <v>824</v>
      </c>
      <c r="D230" s="892">
        <v>1</v>
      </c>
      <c r="E230" s="892" t="s">
        <v>916</v>
      </c>
      <c r="F230" s="892">
        <v>0</v>
      </c>
      <c r="G230" s="894">
        <v>1400</v>
      </c>
      <c r="H230" s="892"/>
      <c r="I230" s="892">
        <v>0</v>
      </c>
      <c r="J230" s="894">
        <v>1400</v>
      </c>
    </row>
    <row r="231" spans="1:10" ht="15">
      <c r="A231" s="892"/>
      <c r="B231" s="893">
        <v>45989</v>
      </c>
      <c r="C231" s="892" t="s">
        <v>824</v>
      </c>
      <c r="D231" s="892">
        <v>15</v>
      </c>
      <c r="E231" s="892" t="s">
        <v>919</v>
      </c>
      <c r="F231" s="894">
        <v>0</v>
      </c>
      <c r="G231" s="894">
        <v>3931.27</v>
      </c>
      <c r="H231" s="892"/>
      <c r="I231" s="894">
        <v>0</v>
      </c>
      <c r="J231" s="894">
        <v>5331.27</v>
      </c>
    </row>
    <row r="232" spans="1:10">
      <c r="B232" s="136">
        <v>46022</v>
      </c>
      <c r="C232" t="s">
        <v>824</v>
      </c>
      <c r="D232">
        <v>18</v>
      </c>
      <c r="E232" t="s">
        <v>922</v>
      </c>
      <c r="F232">
        <v>0</v>
      </c>
      <c r="G232">
        <v>176.17</v>
      </c>
      <c r="I232">
        <v>0</v>
      </c>
      <c r="J232" s="5">
        <v>5507.44</v>
      </c>
    </row>
    <row r="233" spans="1:10">
      <c r="A233" t="s">
        <v>947</v>
      </c>
      <c r="F233" s="5">
        <v>0</v>
      </c>
      <c r="G233" s="5">
        <v>5507.44</v>
      </c>
      <c r="I233" s="5">
        <v>0</v>
      </c>
      <c r="J233" s="5">
        <v>5507.44</v>
      </c>
    </row>
    <row r="235" spans="1:10">
      <c r="A235" t="s">
        <v>948</v>
      </c>
      <c r="F235" t="s">
        <v>740</v>
      </c>
      <c r="G235" t="s">
        <v>741</v>
      </c>
      <c r="I235" t="s">
        <v>742</v>
      </c>
      <c r="J235" t="s">
        <v>743</v>
      </c>
    </row>
    <row r="236" spans="1:10">
      <c r="B236" s="136">
        <v>46022</v>
      </c>
      <c r="C236" t="s">
        <v>804</v>
      </c>
      <c r="D236">
        <v>17</v>
      </c>
      <c r="E236" t="s">
        <v>866</v>
      </c>
      <c r="F236">
        <v>0</v>
      </c>
      <c r="G236" s="5">
        <v>67943.33</v>
      </c>
      <c r="I236">
        <v>0</v>
      </c>
      <c r="J236" s="5">
        <v>67943.33</v>
      </c>
    </row>
    <row r="237" spans="1:10">
      <c r="A237" t="s">
        <v>949</v>
      </c>
      <c r="F237">
        <v>0</v>
      </c>
      <c r="G237" s="5">
        <v>67943.33</v>
      </c>
      <c r="I237">
        <v>0</v>
      </c>
      <c r="J237" s="5">
        <v>67943.33</v>
      </c>
    </row>
    <row r="239" spans="1:10">
      <c r="A239" t="s">
        <v>950</v>
      </c>
      <c r="F239" t="s">
        <v>740</v>
      </c>
      <c r="G239" t="s">
        <v>741</v>
      </c>
      <c r="I239" t="s">
        <v>742</v>
      </c>
      <c r="J239" t="s">
        <v>743</v>
      </c>
    </row>
    <row r="240" spans="1:10">
      <c r="B240" s="136">
        <v>46022</v>
      </c>
      <c r="C240" t="s">
        <v>804</v>
      </c>
      <c r="D240">
        <v>17</v>
      </c>
      <c r="E240" t="s">
        <v>866</v>
      </c>
      <c r="F240">
        <v>0</v>
      </c>
      <c r="G240" s="5">
        <v>226840.18</v>
      </c>
      <c r="I240">
        <v>0</v>
      </c>
      <c r="J240" s="5">
        <v>226840.18</v>
      </c>
    </row>
    <row r="241" spans="1:10">
      <c r="A241" t="s">
        <v>951</v>
      </c>
      <c r="F241">
        <v>0</v>
      </c>
      <c r="G241" s="5">
        <v>226840.18</v>
      </c>
      <c r="I241">
        <v>0</v>
      </c>
      <c r="J241" s="5">
        <v>226840.18</v>
      </c>
    </row>
    <row r="243" spans="1:10">
      <c r="A243" t="s">
        <v>952</v>
      </c>
      <c r="F243" s="5">
        <v>1422653307.77</v>
      </c>
      <c r="G243" s="5">
        <v>1422653307.77</v>
      </c>
      <c r="I243" s="5">
        <v>1098433346.76</v>
      </c>
      <c r="J243" s="5">
        <v>1098433346.76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bf2f11d-43ed-4181-9932-6864ad410d8c">
      <Terms xmlns="http://schemas.microsoft.com/office/infopath/2007/PartnerControls"/>
    </lcf76f155ced4ddcb4097134ff3c332f>
    <TaxCatchAll xmlns="37218ea9-0b75-4012-92b8-01d003596ee9"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B89F1DA1EC8B54CA0AF11F05F4C765F" ma:contentTypeVersion="21" ma:contentTypeDescription="Crée un document." ma:contentTypeScope="" ma:versionID="d736f79be593caae3a112933c791ad4e">
  <xsd:schema xmlns:xsd="http://www.w3.org/2001/XMLSchema" xmlns:xs="http://www.w3.org/2001/XMLSchema" xmlns:p="http://schemas.microsoft.com/office/2006/metadata/properties" xmlns:ns1="http://schemas.microsoft.com/sharepoint/v3" xmlns:ns2="2bf2f11d-43ed-4181-9932-6864ad410d8c" xmlns:ns3="37218ea9-0b75-4012-92b8-01d003596ee9" targetNamespace="http://schemas.microsoft.com/office/2006/metadata/properties" ma:root="true" ma:fieldsID="8ae82a03b216e9885234b242cf0adffc" ns1:_="" ns2:_="" ns3:_="">
    <xsd:import namespace="http://schemas.microsoft.com/sharepoint/v3"/>
    <xsd:import namespace="2bf2f11d-43ed-4181-9932-6864ad410d8c"/>
    <xsd:import namespace="37218ea9-0b75-4012-92b8-01d003596ee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Location" minOccurs="0"/>
                <xsd:element ref="ns3:SharedWithUsers" minOccurs="0"/>
                <xsd:element ref="ns3:SharedWithDetails" minOccurs="0"/>
                <xsd:element ref="ns2:MediaServiceSearchProperties" minOccurs="0"/>
                <xsd:element ref="ns2:MediaServiceObjectDetectorVersion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Propriétés de la stratégie de conformité unifiée" ma:hidden="true" ma:internalName="_ip_UnifiedCompliancePolicyProperties">
      <xsd:simpleType>
        <xsd:restriction base="dms:Note"/>
      </xsd:simpleType>
    </xsd:element>
    <xsd:element name="_ip_UnifiedCompliancePolicyUIAction" ma:index="27"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f2f11d-43ed-4181-9932-6864ad410d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Balises d’images" ma:readOnly="false" ma:fieldId="{5cf76f15-5ced-4ddc-b409-7134ff3c332f}" ma:taxonomyMulti="true" ma:sspId="4d20445d-12eb-4ed0-9b33-6994cf398728"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218ea9-0b75-4012-92b8-01d003596ee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0f384c3f-2965-45c0-af20-323462137747}" ma:internalName="TaxCatchAll" ma:showField="CatchAllData" ma:web="37218ea9-0b75-4012-92b8-01d003596ee9">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18ACF0-CD1E-4B87-A3D2-097F5C970738}"/>
</file>

<file path=customXml/itemProps2.xml><?xml version="1.0" encoding="utf-8"?>
<ds:datastoreItem xmlns:ds="http://schemas.openxmlformats.org/officeDocument/2006/customXml" ds:itemID="{CB58DB99-0BD6-477F-A6B5-B01290FC1E4A}"/>
</file>

<file path=customXml/itemProps3.xml><?xml version="1.0" encoding="utf-8"?>
<ds:datastoreItem xmlns:ds="http://schemas.openxmlformats.org/officeDocument/2006/customXml" ds:itemID="{32D7D036-8294-49D4-BA23-DC1E58F4DA89}"/>
</file>

<file path=docProps/app.xml><?xml version="1.0" encoding="utf-8"?>
<Properties xmlns="http://schemas.openxmlformats.org/officeDocument/2006/extended-properties" xmlns:vt="http://schemas.openxmlformats.org/officeDocument/2006/docPropsVTypes">
  <Application>Microsoft Excel Online</Application>
  <Manager/>
  <Company>EQUIPE JPL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APLITEC</dc:creator>
  <cp:keywords/>
  <dc:description/>
  <cp:lastModifiedBy/>
  <cp:revision/>
  <dcterms:created xsi:type="dcterms:W3CDTF">1998-04-14T09:12:00Z</dcterms:created>
  <dcterms:modified xsi:type="dcterms:W3CDTF">2026-06-17T13:51:28Z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0x010100DB89F1DA1EC8B54CA0AF11F05F4C765F</vt:lpwstr>
  </property>
  <property fmtid="{D5CDD505-2E9C-101B-9397-08002B2CF9AE}" pid="3" name="MediaServiceImageTags">
    <vt:lpwstr/>
  </property>
</Properties>
</file>