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itor Parada Linaje\Documents\GitHub\pjdaw\"/>
    </mc:Choice>
  </mc:AlternateContent>
  <xr:revisionPtr revIDLastSave="0" documentId="13_ncr:1_{C1F8079B-60D9-45A0-93FB-068E8AA43DC3}" xr6:coauthVersionLast="47" xr6:coauthVersionMax="47" xr10:uidLastSave="{00000000-0000-0000-0000-000000000000}"/>
  <bookViews>
    <workbookView xWindow="0" yWindow="0" windowWidth="23040" windowHeight="12240" firstSheet="12" activeTab="16" xr2:uid="{00000000-000D-0000-FFFF-FFFF00000000}"/>
  </bookViews>
  <sheets>
    <sheet name="Instrucciones" sheetId="1" r:id="rId1"/>
    <sheet name="1.ESTIMACIÓN VENTAS" sheetId="2" r:id="rId2"/>
    <sheet name="2.COSTES SALARIALES" sheetId="3" r:id="rId3"/>
    <sheet name="3.COSTES" sheetId="4" r:id="rId4"/>
    <sheet name="4.PRECIOS" sheetId="5" r:id="rId5"/>
    <sheet name="5.DESARROLLO APP" sheetId="6" r:id="rId6"/>
    <sheet name="6.INVERSIONES + GASTOS" sheetId="7" r:id="rId7"/>
    <sheet name="7.AMORTIZACIÓN" sheetId="8" r:id="rId8"/>
    <sheet name="8.FINANCIACIÓN PROPIA" sheetId="9" r:id="rId9"/>
    <sheet name="9.FINANCIACIÓN AJENA" sheetId="10" r:id="rId10"/>
    <sheet name="10.FINANCIACION TOTAL" sheetId="11" r:id="rId11"/>
    <sheet name="11.INGRESOS" sheetId="12" r:id="rId12"/>
    <sheet name="12.GASTOS" sheetId="13" r:id="rId13"/>
    <sheet name="13.PLAN DE TESORERÍA" sheetId="14" r:id="rId14"/>
    <sheet name="14.BALANCE INICIAL" sheetId="15" r:id="rId15"/>
    <sheet name="15.CUENTA DE RESULTADOS" sheetId="16" r:id="rId16"/>
    <sheet name="16.BALANCE FINAL" sheetId="17" r:id="rId17"/>
  </sheets>
  <calcPr calcId="191029"/>
  <extLst>
    <ext uri="GoogleSheetsCustomDataVersion2">
      <go:sheetsCustomData xmlns:go="http://customooxmlschemas.google.com/" r:id="rId21" roundtripDataChecksum="nLeHkCDxEQGJUY/AOablztQKgOBe37HJ2RUoWHSrDKg="/>
    </ext>
  </extLst>
</workbook>
</file>

<file path=xl/calcChain.xml><?xml version="1.0" encoding="utf-8"?>
<calcChain xmlns="http://schemas.openxmlformats.org/spreadsheetml/2006/main">
  <c r="C16" i="17" l="1"/>
  <c r="C10" i="17"/>
  <c r="E8" i="17"/>
  <c r="C18" i="15"/>
  <c r="C16" i="15"/>
  <c r="C17" i="17" s="1"/>
  <c r="C15" i="17" s="1"/>
  <c r="C15" i="15"/>
  <c r="C12" i="15"/>
  <c r="C13" i="17" s="1"/>
  <c r="C10" i="15"/>
  <c r="C9" i="15"/>
  <c r="C9" i="17" s="1"/>
  <c r="E8" i="15"/>
  <c r="C8" i="15"/>
  <c r="C8" i="17" s="1"/>
  <c r="C7" i="15"/>
  <c r="C7" i="17" s="1"/>
  <c r="C6" i="15"/>
  <c r="C6" i="17" s="1"/>
  <c r="C5" i="15"/>
  <c r="M25" i="14"/>
  <c r="L25" i="14"/>
  <c r="K25" i="14"/>
  <c r="J25" i="14"/>
  <c r="I25" i="14"/>
  <c r="H25" i="14"/>
  <c r="G25" i="14"/>
  <c r="F25" i="14"/>
  <c r="E25" i="14"/>
  <c r="D25" i="14"/>
  <c r="C25" i="14"/>
  <c r="B25" i="14"/>
  <c r="M22" i="14"/>
  <c r="I20" i="14"/>
  <c r="N34" i="13"/>
  <c r="J34" i="13"/>
  <c r="C34" i="13"/>
  <c r="O34" i="13" s="1"/>
  <c r="A34" i="13"/>
  <c r="M33" i="13"/>
  <c r="J33" i="13"/>
  <c r="G33" i="13"/>
  <c r="C33" i="13"/>
  <c r="A33" i="13"/>
  <c r="D32" i="13"/>
  <c r="C32" i="13"/>
  <c r="A32" i="13"/>
  <c r="C31" i="13"/>
  <c r="A31" i="13"/>
  <c r="J30" i="13"/>
  <c r="E30" i="13"/>
  <c r="C30" i="13"/>
  <c r="O30" i="13" s="1"/>
  <c r="A30" i="13"/>
  <c r="O24" i="13"/>
  <c r="N24" i="13"/>
  <c r="K24" i="13"/>
  <c r="J24" i="13"/>
  <c r="C24" i="13"/>
  <c r="A24" i="13"/>
  <c r="M23" i="13"/>
  <c r="J23" i="13"/>
  <c r="C23" i="13"/>
  <c r="A23" i="13"/>
  <c r="L22" i="13"/>
  <c r="G22" i="13"/>
  <c r="F22" i="13"/>
  <c r="C22" i="13"/>
  <c r="A22" i="13"/>
  <c r="K21" i="13"/>
  <c r="G21" i="13"/>
  <c r="F21" i="13"/>
  <c r="C21" i="13"/>
  <c r="A21" i="13"/>
  <c r="J20" i="13"/>
  <c r="G20" i="13"/>
  <c r="F20" i="13"/>
  <c r="D20" i="13"/>
  <c r="C20" i="13"/>
  <c r="E20" i="13" s="1"/>
  <c r="A20" i="13"/>
  <c r="O14" i="13"/>
  <c r="N14" i="13"/>
  <c r="K14" i="13"/>
  <c r="J14" i="13"/>
  <c r="H14" i="13"/>
  <c r="G14" i="13"/>
  <c r="C14" i="13"/>
  <c r="A14" i="13"/>
  <c r="M13" i="13"/>
  <c r="J13" i="13"/>
  <c r="I13" i="13"/>
  <c r="H13" i="13"/>
  <c r="C13" i="13"/>
  <c r="O13" i="13" s="1"/>
  <c r="A13" i="13"/>
  <c r="G12" i="13"/>
  <c r="C12" i="13"/>
  <c r="A12" i="13"/>
  <c r="C11" i="13"/>
  <c r="A11" i="13"/>
  <c r="O10" i="13"/>
  <c r="M10" i="13"/>
  <c r="J10" i="13"/>
  <c r="G10" i="13"/>
  <c r="C10" i="13"/>
  <c r="A10" i="13"/>
  <c r="P30" i="12"/>
  <c r="B9" i="16" s="1"/>
  <c r="O30" i="12"/>
  <c r="N30" i="12"/>
  <c r="M30" i="12"/>
  <c r="L30" i="12"/>
  <c r="K30" i="12"/>
  <c r="J30" i="12"/>
  <c r="I30" i="12"/>
  <c r="H30" i="12"/>
  <c r="G30" i="12"/>
  <c r="F30" i="12"/>
  <c r="E30" i="12"/>
  <c r="D30" i="12"/>
  <c r="P29" i="12"/>
  <c r="P28" i="12"/>
  <c r="J22" i="12"/>
  <c r="C22" i="12"/>
  <c r="A22" i="12"/>
  <c r="M21" i="12"/>
  <c r="J21" i="12"/>
  <c r="H21" i="12"/>
  <c r="E21" i="12"/>
  <c r="C21" i="12"/>
  <c r="A21" i="12"/>
  <c r="L20" i="12"/>
  <c r="H20" i="12"/>
  <c r="G20" i="12"/>
  <c r="F20" i="12"/>
  <c r="E20" i="12"/>
  <c r="D20" i="12"/>
  <c r="C20" i="12"/>
  <c r="A20" i="12"/>
  <c r="D19" i="12"/>
  <c r="C19" i="12"/>
  <c r="H19" i="12" s="1"/>
  <c r="A19" i="12"/>
  <c r="J18" i="12"/>
  <c r="G18" i="12"/>
  <c r="E18" i="12"/>
  <c r="C18" i="12"/>
  <c r="A18" i="12"/>
  <c r="O13" i="12"/>
  <c r="O22" i="12" s="1"/>
  <c r="N13" i="12"/>
  <c r="N22" i="12" s="1"/>
  <c r="M13" i="12"/>
  <c r="L13" i="12"/>
  <c r="K13" i="12"/>
  <c r="K22" i="12" s="1"/>
  <c r="J13" i="12"/>
  <c r="I13" i="12"/>
  <c r="I22" i="12" s="1"/>
  <c r="H13" i="12"/>
  <c r="H22" i="12" s="1"/>
  <c r="G13" i="12"/>
  <c r="G22" i="12" s="1"/>
  <c r="F13" i="12"/>
  <c r="F22" i="12" s="1"/>
  <c r="E13" i="12"/>
  <c r="E22" i="12" s="1"/>
  <c r="D13" i="12"/>
  <c r="D14" i="13" s="1"/>
  <c r="A13" i="12"/>
  <c r="O12" i="12"/>
  <c r="N12" i="12"/>
  <c r="M12" i="12"/>
  <c r="L12" i="12"/>
  <c r="L21" i="12" s="1"/>
  <c r="K12" i="12"/>
  <c r="K21" i="12" s="1"/>
  <c r="J12" i="12"/>
  <c r="I12" i="12"/>
  <c r="I33" i="13" s="1"/>
  <c r="H12" i="12"/>
  <c r="G12" i="12"/>
  <c r="G21" i="12" s="1"/>
  <c r="F12" i="12"/>
  <c r="F21" i="12" s="1"/>
  <c r="E12" i="12"/>
  <c r="E33" i="13" s="1"/>
  <c r="D12" i="12"/>
  <c r="P12" i="12" s="1"/>
  <c r="A12" i="12"/>
  <c r="O11" i="12"/>
  <c r="O20" i="12" s="1"/>
  <c r="N11" i="12"/>
  <c r="M11" i="12"/>
  <c r="M22" i="13" s="1"/>
  <c r="L11" i="12"/>
  <c r="K11" i="12"/>
  <c r="J11" i="12"/>
  <c r="I11" i="12"/>
  <c r="I20" i="12" s="1"/>
  <c r="H11" i="12"/>
  <c r="G11" i="12"/>
  <c r="F11" i="12"/>
  <c r="E11" i="12"/>
  <c r="D11" i="12"/>
  <c r="D22" i="13" s="1"/>
  <c r="A11" i="12"/>
  <c r="O10" i="12"/>
  <c r="N10" i="12"/>
  <c r="M10" i="12"/>
  <c r="L10" i="12"/>
  <c r="K10" i="12"/>
  <c r="K19" i="12" s="1"/>
  <c r="J10" i="12"/>
  <c r="J19" i="12" s="1"/>
  <c r="I10" i="12"/>
  <c r="H10" i="12"/>
  <c r="G10" i="12"/>
  <c r="F10" i="12"/>
  <c r="E10" i="12"/>
  <c r="E31" i="13" s="1"/>
  <c r="D10" i="12"/>
  <c r="D21" i="13" s="1"/>
  <c r="A10" i="12"/>
  <c r="O9" i="12"/>
  <c r="O18" i="12" s="1"/>
  <c r="N9" i="12"/>
  <c r="M9" i="12"/>
  <c r="L9" i="12"/>
  <c r="K9" i="12"/>
  <c r="J9" i="12"/>
  <c r="I9" i="12"/>
  <c r="I18" i="12" s="1"/>
  <c r="H9" i="12"/>
  <c r="H18" i="12" s="1"/>
  <c r="G9" i="12"/>
  <c r="F9" i="12"/>
  <c r="F18" i="12" s="1"/>
  <c r="E9" i="12"/>
  <c r="D9" i="12"/>
  <c r="D10" i="13" s="1"/>
  <c r="A9" i="12"/>
  <c r="B10" i="11"/>
  <c r="B9" i="11"/>
  <c r="B8" i="11"/>
  <c r="B7" i="11"/>
  <c r="B111" i="10"/>
  <c r="B107" i="10"/>
  <c r="B103" i="10"/>
  <c r="B92" i="10"/>
  <c r="B78" i="10"/>
  <c r="B75" i="10"/>
  <c r="B65" i="10"/>
  <c r="J24" i="10"/>
  <c r="L23" i="10"/>
  <c r="E23" i="10"/>
  <c r="J19" i="10"/>
  <c r="B19" i="10"/>
  <c r="J17" i="10"/>
  <c r="B17" i="10"/>
  <c r="J15" i="10"/>
  <c r="I77" i="10" s="1"/>
  <c r="B15" i="10"/>
  <c r="B10" i="9"/>
  <c r="B6" i="11" s="1"/>
  <c r="B14" i="8"/>
  <c r="D14" i="8" s="1"/>
  <c r="B13" i="8"/>
  <c r="D13" i="8" s="1"/>
  <c r="B12" i="8"/>
  <c r="D12" i="8" s="1"/>
  <c r="C11" i="8"/>
  <c r="D10" i="8"/>
  <c r="B10" i="8"/>
  <c r="B9" i="8"/>
  <c r="D9" i="8" s="1"/>
  <c r="B8" i="8"/>
  <c r="D8" i="8" s="1"/>
  <c r="D7" i="8"/>
  <c r="B7" i="8"/>
  <c r="D6" i="8"/>
  <c r="B6" i="8"/>
  <c r="D5" i="8"/>
  <c r="B5" i="8"/>
  <c r="F19" i="7"/>
  <c r="I22" i="14" s="1"/>
  <c r="F18" i="7"/>
  <c r="E18" i="7"/>
  <c r="F17" i="7"/>
  <c r="E17" i="7"/>
  <c r="F16" i="7"/>
  <c r="E16" i="7"/>
  <c r="E15" i="7"/>
  <c r="F14" i="7"/>
  <c r="H18" i="14" s="1"/>
  <c r="F13" i="7"/>
  <c r="F12" i="7"/>
  <c r="F11" i="7"/>
  <c r="F10" i="7"/>
  <c r="B14" i="14" s="1"/>
  <c r="F6" i="7"/>
  <c r="I15" i="6"/>
  <c r="I16" i="6" s="1"/>
  <c r="B22" i="6" s="1"/>
  <c r="B14" i="6"/>
  <c r="B13" i="6"/>
  <c r="B20" i="6" s="1"/>
  <c r="B23" i="6" s="1"/>
  <c r="B25" i="6" s="1"/>
  <c r="B28" i="6" s="1"/>
  <c r="B12" i="7" s="1"/>
  <c r="B32" i="5"/>
  <c r="B31" i="5"/>
  <c r="C27" i="5"/>
  <c r="B26" i="5"/>
  <c r="B24" i="5"/>
  <c r="B21" i="13" s="1"/>
  <c r="G17" i="5"/>
  <c r="B16" i="5"/>
  <c r="B10" i="12" s="1"/>
  <c r="B15" i="5"/>
  <c r="B9" i="12" s="1"/>
  <c r="C11" i="5"/>
  <c r="C9" i="5"/>
  <c r="J39" i="4"/>
  <c r="J35" i="4"/>
  <c r="B27" i="5" s="1"/>
  <c r="J32" i="4"/>
  <c r="C10" i="5" s="1"/>
  <c r="J28" i="4"/>
  <c r="B34" i="5" s="1"/>
  <c r="J25" i="4"/>
  <c r="J20" i="4"/>
  <c r="B25" i="5" s="1"/>
  <c r="J17" i="4"/>
  <c r="C8" i="5" s="1"/>
  <c r="J13" i="4"/>
  <c r="J10" i="4"/>
  <c r="C7" i="5" s="1"/>
  <c r="B10" i="4"/>
  <c r="F9" i="7" s="1"/>
  <c r="J6" i="4"/>
  <c r="B23" i="5" s="1"/>
  <c r="M39" i="3"/>
  <c r="M13" i="14" s="1"/>
  <c r="L39" i="3"/>
  <c r="L13" i="14" s="1"/>
  <c r="K39" i="3"/>
  <c r="K13" i="14" s="1"/>
  <c r="J39" i="3"/>
  <c r="J13" i="14" s="1"/>
  <c r="I39" i="3"/>
  <c r="I13" i="14" s="1"/>
  <c r="H39" i="3"/>
  <c r="H13" i="14" s="1"/>
  <c r="G39" i="3"/>
  <c r="G13" i="14" s="1"/>
  <c r="F39" i="3"/>
  <c r="F13" i="14" s="1"/>
  <c r="E39" i="3"/>
  <c r="E13" i="14" s="1"/>
  <c r="D39" i="3"/>
  <c r="D13" i="14" s="1"/>
  <c r="C39" i="3"/>
  <c r="C13" i="14" s="1"/>
  <c r="B39" i="3"/>
  <c r="B13" i="14" s="1"/>
  <c r="L36" i="3"/>
  <c r="L10" i="14" s="1"/>
  <c r="J36" i="3"/>
  <c r="J10" i="14" s="1"/>
  <c r="I36" i="3"/>
  <c r="I10" i="14" s="1"/>
  <c r="H33" i="3"/>
  <c r="H32" i="3"/>
  <c r="M37" i="3" s="1"/>
  <c r="M11" i="14" s="1"/>
  <c r="H31" i="3"/>
  <c r="H25" i="3"/>
  <c r="H24" i="3"/>
  <c r="B24" i="3"/>
  <c r="D38" i="3" s="1"/>
  <c r="D12" i="14" s="1"/>
  <c r="H23" i="3"/>
  <c r="K36" i="3" s="1"/>
  <c r="K10" i="14" s="1"/>
  <c r="H17" i="3"/>
  <c r="M36" i="3" s="1"/>
  <c r="M10" i="14" s="1"/>
  <c r="H16" i="3"/>
  <c r="L37" i="3" s="1"/>
  <c r="L11" i="14" s="1"/>
  <c r="H15" i="3"/>
  <c r="B15" i="3"/>
  <c r="H9" i="3"/>
  <c r="G36" i="3" s="1"/>
  <c r="G10" i="14" s="1"/>
  <c r="H8" i="3"/>
  <c r="B9" i="4" s="1"/>
  <c r="F8" i="7" s="1"/>
  <c r="H7" i="3"/>
  <c r="H36" i="3" s="1"/>
  <c r="H10" i="14" s="1"/>
  <c r="B7" i="3"/>
  <c r="H38" i="3" s="1"/>
  <c r="H12" i="14" s="1"/>
  <c r="O13" i="2"/>
  <c r="A13" i="2"/>
  <c r="O12" i="2"/>
  <c r="C26" i="5" s="1"/>
  <c r="A12" i="2"/>
  <c r="O11" i="2"/>
  <c r="C25" i="5" s="1"/>
  <c r="A11" i="2"/>
  <c r="O10" i="2"/>
  <c r="C24" i="5" s="1"/>
  <c r="A10" i="2"/>
  <c r="O9" i="2"/>
  <c r="C23" i="5" s="1"/>
  <c r="A9" i="2"/>
  <c r="B12" i="9" l="1"/>
  <c r="E5" i="15"/>
  <c r="B12" i="11"/>
  <c r="C11" i="15"/>
  <c r="C11" i="17" s="1"/>
  <c r="B11" i="8"/>
  <c r="D11" i="8" s="1"/>
  <c r="B16" i="7"/>
  <c r="D15" i="8"/>
  <c r="B10" i="13"/>
  <c r="B30" i="13"/>
  <c r="B20" i="13"/>
  <c r="B14" i="13"/>
  <c r="B34" i="13"/>
  <c r="B24" i="13"/>
  <c r="B12" i="13"/>
  <c r="B22" i="13"/>
  <c r="B32" i="13"/>
  <c r="F16" i="14"/>
  <c r="E16" i="14"/>
  <c r="D16" i="14"/>
  <c r="J16" i="14"/>
  <c r="I16" i="14"/>
  <c r="M16" i="14"/>
  <c r="L16" i="14"/>
  <c r="H16" i="14"/>
  <c r="C16" i="14"/>
  <c r="B16" i="14"/>
  <c r="I87" i="10"/>
  <c r="I102" i="10"/>
  <c r="I110" i="10"/>
  <c r="N18" i="12"/>
  <c r="N20" i="13"/>
  <c r="N10" i="13"/>
  <c r="I40" i="10"/>
  <c r="I47" i="10"/>
  <c r="I58" i="10"/>
  <c r="I74" i="10"/>
  <c r="I91" i="10"/>
  <c r="C38" i="3"/>
  <c r="C12" i="14" s="1"/>
  <c r="I17" i="14"/>
  <c r="H17" i="14"/>
  <c r="G17" i="14"/>
  <c r="D17" i="14"/>
  <c r="M17" i="14"/>
  <c r="L17" i="14"/>
  <c r="K17" i="14"/>
  <c r="J17" i="14"/>
  <c r="F17" i="14"/>
  <c r="E17" i="14"/>
  <c r="C17" i="14"/>
  <c r="B17" i="14"/>
  <c r="B104" i="10"/>
  <c r="B99" i="10"/>
  <c r="B94" i="10"/>
  <c r="B89" i="10"/>
  <c r="B62" i="10"/>
  <c r="B96" i="10"/>
  <c r="B91" i="10"/>
  <c r="B84" i="10"/>
  <c r="B77" i="10"/>
  <c r="B68" i="10"/>
  <c r="B113" i="10"/>
  <c r="B98" i="10"/>
  <c r="B93" i="10"/>
  <c r="B51" i="10"/>
  <c r="B47" i="10"/>
  <c r="B88" i="10"/>
  <c r="B81" i="10"/>
  <c r="B72" i="10"/>
  <c r="B61" i="10"/>
  <c r="I31" i="10"/>
  <c r="B95" i="10"/>
  <c r="B19" i="12"/>
  <c r="B37" i="3"/>
  <c r="E38" i="3"/>
  <c r="E12" i="14" s="1"/>
  <c r="B17" i="5"/>
  <c r="I29" i="10"/>
  <c r="I45" i="10"/>
  <c r="I50" i="10"/>
  <c r="I53" i="10"/>
  <c r="I71" i="10"/>
  <c r="B82" i="10"/>
  <c r="B85" i="10"/>
  <c r="I95" i="10"/>
  <c r="I38" i="10"/>
  <c r="I65" i="10"/>
  <c r="I78" i="10"/>
  <c r="I103" i="10"/>
  <c r="I111" i="10"/>
  <c r="B38" i="3"/>
  <c r="B18" i="5"/>
  <c r="B33" i="5"/>
  <c r="B24" i="14"/>
  <c r="N24" i="14" s="1"/>
  <c r="B37" i="16"/>
  <c r="I27" i="10"/>
  <c r="I43" i="10"/>
  <c r="I56" i="10"/>
  <c r="B66" i="10"/>
  <c r="I75" i="10"/>
  <c r="I92" i="10"/>
  <c r="L22" i="12"/>
  <c r="L24" i="13"/>
  <c r="L14" i="13"/>
  <c r="F19" i="12"/>
  <c r="E37" i="3"/>
  <c r="E11" i="14" s="1"/>
  <c r="B19" i="5"/>
  <c r="H7" i="9"/>
  <c r="I34" i="10"/>
  <c r="B54" i="10"/>
  <c r="B60" i="10"/>
  <c r="B69" i="10"/>
  <c r="B79" i="10"/>
  <c r="I82" i="10"/>
  <c r="B100" i="10"/>
  <c r="B108" i="10"/>
  <c r="B112" i="10"/>
  <c r="G19" i="12"/>
  <c r="G23" i="12" s="1"/>
  <c r="M22" i="12"/>
  <c r="M24" i="13"/>
  <c r="M34" i="13"/>
  <c r="K13" i="13"/>
  <c r="O22" i="13"/>
  <c r="I99" i="10"/>
  <c r="M19" i="14"/>
  <c r="J19" i="14"/>
  <c r="C19" i="14"/>
  <c r="B19" i="14"/>
  <c r="L19" i="14"/>
  <c r="K19" i="14"/>
  <c r="I19" i="14"/>
  <c r="H19" i="14"/>
  <c r="G19" i="14"/>
  <c r="F19" i="14"/>
  <c r="E19" i="14"/>
  <c r="D19" i="14"/>
  <c r="H8" i="9"/>
  <c r="B20" i="10"/>
  <c r="I25" i="10"/>
  <c r="I41" i="10"/>
  <c r="I48" i="10"/>
  <c r="B76" i="10"/>
  <c r="B86" i="10"/>
  <c r="I104" i="10"/>
  <c r="I108" i="10"/>
  <c r="J22" i="13"/>
  <c r="J20" i="12"/>
  <c r="L23" i="13"/>
  <c r="L13" i="13"/>
  <c r="H10" i="13"/>
  <c r="B36" i="3"/>
  <c r="H9" i="9"/>
  <c r="J20" i="10"/>
  <c r="B28" i="10"/>
  <c r="I32" i="10"/>
  <c r="I51" i="10"/>
  <c r="B63" i="10"/>
  <c r="I66" i="10"/>
  <c r="B73" i="10"/>
  <c r="I79" i="10"/>
  <c r="I89" i="10"/>
  <c r="F23" i="12"/>
  <c r="I19" i="12"/>
  <c r="I31" i="13"/>
  <c r="K20" i="12"/>
  <c r="K22" i="13"/>
  <c r="I9" i="14"/>
  <c r="H9" i="14"/>
  <c r="G9" i="14"/>
  <c r="M9" i="14"/>
  <c r="L9" i="14"/>
  <c r="K9" i="14"/>
  <c r="J9" i="14"/>
  <c r="F9" i="14"/>
  <c r="E9" i="14"/>
  <c r="D9" i="14"/>
  <c r="C9" i="14"/>
  <c r="B9" i="14"/>
  <c r="B20" i="14"/>
  <c r="M20" i="14"/>
  <c r="F20" i="14"/>
  <c r="E20" i="14"/>
  <c r="L20" i="14"/>
  <c r="K20" i="14"/>
  <c r="J20" i="14"/>
  <c r="H20" i="14"/>
  <c r="D20" i="14"/>
  <c r="C20" i="14"/>
  <c r="I39" i="10"/>
  <c r="I57" i="10"/>
  <c r="B80" i="10"/>
  <c r="I86" i="10"/>
  <c r="I93" i="10"/>
  <c r="B97" i="10"/>
  <c r="B101" i="10"/>
  <c r="B109" i="10"/>
  <c r="I112" i="10"/>
  <c r="N21" i="12"/>
  <c r="N13" i="13"/>
  <c r="N33" i="13"/>
  <c r="N23" i="13"/>
  <c r="P13" i="12"/>
  <c r="C37" i="3"/>
  <c r="C11" i="14" s="1"/>
  <c r="I36" i="10"/>
  <c r="I62" i="10"/>
  <c r="G38" i="3"/>
  <c r="G12" i="14" s="1"/>
  <c r="C36" i="3"/>
  <c r="C10" i="14" s="1"/>
  <c r="F37" i="3"/>
  <c r="F11" i="14" s="1"/>
  <c r="D36" i="3"/>
  <c r="D10" i="14" s="1"/>
  <c r="G37" i="3"/>
  <c r="G11" i="14" s="1"/>
  <c r="J38" i="3"/>
  <c r="J12" i="14" s="1"/>
  <c r="N39" i="3"/>
  <c r="B11" i="13"/>
  <c r="B31" i="13"/>
  <c r="F36" i="3"/>
  <c r="F10" i="14" s="1"/>
  <c r="I37" i="3"/>
  <c r="I11" i="14" s="1"/>
  <c r="L38" i="3"/>
  <c r="L12" i="14" s="1"/>
  <c r="I30" i="10"/>
  <c r="I46" i="10"/>
  <c r="I54" i="10"/>
  <c r="I60" i="10"/>
  <c r="B70" i="10"/>
  <c r="B83" i="10"/>
  <c r="B90" i="10"/>
  <c r="H23" i="12"/>
  <c r="M32" i="13"/>
  <c r="M20" i="12"/>
  <c r="P20" i="12" s="1"/>
  <c r="O21" i="12"/>
  <c r="O33" i="13"/>
  <c r="O23" i="13"/>
  <c r="K23" i="13"/>
  <c r="N30" i="13"/>
  <c r="N35" i="13" s="1"/>
  <c r="I68" i="10"/>
  <c r="I59" i="10"/>
  <c r="D37" i="3"/>
  <c r="D11" i="14" s="1"/>
  <c r="I38" i="3"/>
  <c r="I12" i="14" s="1"/>
  <c r="E36" i="3"/>
  <c r="E10" i="14" s="1"/>
  <c r="H37" i="3"/>
  <c r="H11" i="14" s="1"/>
  <c r="K38" i="3"/>
  <c r="K12" i="14" s="1"/>
  <c r="B35" i="5"/>
  <c r="J37" i="3"/>
  <c r="J11" i="14" s="1"/>
  <c r="M38" i="3"/>
  <c r="M12" i="14" s="1"/>
  <c r="E21" i="14"/>
  <c r="D21" i="14"/>
  <c r="C21" i="14"/>
  <c r="I21" i="14"/>
  <c r="H21" i="14"/>
  <c r="M21" i="14"/>
  <c r="L21" i="14"/>
  <c r="K21" i="14"/>
  <c r="J21" i="14"/>
  <c r="G21" i="14"/>
  <c r="F21" i="14"/>
  <c r="B21" i="14"/>
  <c r="I37" i="10"/>
  <c r="B52" i="10"/>
  <c r="B64" i="10"/>
  <c r="I101" i="10"/>
  <c r="B105" i="10"/>
  <c r="L19" i="12"/>
  <c r="N20" i="12"/>
  <c r="N22" i="13"/>
  <c r="B18" i="12"/>
  <c r="G16" i="14"/>
  <c r="F38" i="3"/>
  <c r="F12" i="14" s="1"/>
  <c r="K37" i="3"/>
  <c r="K11" i="14" s="1"/>
  <c r="H22" i="14"/>
  <c r="G22" i="14"/>
  <c r="F22" i="14"/>
  <c r="D22" i="14"/>
  <c r="C22" i="14"/>
  <c r="L22" i="14"/>
  <c r="K22" i="14"/>
  <c r="J22" i="14"/>
  <c r="E22" i="14"/>
  <c r="B22" i="14"/>
  <c r="C24" i="10"/>
  <c r="I28" i="10"/>
  <c r="B40" i="10"/>
  <c r="I44" i="10"/>
  <c r="I49" i="10"/>
  <c r="B58" i="10"/>
  <c r="B67" i="10"/>
  <c r="I70" i="10"/>
  <c r="I73" i="10"/>
  <c r="I83" i="10"/>
  <c r="B87" i="10"/>
  <c r="M19" i="12"/>
  <c r="M21" i="13"/>
  <c r="O11" i="13"/>
  <c r="O15" i="13" s="1"/>
  <c r="K16" i="14"/>
  <c r="N13" i="14"/>
  <c r="I12" i="16" s="1"/>
  <c r="B13" i="13"/>
  <c r="B33" i="13"/>
  <c r="B23" i="13"/>
  <c r="H14" i="14"/>
  <c r="G14" i="14"/>
  <c r="F14" i="14"/>
  <c r="L14" i="14"/>
  <c r="K14" i="14"/>
  <c r="M14" i="14"/>
  <c r="J14" i="14"/>
  <c r="I14" i="14"/>
  <c r="E14" i="14"/>
  <c r="D14" i="14"/>
  <c r="C14" i="14"/>
  <c r="N14" i="14" s="1"/>
  <c r="B20" i="16" s="1"/>
  <c r="I35" i="10"/>
  <c r="I80" i="10"/>
  <c r="I94" i="10"/>
  <c r="I97" i="10"/>
  <c r="B102" i="10"/>
  <c r="B106" i="10"/>
  <c r="I109" i="10"/>
  <c r="K18" i="12"/>
  <c r="K23" i="12" s="1"/>
  <c r="K20" i="13"/>
  <c r="K25" i="13" s="1"/>
  <c r="K10" i="13"/>
  <c r="K15" i="13" s="1"/>
  <c r="N19" i="12"/>
  <c r="N21" i="13"/>
  <c r="P11" i="12"/>
  <c r="L11" i="13"/>
  <c r="J21" i="13"/>
  <c r="E18" i="14"/>
  <c r="M15" i="14"/>
  <c r="J15" i="14"/>
  <c r="G15" i="14"/>
  <c r="D15" i="14"/>
  <c r="N15" i="14" s="1"/>
  <c r="B21" i="16" s="1"/>
  <c r="I26" i="10"/>
  <c r="B38" i="10"/>
  <c r="I42" i="10"/>
  <c r="I55" i="10"/>
  <c r="I64" i="10"/>
  <c r="B74" i="10"/>
  <c r="L18" i="12"/>
  <c r="L20" i="13"/>
  <c r="L10" i="13"/>
  <c r="O19" i="12"/>
  <c r="O23" i="12" s="1"/>
  <c r="O21" i="13"/>
  <c r="M14" i="13"/>
  <c r="M31" i="13"/>
  <c r="L18" i="14"/>
  <c r="K18" i="14"/>
  <c r="J18" i="14"/>
  <c r="G18" i="14"/>
  <c r="B18" i="14"/>
  <c r="M18" i="14"/>
  <c r="I18" i="14"/>
  <c r="F18" i="14"/>
  <c r="D18" i="14"/>
  <c r="C18" i="14"/>
  <c r="I106" i="10"/>
  <c r="I113" i="10"/>
  <c r="I96" i="10"/>
  <c r="I98" i="10"/>
  <c r="I81" i="10"/>
  <c r="I72" i="10"/>
  <c r="I61" i="10"/>
  <c r="I105" i="10"/>
  <c r="I88" i="10"/>
  <c r="I63" i="10"/>
  <c r="I100" i="10"/>
  <c r="I67" i="10"/>
  <c r="I107" i="10"/>
  <c r="I90" i="10"/>
  <c r="I85" i="10"/>
  <c r="I76" i="10"/>
  <c r="I69" i="10"/>
  <c r="I24" i="10"/>
  <c r="K24" i="10" s="1"/>
  <c r="L24" i="10" s="1"/>
  <c r="J25" i="10" s="1"/>
  <c r="I33" i="10"/>
  <c r="B50" i="10"/>
  <c r="I52" i="10"/>
  <c r="B71" i="10"/>
  <c r="I84" i="10"/>
  <c r="B110" i="10"/>
  <c r="M18" i="12"/>
  <c r="M20" i="13"/>
  <c r="M25" i="13" s="1"/>
  <c r="M30" i="13"/>
  <c r="D13" i="13"/>
  <c r="D21" i="12"/>
  <c r="P21" i="12" s="1"/>
  <c r="D23" i="13"/>
  <c r="P23" i="13" s="1"/>
  <c r="D33" i="13"/>
  <c r="J23" i="12"/>
  <c r="F12" i="13"/>
  <c r="E12" i="13"/>
  <c r="O12" i="13"/>
  <c r="N12" i="13"/>
  <c r="M12" i="13"/>
  <c r="L12" i="13"/>
  <c r="K12" i="13"/>
  <c r="J12" i="13"/>
  <c r="I12" i="13"/>
  <c r="H12" i="13"/>
  <c r="D12" i="13"/>
  <c r="P12" i="13" s="1"/>
  <c r="L21" i="13"/>
  <c r="G20" i="14"/>
  <c r="G13" i="13"/>
  <c r="C5" i="17"/>
  <c r="C4" i="15"/>
  <c r="H32" i="13"/>
  <c r="F32" i="13"/>
  <c r="L32" i="13"/>
  <c r="K32" i="13"/>
  <c r="E19" i="12"/>
  <c r="E23" i="12" s="1"/>
  <c r="E24" i="13"/>
  <c r="E32" i="13"/>
  <c r="E35" i="13" s="1"/>
  <c r="F11" i="13"/>
  <c r="E11" i="13"/>
  <c r="D24" i="13"/>
  <c r="G32" i="13"/>
  <c r="P10" i="12"/>
  <c r="D11" i="13"/>
  <c r="P11" i="13" s="1"/>
  <c r="F24" i="13"/>
  <c r="H31" i="13"/>
  <c r="F31" i="13"/>
  <c r="L31" i="13"/>
  <c r="K31" i="13"/>
  <c r="I32" i="13"/>
  <c r="P9" i="12"/>
  <c r="D18" i="12"/>
  <c r="D22" i="12"/>
  <c r="G11" i="13"/>
  <c r="G15" i="13" s="1"/>
  <c r="E23" i="13"/>
  <c r="G24" i="13"/>
  <c r="D31" i="13"/>
  <c r="J32" i="13"/>
  <c r="H11" i="13"/>
  <c r="F10" i="13"/>
  <c r="F15" i="13" s="1"/>
  <c r="E10" i="13"/>
  <c r="I11" i="13"/>
  <c r="F14" i="13"/>
  <c r="E14" i="13"/>
  <c r="P14" i="13" s="1"/>
  <c r="O20" i="13"/>
  <c r="F23" i="13"/>
  <c r="F25" i="13" s="1"/>
  <c r="G31" i="13"/>
  <c r="N32" i="13"/>
  <c r="J11" i="13"/>
  <c r="J15" i="13" s="1"/>
  <c r="E22" i="13"/>
  <c r="P22" i="13" s="1"/>
  <c r="G23" i="13"/>
  <c r="H30" i="13"/>
  <c r="F30" i="13"/>
  <c r="L30" i="13"/>
  <c r="L35" i="13" s="1"/>
  <c r="K30" i="13"/>
  <c r="K35" i="13" s="1"/>
  <c r="O32" i="13"/>
  <c r="H34" i="13"/>
  <c r="F34" i="13"/>
  <c r="L34" i="13"/>
  <c r="K34" i="13"/>
  <c r="K11" i="13"/>
  <c r="D30" i="13"/>
  <c r="J31" i="13"/>
  <c r="J35" i="13" s="1"/>
  <c r="D34" i="13"/>
  <c r="E34" i="13"/>
  <c r="I21" i="12"/>
  <c r="I23" i="12" s="1"/>
  <c r="I10" i="13"/>
  <c r="M11" i="13"/>
  <c r="M15" i="13" s="1"/>
  <c r="F13" i="13"/>
  <c r="E13" i="13"/>
  <c r="I14" i="13"/>
  <c r="E21" i="13"/>
  <c r="P21" i="13" s="1"/>
  <c r="G30" i="13"/>
  <c r="N31" i="13"/>
  <c r="G34" i="13"/>
  <c r="N25" i="14"/>
  <c r="B30" i="16" s="1"/>
  <c r="C14" i="15"/>
  <c r="N11" i="13"/>
  <c r="I30" i="13"/>
  <c r="O31" i="13"/>
  <c r="O35" i="13" s="1"/>
  <c r="H33" i="13"/>
  <c r="F33" i="13"/>
  <c r="L33" i="13"/>
  <c r="K33" i="13"/>
  <c r="I34" i="13"/>
  <c r="H20" i="13"/>
  <c r="H21" i="13"/>
  <c r="H22" i="13"/>
  <c r="H23" i="13"/>
  <c r="H24" i="13"/>
  <c r="I20" i="13"/>
  <c r="I21" i="13"/>
  <c r="I22" i="13"/>
  <c r="I23" i="13"/>
  <c r="I24" i="13"/>
  <c r="J49" i="13" l="1"/>
  <c r="J58" i="13"/>
  <c r="O60" i="13"/>
  <c r="O55" i="13"/>
  <c r="F59" i="13"/>
  <c r="F52" i="13"/>
  <c r="O46" i="12"/>
  <c r="O44" i="12"/>
  <c r="J55" i="13"/>
  <c r="J60" i="13"/>
  <c r="M58" i="13"/>
  <c r="M49" i="13"/>
  <c r="I44" i="12"/>
  <c r="J43" i="12" s="1"/>
  <c r="I46" i="12"/>
  <c r="G49" i="13"/>
  <c r="G48" i="13"/>
  <c r="G58" i="13"/>
  <c r="E55" i="13"/>
  <c r="E60" i="13"/>
  <c r="J44" i="12"/>
  <c r="J46" i="12"/>
  <c r="B34" i="10"/>
  <c r="B32" i="10"/>
  <c r="B36" i="10"/>
  <c r="B43" i="10"/>
  <c r="G35" i="13"/>
  <c r="E15" i="13"/>
  <c r="C4" i="17"/>
  <c r="P33" i="13"/>
  <c r="B20" i="12"/>
  <c r="B11" i="12"/>
  <c r="B45" i="10"/>
  <c r="H25" i="13"/>
  <c r="K54" i="13"/>
  <c r="K55" i="13"/>
  <c r="L54" i="13" s="1"/>
  <c r="K60" i="13"/>
  <c r="K52" i="13"/>
  <c r="K59" i="13"/>
  <c r="B12" i="14"/>
  <c r="N12" i="14" s="1"/>
  <c r="N38" i="3"/>
  <c r="B19" i="16" s="1"/>
  <c r="B11" i="14"/>
  <c r="N11" i="14" s="1"/>
  <c r="N37" i="3"/>
  <c r="B18" i="16" s="1"/>
  <c r="B49" i="10"/>
  <c r="D25" i="13"/>
  <c r="M35" i="13"/>
  <c r="G43" i="12"/>
  <c r="G45" i="12" s="1"/>
  <c r="G46" i="12"/>
  <c r="G42" i="12" s="1"/>
  <c r="E4" i="14" s="1"/>
  <c r="E3" i="14" s="1"/>
  <c r="G44" i="12"/>
  <c r="P20" i="13"/>
  <c r="P32" i="13"/>
  <c r="B53" i="10"/>
  <c r="C12" i="17"/>
  <c r="B31" i="16"/>
  <c r="B17" i="4"/>
  <c r="F15" i="7" s="1"/>
  <c r="H35" i="13"/>
  <c r="M52" i="13"/>
  <c r="M59" i="13"/>
  <c r="L15" i="13"/>
  <c r="B42" i="10"/>
  <c r="D15" i="13"/>
  <c r="B46" i="10"/>
  <c r="B55" i="10"/>
  <c r="N17" i="14"/>
  <c r="B23" i="16" s="1"/>
  <c r="L25" i="13"/>
  <c r="O49" i="13"/>
  <c r="O58" i="13"/>
  <c r="P10" i="13"/>
  <c r="B57" i="10"/>
  <c r="L23" i="12"/>
  <c r="B27" i="10"/>
  <c r="B59" i="10"/>
  <c r="N15" i="13"/>
  <c r="F58" i="13"/>
  <c r="F49" i="13"/>
  <c r="P13" i="13"/>
  <c r="G25" i="13"/>
  <c r="N22" i="14"/>
  <c r="B29" i="16" s="1"/>
  <c r="H44" i="12"/>
  <c r="I43" i="12" s="1"/>
  <c r="H43" i="12"/>
  <c r="H45" i="12" s="1"/>
  <c r="H46" i="12"/>
  <c r="B29" i="10"/>
  <c r="N25" i="13"/>
  <c r="L60" i="13"/>
  <c r="L55" i="13"/>
  <c r="L53" i="13"/>
  <c r="J8" i="14" s="1"/>
  <c r="E46" i="12"/>
  <c r="E44" i="12"/>
  <c r="B24" i="10"/>
  <c r="B26" i="10"/>
  <c r="N20" i="14"/>
  <c r="B27" i="16" s="1"/>
  <c r="N19" i="14"/>
  <c r="B26" i="16" s="1"/>
  <c r="B30" i="10"/>
  <c r="B48" i="10"/>
  <c r="B31" i="10"/>
  <c r="N23" i="12"/>
  <c r="B13" i="11"/>
  <c r="B21" i="12"/>
  <c r="B12" i="12"/>
  <c r="K43" i="12"/>
  <c r="K44" i="12"/>
  <c r="K46" i="12"/>
  <c r="I35" i="13"/>
  <c r="N21" i="14"/>
  <c r="B28" i="16" s="1"/>
  <c r="N9" i="14"/>
  <c r="B16" i="16" s="1"/>
  <c r="B33" i="10"/>
  <c r="K58" i="13"/>
  <c r="K48" i="13"/>
  <c r="K49" i="13"/>
  <c r="B10" i="14"/>
  <c r="N10" i="14" s="1"/>
  <c r="B8" i="4"/>
  <c r="N36" i="3"/>
  <c r="B17" i="16" s="1"/>
  <c r="P31" i="13"/>
  <c r="D23" i="12"/>
  <c r="P18" i="12"/>
  <c r="D35" i="13"/>
  <c r="P30" i="13"/>
  <c r="J25" i="13"/>
  <c r="B44" i="10"/>
  <c r="H15" i="13"/>
  <c r="B35" i="10"/>
  <c r="I15" i="13"/>
  <c r="P34" i="13"/>
  <c r="O25" i="13"/>
  <c r="N18" i="14"/>
  <c r="B24" i="16" s="1"/>
  <c r="B13" i="12"/>
  <c r="B22" i="12"/>
  <c r="E25" i="13"/>
  <c r="B37" i="10"/>
  <c r="P24" i="13"/>
  <c r="M23" i="12"/>
  <c r="I25" i="13"/>
  <c r="F43" i="12"/>
  <c r="F45" i="12" s="1"/>
  <c r="F46" i="12"/>
  <c r="F44" i="12"/>
  <c r="B39" i="10"/>
  <c r="B15" i="11"/>
  <c r="N60" i="13"/>
  <c r="N55" i="13"/>
  <c r="O54" i="13" s="1"/>
  <c r="F35" i="13"/>
  <c r="P22" i="12"/>
  <c r="P19" i="12"/>
  <c r="K25" i="10"/>
  <c r="L25" i="10" s="1"/>
  <c r="B25" i="10"/>
  <c r="B56" i="10"/>
  <c r="B41" i="10"/>
  <c r="N16" i="14"/>
  <c r="B22" i="16" s="1"/>
  <c r="E4" i="15"/>
  <c r="E5" i="17"/>
  <c r="J45" i="12" l="1"/>
  <c r="K42" i="12"/>
  <c r="I4" i="14" s="1"/>
  <c r="I3" i="14" s="1"/>
  <c r="J26" i="10"/>
  <c r="K26" i="10" s="1"/>
  <c r="L26" i="10" s="1"/>
  <c r="I45" i="12"/>
  <c r="J42" i="12"/>
  <c r="H4" i="14" s="1"/>
  <c r="H3" i="14" s="1"/>
  <c r="I55" i="13"/>
  <c r="J54" i="13" s="1"/>
  <c r="K53" i="13" s="1"/>
  <c r="I8" i="14" s="1"/>
  <c r="I60" i="13"/>
  <c r="K56" i="13"/>
  <c r="N59" i="13"/>
  <c r="N51" i="13"/>
  <c r="O50" i="13" s="1"/>
  <c r="M7" i="14" s="1"/>
  <c r="N52" i="13"/>
  <c r="J59" i="13"/>
  <c r="J52" i="13"/>
  <c r="K51" i="13" s="1"/>
  <c r="H55" i="13"/>
  <c r="I54" i="13" s="1"/>
  <c r="J53" i="13" s="1"/>
  <c r="H8" i="14" s="1"/>
  <c r="H60" i="13"/>
  <c r="G60" i="13"/>
  <c r="G54" i="13"/>
  <c r="H53" i="13" s="1"/>
  <c r="F8" i="14" s="1"/>
  <c r="G55" i="13"/>
  <c r="H54" i="13" s="1"/>
  <c r="I53" i="13" s="1"/>
  <c r="G8" i="14" s="1"/>
  <c r="I42" i="12"/>
  <c r="G4" i="14" s="1"/>
  <c r="G3" i="14" s="1"/>
  <c r="B2" i="14"/>
  <c r="B21" i="11"/>
  <c r="C22" i="15" s="1"/>
  <c r="B22" i="11"/>
  <c r="C23" i="15" s="1"/>
  <c r="H49" i="13"/>
  <c r="H48" i="13"/>
  <c r="H58" i="13"/>
  <c r="H47" i="13"/>
  <c r="F6" i="14" s="1"/>
  <c r="G51" i="13"/>
  <c r="H50" i="13" s="1"/>
  <c r="F7" i="14" s="1"/>
  <c r="G59" i="13"/>
  <c r="G52" i="13"/>
  <c r="H51" i="13" s="1"/>
  <c r="I50" i="13" s="1"/>
  <c r="G7" i="14" s="1"/>
  <c r="I59" i="13"/>
  <c r="I51" i="13"/>
  <c r="J50" i="13" s="1"/>
  <c r="H7" i="14" s="1"/>
  <c r="I52" i="13"/>
  <c r="J51" i="13" s="1"/>
  <c r="K50" i="13" s="1"/>
  <c r="I7" i="14" s="1"/>
  <c r="K23" i="14"/>
  <c r="J23" i="14"/>
  <c r="I23" i="14"/>
  <c r="G23" i="14"/>
  <c r="F23" i="14"/>
  <c r="M23" i="14"/>
  <c r="L23" i="14"/>
  <c r="H23" i="14"/>
  <c r="E23" i="14"/>
  <c r="D23" i="14"/>
  <c r="C23" i="14"/>
  <c r="B23" i="14"/>
  <c r="N23" i="14" s="1"/>
  <c r="D24" i="10"/>
  <c r="D49" i="13"/>
  <c r="D48" i="13"/>
  <c r="D47" i="13"/>
  <c r="P15" i="13"/>
  <c r="D58" i="13"/>
  <c r="H59" i="13"/>
  <c r="H52" i="13"/>
  <c r="L43" i="12"/>
  <c r="L46" i="12"/>
  <c r="L44" i="12"/>
  <c r="M43" i="12" s="1"/>
  <c r="L42" i="12"/>
  <c r="J4" i="14" s="1"/>
  <c r="J3" i="14" s="1"/>
  <c r="F55" i="13"/>
  <c r="F60" i="13"/>
  <c r="F54" i="13"/>
  <c r="G53" i="13" s="1"/>
  <c r="E8" i="14" s="1"/>
  <c r="E58" i="13"/>
  <c r="E49" i="13"/>
  <c r="F48" i="13" s="1"/>
  <c r="M44" i="12"/>
  <c r="M46" i="12"/>
  <c r="M42" i="12"/>
  <c r="K4" i="14" s="1"/>
  <c r="K3" i="14" s="1"/>
  <c r="M54" i="13"/>
  <c r="N53" i="13" s="1"/>
  <c r="L8" i="14" s="1"/>
  <c r="M60" i="13"/>
  <c r="M53" i="13"/>
  <c r="K8" i="14" s="1"/>
  <c r="M55" i="13"/>
  <c r="N54" i="13" s="1"/>
  <c r="O53" i="13" s="1"/>
  <c r="M8" i="14" s="1"/>
  <c r="D59" i="13"/>
  <c r="D52" i="13"/>
  <c r="E51" i="13" s="1"/>
  <c r="F50" i="13" s="1"/>
  <c r="D7" i="14" s="1"/>
  <c r="D50" i="13"/>
  <c r="P25" i="13"/>
  <c r="D51" i="13"/>
  <c r="O59" i="13"/>
  <c r="O51" i="13"/>
  <c r="O52" i="13"/>
  <c r="I48" i="13"/>
  <c r="I49" i="13"/>
  <c r="J48" i="13" s="1"/>
  <c r="I47" i="13"/>
  <c r="G6" i="14" s="1"/>
  <c r="I58" i="13"/>
  <c r="D43" i="12"/>
  <c r="D46" i="12"/>
  <c r="D42" i="12" s="1"/>
  <c r="B4" i="14" s="1"/>
  <c r="P23" i="12"/>
  <c r="B8" i="16" s="1"/>
  <c r="B7" i="16" s="1"/>
  <c r="D44" i="12"/>
  <c r="E43" i="12" s="1"/>
  <c r="N44" i="12"/>
  <c r="O43" i="12" s="1"/>
  <c r="O45" i="12" s="1"/>
  <c r="C20" i="17" s="1"/>
  <c r="C19" i="17" s="1"/>
  <c r="N43" i="12"/>
  <c r="N46" i="12"/>
  <c r="N49" i="13"/>
  <c r="O48" i="13" s="1"/>
  <c r="N48" i="13"/>
  <c r="N58" i="13"/>
  <c r="D55" i="13"/>
  <c r="D53" i="13"/>
  <c r="D60" i="13"/>
  <c r="P35" i="13"/>
  <c r="D54" i="13"/>
  <c r="H42" i="12"/>
  <c r="F4" i="14" s="1"/>
  <c r="F3" i="14" s="1"/>
  <c r="L59" i="13"/>
  <c r="L51" i="13"/>
  <c r="M50" i="13" s="1"/>
  <c r="K7" i="14" s="1"/>
  <c r="L52" i="13"/>
  <c r="M51" i="13" s="1"/>
  <c r="N50" i="13" s="1"/>
  <c r="L7" i="14" s="1"/>
  <c r="L50" i="13"/>
  <c r="J7" i="14" s="1"/>
  <c r="K45" i="12"/>
  <c r="E50" i="13"/>
  <c r="C7" i="14" s="1"/>
  <c r="E59" i="13"/>
  <c r="E52" i="13"/>
  <c r="F51" i="13" s="1"/>
  <c r="G50" i="13" s="1"/>
  <c r="E7" i="14" s="1"/>
  <c r="F7" i="7"/>
  <c r="F20" i="7" s="1"/>
  <c r="B23" i="7" s="1"/>
  <c r="B6" i="9" s="1"/>
  <c r="B16" i="9" s="1"/>
  <c r="D6" i="10" s="1"/>
  <c r="L58" i="13"/>
  <c r="L47" i="13"/>
  <c r="J6" i="14" s="1"/>
  <c r="L48" i="13"/>
  <c r="L49" i="13"/>
  <c r="M48" i="13" s="1"/>
  <c r="M56" i="13" s="1"/>
  <c r="J27" i="10" l="1"/>
  <c r="K27" i="10" s="1"/>
  <c r="L27" i="10" s="1"/>
  <c r="B3" i="14"/>
  <c r="M45" i="12"/>
  <c r="N42" i="12"/>
  <c r="L4" i="14" s="1"/>
  <c r="L3" i="14" s="1"/>
  <c r="P49" i="13"/>
  <c r="O56" i="13"/>
  <c r="E16" i="17" s="1"/>
  <c r="I56" i="13"/>
  <c r="J47" i="13"/>
  <c r="H6" i="14" s="1"/>
  <c r="H5" i="14" s="1"/>
  <c r="E24" i="10"/>
  <c r="B6" i="14"/>
  <c r="G5" i="14"/>
  <c r="J56" i="13"/>
  <c r="K47" i="13"/>
  <c r="I6" i="14" s="1"/>
  <c r="I5" i="14" s="1"/>
  <c r="L45" i="12"/>
  <c r="D56" i="13"/>
  <c r="J5" i="14"/>
  <c r="G56" i="13"/>
  <c r="F5" i="14"/>
  <c r="P54" i="13"/>
  <c r="E53" i="13"/>
  <c r="C8" i="14" s="1"/>
  <c r="H56" i="13"/>
  <c r="N56" i="13"/>
  <c r="O47" i="13"/>
  <c r="M6" i="14" s="1"/>
  <c r="M5" i="14" s="1"/>
  <c r="E45" i="12"/>
  <c r="F42" i="12"/>
  <c r="D4" i="14" s="1"/>
  <c r="D3" i="14" s="1"/>
  <c r="P51" i="13"/>
  <c r="N47" i="13"/>
  <c r="L6" i="14" s="1"/>
  <c r="L5" i="14" s="1"/>
  <c r="F56" i="13"/>
  <c r="G47" i="13"/>
  <c r="E6" i="14" s="1"/>
  <c r="E5" i="14" s="1"/>
  <c r="L56" i="13"/>
  <c r="M47" i="13"/>
  <c r="K6" i="14" s="1"/>
  <c r="K5" i="14" s="1"/>
  <c r="N45" i="12"/>
  <c r="O42" i="12"/>
  <c r="M4" i="14" s="1"/>
  <c r="M3" i="14" s="1"/>
  <c r="P60" i="13"/>
  <c r="B13" i="16" s="1"/>
  <c r="B8" i="14"/>
  <c r="B12" i="16"/>
  <c r="P55" i="13"/>
  <c r="E54" i="13"/>
  <c r="F53" i="13" s="1"/>
  <c r="D8" i="14" s="1"/>
  <c r="B7" i="14"/>
  <c r="N7" i="14" s="1"/>
  <c r="P50" i="13"/>
  <c r="P52" i="13"/>
  <c r="E47" i="13"/>
  <c r="C6" i="14" s="1"/>
  <c r="P58" i="13"/>
  <c r="P46" i="12"/>
  <c r="B25" i="16" s="1"/>
  <c r="D45" i="12"/>
  <c r="E42" i="12"/>
  <c r="C4" i="14" s="1"/>
  <c r="C3" i="14" s="1"/>
  <c r="P59" i="13"/>
  <c r="E48" i="13"/>
  <c r="P48" i="13" s="1"/>
  <c r="B11" i="16"/>
  <c r="C21" i="15"/>
  <c r="C13" i="15" s="1"/>
  <c r="J28" i="10" l="1"/>
  <c r="K28" i="10" s="1"/>
  <c r="L28" i="10" s="1"/>
  <c r="B10" i="16"/>
  <c r="B32" i="16" s="1"/>
  <c r="B5" i="14"/>
  <c r="C25" i="10"/>
  <c r="C5" i="14"/>
  <c r="N3" i="14"/>
  <c r="E56" i="13"/>
  <c r="F47" i="13"/>
  <c r="D6" i="14" s="1"/>
  <c r="D5" i="14" s="1"/>
  <c r="N4" i="14"/>
  <c r="N8" i="14"/>
  <c r="P53" i="13"/>
  <c r="C25" i="15"/>
  <c r="J29" i="10" l="1"/>
  <c r="K29" i="10" s="1"/>
  <c r="L29" i="10" s="1"/>
  <c r="N6" i="14"/>
  <c r="D25" i="10"/>
  <c r="P47" i="13"/>
  <c r="N5" i="14"/>
  <c r="B26" i="14"/>
  <c r="C2" i="14" s="1"/>
  <c r="J30" i="10" l="1"/>
  <c r="K30" i="10" s="1"/>
  <c r="L30" i="10" s="1"/>
  <c r="C26" i="14"/>
  <c r="D2" i="14" s="1"/>
  <c r="D26" i="14" s="1"/>
  <c r="E2" i="14" s="1"/>
  <c r="E26" i="14" s="1"/>
  <c r="F2" i="14" s="1"/>
  <c r="F26" i="14" s="1"/>
  <c r="G2" i="14" s="1"/>
  <c r="G26" i="14" s="1"/>
  <c r="H2" i="14" s="1"/>
  <c r="H26" i="14" s="1"/>
  <c r="I2" i="14" s="1"/>
  <c r="I26" i="14" s="1"/>
  <c r="J2" i="14" s="1"/>
  <c r="J26" i="14" s="1"/>
  <c r="K2" i="14" s="1"/>
  <c r="K26" i="14" s="1"/>
  <c r="L2" i="14" s="1"/>
  <c r="L26" i="14" s="1"/>
  <c r="M2" i="14" s="1"/>
  <c r="M26" i="14" s="1"/>
  <c r="E25" i="10"/>
  <c r="J31" i="10" l="1"/>
  <c r="K31" i="10" s="1"/>
  <c r="L31" i="10"/>
  <c r="N2" i="14"/>
  <c r="C26" i="10"/>
  <c r="C24" i="17"/>
  <c r="C23" i="17"/>
  <c r="C22" i="17" s="1"/>
  <c r="C14" i="17" s="1"/>
  <c r="C26" i="17" l="1"/>
  <c r="I10" i="17" s="1"/>
  <c r="D26" i="10"/>
  <c r="J32" i="10"/>
  <c r="K32" i="10" s="1"/>
  <c r="L32" i="10" s="1"/>
  <c r="J33" i="10" l="1"/>
  <c r="K33" i="10" s="1"/>
  <c r="L33" i="10" s="1"/>
  <c r="E26" i="10"/>
  <c r="J34" i="10" l="1"/>
  <c r="K34" i="10" s="1"/>
  <c r="L34" i="10" s="1"/>
  <c r="C27" i="10"/>
  <c r="J35" i="10" l="1"/>
  <c r="K35" i="10" s="1"/>
  <c r="L35" i="10" s="1"/>
  <c r="D27" i="10"/>
  <c r="J36" i="10" l="1"/>
  <c r="K36" i="10" s="1"/>
  <c r="L36" i="10" s="1"/>
  <c r="E27" i="10"/>
  <c r="J37" i="10" l="1"/>
  <c r="K37" i="10" s="1"/>
  <c r="L37" i="10" s="1"/>
  <c r="C28" i="10"/>
  <c r="J38" i="10" l="1"/>
  <c r="K38" i="10" s="1"/>
  <c r="L38" i="10" s="1"/>
  <c r="D28" i="10"/>
  <c r="J39" i="10" l="1"/>
  <c r="K39" i="10" s="1"/>
  <c r="L39" i="10" s="1"/>
  <c r="E28" i="10"/>
  <c r="J40" i="10" l="1"/>
  <c r="K40" i="10" s="1"/>
  <c r="L40" i="10" s="1"/>
  <c r="C29" i="10"/>
  <c r="D29" i="10" s="1"/>
  <c r="E29" i="10" s="1"/>
  <c r="C30" i="10" l="1"/>
  <c r="D30" i="10" s="1"/>
  <c r="E30" i="10" s="1"/>
  <c r="J41" i="10"/>
  <c r="K41" i="10" s="1"/>
  <c r="L41" i="10" s="1"/>
  <c r="J42" i="10" l="1"/>
  <c r="K42" i="10" s="1"/>
  <c r="L42" i="10" s="1"/>
  <c r="C31" i="10"/>
  <c r="D31" i="10" s="1"/>
  <c r="E31" i="10" s="1"/>
  <c r="C32" i="10" l="1"/>
  <c r="D32" i="10" s="1"/>
  <c r="E32" i="10" s="1"/>
  <c r="J43" i="10"/>
  <c r="K43" i="10" s="1"/>
  <c r="L43" i="10" s="1"/>
  <c r="J44" i="10" l="1"/>
  <c r="K44" i="10" s="1"/>
  <c r="L44" i="10" s="1"/>
  <c r="C33" i="10"/>
  <c r="D33" i="10" s="1"/>
  <c r="E33" i="10" s="1"/>
  <c r="C34" i="10" l="1"/>
  <c r="D34" i="10" s="1"/>
  <c r="E34" i="10" s="1"/>
  <c r="J45" i="10"/>
  <c r="K45" i="10" s="1"/>
  <c r="L45" i="10" s="1"/>
  <c r="L46" i="10" l="1"/>
  <c r="J46" i="10"/>
  <c r="K46" i="10" s="1"/>
  <c r="C35" i="10"/>
  <c r="D35" i="10" l="1"/>
  <c r="B16" i="4"/>
  <c r="B22" i="4" s="1"/>
  <c r="B26" i="4" s="1"/>
  <c r="C6" i="5" s="1"/>
  <c r="B36" i="16"/>
  <c r="B35" i="16" s="1"/>
  <c r="B38" i="16" s="1"/>
  <c r="B39" i="16" s="1"/>
  <c r="J47" i="10"/>
  <c r="K47" i="10" s="1"/>
  <c r="L47" i="10" s="1"/>
  <c r="J48" i="10" l="1"/>
  <c r="K48" i="10" s="1"/>
  <c r="L48" i="10" s="1"/>
  <c r="B40" i="16"/>
  <c r="E17" i="17" s="1"/>
  <c r="C32" i="5"/>
  <c r="C40" i="5" s="1"/>
  <c r="C34" i="5"/>
  <c r="C42" i="5" s="1"/>
  <c r="C35" i="5"/>
  <c r="C43" i="5" s="1"/>
  <c r="C33" i="5"/>
  <c r="C41" i="5" s="1"/>
  <c r="C31" i="5"/>
  <c r="C39" i="5" s="1"/>
  <c r="M5" i="10"/>
  <c r="E10" i="15" s="1"/>
  <c r="E9" i="15" s="1"/>
  <c r="M4" i="10"/>
  <c r="E14" i="15" s="1"/>
  <c r="E13" i="15" s="1"/>
  <c r="E35" i="10"/>
  <c r="J49" i="10" l="1"/>
  <c r="K49" i="10" s="1"/>
  <c r="L49" i="10" s="1"/>
  <c r="C36" i="10"/>
  <c r="D36" i="10" s="1"/>
  <c r="E36" i="10" s="1"/>
  <c r="E25" i="15"/>
  <c r="I9" i="15" s="1"/>
  <c r="I7" i="15"/>
  <c r="I8" i="15"/>
  <c r="B41" i="16"/>
  <c r="C37" i="10" l="1"/>
  <c r="D37" i="10" s="1"/>
  <c r="E37" i="10" s="1"/>
  <c r="J50" i="10"/>
  <c r="K50" i="10" s="1"/>
  <c r="L50" i="10" s="1"/>
  <c r="I11" i="16"/>
  <c r="E6" i="17" s="1"/>
  <c r="I11" i="17" s="1"/>
  <c r="J51" i="10" l="1"/>
  <c r="K51" i="10" s="1"/>
  <c r="L51" i="10" s="1"/>
  <c r="C38" i="10"/>
  <c r="D38" i="10" s="1"/>
  <c r="E38" i="10" s="1"/>
  <c r="I14" i="16"/>
  <c r="E7" i="17" s="1"/>
  <c r="E4" i="17" s="1"/>
  <c r="C39" i="10" l="1"/>
  <c r="D39" i="10" s="1"/>
  <c r="E39" i="10" s="1"/>
  <c r="J52" i="10"/>
  <c r="K52" i="10" s="1"/>
  <c r="L52" i="10" s="1"/>
  <c r="J53" i="10" l="1"/>
  <c r="K53" i="10" s="1"/>
  <c r="L53" i="10" s="1"/>
  <c r="C40" i="10"/>
  <c r="D40" i="10" s="1"/>
  <c r="E40" i="10" s="1"/>
  <c r="C41" i="10" l="1"/>
  <c r="D41" i="10" s="1"/>
  <c r="E41" i="10" s="1"/>
  <c r="J54" i="10"/>
  <c r="K54" i="10" s="1"/>
  <c r="L54" i="10" s="1"/>
  <c r="J55" i="10" l="1"/>
  <c r="K55" i="10" s="1"/>
  <c r="L55" i="10" s="1"/>
  <c r="C42" i="10"/>
  <c r="D42" i="10" s="1"/>
  <c r="E42" i="10" s="1"/>
  <c r="J56" i="10" l="1"/>
  <c r="K56" i="10" s="1"/>
  <c r="L56" i="10" s="1"/>
  <c r="C43" i="10"/>
  <c r="D43" i="10" s="1"/>
  <c r="E43" i="10" s="1"/>
  <c r="C44" i="10" l="1"/>
  <c r="D44" i="10" s="1"/>
  <c r="E44" i="10" s="1"/>
  <c r="J57" i="10"/>
  <c r="K57" i="10" s="1"/>
  <c r="L57" i="10" s="1"/>
  <c r="J58" i="10" l="1"/>
  <c r="K58" i="10" s="1"/>
  <c r="L58" i="10" s="1"/>
  <c r="C45" i="10"/>
  <c r="D45" i="10" s="1"/>
  <c r="E45" i="10" s="1"/>
  <c r="C46" i="10" l="1"/>
  <c r="D46" i="10" s="1"/>
  <c r="E46" i="10" s="1"/>
  <c r="J59" i="10"/>
  <c r="K59" i="10" s="1"/>
  <c r="L59" i="10" s="1"/>
  <c r="J60" i="10" l="1"/>
  <c r="K60" i="10" s="1"/>
  <c r="L60" i="10" s="1"/>
  <c r="C47" i="10"/>
  <c r="D47" i="10" s="1"/>
  <c r="M6" i="10" s="1"/>
  <c r="E15" i="17" s="1"/>
  <c r="E14" i="17" s="1"/>
  <c r="J61" i="10" l="1"/>
  <c r="K61" i="10" s="1"/>
  <c r="L61" i="10" s="1"/>
  <c r="I8" i="17"/>
  <c r="I7" i="17"/>
  <c r="E47" i="10"/>
  <c r="J62" i="10" l="1"/>
  <c r="K62" i="10" s="1"/>
  <c r="L62" i="10" s="1"/>
  <c r="C48" i="10"/>
  <c r="D48" i="10" s="1"/>
  <c r="E48" i="10" s="1"/>
  <c r="M7" i="10"/>
  <c r="E10" i="17" s="1"/>
  <c r="E9" i="17" s="1"/>
  <c r="C49" i="10" l="1"/>
  <c r="D49" i="10" s="1"/>
  <c r="E49" i="10" s="1"/>
  <c r="J63" i="10"/>
  <c r="K63" i="10" s="1"/>
  <c r="L63" i="10" s="1"/>
  <c r="E26" i="17"/>
  <c r="I9" i="17" s="1"/>
  <c r="J64" i="10" l="1"/>
  <c r="K64" i="10" s="1"/>
  <c r="L64" i="10" s="1"/>
  <c r="C50" i="10"/>
  <c r="D50" i="10" s="1"/>
  <c r="E50" i="10" s="1"/>
  <c r="C51" i="10" l="1"/>
  <c r="D51" i="10" s="1"/>
  <c r="E51" i="10" s="1"/>
  <c r="J65" i="10"/>
  <c r="K65" i="10" s="1"/>
  <c r="L65" i="10" s="1"/>
  <c r="J66" i="10" l="1"/>
  <c r="K66" i="10" s="1"/>
  <c r="L66" i="10" s="1"/>
  <c r="C52" i="10"/>
  <c r="D52" i="10" s="1"/>
  <c r="E52" i="10" s="1"/>
  <c r="C53" i="10" l="1"/>
  <c r="D53" i="10" s="1"/>
  <c r="E53" i="10" s="1"/>
  <c r="J67" i="10"/>
  <c r="K67" i="10" s="1"/>
  <c r="L67" i="10" s="1"/>
  <c r="J68" i="10" l="1"/>
  <c r="K68" i="10" s="1"/>
  <c r="L68" i="10" s="1"/>
  <c r="C54" i="10"/>
  <c r="D54" i="10" s="1"/>
  <c r="E54" i="10" s="1"/>
  <c r="C55" i="10" l="1"/>
  <c r="D55" i="10" s="1"/>
  <c r="E55" i="10" s="1"/>
  <c r="J69" i="10"/>
  <c r="K69" i="10" s="1"/>
  <c r="L69" i="10" s="1"/>
  <c r="J70" i="10" l="1"/>
  <c r="K70" i="10" s="1"/>
  <c r="L70" i="10" s="1"/>
  <c r="C56" i="10"/>
  <c r="D56" i="10" s="1"/>
  <c r="E56" i="10" s="1"/>
  <c r="C57" i="10" l="1"/>
  <c r="D57" i="10" s="1"/>
  <c r="E57" i="10" s="1"/>
  <c r="J71" i="10"/>
  <c r="K71" i="10" s="1"/>
  <c r="L71" i="10" s="1"/>
  <c r="J72" i="10" l="1"/>
  <c r="K72" i="10" s="1"/>
  <c r="L72" i="10" s="1"/>
  <c r="C58" i="10"/>
  <c r="D58" i="10" s="1"/>
  <c r="E58" i="10" s="1"/>
  <c r="C59" i="10" l="1"/>
  <c r="D59" i="10" s="1"/>
  <c r="E59" i="10" s="1"/>
  <c r="J73" i="10"/>
  <c r="K73" i="10" s="1"/>
  <c r="L73" i="10" s="1"/>
  <c r="J74" i="10" l="1"/>
  <c r="K74" i="10" s="1"/>
  <c r="L74" i="10" s="1"/>
  <c r="C60" i="10"/>
  <c r="D60" i="10" s="1"/>
  <c r="E60" i="10" s="1"/>
  <c r="C61" i="10" l="1"/>
  <c r="D61" i="10" s="1"/>
  <c r="E61" i="10" s="1"/>
  <c r="J75" i="10"/>
  <c r="K75" i="10" s="1"/>
  <c r="L75" i="10" s="1"/>
  <c r="J76" i="10" l="1"/>
  <c r="K76" i="10" s="1"/>
  <c r="L76" i="10" s="1"/>
  <c r="C62" i="10"/>
  <c r="D62" i="10" s="1"/>
  <c r="E62" i="10" s="1"/>
  <c r="C63" i="10" l="1"/>
  <c r="D63" i="10" s="1"/>
  <c r="E63" i="10" s="1"/>
  <c r="J77" i="10"/>
  <c r="K77" i="10" s="1"/>
  <c r="L77" i="10" s="1"/>
  <c r="J78" i="10" l="1"/>
  <c r="K78" i="10" s="1"/>
  <c r="L78" i="10" s="1"/>
  <c r="C64" i="10"/>
  <c r="D64" i="10" s="1"/>
  <c r="E64" i="10" s="1"/>
  <c r="C65" i="10" l="1"/>
  <c r="D65" i="10" s="1"/>
  <c r="E65" i="10" s="1"/>
  <c r="J79" i="10"/>
  <c r="K79" i="10" s="1"/>
  <c r="L79" i="10" s="1"/>
  <c r="J80" i="10" l="1"/>
  <c r="K80" i="10" s="1"/>
  <c r="L80" i="10" s="1"/>
  <c r="C66" i="10"/>
  <c r="D66" i="10" s="1"/>
  <c r="E66" i="10" s="1"/>
  <c r="C67" i="10" l="1"/>
  <c r="D67" i="10" s="1"/>
  <c r="E67" i="10" s="1"/>
  <c r="J81" i="10"/>
  <c r="K81" i="10" s="1"/>
  <c r="L81" i="10" s="1"/>
  <c r="J82" i="10" l="1"/>
  <c r="K82" i="10" s="1"/>
  <c r="L82" i="10" s="1"/>
  <c r="C68" i="10"/>
  <c r="D68" i="10" s="1"/>
  <c r="E68" i="10" s="1"/>
  <c r="C69" i="10" l="1"/>
  <c r="D69" i="10" s="1"/>
  <c r="E69" i="10" s="1"/>
  <c r="J83" i="10"/>
  <c r="K83" i="10" s="1"/>
  <c r="L83" i="10" s="1"/>
  <c r="J84" i="10" l="1"/>
  <c r="K84" i="10" s="1"/>
  <c r="L84" i="10" s="1"/>
  <c r="C70" i="10"/>
  <c r="D70" i="10" s="1"/>
  <c r="E70" i="10" s="1"/>
  <c r="C71" i="10" l="1"/>
  <c r="D71" i="10" s="1"/>
  <c r="E71" i="10" s="1"/>
  <c r="J85" i="10"/>
  <c r="K85" i="10" s="1"/>
  <c r="L85" i="10" s="1"/>
  <c r="J86" i="10" l="1"/>
  <c r="K86" i="10" s="1"/>
  <c r="L86" i="10" s="1"/>
  <c r="C72" i="10"/>
  <c r="D72" i="10" s="1"/>
  <c r="E72" i="10" s="1"/>
  <c r="C73" i="10" l="1"/>
  <c r="D73" i="10" s="1"/>
  <c r="E73" i="10" s="1"/>
  <c r="J87" i="10"/>
  <c r="K87" i="10" s="1"/>
  <c r="L87" i="10" s="1"/>
  <c r="J88" i="10" l="1"/>
  <c r="K88" i="10" s="1"/>
  <c r="L88" i="10" s="1"/>
  <c r="C74" i="10"/>
  <c r="D74" i="10" s="1"/>
  <c r="E74" i="10" s="1"/>
  <c r="C75" i="10" l="1"/>
  <c r="D75" i="10" s="1"/>
  <c r="E75" i="10" s="1"/>
  <c r="J89" i="10"/>
  <c r="K89" i="10" s="1"/>
  <c r="L89" i="10" s="1"/>
  <c r="J90" i="10" l="1"/>
  <c r="K90" i="10" s="1"/>
  <c r="L90" i="10" s="1"/>
  <c r="E76" i="10"/>
  <c r="C76" i="10"/>
  <c r="D76" i="10" s="1"/>
  <c r="J91" i="10" l="1"/>
  <c r="K91" i="10" s="1"/>
  <c r="L91" i="10" s="1"/>
  <c r="C77" i="10"/>
  <c r="D77" i="10" s="1"/>
  <c r="E77" i="10" s="1"/>
  <c r="C78" i="10" l="1"/>
  <c r="D78" i="10" s="1"/>
  <c r="E78" i="10" s="1"/>
  <c r="J92" i="10"/>
  <c r="K92" i="10" s="1"/>
  <c r="L92" i="10" s="1"/>
  <c r="J93" i="10" l="1"/>
  <c r="K93" i="10" s="1"/>
  <c r="L93" i="10" s="1"/>
  <c r="C79" i="10"/>
  <c r="D79" i="10" s="1"/>
  <c r="E79" i="10" s="1"/>
  <c r="C80" i="10" l="1"/>
  <c r="D80" i="10" s="1"/>
  <c r="E80" i="10" s="1"/>
  <c r="J94" i="10"/>
  <c r="K94" i="10" s="1"/>
  <c r="L94" i="10" s="1"/>
  <c r="J95" i="10" l="1"/>
  <c r="K95" i="10" s="1"/>
  <c r="L95" i="10" s="1"/>
  <c r="C81" i="10"/>
  <c r="D81" i="10" s="1"/>
  <c r="E81" i="10" s="1"/>
  <c r="C82" i="10" l="1"/>
  <c r="D82" i="10" s="1"/>
  <c r="E82" i="10" s="1"/>
  <c r="J96" i="10"/>
  <c r="K96" i="10" s="1"/>
  <c r="L96" i="10" s="1"/>
  <c r="J97" i="10" l="1"/>
  <c r="K97" i="10" s="1"/>
  <c r="L97" i="10" s="1"/>
  <c r="C83" i="10"/>
  <c r="D83" i="10" s="1"/>
  <c r="E83" i="10" s="1"/>
  <c r="C84" i="10" l="1"/>
  <c r="D84" i="10" s="1"/>
  <c r="E84" i="10" s="1"/>
  <c r="J98" i="10"/>
  <c r="K98" i="10" s="1"/>
  <c r="L98" i="10" s="1"/>
  <c r="J99" i="10" l="1"/>
  <c r="K99" i="10" s="1"/>
  <c r="L99" i="10" s="1"/>
  <c r="C85" i="10"/>
  <c r="D85" i="10" s="1"/>
  <c r="E85" i="10"/>
  <c r="J100" i="10" l="1"/>
  <c r="K100" i="10" s="1"/>
  <c r="L100" i="10" s="1"/>
  <c r="C86" i="10"/>
  <c r="D86" i="10" s="1"/>
  <c r="E86" i="10" s="1"/>
  <c r="C87" i="10" l="1"/>
  <c r="D87" i="10" s="1"/>
  <c r="E87" i="10" s="1"/>
  <c r="J101" i="10"/>
  <c r="K101" i="10" s="1"/>
  <c r="L101" i="10" s="1"/>
  <c r="J102" i="10" l="1"/>
  <c r="K102" i="10" s="1"/>
  <c r="L102" i="10" s="1"/>
  <c r="C88" i="10"/>
  <c r="D88" i="10" s="1"/>
  <c r="E88" i="10" s="1"/>
  <c r="C89" i="10" l="1"/>
  <c r="D89" i="10" s="1"/>
  <c r="E89" i="10" s="1"/>
  <c r="J103" i="10"/>
  <c r="K103" i="10" s="1"/>
  <c r="L103" i="10" s="1"/>
  <c r="J104" i="10" l="1"/>
  <c r="K104" i="10" s="1"/>
  <c r="L104" i="10" s="1"/>
  <c r="C90" i="10"/>
  <c r="D90" i="10" s="1"/>
  <c r="E90" i="10" s="1"/>
  <c r="C91" i="10" l="1"/>
  <c r="D91" i="10" s="1"/>
  <c r="E91" i="10" s="1"/>
  <c r="J105" i="10"/>
  <c r="K105" i="10" s="1"/>
  <c r="L105" i="10" s="1"/>
  <c r="J106" i="10" l="1"/>
  <c r="K106" i="10" s="1"/>
  <c r="L106" i="10" s="1"/>
  <c r="C92" i="10"/>
  <c r="D92" i="10" s="1"/>
  <c r="E92" i="10" s="1"/>
  <c r="C93" i="10" l="1"/>
  <c r="D93" i="10" s="1"/>
  <c r="E93" i="10" s="1"/>
  <c r="J107" i="10"/>
  <c r="K107" i="10" s="1"/>
  <c r="L107" i="10" s="1"/>
  <c r="J108" i="10" l="1"/>
  <c r="K108" i="10" s="1"/>
  <c r="L108" i="10" s="1"/>
  <c r="C94" i="10"/>
  <c r="D94" i="10" s="1"/>
  <c r="E94" i="10" s="1"/>
  <c r="C95" i="10" l="1"/>
  <c r="D95" i="10" s="1"/>
  <c r="E95" i="10" s="1"/>
  <c r="J109" i="10"/>
  <c r="K109" i="10" s="1"/>
  <c r="L109" i="10" s="1"/>
  <c r="J110" i="10" l="1"/>
  <c r="K110" i="10" s="1"/>
  <c r="L110" i="10" s="1"/>
  <c r="C96" i="10"/>
  <c r="D96" i="10" s="1"/>
  <c r="E96" i="10" s="1"/>
  <c r="C97" i="10" l="1"/>
  <c r="D97" i="10" s="1"/>
  <c r="E97" i="10" s="1"/>
  <c r="J111" i="10"/>
  <c r="K111" i="10" s="1"/>
  <c r="L111" i="10" s="1"/>
  <c r="J112" i="10" l="1"/>
  <c r="K112" i="10" s="1"/>
  <c r="L112" i="10" s="1"/>
  <c r="C98" i="10"/>
  <c r="D98" i="10" s="1"/>
  <c r="E98" i="10" s="1"/>
  <c r="C99" i="10" l="1"/>
  <c r="D99" i="10" s="1"/>
  <c r="E99" i="10" s="1"/>
  <c r="J113" i="10"/>
  <c r="K113" i="10" s="1"/>
  <c r="L113" i="10" s="1"/>
  <c r="C100" i="10" l="1"/>
  <c r="D100" i="10" s="1"/>
  <c r="E100" i="10" s="1"/>
  <c r="C101" i="10" l="1"/>
  <c r="D101" i="10" s="1"/>
  <c r="E101" i="10" s="1"/>
  <c r="C102" i="10" l="1"/>
  <c r="D102" i="10" s="1"/>
  <c r="E102" i="10" s="1"/>
  <c r="C103" i="10" l="1"/>
  <c r="D103" i="10" s="1"/>
  <c r="E103" i="10" s="1"/>
  <c r="C104" i="10" l="1"/>
  <c r="D104" i="10" s="1"/>
  <c r="E104" i="10" s="1"/>
  <c r="C105" i="10" l="1"/>
  <c r="D105" i="10" s="1"/>
  <c r="E105" i="10" s="1"/>
  <c r="C106" i="10" l="1"/>
  <c r="D106" i="10" s="1"/>
  <c r="E106" i="10" s="1"/>
  <c r="C107" i="10" l="1"/>
  <c r="D107" i="10" s="1"/>
  <c r="E107" i="10" s="1"/>
  <c r="C108" i="10" l="1"/>
  <c r="D108" i="10" s="1"/>
  <c r="E108" i="10" s="1"/>
  <c r="C109" i="10" l="1"/>
  <c r="D109" i="10" s="1"/>
  <c r="E109" i="10" s="1"/>
  <c r="E110" i="10" l="1"/>
  <c r="C110" i="10"/>
  <c r="D110" i="10" s="1"/>
  <c r="C111" i="10" l="1"/>
  <c r="D111" i="10" s="1"/>
  <c r="E111" i="10" s="1"/>
  <c r="C112" i="10" l="1"/>
  <c r="D112" i="10" s="1"/>
  <c r="E112" i="10" s="1"/>
  <c r="C113" i="10" l="1"/>
  <c r="D113" i="10" s="1"/>
  <c r="E113" i="10" s="1"/>
</calcChain>
</file>

<file path=xl/sharedStrings.xml><?xml version="1.0" encoding="utf-8"?>
<sst xmlns="http://schemas.openxmlformats.org/spreadsheetml/2006/main" count="774" uniqueCount="343">
  <si>
    <t>ANÁLISIS ECONÓMICO-FINANCIERO DE UN PLAN DE EMPRESA</t>
  </si>
  <si>
    <t>En la presente hoja de cálculo podrás realizar los cálculos del análisis económico-financiero que todo Plan de Empresa debe contener (estimación de costes, inversiones, ingresos, gastos, esquema de financiación, balance de situación inicial, Plan de Tesorería del primer año, Cuenta de resultados previsional y Balance de situación Previsional)</t>
  </si>
  <si>
    <r>
      <rPr>
        <sz val="11"/>
        <color rgb="FF000000"/>
        <rFont val="Calibri"/>
      </rPr>
      <t xml:space="preserve">La idea es que </t>
    </r>
    <r>
      <rPr>
        <b/>
        <u/>
        <sz val="11"/>
        <color rgb="FF000000"/>
        <rFont val="Calibri"/>
      </rPr>
      <t>completes las partes que aparezcan coloreadas</t>
    </r>
    <r>
      <rPr>
        <sz val="11"/>
        <color rgb="FF000000"/>
        <rFont val="Calibri"/>
      </rPr>
      <t xml:space="preserve"> con los datos necesarios. La hoja de cálculo está diseñada para que el resto de cálculos se realicen automáticamente. Por lo tanto, </t>
    </r>
    <r>
      <rPr>
        <b/>
        <sz val="11"/>
        <color rgb="FF000000"/>
        <rFont val="Calibri"/>
      </rPr>
      <t>NO MODIFIQUES LAS CELDAS NO COLOREADAS</t>
    </r>
    <r>
      <rPr>
        <sz val="11"/>
        <color rgb="FF000000"/>
        <rFont val="Calibri"/>
      </rPr>
      <t>, porque podría ocasionar fallos de cálculo al final del análisis.</t>
    </r>
  </si>
  <si>
    <t>En la parte superior izquierda de cada hoja de este Excel encontrarás la explicación del contenido de la hoja. Además, en la mayoría de zonas coloreadas donde hay que insertar datos encontrarás paréntesis donde se indica qué información debes insertar. Lee atentamente toda la información.</t>
  </si>
  <si>
    <r>
      <rPr>
        <sz val="11"/>
        <color rgb="FF000000"/>
        <rFont val="Calibri"/>
      </rPr>
      <t xml:space="preserve">De cara al documento del Plan de Empresa, deberás insertar en el documento los diferentes resultados que obtengas en este EXCEL, </t>
    </r>
    <r>
      <rPr>
        <b/>
        <sz val="11"/>
        <color rgb="FF000000"/>
        <rFont val="Calibri"/>
      </rPr>
      <t xml:space="preserve">DEBIENDO COMENTAR DICHOS RESULTADOS, </t>
    </r>
    <r>
      <rPr>
        <sz val="11"/>
        <color rgb="FF000000"/>
        <rFont val="Calibri"/>
      </rPr>
      <t>así como justificar los datos que has introducido.</t>
    </r>
  </si>
  <si>
    <t>Aquí deberás señalar cuántas unidades o clientes esperas tener cada mes para cada uno de los productos definidos. Intenta ser lo más realista posible, teniendo en cuenta que al principio no serás conocido. Además, ten en cuenta otros efectos del calendario (meses en lo que quizás vendas más que otros por alguna razón, o si la empresa estará cerrada por vacaciones)</t>
  </si>
  <si>
    <t>Si la empresa ofrece un servicio (p.e. mantenimiento de ordenadores) contabiliza el número de horas al mes que dedicarás a ese servicio</t>
  </si>
  <si>
    <t>UNIDADES VENDIDAS</t>
  </si>
  <si>
    <t>(Inserta en cada mes el número de unidades/clientes que estimas que puedes vender cada mes. Ten en cuenta efectos calendario, vacaciones, etc)</t>
  </si>
  <si>
    <t>PRODUCTO</t>
  </si>
  <si>
    <t>NOMBRE</t>
  </si>
  <si>
    <t>ENERO</t>
  </si>
  <si>
    <t>FEBRERO</t>
  </si>
  <si>
    <t>MARZO</t>
  </si>
  <si>
    <t>ABRIL</t>
  </si>
  <si>
    <t>MAYO</t>
  </si>
  <si>
    <t>JUNIO</t>
  </si>
  <si>
    <t>JULIO</t>
  </si>
  <si>
    <t>AGOSTO</t>
  </si>
  <si>
    <t>SEPTIEMBRE</t>
  </si>
  <si>
    <t>OCTUBRE</t>
  </si>
  <si>
    <t>NOVIEMBRE</t>
  </si>
  <si>
    <t>DICIEMBRE</t>
  </si>
  <si>
    <t>TOTAL</t>
  </si>
  <si>
    <t>Patrocinio</t>
  </si>
  <si>
    <t>(Especifica el nombre de cada producto. P.e. Ordenadores; Impresoras…)</t>
  </si>
  <si>
    <t>SOCIOS</t>
  </si>
  <si>
    <t>TRABAJADORES</t>
  </si>
  <si>
    <t>SOCIO 1</t>
  </si>
  <si>
    <t>PUESTO 1</t>
  </si>
  <si>
    <t>¿Es empresario indiviual?</t>
  </si>
  <si>
    <t>x</t>
  </si>
  <si>
    <t>(Señala con una X si es así)</t>
  </si>
  <si>
    <t>Nº</t>
  </si>
  <si>
    <t>(Nº de trabajadores que ocupan ese puesto)</t>
  </si>
  <si>
    <t>"Nómina" del socio</t>
  </si>
  <si>
    <t>(Introduce lo cobrado a fin de mes)</t>
  </si>
  <si>
    <t>Salario mes</t>
  </si>
  <si>
    <t>(Salario mensual BRUTO pagado)</t>
  </si>
  <si>
    <t>Base Cuota Autónomos</t>
  </si>
  <si>
    <t>(Introduce base entre 960,60 y 4139,40)</t>
  </si>
  <si>
    <t>nº DE PAGAS</t>
  </si>
  <si>
    <t>(Selecciona "12" o "14" pagas)</t>
  </si>
  <si>
    <t>Cuota 12 primeros meses</t>
  </si>
  <si>
    <t>€/mes</t>
  </si>
  <si>
    <t>Sueldos y salarios (mes)</t>
  </si>
  <si>
    <t>Seguridad Social (mes)</t>
  </si>
  <si>
    <t>Sueldo del mes con paga</t>
  </si>
  <si>
    <t>PUESTO 2</t>
  </si>
  <si>
    <t>SOCIO 2</t>
  </si>
  <si>
    <t>PUESTO 3</t>
  </si>
  <si>
    <t>SOCIO 3</t>
  </si>
  <si>
    <t>PUESTO 4</t>
  </si>
  <si>
    <t>RESUMEN DE COSTES SALARIALES</t>
  </si>
  <si>
    <t>CONCEPTO</t>
  </si>
  <si>
    <t>AÑO</t>
  </si>
  <si>
    <t>SUELDOS Y SALARIOS</t>
  </si>
  <si>
    <t>SEGURIDAD SOCIAL</t>
  </si>
  <si>
    <t>CUOTA DE AUTÓNOMOS</t>
  </si>
  <si>
    <t>ADELANTO DE BENEFICIOS</t>
  </si>
  <si>
    <t>Explicación: En este apartado indicaremos los costes fijos de la empresa, así como los costes variables de los productos más importantes.</t>
  </si>
  <si>
    <t>COSTES VARIABLES UNITARIOS</t>
  </si>
  <si>
    <t>COSTES FIJOS</t>
  </si>
  <si>
    <t>(mes)</t>
  </si>
  <si>
    <t>PRODUCTO 1</t>
  </si>
  <si>
    <t>Alquiler</t>
  </si>
  <si>
    <t>Materias primas</t>
  </si>
  <si>
    <t>(Inserta el coste unitario)</t>
  </si>
  <si>
    <t>Sueldos y salarios</t>
  </si>
  <si>
    <t>Mercaderías</t>
  </si>
  <si>
    <t>Seguridad Social</t>
  </si>
  <si>
    <t>Otros</t>
  </si>
  <si>
    <t>Cuota de autónomos</t>
  </si>
  <si>
    <t>Luz</t>
  </si>
  <si>
    <t>Agua</t>
  </si>
  <si>
    <t>Internet/teléfono</t>
  </si>
  <si>
    <t>PRODUCTO 2</t>
  </si>
  <si>
    <t>Publicidad</t>
  </si>
  <si>
    <t>Gestoría</t>
  </si>
  <si>
    <t>Intereses préstamos</t>
  </si>
  <si>
    <t>Amortización</t>
  </si>
  <si>
    <t>Hosting</t>
  </si>
  <si>
    <t>(Introduce otros posibles costes fijos importantes de tu empresa)</t>
  </si>
  <si>
    <t>Material de oficina</t>
  </si>
  <si>
    <t>Otros 3</t>
  </si>
  <si>
    <t>PRODUCTO 3</t>
  </si>
  <si>
    <t>Otros 4</t>
  </si>
  <si>
    <t>COSTES FIJOS AÑO</t>
  </si>
  <si>
    <t>PRODUCTO 4</t>
  </si>
  <si>
    <t>PRODUCTO 5</t>
  </si>
  <si>
    <t>Explicación: En este apartado se calcularán los precios técnicos y los precios de venta aconsejados de cada producto, teniendo en cuenta los costes fijos de la empresa y los variables unitarios de cada producto.</t>
  </si>
  <si>
    <t>COSTES FIJOS TOTALES</t>
  </si>
  <si>
    <t>€/año</t>
  </si>
  <si>
    <t>COSTE VARIABLE UNITARIO PRODUCTO 1</t>
  </si>
  <si>
    <t>€/unidad</t>
  </si>
  <si>
    <t>COSTE VARIABLE UNITARIO PRODUCTO 2</t>
  </si>
  <si>
    <t>COSTE VARIABLE UNITARIO PRODUCTO 3</t>
  </si>
  <si>
    <t>COSTE VARIABLE UNITARIO PRODUCTO 4</t>
  </si>
  <si>
    <t>COSTE VARIABLE UNITARIO PRODUCTO 5</t>
  </si>
  <si>
    <t>¿Cómo quieres repartir los costes fijos entre tus productos?</t>
  </si>
  <si>
    <t>(Inserta el % deseado para cada producto)</t>
  </si>
  <si>
    <t>(Tú eliges el criterio para repartir los costes fijos entre los productos. P.e. % de ingresos; % de ventas…)</t>
  </si>
  <si>
    <t>(Debe sumar 100%)</t>
  </si>
  <si>
    <t>¿Cuántas unidades/clientes tienes de media al año de cada producto?</t>
  </si>
  <si>
    <t>unidades/año</t>
  </si>
  <si>
    <t>¿Cuál es el precio técnico de cada producto?</t>
  </si>
  <si>
    <t>¿Qué margen de beneficio quieres dar a cada producto?</t>
  </si>
  <si>
    <t>PRECIO TÉCNICO P1</t>
  </si>
  <si>
    <t>(Inserta el % de margen de beneficio deseado para cada producto)</t>
  </si>
  <si>
    <t>PRECIO TÉCNICO P2</t>
  </si>
  <si>
    <t>PRECIO TÉCNICO P3</t>
  </si>
  <si>
    <t>PRECIO TÉCNICO P4</t>
  </si>
  <si>
    <t>PRECIO TÉCNICO P5</t>
  </si>
  <si>
    <t>¿Cuál es el precio de venta recomendado para cada producto?</t>
  </si>
  <si>
    <t>¿Qué precio de venta vas a poner a cada producto?</t>
  </si>
  <si>
    <t>PRECIO VENTA P1</t>
  </si>
  <si>
    <t>(Inserta el precio final que va a tener cada producto)</t>
  </si>
  <si>
    <t>PRECIO VENTA P2</t>
  </si>
  <si>
    <t>(Deberías tener en cuenta el precio de venta recomendado)</t>
  </si>
  <si>
    <t>PRECIO VENTA P3</t>
  </si>
  <si>
    <t>(Ten en cuenta las estrategias de precio que consideres p.e. precio psicológico, gancho, etc)</t>
  </si>
  <si>
    <t>PRECIO VENTA P4</t>
  </si>
  <si>
    <t>PRECIO VENTA P5</t>
  </si>
  <si>
    <t xml:space="preserve">Explicación: </t>
  </si>
  <si>
    <t xml:space="preserve">Los que hayáis desarrollado una app, vais a tener una serie de gastos durante el proceso. Es necesario conocer qué gastos son, así como el número de horas utilizadas. Esos gastos se acabarán contabilizando como una inversión, "Investigación y Desarrollo") </t>
  </si>
  <si>
    <t>¿Vas a tener una aplicación web o móvil en tu empresa?</t>
  </si>
  <si>
    <t>(Contesta con una X si es que sí. Déjala en blanco si es que no)</t>
  </si>
  <si>
    <t>COSTES DE DESARROLLO DE LA APLICACIÓN</t>
  </si>
  <si>
    <t>Horas de trabajo al año</t>
  </si>
  <si>
    <t>(Inserta el valor de los gastos que hayas tenido)</t>
  </si>
  <si>
    <t>Nº Días a la semana</t>
  </si>
  <si>
    <t>días</t>
  </si>
  <si>
    <t>Nº Semanas al año</t>
  </si>
  <si>
    <t>semanas</t>
  </si>
  <si>
    <t>Nº Horas de trabajo al día</t>
  </si>
  <si>
    <t>horas/día</t>
  </si>
  <si>
    <t>Teléfono/internet</t>
  </si>
  <si>
    <t>Nº Días de vacaciones/año</t>
  </si>
  <si>
    <t>días laborales</t>
  </si>
  <si>
    <t>(Sólo en caso de que hayas contratado trabajadores para el desarrollo)</t>
  </si>
  <si>
    <t>Nº Festivos al año</t>
  </si>
  <si>
    <t>días festivos</t>
  </si>
  <si>
    <t>% de horas productivas</t>
  </si>
  <si>
    <t>(entre el 60-70%, en número)</t>
  </si>
  <si>
    <t>Nº Trabajadores</t>
  </si>
  <si>
    <t>(señala el número de trabajadores implicados en el desarrollo)</t>
  </si>
  <si>
    <t>Especialistas contratados</t>
  </si>
  <si>
    <t>Horas laborales al año</t>
  </si>
  <si>
    <t>Horas productivos al año</t>
  </si>
  <si>
    <t>(Especifica los gastos concretos que no aparezcan anteriormente, y que sean necesarios para el desarrollo)</t>
  </si>
  <si>
    <t>HORAS DE TRABAJO AL AÑO</t>
  </si>
  <si>
    <t>horas</t>
  </si>
  <si>
    <t>COSTE/HORA</t>
  </si>
  <si>
    <t>€/hora</t>
  </si>
  <si>
    <t>NÚMERO HORAS DE DESARROLLO</t>
  </si>
  <si>
    <t>(Introduce el número de horas que estimas que necesitas para desarrollar la app)</t>
  </si>
  <si>
    <t>COSTE DE DESARROLLO APP</t>
  </si>
  <si>
    <t>INVESTIGACIÓN Y DESARROLLO</t>
  </si>
  <si>
    <t>€</t>
  </si>
  <si>
    <t>(Si no vas a desarrollar ninguna aplicación web o multiplataforma para tu negocio BORRA EL CONTENIDO DE ESTA CASILLA B27)</t>
  </si>
  <si>
    <t>Explicación: En esta página debes señalar el valor de los principales bienes de inversión y de los costes mensuales más importante de la empresa</t>
  </si>
  <si>
    <t>INVERSIONES</t>
  </si>
  <si>
    <t>VALOR</t>
  </si>
  <si>
    <t>GASTOS CORRIENTES</t>
  </si>
  <si>
    <t>VALOR (mes)</t>
  </si>
  <si>
    <t>Construcciones</t>
  </si>
  <si>
    <t>(Introduce el valor)</t>
  </si>
  <si>
    <t>¿Vas a trabajar en tu casa? (Marca con una X si es afirmativo)</t>
  </si>
  <si>
    <t>Elementos de transporte</t>
  </si>
  <si>
    <t>¿Qué porcentaje de la vivienda dedicarás a la empresa?</t>
  </si>
  <si>
    <t>Equipos informáticos</t>
  </si>
  <si>
    <t>Maquinaria</t>
  </si>
  <si>
    <t>Mobiliario</t>
  </si>
  <si>
    <t>Útiles y herramientas</t>
  </si>
  <si>
    <t>Investigación y desarrollo</t>
  </si>
  <si>
    <t>Mercaderías (stock seguridad)</t>
  </si>
  <si>
    <t>Materias primas (stock seguridad)</t>
  </si>
  <si>
    <t>Aplicaciones y programas Informáticos</t>
  </si>
  <si>
    <t>NECESIDAD DE FINANCIACIÓN</t>
  </si>
  <si>
    <t>Explicación: En esta hoja se calculan las amortizaciones por los bienes de inversión.</t>
  </si>
  <si>
    <t>%AMORTIZACIÓN</t>
  </si>
  <si>
    <t>AMORT. AÑO</t>
  </si>
  <si>
    <t>Maquinara</t>
  </si>
  <si>
    <t>¿Cuántos años crees que tendrá de vida útil la app?</t>
  </si>
  <si>
    <t>Aplicaciones y programas informáticos</t>
  </si>
  <si>
    <t>AMORTIZACIÓN</t>
  </si>
  <si>
    <t>Explicación: En esta hoja debes indicar el capital que vais a poner cada socio al comienzo de la actividad. Recuerda que debe cumplirse la condición de capital mínimo según la forma jurídica</t>
  </si>
  <si>
    <t>% de participación en la empresa de cada socio</t>
  </si>
  <si>
    <t>(Introduce el dinero que pone el Socio 1)</t>
  </si>
  <si>
    <t>(Introduce el dinero que pone el Socio 2)</t>
  </si>
  <si>
    <t>(Introduce el dinero que pone el Socio 3)</t>
  </si>
  <si>
    <t>CAPITAL SOCIAL</t>
  </si>
  <si>
    <t>NºPARTICIPACIONES</t>
  </si>
  <si>
    <t>(Introduce el número de participaciones que va a tener tu empresa (si es SL)</t>
  </si>
  <si>
    <t>VALOR/PARTICIPACIÓN</t>
  </si>
  <si>
    <t>RESTO DE FINANCIACIÓN AJENA NECESARIA</t>
  </si>
  <si>
    <t>EXPLICACIÓN: En esta hoja introduciremos datos sobre la financiación ajena (subvenciones, crowdfunding, leasing y renting, y préstamos del banco)</t>
  </si>
  <si>
    <t>Préstamos a corto plazo (Año 0)</t>
  </si>
  <si>
    <t>Préstamos a largo plazo (Año 0)</t>
  </si>
  <si>
    <t>Préstamos a corto plazo (Año 1)</t>
  </si>
  <si>
    <t>Préstamos a largo plazo (Año 1)</t>
  </si>
  <si>
    <t>SUBVENCIONES</t>
  </si>
  <si>
    <t>(Inserta la cantidad de dinero que vas a obtener mediante crowdfundin o subvencion)</t>
  </si>
  <si>
    <t>CROWDFUNDING</t>
  </si>
  <si>
    <t>LEASING/RENTING</t>
  </si>
  <si>
    <t>(En caso de adquirir algún bien mediante leasing o renting, indica la cuota mensual que se va a pagar)</t>
  </si>
  <si>
    <t>PRÉSTAMO BANCARIO 1</t>
  </si>
  <si>
    <t>PRÉSTAMO BANCARIO 2</t>
  </si>
  <si>
    <t>CAPITAL</t>
  </si>
  <si>
    <t>(Inserta el capital que vas a pedir al banco)</t>
  </si>
  <si>
    <t>AÑOS</t>
  </si>
  <si>
    <t>años</t>
  </si>
  <si>
    <t>(Inserta el plazo (años) para devolverlo)</t>
  </si>
  <si>
    <t>PLAZO (meses)</t>
  </si>
  <si>
    <t>meses</t>
  </si>
  <si>
    <t>TIPO DE INTERÉS</t>
  </si>
  <si>
    <t>(Inserta el TIN anual)</t>
  </si>
  <si>
    <t>TIN mensual</t>
  </si>
  <si>
    <t>COMISIÓN</t>
  </si>
  <si>
    <t>(Inserta el % de comisión inicial)</t>
  </si>
  <si>
    <t>Comisión préstamo</t>
  </si>
  <si>
    <t>CUOTA MENSUAL</t>
  </si>
  <si>
    <t>CUOTA</t>
  </si>
  <si>
    <t>INTERESES</t>
  </si>
  <si>
    <t>CAPITAL DEVUELTO</t>
  </si>
  <si>
    <t>CAPITAL PENDIENTE</t>
  </si>
  <si>
    <t>EXPLICACIÓN: En esta página se muestra el resúmen de la financiación, la inversión, y el dinero que quedará en caja y bancos al abrir la empresa. Se pide que se elija el % de distribución del dinero entre caja y bancos</t>
  </si>
  <si>
    <t>FINANCIACIÓN TOTAL</t>
  </si>
  <si>
    <t>INVERSIÓN TOTAL</t>
  </si>
  <si>
    <t>DINERO SOBRANTE</t>
  </si>
  <si>
    <t>¿Cómo vas a repartir el dinero sobrante entre "Caja" y "Bancos"?</t>
  </si>
  <si>
    <t>CAJA</t>
  </si>
  <si>
    <t>(Introduce el porcentaje en que repartirás el dinero sobrante. Debe sumar 100%)</t>
  </si>
  <si>
    <t>BANCOS</t>
  </si>
  <si>
    <t>SALDO INICIAL DE CAJA</t>
  </si>
  <si>
    <t>SALDO INICIAL DE BANCO</t>
  </si>
  <si>
    <t>Explicación: En esta hoja se van a calcular los ingresos por ventas de los productos, teniendo en cuenta las ventas que estimaste anteriormente. También se debe tener en cuenta otros ingresos, como la obtenida por publicidad. Y las condiciones de cobro a los clientes (al contado, a 30 días, a 60 días...)</t>
  </si>
  <si>
    <t>INGRESOS POR VENTAS</t>
  </si>
  <si>
    <t>PRECIO VENTA</t>
  </si>
  <si>
    <t>OTROS INGRESOS</t>
  </si>
  <si>
    <t>(Inserta otros ingresos, que no son extrictamente venta de bienes o servicios. Por ejemplo, ingresos por publicidad.)</t>
  </si>
  <si>
    <t>OTROS INGRESOS 1</t>
  </si>
  <si>
    <t>OTROS INGRESOS 2</t>
  </si>
  <si>
    <t>FORMA DE COBRO</t>
  </si>
  <si>
    <t>¿Cómo vas a cobrar a tus clientes?</t>
  </si>
  <si>
    <t>Al contado</t>
  </si>
  <si>
    <t>(Inserta el % de las ventas y de otros ingresos que vas a cobrar al contado, a 30 días o a 60 días)</t>
  </si>
  <si>
    <t>A 30 días</t>
  </si>
  <si>
    <t>¿Vas a hacer un descuento por pronto pago a los clientes que paguen al contado?</t>
  </si>
  <si>
    <t>A 60 días</t>
  </si>
  <si>
    <t>Descuento</t>
  </si>
  <si>
    <t>(introduce el descuento, sin %)</t>
  </si>
  <si>
    <t>INGRESOS Y CLIENTES</t>
  </si>
  <si>
    <t>BANCOS (dinero que entra)</t>
  </si>
  <si>
    <t>A 30 DÍAS</t>
  </si>
  <si>
    <t>A 60 DÍAS</t>
  </si>
  <si>
    <t>CLIENTES (dinero pendiente de cobro)</t>
  </si>
  <si>
    <t>Descuento por pronto pago</t>
  </si>
  <si>
    <t>EXPLICACIÓN: En esta hoja tendremos en cuenta los costes variables totales, así como si vamos a pagar a los proveedores al contado o a plazos.</t>
  </si>
  <si>
    <t>GASTOS POR COMPRA DE MATERIAS PRIMAS</t>
  </si>
  <si>
    <t>COSTE UNITARIO</t>
  </si>
  <si>
    <t>GASTOS POR COMPRA DE MERCADERÍAS</t>
  </si>
  <si>
    <t>OTROS GASTOS VARIABLES</t>
  </si>
  <si>
    <t>PAGO A PROVEEDORES</t>
  </si>
  <si>
    <t>¿Cómo vas a pagar a los proveedores?</t>
  </si>
  <si>
    <t>(Inserta el % de las compras que vas a cobrar al contado, a 30 días o a 60 días)</t>
  </si>
  <si>
    <t>¿Te van a hacer los proveedores descuento por pronto pago?</t>
  </si>
  <si>
    <t>%</t>
  </si>
  <si>
    <t>(indica el procentaje de descuento que te hacen tus proveedores por pronto pago)</t>
  </si>
  <si>
    <t>SALIDAS DE DINERO Y PROVEEDORES</t>
  </si>
  <si>
    <t>Salida por MATERIAS PRIMAS</t>
  </si>
  <si>
    <t>A 30 días por MATERIAS PRIMAS</t>
  </si>
  <si>
    <t>A 60 días por MATERIAS PRIMAS</t>
  </si>
  <si>
    <t>Salida por MERCADERÍAS</t>
  </si>
  <si>
    <t>A 30 días por MERCADERÍAS</t>
  </si>
  <si>
    <t>A 60 días por MERCADERíAS</t>
  </si>
  <si>
    <t>Salida por OTROS GASTOS VARIABLES</t>
  </si>
  <si>
    <t>A 30 días por OTROS GASTOS VARIABLES</t>
  </si>
  <si>
    <t>A 60 días por OTROS GASTOS VARIABLES</t>
  </si>
  <si>
    <t>PROVEEDORES (dinero pendiente de pago)</t>
  </si>
  <si>
    <t>Descuento proveedores materias primas</t>
  </si>
  <si>
    <t>Descuento proveedores mercaderías</t>
  </si>
  <si>
    <t>Descuento proveedores otros gastos variables</t>
  </si>
  <si>
    <t>SALDO INICIAL</t>
  </si>
  <si>
    <t>ENTRADAS TOTALES</t>
  </si>
  <si>
    <t>Ingresos por ventas</t>
  </si>
  <si>
    <t>SALIDAS TOTALES</t>
  </si>
  <si>
    <t>Compra de materias primas</t>
  </si>
  <si>
    <t>Compra de mercaderías</t>
  </si>
  <si>
    <t>Otros gastos variables</t>
  </si>
  <si>
    <t>Adelanto de beneficios</t>
  </si>
  <si>
    <t>Otros 1</t>
  </si>
  <si>
    <t>Otros 2</t>
  </si>
  <si>
    <t>Cuota de préstamo</t>
  </si>
  <si>
    <t>Comisión</t>
  </si>
  <si>
    <t>Leasing/Renting</t>
  </si>
  <si>
    <t>SALDO FINAL</t>
  </si>
  <si>
    <t>Aquí encontrarás el Balance de Situación de tu empresa en el momento de su creación. Así, podrás analizar la situación de liquidez y de endeudamiento inicial de tu empresa.</t>
  </si>
  <si>
    <t>ACTIVO NO CORRIENTE</t>
  </si>
  <si>
    <t>PATRIMONIO NETO</t>
  </si>
  <si>
    <t>Capital social</t>
  </si>
  <si>
    <t>Reservas</t>
  </si>
  <si>
    <t>Resultado del ejercicio</t>
  </si>
  <si>
    <t>Fondo de maniobra</t>
  </si>
  <si>
    <t>Subvenciones y donaciones</t>
  </si>
  <si>
    <t>Ratio liquidez</t>
  </si>
  <si>
    <t>PASIVO NO CORRIENTE</t>
  </si>
  <si>
    <t>Ratio endeudamiento</t>
  </si>
  <si>
    <t>Préstamos a largo plazo</t>
  </si>
  <si>
    <t>Aplicaciones y programas inform</t>
  </si>
  <si>
    <t>ACTIVO CORRIENTE</t>
  </si>
  <si>
    <t>PASIVO CORRIENTE</t>
  </si>
  <si>
    <t>EXISTENCIAS</t>
  </si>
  <si>
    <t>Préstamos a corto plazo</t>
  </si>
  <si>
    <t>Proveedores</t>
  </si>
  <si>
    <t>REALIZABLE</t>
  </si>
  <si>
    <t>Clientes</t>
  </si>
  <si>
    <t>TESORERÍA</t>
  </si>
  <si>
    <t>Caja</t>
  </si>
  <si>
    <t>Bancos</t>
  </si>
  <si>
    <t>EXPLICACIÓN: En esta hoja se calcula la cuenta de resultados, teniendo en cuenta los ingresos y gastos de explotación, y los ingresos y gastos financieros. Además, dado que los socios han cobrado por adelantado beneficios, habrá que tener esto en cuenta para ver el resultado final.</t>
  </si>
  <si>
    <t>INGRESOS DE EXPLOTACIÓN</t>
  </si>
  <si>
    <t>Otros ingresos</t>
  </si>
  <si>
    <t>GASTOS DE EXPLOTACION</t>
  </si>
  <si>
    <t>RESERVAS</t>
  </si>
  <si>
    <t>Variación de materias primas</t>
  </si>
  <si>
    <t>RESULTADO DEL EJERCICIO</t>
  </si>
  <si>
    <t>Variación de mercaderías</t>
  </si>
  <si>
    <t>Internet</t>
  </si>
  <si>
    <t>RESULTADO DE EXPLOTACIÓN</t>
  </si>
  <si>
    <t>INGRESOS FINANCIEROS</t>
  </si>
  <si>
    <t>Ingresos por intereses</t>
  </si>
  <si>
    <t>GASTOS FINANCIEROS</t>
  </si>
  <si>
    <t>Intereses de préstamos</t>
  </si>
  <si>
    <t>Comisiones bancarias</t>
  </si>
  <si>
    <t>RESULTADO FINANCIERO</t>
  </si>
  <si>
    <t>RESULTADO ANTES DE IMPUESTOS</t>
  </si>
  <si>
    <t>Impuesto de Sociedades (15%)</t>
  </si>
  <si>
    <t>Aquí aparece el Balance de Situación Previsional al finalizar el primer año de actividad de tu empresa. También puedes encontrar los diferentes ratios financieros para analizar la situación de la empresa</t>
  </si>
  <si>
    <t>Rentabilidad económica</t>
  </si>
  <si>
    <t>Rentabilidad financiera</t>
  </si>
  <si>
    <t>Amortización Acumulada</t>
  </si>
  <si>
    <t>HP Acreedora por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</si>
</sst>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quot; €&quot;"/>
    <numFmt numFmtId="165" formatCode="0\ %"/>
    <numFmt numFmtId="166" formatCode="0.0%"/>
    <numFmt numFmtId="167" formatCode="0.00\ %"/>
    <numFmt numFmtId="168" formatCode="_-* #,##0.00&quot; €&quot;_-;\-* #,##0.00&quot; €&quot;_-;_-* \-??&quot; €&quot;_-;_-@"/>
  </numFmts>
  <fonts count="15">
    <font>
      <sz val="11"/>
      <color rgb="FF000000"/>
      <name val="Calibri"/>
      <scheme val="minor"/>
    </font>
    <font>
      <b/>
      <sz val="22"/>
      <color rgb="FF000000"/>
      <name val="Calibri"/>
    </font>
    <font>
      <sz val="11"/>
      <color rgb="FF000000"/>
      <name val="Calibri"/>
    </font>
    <font>
      <sz val="11"/>
      <name val="Calibri"/>
    </font>
    <font>
      <b/>
      <sz val="14"/>
      <color rgb="FF000000"/>
      <name val="Calibri"/>
    </font>
    <font>
      <b/>
      <sz val="11"/>
      <color rgb="FF000000"/>
      <name val="Calibri"/>
    </font>
    <font>
      <b/>
      <i/>
      <sz val="11"/>
      <color rgb="FF000000"/>
      <name val="Calibri"/>
    </font>
    <font>
      <sz val="11"/>
      <color theme="1"/>
      <name val="Calibri"/>
      <scheme val="minor"/>
    </font>
    <font>
      <sz val="22"/>
      <color rgb="FF000000"/>
      <name val="Calibri"/>
    </font>
    <font>
      <b/>
      <sz val="12"/>
      <color rgb="FF000000"/>
      <name val="Calibri"/>
    </font>
    <font>
      <sz val="11"/>
      <color rgb="FF000000"/>
      <name val="Docs-Calibri"/>
    </font>
    <font>
      <sz val="11"/>
      <color rgb="FF0D0D0D"/>
      <name val="&quot;Söhne Mono&quot;"/>
    </font>
    <font>
      <sz val="12"/>
      <color rgb="FF000000"/>
      <name val="Calibri"/>
    </font>
    <font>
      <b/>
      <sz val="16"/>
      <color rgb="FF000000"/>
      <name val="Calibri"/>
    </font>
    <font>
      <b/>
      <u/>
      <sz val="11"/>
      <color rgb="FF000000"/>
      <name val="Calibri"/>
    </font>
  </fonts>
  <fills count="19">
    <fill>
      <patternFill patternType="none"/>
    </fill>
    <fill>
      <patternFill patternType="gray125"/>
    </fill>
    <fill>
      <patternFill patternType="solid">
        <fgColor rgb="FFE6E0EC"/>
        <bgColor rgb="FFE6E0EC"/>
      </patternFill>
    </fill>
    <fill>
      <patternFill patternType="solid">
        <fgColor rgb="FFFFFF00"/>
        <bgColor rgb="FFFFFF00"/>
      </patternFill>
    </fill>
    <fill>
      <patternFill patternType="solid">
        <fgColor rgb="FFEBF1DE"/>
        <bgColor rgb="FFEBF1DE"/>
      </patternFill>
    </fill>
    <fill>
      <patternFill patternType="solid">
        <fgColor rgb="FFFFC000"/>
        <bgColor rgb="FFFFC000"/>
      </patternFill>
    </fill>
    <fill>
      <patternFill patternType="solid">
        <fgColor rgb="FFE46C0A"/>
        <bgColor rgb="FFE46C0A"/>
      </patternFill>
    </fill>
    <fill>
      <patternFill patternType="solid">
        <fgColor rgb="FF92D050"/>
        <bgColor rgb="FF92D050"/>
      </patternFill>
    </fill>
    <fill>
      <patternFill patternType="solid">
        <fgColor rgb="FFFDEADA"/>
        <bgColor rgb="FFFDEADA"/>
      </patternFill>
    </fill>
    <fill>
      <patternFill patternType="solid">
        <fgColor rgb="FFB7DEE8"/>
        <bgColor rgb="FFB7DEE8"/>
      </patternFill>
    </fill>
    <fill>
      <patternFill patternType="solid">
        <fgColor rgb="FFFFFFFF"/>
        <bgColor rgb="FFFFFFFF"/>
      </patternFill>
    </fill>
    <fill>
      <patternFill patternType="solid">
        <fgColor rgb="FFD7E4BD"/>
        <bgColor rgb="FFD7E4BD"/>
      </patternFill>
    </fill>
    <fill>
      <patternFill patternType="solid">
        <fgColor rgb="FF00B0F0"/>
        <bgColor rgb="FF00B0F0"/>
      </patternFill>
    </fill>
    <fill>
      <patternFill patternType="solid">
        <fgColor rgb="FFB3A2C7"/>
        <bgColor rgb="FFB3A2C7"/>
      </patternFill>
    </fill>
    <fill>
      <patternFill patternType="solid">
        <fgColor rgb="FFE6B9B8"/>
        <bgColor rgb="FFE6B9B8"/>
      </patternFill>
    </fill>
    <fill>
      <patternFill patternType="solid">
        <fgColor rgb="FFC6D9F1"/>
        <bgColor rgb="FFC6D9F1"/>
      </patternFill>
    </fill>
    <fill>
      <patternFill patternType="solid">
        <fgColor rgb="FFF2DCDB"/>
        <bgColor rgb="FFF2DCDB"/>
      </patternFill>
    </fill>
    <fill>
      <patternFill patternType="solid">
        <fgColor rgb="FFB9CDE5"/>
        <bgColor rgb="FFB9CDE5"/>
      </patternFill>
    </fill>
    <fill>
      <patternFill patternType="solid">
        <fgColor rgb="FFFAC090"/>
        <bgColor rgb="FFFAC090"/>
      </patternFill>
    </fill>
  </fills>
  <borders count="3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double">
        <color rgb="FF000000"/>
      </bottom>
      <diagonal/>
    </border>
    <border>
      <left/>
      <right style="double">
        <color rgb="FF000000"/>
      </right>
      <top style="double">
        <color rgb="FF000000"/>
      </top>
      <bottom/>
      <diagonal/>
    </border>
    <border>
      <left/>
      <right style="double">
        <color rgb="FF000000"/>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top style="double">
        <color rgb="FF000000"/>
      </top>
      <bottom/>
      <diagonal/>
    </border>
    <border>
      <left style="double">
        <color rgb="FF000000"/>
      </left>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style="double">
        <color rgb="FF000000"/>
      </left>
      <right/>
      <top style="double">
        <color rgb="FF000000"/>
      </top>
      <bottom style="double">
        <color rgb="FF000000"/>
      </bottom>
      <diagonal/>
    </border>
  </borders>
  <cellStyleXfs count="1">
    <xf numFmtId="0" fontId="0" fillId="0" borderId="0"/>
  </cellStyleXfs>
  <cellXfs count="189">
    <xf numFmtId="0" fontId="0" fillId="0" borderId="0" xfId="0"/>
    <xf numFmtId="0" fontId="1" fillId="0" borderId="0" xfId="0" applyFont="1"/>
    <xf numFmtId="0" fontId="2" fillId="0" borderId="0" xfId="0" applyFont="1" applyAlignment="1">
      <alignment horizontal="center" wrapText="1"/>
    </xf>
    <xf numFmtId="0" fontId="2" fillId="0" borderId="0" xfId="0" applyFont="1" applyAlignment="1">
      <alignment horizontal="center"/>
    </xf>
    <xf numFmtId="0" fontId="4" fillId="0" borderId="12" xfId="0" applyFont="1" applyBorder="1" applyAlignment="1">
      <alignment horizontal="center"/>
    </xf>
    <xf numFmtId="0" fontId="2" fillId="0" borderId="13" xfId="0" applyFont="1" applyBorder="1"/>
    <xf numFmtId="0" fontId="2" fillId="0" borderId="14" xfId="0" applyFont="1" applyBorder="1"/>
    <xf numFmtId="0" fontId="5" fillId="0" borderId="15" xfId="0" applyFont="1" applyBorder="1"/>
    <xf numFmtId="0" fontId="5" fillId="0" borderId="0" xfId="0" applyFont="1" applyAlignment="1">
      <alignment horizontal="center"/>
    </xf>
    <xf numFmtId="0" fontId="5" fillId="0" borderId="16" xfId="0" applyFont="1" applyBorder="1"/>
    <xf numFmtId="0" fontId="6" fillId="0" borderId="15" xfId="0" applyFont="1" applyBorder="1"/>
    <xf numFmtId="0" fontId="2" fillId="3" borderId="17" xfId="0" applyFont="1" applyFill="1" applyBorder="1"/>
    <xf numFmtId="0" fontId="2" fillId="4" borderId="17" xfId="0" applyFont="1" applyFill="1" applyBorder="1"/>
    <xf numFmtId="0" fontId="6" fillId="0" borderId="18" xfId="0" applyFont="1" applyBorder="1"/>
    <xf numFmtId="0" fontId="2" fillId="4" borderId="19" xfId="0" applyFont="1" applyFill="1" applyBorder="1"/>
    <xf numFmtId="0" fontId="5" fillId="0" borderId="20" xfId="0" applyFont="1" applyBorder="1"/>
    <xf numFmtId="0" fontId="7" fillId="0" borderId="0" xfId="0" applyFont="1"/>
    <xf numFmtId="0" fontId="8" fillId="0" borderId="0" xfId="0" applyFont="1"/>
    <xf numFmtId="0" fontId="4" fillId="0" borderId="0" xfId="0" applyFont="1"/>
    <xf numFmtId="0" fontId="2" fillId="5" borderId="17" xfId="0" applyFont="1" applyFill="1" applyBorder="1"/>
    <xf numFmtId="0" fontId="2" fillId="6" borderId="17" xfId="0" applyFont="1" applyFill="1" applyBorder="1"/>
    <xf numFmtId="0" fontId="2" fillId="7" borderId="17" xfId="0" applyFont="1" applyFill="1" applyBorder="1"/>
    <xf numFmtId="2" fontId="2" fillId="0" borderId="0" xfId="0" applyNumberFormat="1" applyFont="1"/>
    <xf numFmtId="0" fontId="4" fillId="0" borderId="12" xfId="0" applyFont="1" applyBorder="1"/>
    <xf numFmtId="0" fontId="2" fillId="0" borderId="15" xfId="0" applyFont="1" applyBorder="1"/>
    <xf numFmtId="0" fontId="5" fillId="0" borderId="0" xfId="0" applyFont="1"/>
    <xf numFmtId="2" fontId="2" fillId="0" borderId="16" xfId="0" applyNumberFormat="1" applyFont="1" applyBorder="1"/>
    <xf numFmtId="0" fontId="5" fillId="0" borderId="18" xfId="0" applyFont="1" applyBorder="1"/>
    <xf numFmtId="0" fontId="2" fillId="0" borderId="21" xfId="0" applyFont="1" applyBorder="1"/>
    <xf numFmtId="2" fontId="2" fillId="0" borderId="20" xfId="0" applyNumberFormat="1" applyFont="1" applyBorder="1"/>
    <xf numFmtId="0" fontId="9" fillId="0" borderId="12" xfId="0" applyFont="1" applyBorder="1"/>
    <xf numFmtId="0" fontId="5" fillId="9" borderId="22" xfId="0" applyFont="1" applyFill="1" applyBorder="1"/>
    <xf numFmtId="164" fontId="2" fillId="3" borderId="17" xfId="0" applyNumberFormat="1" applyFont="1" applyFill="1" applyBorder="1"/>
    <xf numFmtId="164" fontId="2" fillId="3" borderId="23" xfId="0" applyNumberFormat="1" applyFont="1" applyFill="1" applyBorder="1"/>
    <xf numFmtId="164" fontId="2" fillId="10" borderId="17" xfId="0" applyNumberFormat="1" applyFont="1" applyFill="1" applyBorder="1"/>
    <xf numFmtId="0" fontId="9" fillId="0" borderId="18" xfId="0" applyFont="1" applyBorder="1"/>
    <xf numFmtId="164" fontId="9" fillId="0" borderId="18" xfId="0" applyNumberFormat="1" applyFont="1" applyBorder="1"/>
    <xf numFmtId="164" fontId="2" fillId="0" borderId="0" xfId="0" applyNumberFormat="1" applyFont="1"/>
    <xf numFmtId="0" fontId="10" fillId="10" borderId="0" xfId="0" applyFont="1" applyFill="1" applyAlignment="1">
      <alignment horizontal="left"/>
    </xf>
    <xf numFmtId="0" fontId="9" fillId="0" borderId="15" xfId="0" applyFont="1" applyBorder="1"/>
    <xf numFmtId="0" fontId="2" fillId="9" borderId="23" xfId="0" applyFont="1" applyFill="1" applyBorder="1"/>
    <xf numFmtId="164" fontId="4" fillId="0" borderId="0" xfId="0" applyNumberFormat="1" applyFont="1"/>
    <xf numFmtId="0" fontId="9" fillId="0" borderId="0" xfId="0" applyFont="1"/>
    <xf numFmtId="164" fontId="9" fillId="0" borderId="0" xfId="0" applyNumberFormat="1" applyFont="1"/>
    <xf numFmtId="164" fontId="9" fillId="0" borderId="20" xfId="0" applyNumberFormat="1" applyFont="1" applyBorder="1"/>
    <xf numFmtId="164" fontId="7" fillId="0" borderId="0" xfId="0" applyNumberFormat="1" applyFont="1"/>
    <xf numFmtId="0" fontId="2" fillId="0" borderId="0" xfId="0" applyFont="1" applyAlignment="1">
      <alignment wrapText="1"/>
    </xf>
    <xf numFmtId="165" fontId="2" fillId="3" borderId="17" xfId="0" applyNumberFormat="1" applyFont="1" applyFill="1" applyBorder="1"/>
    <xf numFmtId="165" fontId="2" fillId="0" borderId="0" xfId="0" applyNumberFormat="1" applyFont="1"/>
    <xf numFmtId="165" fontId="2" fillId="10" borderId="17" xfId="0" applyNumberFormat="1" applyFont="1" applyFill="1" applyBorder="1"/>
    <xf numFmtId="0" fontId="2" fillId="8" borderId="17" xfId="0" applyFont="1" applyFill="1" applyBorder="1"/>
    <xf numFmtId="0" fontId="9" fillId="0" borderId="0" xfId="0" applyFont="1" applyAlignment="1">
      <alignment horizontal="center" wrapText="1"/>
    </xf>
    <xf numFmtId="0" fontId="2" fillId="3" borderId="17" xfId="0" applyFont="1" applyFill="1" applyBorder="1" applyAlignment="1">
      <alignment horizontal="center" wrapText="1"/>
    </xf>
    <xf numFmtId="164" fontId="2" fillId="9" borderId="17" xfId="0" applyNumberFormat="1" applyFont="1" applyFill="1" applyBorder="1"/>
    <xf numFmtId="0" fontId="2" fillId="11" borderId="17" xfId="0" applyFont="1" applyFill="1" applyBorder="1"/>
    <xf numFmtId="0" fontId="2" fillId="10" borderId="17" xfId="0" applyFont="1" applyFill="1" applyBorder="1"/>
    <xf numFmtId="2" fontId="2" fillId="10" borderId="17" xfId="0" applyNumberFormat="1" applyFont="1" applyFill="1" applyBorder="1"/>
    <xf numFmtId="0" fontId="11" fillId="10" borderId="0" xfId="0" applyFont="1" applyFill="1" applyAlignment="1">
      <alignment horizontal="left"/>
    </xf>
    <xf numFmtId="0" fontId="9" fillId="0" borderId="14" xfId="0" applyFont="1" applyBorder="1"/>
    <xf numFmtId="164" fontId="2" fillId="0" borderId="16" xfId="0" applyNumberFormat="1" applyFont="1" applyBorder="1"/>
    <xf numFmtId="0" fontId="2" fillId="12" borderId="17" xfId="0" applyFont="1" applyFill="1" applyBorder="1"/>
    <xf numFmtId="165" fontId="2" fillId="7" borderId="17" xfId="0" applyNumberFormat="1" applyFont="1" applyFill="1" applyBorder="1"/>
    <xf numFmtId="0" fontId="4" fillId="0" borderId="18" xfId="0" applyFont="1" applyBorder="1"/>
    <xf numFmtId="2" fontId="4" fillId="0" borderId="20" xfId="0" applyNumberFormat="1" applyFont="1" applyBorder="1"/>
    <xf numFmtId="0" fontId="9" fillId="0" borderId="24" xfId="0" applyFont="1" applyBorder="1"/>
    <xf numFmtId="164" fontId="9" fillId="0" borderId="25" xfId="0" applyNumberFormat="1" applyFont="1" applyBorder="1"/>
    <xf numFmtId="0" fontId="2" fillId="0" borderId="26" xfId="0" applyFont="1" applyBorder="1"/>
    <xf numFmtId="0" fontId="2" fillId="13" borderId="17" xfId="0" applyFont="1" applyFill="1" applyBorder="1"/>
    <xf numFmtId="164" fontId="2" fillId="14" borderId="17" xfId="0" applyNumberFormat="1" applyFont="1" applyFill="1" applyBorder="1"/>
    <xf numFmtId="0" fontId="2" fillId="14" borderId="17" xfId="0" applyFont="1" applyFill="1" applyBorder="1"/>
    <xf numFmtId="166" fontId="2" fillId="14" borderId="17" xfId="0" applyNumberFormat="1" applyFont="1" applyFill="1" applyBorder="1"/>
    <xf numFmtId="165" fontId="2" fillId="14" borderId="17" xfId="0" applyNumberFormat="1" applyFont="1" applyFill="1" applyBorder="1"/>
    <xf numFmtId="167" fontId="2" fillId="10" borderId="17" xfId="0" applyNumberFormat="1" applyFont="1" applyFill="1" applyBorder="1"/>
    <xf numFmtId="167" fontId="2" fillId="14" borderId="17" xfId="0" applyNumberFormat="1" applyFont="1" applyFill="1" applyBorder="1"/>
    <xf numFmtId="2" fontId="9" fillId="0" borderId="0" xfId="0" applyNumberFormat="1" applyFont="1"/>
    <xf numFmtId="168" fontId="2" fillId="0" borderId="0" xfId="0" applyNumberFormat="1" applyFont="1"/>
    <xf numFmtId="0" fontId="2" fillId="10" borderId="19" xfId="0" applyFont="1" applyFill="1" applyBorder="1"/>
    <xf numFmtId="0" fontId="2" fillId="0" borderId="18" xfId="0" applyFont="1" applyBorder="1"/>
    <xf numFmtId="164" fontId="9" fillId="0" borderId="21" xfId="0" applyNumberFormat="1" applyFont="1" applyBorder="1"/>
    <xf numFmtId="0" fontId="4" fillId="0" borderId="0" xfId="0" applyFont="1" applyAlignment="1">
      <alignment horizontal="center"/>
    </xf>
    <xf numFmtId="164" fontId="9" fillId="0" borderId="16" xfId="0" applyNumberFormat="1" applyFont="1" applyBorder="1"/>
    <xf numFmtId="165" fontId="2" fillId="9" borderId="17" xfId="0" applyNumberFormat="1" applyFont="1" applyFill="1" applyBorder="1"/>
    <xf numFmtId="165" fontId="2" fillId="13" borderId="17" xfId="0" applyNumberFormat="1" applyFont="1" applyFill="1" applyBorder="1"/>
    <xf numFmtId="168" fontId="5" fillId="0" borderId="0" xfId="0" applyNumberFormat="1" applyFont="1"/>
    <xf numFmtId="0" fontId="2" fillId="0" borderId="16" xfId="0" applyFont="1" applyBorder="1"/>
    <xf numFmtId="0" fontId="9" fillId="0" borderId="21" xfId="0" applyFont="1" applyBorder="1"/>
    <xf numFmtId="0" fontId="9" fillId="0" borderId="20" xfId="0" applyFont="1" applyBorder="1"/>
    <xf numFmtId="0" fontId="12" fillId="0" borderId="0" xfId="0" applyFont="1"/>
    <xf numFmtId="168" fontId="9" fillId="0" borderId="0" xfId="0" applyNumberFormat="1" applyFont="1"/>
    <xf numFmtId="168" fontId="9" fillId="0" borderId="16" xfId="0" applyNumberFormat="1" applyFont="1" applyBorder="1"/>
    <xf numFmtId="168" fontId="5" fillId="0" borderId="16" xfId="0" applyNumberFormat="1" applyFont="1" applyBorder="1"/>
    <xf numFmtId="0" fontId="12" fillId="0" borderId="21" xfId="0" applyFont="1" applyBorder="1"/>
    <xf numFmtId="168" fontId="9" fillId="0" borderId="21" xfId="0" applyNumberFormat="1" applyFont="1" applyBorder="1"/>
    <xf numFmtId="168" fontId="12" fillId="0" borderId="20" xfId="0" applyNumberFormat="1" applyFont="1" applyBorder="1"/>
    <xf numFmtId="0" fontId="9" fillId="15" borderId="17" xfId="0" applyFont="1" applyFill="1" applyBorder="1"/>
    <xf numFmtId="168" fontId="9" fillId="15" borderId="17" xfId="0" applyNumberFormat="1" applyFont="1" applyFill="1" applyBorder="1"/>
    <xf numFmtId="0" fontId="9" fillId="4" borderId="17" xfId="0" applyFont="1" applyFill="1" applyBorder="1"/>
    <xf numFmtId="168" fontId="9" fillId="4" borderId="17" xfId="0" applyNumberFormat="1" applyFont="1" applyFill="1" applyBorder="1"/>
    <xf numFmtId="168" fontId="2" fillId="4" borderId="17" xfId="0" applyNumberFormat="1" applyFont="1" applyFill="1" applyBorder="1"/>
    <xf numFmtId="0" fontId="9" fillId="16" borderId="17" xfId="0" applyFont="1" applyFill="1" applyBorder="1"/>
    <xf numFmtId="168" fontId="9" fillId="16" borderId="17" xfId="0" applyNumberFormat="1" applyFont="1" applyFill="1" applyBorder="1"/>
    <xf numFmtId="0" fontId="2" fillId="16" borderId="17" xfId="0" applyFont="1" applyFill="1" applyBorder="1"/>
    <xf numFmtId="168" fontId="2" fillId="16" borderId="17" xfId="0" applyNumberFormat="1" applyFont="1" applyFill="1" applyBorder="1"/>
    <xf numFmtId="0" fontId="9" fillId="2" borderId="17" xfId="0" applyFont="1" applyFill="1" applyBorder="1"/>
    <xf numFmtId="168" fontId="9" fillId="2" borderId="17" xfId="0" applyNumberFormat="1" applyFont="1" applyFill="1" applyBorder="1"/>
    <xf numFmtId="0" fontId="4" fillId="9" borderId="27" xfId="0" applyFont="1" applyFill="1" applyBorder="1"/>
    <xf numFmtId="168" fontId="4" fillId="9" borderId="22" xfId="0" applyNumberFormat="1" applyFont="1" applyFill="1" applyBorder="1"/>
    <xf numFmtId="0" fontId="4" fillId="11" borderId="27" xfId="0" applyFont="1" applyFill="1" applyBorder="1"/>
    <xf numFmtId="168" fontId="4" fillId="11" borderId="22" xfId="0" applyNumberFormat="1" applyFont="1" applyFill="1" applyBorder="1"/>
    <xf numFmtId="0" fontId="2" fillId="9" borderId="28" xfId="0" applyFont="1" applyFill="1" applyBorder="1"/>
    <xf numFmtId="168" fontId="2" fillId="9" borderId="23" xfId="0" applyNumberFormat="1" applyFont="1" applyFill="1" applyBorder="1"/>
    <xf numFmtId="0" fontId="2" fillId="11" borderId="28" xfId="0" applyFont="1" applyFill="1" applyBorder="1"/>
    <xf numFmtId="168" fontId="2" fillId="11" borderId="23" xfId="0" applyNumberFormat="1" applyFont="1" applyFill="1" applyBorder="1"/>
    <xf numFmtId="168" fontId="2" fillId="0" borderId="14" xfId="0" applyNumberFormat="1" applyFont="1" applyBorder="1"/>
    <xf numFmtId="0" fontId="4" fillId="14" borderId="27" xfId="0" applyFont="1" applyFill="1" applyBorder="1"/>
    <xf numFmtId="168" fontId="4" fillId="14" borderId="22" xfId="0" applyNumberFormat="1" applyFont="1" applyFill="1" applyBorder="1"/>
    <xf numFmtId="0" fontId="2" fillId="0" borderId="20" xfId="0" applyFont="1" applyBorder="1"/>
    <xf numFmtId="0" fontId="2" fillId="14" borderId="28" xfId="0" applyFont="1" applyFill="1" applyBorder="1"/>
    <xf numFmtId="168" fontId="2" fillId="14" borderId="23" xfId="0" applyNumberFormat="1" applyFont="1" applyFill="1" applyBorder="1"/>
    <xf numFmtId="0" fontId="4" fillId="14" borderId="28" xfId="0" applyFont="1" applyFill="1" applyBorder="1"/>
    <xf numFmtId="168" fontId="4" fillId="14" borderId="23" xfId="0" applyNumberFormat="1" applyFont="1" applyFill="1" applyBorder="1"/>
    <xf numFmtId="0" fontId="9" fillId="9" borderId="28" xfId="0" applyFont="1" applyFill="1" applyBorder="1"/>
    <xf numFmtId="168" fontId="9" fillId="9" borderId="17" xfId="0" applyNumberFormat="1" applyFont="1" applyFill="1" applyBorder="1"/>
    <xf numFmtId="168" fontId="9" fillId="9" borderId="23" xfId="0" applyNumberFormat="1" applyFont="1" applyFill="1" applyBorder="1"/>
    <xf numFmtId="0" fontId="2" fillId="9" borderId="29" xfId="0" applyFont="1" applyFill="1" applyBorder="1"/>
    <xf numFmtId="168" fontId="2" fillId="9" borderId="30" xfId="0" applyNumberFormat="1" applyFont="1" applyFill="1" applyBorder="1"/>
    <xf numFmtId="0" fontId="2" fillId="14" borderId="29" xfId="0" applyFont="1" applyFill="1" applyBorder="1"/>
    <xf numFmtId="168" fontId="2" fillId="14" borderId="30" xfId="0" applyNumberFormat="1" applyFont="1" applyFill="1" applyBorder="1"/>
    <xf numFmtId="168" fontId="2" fillId="0" borderId="16" xfId="0" applyNumberFormat="1" applyFont="1" applyBorder="1"/>
    <xf numFmtId="0" fontId="13" fillId="0" borderId="18" xfId="0" applyFont="1" applyBorder="1"/>
    <xf numFmtId="168" fontId="13" fillId="0" borderId="18" xfId="0" applyNumberFormat="1" applyFont="1" applyBorder="1"/>
    <xf numFmtId="0" fontId="4" fillId="2" borderId="17" xfId="0" applyFont="1" applyFill="1" applyBorder="1"/>
    <xf numFmtId="168" fontId="4" fillId="2" borderId="17" xfId="0" applyNumberFormat="1" applyFont="1" applyFill="1" applyBorder="1"/>
    <xf numFmtId="0" fontId="2" fillId="2" borderId="17" xfId="0" applyFont="1" applyFill="1" applyBorder="1"/>
    <xf numFmtId="168" fontId="2" fillId="2" borderId="17" xfId="0" applyNumberFormat="1" applyFont="1" applyFill="1" applyBorder="1"/>
    <xf numFmtId="165" fontId="2" fillId="0" borderId="13" xfId="0" applyNumberFormat="1" applyFont="1" applyBorder="1"/>
    <xf numFmtId="168" fontId="2" fillId="0" borderId="13" xfId="0" applyNumberFormat="1" applyFont="1" applyBorder="1"/>
    <xf numFmtId="168" fontId="2" fillId="0" borderId="21" xfId="0" applyNumberFormat="1" applyFont="1" applyBorder="1"/>
    <xf numFmtId="0" fontId="4" fillId="17" borderId="17" xfId="0" applyFont="1" applyFill="1" applyBorder="1"/>
    <xf numFmtId="168" fontId="4" fillId="17" borderId="17" xfId="0" applyNumberFormat="1" applyFont="1" applyFill="1" applyBorder="1"/>
    <xf numFmtId="0" fontId="2" fillId="17" borderId="17" xfId="0" applyFont="1" applyFill="1" applyBorder="1"/>
    <xf numFmtId="168" fontId="2" fillId="17" borderId="17" xfId="0" applyNumberFormat="1" applyFont="1" applyFill="1" applyBorder="1"/>
    <xf numFmtId="0" fontId="4" fillId="11" borderId="17" xfId="0" applyFont="1" applyFill="1" applyBorder="1"/>
    <xf numFmtId="168" fontId="4" fillId="11" borderId="17" xfId="0" applyNumberFormat="1" applyFont="1" applyFill="1" applyBorder="1"/>
    <xf numFmtId="0" fontId="2" fillId="18" borderId="17" xfId="0" applyFont="1" applyFill="1" applyBorder="1"/>
    <xf numFmtId="168" fontId="2" fillId="18" borderId="17" xfId="0" applyNumberFormat="1" applyFont="1" applyFill="1" applyBorder="1"/>
    <xf numFmtId="0" fontId="4" fillId="18" borderId="17" xfId="0" applyFont="1" applyFill="1" applyBorder="1"/>
    <xf numFmtId="168" fontId="4" fillId="18" borderId="17" xfId="0" applyNumberFormat="1" applyFont="1" applyFill="1" applyBorder="1"/>
    <xf numFmtId="2" fontId="4" fillId="0" borderId="0" xfId="0" applyNumberFormat="1" applyFont="1"/>
    <xf numFmtId="0" fontId="4" fillId="15" borderId="27" xfId="0" applyFont="1" applyFill="1" applyBorder="1"/>
    <xf numFmtId="168" fontId="4" fillId="15" borderId="22" xfId="0" applyNumberFormat="1" applyFont="1" applyFill="1" applyBorder="1"/>
    <xf numFmtId="0" fontId="2" fillId="15" borderId="28" xfId="0" applyFont="1" applyFill="1" applyBorder="1"/>
    <xf numFmtId="168" fontId="2" fillId="15" borderId="23" xfId="0" applyNumberFormat="1" applyFont="1" applyFill="1" applyBorder="1"/>
    <xf numFmtId="0" fontId="2" fillId="11" borderId="29" xfId="0" applyFont="1" applyFill="1" applyBorder="1"/>
    <xf numFmtId="168" fontId="2" fillId="11" borderId="30" xfId="0" applyNumberFormat="1" applyFont="1" applyFill="1" applyBorder="1"/>
    <xf numFmtId="0" fontId="9" fillId="14" borderId="27" xfId="0" applyFont="1" applyFill="1" applyBorder="1"/>
    <xf numFmtId="0" fontId="2" fillId="15" borderId="29" xfId="0" applyFont="1" applyFill="1" applyBorder="1"/>
    <xf numFmtId="168" fontId="2" fillId="15" borderId="30" xfId="0" applyNumberFormat="1" applyFont="1" applyFill="1" applyBorder="1"/>
    <xf numFmtId="0" fontId="9" fillId="14" borderId="17" xfId="0" applyFont="1" applyFill="1" applyBorder="1"/>
    <xf numFmtId="0" fontId="9" fillId="15" borderId="28" xfId="0" applyFont="1" applyFill="1" applyBorder="1"/>
    <xf numFmtId="168" fontId="9" fillId="15" borderId="23" xfId="0" applyNumberFormat="1" applyFont="1" applyFill="1" applyBorder="1"/>
    <xf numFmtId="0" fontId="4" fillId="10" borderId="31" xfId="0" applyFont="1" applyFill="1" applyBorder="1"/>
    <xf numFmtId="168" fontId="4" fillId="10" borderId="31" xfId="0" applyNumberFormat="1" applyFont="1" applyFill="1" applyBorder="1"/>
    <xf numFmtId="0" fontId="4" fillId="0" borderId="25" xfId="0" applyFont="1" applyBorder="1"/>
    <xf numFmtId="0" fontId="4" fillId="10" borderId="17" xfId="0" applyFont="1" applyFill="1" applyBorder="1"/>
    <xf numFmtId="0" fontId="2" fillId="0" borderId="0" xfId="0" applyFont="1" applyAlignment="1">
      <alignment horizontal="center" wrapText="1"/>
    </xf>
    <xf numFmtId="0" fontId="0" fillId="0" borderId="0" xfId="0"/>
    <xf numFmtId="0" fontId="2" fillId="2" borderId="1" xfId="0" applyFont="1" applyFill="1" applyBorder="1" applyAlignment="1">
      <alignment horizontal="center" wrapText="1"/>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2" fillId="2" borderId="9" xfId="0" applyFont="1" applyFill="1" applyBorder="1" applyAlignment="1">
      <alignment horizontal="center" wrapText="1"/>
    </xf>
    <xf numFmtId="0" fontId="3" fillId="0" borderId="10" xfId="0" applyFont="1" applyBorder="1"/>
    <xf numFmtId="0" fontId="3" fillId="0" borderId="11" xfId="0" applyFont="1" applyBorder="1"/>
    <xf numFmtId="0" fontId="9" fillId="8" borderId="1" xfId="0" applyFont="1" applyFill="1" applyBorder="1" applyAlignment="1">
      <alignment horizontal="center" wrapText="1"/>
    </xf>
    <xf numFmtId="0" fontId="4" fillId="8" borderId="9" xfId="0" applyFont="1" applyFill="1" applyBorder="1" applyAlignment="1">
      <alignment horizontal="center"/>
    </xf>
    <xf numFmtId="0" fontId="2" fillId="8" borderId="1" xfId="0" applyFont="1" applyFill="1" applyBorder="1" applyAlignment="1">
      <alignment horizontal="center" wrapText="1"/>
    </xf>
    <xf numFmtId="0" fontId="4" fillId="0" borderId="0" xfId="0" applyFont="1" applyAlignment="1">
      <alignment horizontal="center" wrapText="1"/>
    </xf>
    <xf numFmtId="0" fontId="12" fillId="8" borderId="1" xfId="0" applyFont="1" applyFill="1" applyBorder="1" applyAlignment="1">
      <alignment horizontal="center" wrapText="1"/>
    </xf>
    <xf numFmtId="0" fontId="5" fillId="8" borderId="1" xfId="0" applyFont="1" applyFill="1" applyBorder="1" applyAlignment="1">
      <alignment horizontal="center" wrapText="1"/>
    </xf>
    <xf numFmtId="0" fontId="4" fillId="0" borderId="21" xfId="0" applyFont="1" applyBorder="1" applyAlignment="1">
      <alignment horizontal="center"/>
    </xf>
    <xf numFmtId="0" fontId="3" fillId="0" borderId="21" xfId="0" applyFont="1" applyBorder="1"/>
    <xf numFmtId="0" fontId="9" fillId="0" borderId="21" xfId="0" applyFont="1" applyBorder="1" applyAlignment="1">
      <alignment horizontal="center"/>
    </xf>
    <xf numFmtId="0" fontId="9" fillId="0" borderId="0" xfId="0" applyFont="1" applyAlignment="1">
      <alignment horizontal="center"/>
    </xf>
    <xf numFmtId="0" fontId="5"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baseColWidth="10" defaultColWidth="14.44140625" defaultRowHeight="15" customHeight="1"/>
  <cols>
    <col min="1" max="9" width="10.6640625" customWidth="1"/>
    <col min="10" max="26" width="9.109375" customWidth="1"/>
  </cols>
  <sheetData>
    <row r="1" spans="1:9" ht="14.25" customHeight="1"/>
    <row r="2" spans="1:9" ht="14.25" customHeight="1">
      <c r="A2" s="1" t="s">
        <v>0</v>
      </c>
    </row>
    <row r="3" spans="1:9" ht="14.25" customHeight="1"/>
    <row r="4" spans="1:9" ht="14.25" customHeight="1"/>
    <row r="5" spans="1:9" ht="72.75" customHeight="1">
      <c r="A5" s="165" t="s">
        <v>1</v>
      </c>
      <c r="B5" s="166"/>
      <c r="C5" s="166"/>
      <c r="D5" s="166"/>
      <c r="E5" s="166"/>
      <c r="F5" s="166"/>
      <c r="G5" s="166"/>
      <c r="H5" s="166"/>
      <c r="I5" s="166"/>
    </row>
    <row r="6" spans="1:9" ht="51.75" customHeight="1">
      <c r="A6" s="165" t="s">
        <v>2</v>
      </c>
      <c r="B6" s="166"/>
      <c r="C6" s="166"/>
      <c r="D6" s="166"/>
      <c r="E6" s="166"/>
      <c r="F6" s="166"/>
      <c r="G6" s="166"/>
      <c r="H6" s="166"/>
      <c r="I6" s="166"/>
    </row>
    <row r="7" spans="1:9" ht="51.75" customHeight="1">
      <c r="A7" s="165" t="s">
        <v>3</v>
      </c>
      <c r="B7" s="166"/>
      <c r="C7" s="166"/>
      <c r="D7" s="166"/>
      <c r="E7" s="166"/>
      <c r="F7" s="166"/>
      <c r="G7" s="166"/>
      <c r="H7" s="166"/>
      <c r="I7" s="166"/>
    </row>
    <row r="8" spans="1:9" ht="54.75" customHeight="1">
      <c r="A8" s="165" t="s">
        <v>4</v>
      </c>
      <c r="B8" s="166"/>
      <c r="C8" s="166"/>
      <c r="D8" s="166"/>
      <c r="E8" s="166"/>
      <c r="F8" s="166"/>
      <c r="G8" s="166"/>
      <c r="H8" s="166"/>
      <c r="I8" s="166"/>
    </row>
    <row r="9" spans="1:9" ht="14.25" customHeight="1">
      <c r="A9" s="3"/>
      <c r="B9" s="3"/>
      <c r="C9" s="3"/>
      <c r="D9" s="3"/>
      <c r="E9" s="3"/>
      <c r="F9" s="3"/>
      <c r="G9" s="3"/>
      <c r="H9" s="3"/>
      <c r="I9" s="3"/>
    </row>
    <row r="10" spans="1:9" ht="14.25" customHeight="1">
      <c r="A10" s="3"/>
      <c r="B10" s="3"/>
      <c r="C10" s="3"/>
      <c r="D10" s="3"/>
      <c r="E10" s="3"/>
      <c r="F10" s="3"/>
      <c r="G10" s="3"/>
      <c r="H10" s="3"/>
      <c r="I10" s="3"/>
    </row>
    <row r="11" spans="1:9" ht="14.25" customHeight="1">
      <c r="A11" s="3"/>
      <c r="B11" s="3"/>
      <c r="C11" s="3"/>
      <c r="D11" s="3"/>
      <c r="E11" s="3"/>
      <c r="F11" s="3"/>
      <c r="G11" s="3"/>
      <c r="H11" s="3"/>
      <c r="I11" s="3"/>
    </row>
    <row r="12" spans="1:9" ht="14.25" customHeight="1">
      <c r="A12" s="3"/>
      <c r="B12" s="3"/>
      <c r="C12" s="3"/>
      <c r="D12" s="3"/>
      <c r="E12" s="3"/>
      <c r="F12" s="3"/>
      <c r="G12" s="3"/>
      <c r="H12" s="3"/>
      <c r="I12" s="3"/>
    </row>
    <row r="13" spans="1:9" ht="14.25" customHeight="1">
      <c r="A13" s="3"/>
      <c r="B13" s="3"/>
      <c r="C13" s="3"/>
      <c r="D13" s="3"/>
      <c r="E13" s="3"/>
      <c r="F13" s="3"/>
      <c r="G13" s="3"/>
      <c r="H13" s="3"/>
      <c r="I13" s="3"/>
    </row>
    <row r="14" spans="1:9" ht="14.25" customHeight="1">
      <c r="A14" s="3"/>
      <c r="B14" s="3"/>
      <c r="C14" s="3"/>
      <c r="D14" s="3"/>
      <c r="E14" s="3"/>
      <c r="F14" s="3"/>
      <c r="G14" s="3"/>
      <c r="H14" s="3"/>
      <c r="I14" s="3"/>
    </row>
    <row r="15" spans="1:9" ht="14.25" customHeight="1">
      <c r="A15" s="3"/>
      <c r="B15" s="3"/>
      <c r="C15" s="3"/>
      <c r="D15" s="3"/>
      <c r="E15" s="3"/>
      <c r="F15" s="3"/>
      <c r="G15" s="3"/>
      <c r="H15" s="3"/>
      <c r="I15" s="3"/>
    </row>
    <row r="16" spans="1:9" ht="14.25" customHeight="1">
      <c r="A16" s="3"/>
      <c r="B16" s="3"/>
      <c r="C16" s="3"/>
      <c r="D16" s="3"/>
      <c r="E16" s="3"/>
      <c r="F16" s="3"/>
      <c r="G16" s="3"/>
      <c r="H16" s="3"/>
      <c r="I16" s="3"/>
    </row>
    <row r="17" spans="1:9" ht="14.25" customHeight="1">
      <c r="A17" s="3"/>
      <c r="B17" s="3"/>
      <c r="C17" s="3"/>
      <c r="D17" s="3"/>
      <c r="E17" s="3"/>
      <c r="F17" s="3"/>
      <c r="G17" s="3"/>
      <c r="H17" s="3"/>
      <c r="I17" s="3"/>
    </row>
    <row r="18" spans="1:9" ht="14.25" customHeight="1">
      <c r="A18" s="3"/>
      <c r="B18" s="3"/>
      <c r="C18" s="3"/>
      <c r="D18" s="3"/>
      <c r="E18" s="3"/>
      <c r="F18" s="3"/>
      <c r="G18" s="3"/>
      <c r="H18" s="3"/>
      <c r="I18" s="3"/>
    </row>
    <row r="19" spans="1:9" ht="14.25" customHeight="1">
      <c r="A19" s="3"/>
      <c r="B19" s="3"/>
      <c r="C19" s="3"/>
      <c r="D19" s="3"/>
      <c r="E19" s="3"/>
      <c r="F19" s="3"/>
      <c r="G19" s="3"/>
      <c r="H19" s="3"/>
      <c r="I19" s="3"/>
    </row>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5:I5"/>
    <mergeCell ref="A6:I6"/>
    <mergeCell ref="A7:I7"/>
    <mergeCell ref="A8:I8"/>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00"/>
  <sheetViews>
    <sheetView workbookViewId="0">
      <selection activeCell="B8" sqref="B8"/>
    </sheetView>
  </sheetViews>
  <sheetFormatPr baseColWidth="10" defaultColWidth="14.44140625" defaultRowHeight="15" customHeight="1"/>
  <cols>
    <col min="1" max="1" width="20.33203125" customWidth="1"/>
    <col min="2" max="2" width="10.6640625" customWidth="1"/>
    <col min="3" max="3" width="14.44140625" customWidth="1"/>
    <col min="4" max="4" width="18.88671875" customWidth="1"/>
    <col min="5" max="8" width="10.6640625" customWidth="1"/>
    <col min="9" max="9" width="22.44140625" customWidth="1"/>
    <col min="10" max="11" width="11.6640625" customWidth="1"/>
    <col min="12" max="12" width="16" customWidth="1"/>
    <col min="13" max="14" width="10.6640625" customWidth="1"/>
    <col min="15" max="26" width="9.109375" customWidth="1"/>
  </cols>
  <sheetData>
    <row r="1" spans="1:14" ht="15" customHeight="1">
      <c r="A1" s="178" t="s">
        <v>196</v>
      </c>
      <c r="B1" s="168"/>
      <c r="C1" s="168"/>
      <c r="D1" s="168"/>
      <c r="E1" s="168"/>
      <c r="F1" s="169"/>
    </row>
    <row r="2" spans="1:14" ht="14.25" customHeight="1">
      <c r="A2" s="170"/>
      <c r="B2" s="166"/>
      <c r="C2" s="166"/>
      <c r="D2" s="166"/>
      <c r="E2" s="166"/>
      <c r="F2" s="171"/>
    </row>
    <row r="3" spans="1:14" ht="14.25" customHeight="1">
      <c r="A3" s="170"/>
      <c r="B3" s="166"/>
      <c r="C3" s="166"/>
      <c r="D3" s="166"/>
      <c r="E3" s="166"/>
      <c r="F3" s="171"/>
    </row>
    <row r="4" spans="1:14" ht="14.25" customHeight="1">
      <c r="A4" s="172"/>
      <c r="B4" s="173"/>
      <c r="C4" s="173"/>
      <c r="D4" s="173"/>
      <c r="E4" s="173"/>
      <c r="F4" s="174"/>
      <c r="K4" s="16" t="s">
        <v>197</v>
      </c>
      <c r="M4" s="22">
        <f>SUM(D24:D35)+SUM(K24:K35)</f>
        <v>2512.8785023243877</v>
      </c>
      <c r="N4" s="16" t="s">
        <v>158</v>
      </c>
    </row>
    <row r="5" spans="1:14" ht="14.25" customHeight="1">
      <c r="K5" s="16" t="s">
        <v>198</v>
      </c>
      <c r="M5" s="22">
        <f>(E23-SUM(D24:D35))+(L23-SUM(K24:K35))</f>
        <v>5487.1214976756128</v>
      </c>
      <c r="N5" s="16" t="s">
        <v>158</v>
      </c>
    </row>
    <row r="6" spans="1:14" ht="14.25" customHeight="1">
      <c r="A6" s="42" t="s">
        <v>195</v>
      </c>
      <c r="D6" s="41">
        <f>'8.FINANCIACIÓN PROPIA'!B16</f>
        <v>4412.2955982905987</v>
      </c>
      <c r="E6" s="16" t="s">
        <v>158</v>
      </c>
      <c r="K6" s="16" t="s">
        <v>199</v>
      </c>
      <c r="M6" s="22">
        <f>SUM(D36:D47)+SUM(K36:K47)</f>
        <v>2663.6512124638516</v>
      </c>
      <c r="N6" s="16" t="s">
        <v>158</v>
      </c>
    </row>
    <row r="7" spans="1:14" ht="14.25" customHeight="1">
      <c r="K7" s="16" t="s">
        <v>200</v>
      </c>
      <c r="M7" s="22">
        <f>E47+L47</f>
        <v>2823.4702852117612</v>
      </c>
      <c r="N7" s="16" t="s">
        <v>158</v>
      </c>
    </row>
    <row r="8" spans="1:14" ht="14.25" customHeight="1">
      <c r="A8" s="25" t="s">
        <v>201</v>
      </c>
      <c r="B8" s="53">
        <v>5000</v>
      </c>
      <c r="C8" s="16" t="s">
        <v>158</v>
      </c>
      <c r="D8" s="16" t="s">
        <v>202</v>
      </c>
    </row>
    <row r="9" spans="1:14" ht="14.25" customHeight="1">
      <c r="A9" s="25" t="s">
        <v>203</v>
      </c>
      <c r="B9" s="53"/>
      <c r="C9" s="16" t="s">
        <v>158</v>
      </c>
    </row>
    <row r="10" spans="1:14" ht="14.25" customHeight="1">
      <c r="A10" s="25" t="s">
        <v>204</v>
      </c>
      <c r="B10" s="53"/>
      <c r="C10" s="16" t="s">
        <v>44</v>
      </c>
      <c r="D10" s="16" t="s">
        <v>205</v>
      </c>
    </row>
    <row r="11" spans="1:14" ht="14.25" customHeight="1"/>
    <row r="12" spans="1:14" ht="14.25" customHeight="1">
      <c r="A12" s="18" t="s">
        <v>206</v>
      </c>
      <c r="I12" s="18" t="s">
        <v>207</v>
      </c>
    </row>
    <row r="13" spans="1:14" ht="14.25" customHeight="1">
      <c r="A13" s="42" t="s">
        <v>208</v>
      </c>
      <c r="B13" s="68">
        <v>8000</v>
      </c>
      <c r="C13" s="16" t="s">
        <v>158</v>
      </c>
      <c r="D13" s="16" t="s">
        <v>209</v>
      </c>
      <c r="I13" s="42" t="s">
        <v>208</v>
      </c>
      <c r="J13" s="69"/>
      <c r="K13" s="16" t="s">
        <v>158</v>
      </c>
      <c r="L13" s="16" t="s">
        <v>209</v>
      </c>
    </row>
    <row r="14" spans="1:14" ht="14.25" customHeight="1">
      <c r="A14" s="42" t="s">
        <v>210</v>
      </c>
      <c r="B14" s="69">
        <v>3</v>
      </c>
      <c r="C14" s="16" t="s">
        <v>211</v>
      </c>
      <c r="D14" s="16" t="s">
        <v>212</v>
      </c>
      <c r="I14" s="42" t="s">
        <v>210</v>
      </c>
      <c r="J14" s="69"/>
      <c r="K14" s="16" t="s">
        <v>211</v>
      </c>
      <c r="L14" s="16" t="s">
        <v>212</v>
      </c>
    </row>
    <row r="15" spans="1:14" ht="14.25" customHeight="1">
      <c r="A15" s="42" t="s">
        <v>213</v>
      </c>
      <c r="B15" s="16">
        <f>B14*12</f>
        <v>36</v>
      </c>
      <c r="C15" s="16" t="s">
        <v>214</v>
      </c>
      <c r="I15" s="42" t="s">
        <v>213</v>
      </c>
      <c r="J15" s="16">
        <f>J14*12</f>
        <v>0</v>
      </c>
      <c r="K15" s="16" t="s">
        <v>214</v>
      </c>
    </row>
    <row r="16" spans="1:14" ht="14.25" customHeight="1">
      <c r="A16" s="42" t="s">
        <v>215</v>
      </c>
      <c r="B16" s="70">
        <v>0.06</v>
      </c>
      <c r="D16" s="16" t="s">
        <v>216</v>
      </c>
      <c r="I16" s="42" t="s">
        <v>215</v>
      </c>
      <c r="J16" s="71"/>
      <c r="L16" s="16" t="s">
        <v>216</v>
      </c>
    </row>
    <row r="17" spans="1:12" ht="14.25" customHeight="1">
      <c r="A17" s="42" t="s">
        <v>217</v>
      </c>
      <c r="B17" s="72">
        <f>((1+B16)^(1/12))-1</f>
        <v>4.8675505653430484E-3</v>
      </c>
      <c r="I17" s="42" t="s">
        <v>217</v>
      </c>
      <c r="J17" s="72">
        <f>((1+J16)^(1/12))-1</f>
        <v>0</v>
      </c>
    </row>
    <row r="18" spans="1:12" ht="14.25" customHeight="1">
      <c r="A18" s="42" t="s">
        <v>218</v>
      </c>
      <c r="B18" s="73"/>
      <c r="D18" s="16" t="s">
        <v>219</v>
      </c>
      <c r="I18" s="42" t="s">
        <v>218</v>
      </c>
      <c r="J18" s="70"/>
      <c r="L18" s="16" t="s">
        <v>219</v>
      </c>
    </row>
    <row r="19" spans="1:12" ht="14.25" customHeight="1">
      <c r="A19" s="42" t="s">
        <v>220</v>
      </c>
      <c r="B19" s="55">
        <f>B13*B18</f>
        <v>0</v>
      </c>
      <c r="C19" s="16" t="s">
        <v>158</v>
      </c>
      <c r="I19" s="42" t="s">
        <v>220</v>
      </c>
      <c r="J19" s="55">
        <f>J13*J18</f>
        <v>0</v>
      </c>
      <c r="K19" s="16" t="s">
        <v>158</v>
      </c>
    </row>
    <row r="20" spans="1:12" ht="14.25" customHeight="1">
      <c r="A20" s="42" t="s">
        <v>221</v>
      </c>
      <c r="B20" s="74">
        <f>(B13*B17*(100%+B17)^B15)/(((100%+B17)^B15)-1)</f>
        <v>242.79979076653504</v>
      </c>
      <c r="C20" s="16" t="s">
        <v>44</v>
      </c>
      <c r="I20" s="42" t="s">
        <v>221</v>
      </c>
      <c r="J20" s="74" t="e">
        <f>(J13*J17*(100%+J17)^J15)/(((100%+J17)^J15)-1)</f>
        <v>#DIV/0!</v>
      </c>
      <c r="K20" s="16" t="s">
        <v>44</v>
      </c>
    </row>
    <row r="21" spans="1:12" ht="14.25" customHeight="1"/>
    <row r="22" spans="1:12" ht="14.25" customHeight="1">
      <c r="B22" s="25" t="s">
        <v>222</v>
      </c>
      <c r="C22" s="25" t="s">
        <v>223</v>
      </c>
      <c r="D22" s="25" t="s">
        <v>224</v>
      </c>
      <c r="E22" s="25" t="s">
        <v>225</v>
      </c>
      <c r="I22" s="25" t="s">
        <v>222</v>
      </c>
      <c r="J22" s="25" t="s">
        <v>223</v>
      </c>
      <c r="K22" s="25" t="s">
        <v>224</v>
      </c>
      <c r="L22" s="25" t="s">
        <v>225</v>
      </c>
    </row>
    <row r="23" spans="1:12" ht="14.25" customHeight="1">
      <c r="A23" s="42">
        <v>0</v>
      </c>
      <c r="B23" s="75">
        <v>0</v>
      </c>
      <c r="C23" s="75">
        <v>0</v>
      </c>
      <c r="D23" s="75">
        <v>0</v>
      </c>
      <c r="E23" s="75">
        <f>B13</f>
        <v>8000</v>
      </c>
      <c r="H23" s="16">
        <v>0</v>
      </c>
      <c r="I23" s="75">
        <v>0</v>
      </c>
      <c r="J23" s="75">
        <v>0</v>
      </c>
      <c r="K23" s="75">
        <v>0</v>
      </c>
      <c r="L23" s="75">
        <f>J13</f>
        <v>0</v>
      </c>
    </row>
    <row r="24" spans="1:12" ht="14.25" customHeight="1">
      <c r="A24" s="16">
        <v>1</v>
      </c>
      <c r="B24" s="75">
        <f t="shared" ref="B24:B113" si="0">IF(A24&lt;=$B$15,$B$20,0)</f>
        <v>242.79979076653504</v>
      </c>
      <c r="C24" s="75">
        <f t="shared" ref="C24:C113" si="1">$B$17*E23</f>
        <v>38.940404522744387</v>
      </c>
      <c r="D24" s="75">
        <f t="shared" ref="D24:D113" si="2">B24-C24</f>
        <v>203.85938624379065</v>
      </c>
      <c r="E24" s="75">
        <f t="shared" ref="E24:E113" si="3">E23-D24</f>
        <v>7796.1406137562089</v>
      </c>
      <c r="H24" s="16">
        <v>1</v>
      </c>
      <c r="I24" s="75">
        <f t="shared" ref="I24:I113" si="4">IF(H24&lt;=$J$15,$J$20,0)</f>
        <v>0</v>
      </c>
      <c r="J24" s="75">
        <f t="shared" ref="J24:J113" si="5">$J$17*L23</f>
        <v>0</v>
      </c>
      <c r="K24" s="75">
        <f t="shared" ref="K24:K113" si="6">I24-J24</f>
        <v>0</v>
      </c>
      <c r="L24" s="75">
        <f t="shared" ref="L24:L113" si="7">L23-K24</f>
        <v>0</v>
      </c>
    </row>
    <row r="25" spans="1:12" ht="14.25" customHeight="1">
      <c r="A25" s="16">
        <v>2</v>
      </c>
      <c r="B25" s="75">
        <f t="shared" si="0"/>
        <v>242.79979076653504</v>
      </c>
      <c r="C25" s="75">
        <f t="shared" si="1"/>
        <v>37.948108651982935</v>
      </c>
      <c r="D25" s="75">
        <f t="shared" si="2"/>
        <v>204.85168211455209</v>
      </c>
      <c r="E25" s="75">
        <f t="shared" si="3"/>
        <v>7591.2889316416567</v>
      </c>
      <c r="H25" s="16">
        <v>2</v>
      </c>
      <c r="I25" s="75">
        <f t="shared" si="4"/>
        <v>0</v>
      </c>
      <c r="J25" s="75">
        <f t="shared" si="5"/>
        <v>0</v>
      </c>
      <c r="K25" s="75">
        <f t="shared" si="6"/>
        <v>0</v>
      </c>
      <c r="L25" s="75">
        <f t="shared" si="7"/>
        <v>0</v>
      </c>
    </row>
    <row r="26" spans="1:12" ht="14.25" customHeight="1">
      <c r="A26" s="16">
        <v>3</v>
      </c>
      <c r="B26" s="75">
        <f t="shared" si="0"/>
        <v>242.79979076653504</v>
      </c>
      <c r="C26" s="75">
        <f t="shared" si="1"/>
        <v>36.950982730894772</v>
      </c>
      <c r="D26" s="75">
        <f t="shared" si="2"/>
        <v>205.84880803564027</v>
      </c>
      <c r="E26" s="75">
        <f t="shared" si="3"/>
        <v>7385.4401236060166</v>
      </c>
      <c r="H26" s="16">
        <v>3</v>
      </c>
      <c r="I26" s="75">
        <f t="shared" si="4"/>
        <v>0</v>
      </c>
      <c r="J26" s="75">
        <f t="shared" si="5"/>
        <v>0</v>
      </c>
      <c r="K26" s="75">
        <f t="shared" si="6"/>
        <v>0</v>
      </c>
      <c r="L26" s="75">
        <f t="shared" si="7"/>
        <v>0</v>
      </c>
    </row>
    <row r="27" spans="1:12" ht="14.25" customHeight="1">
      <c r="A27" s="16">
        <v>4</v>
      </c>
      <c r="B27" s="75">
        <f t="shared" si="0"/>
        <v>242.79979076653504</v>
      </c>
      <c r="C27" s="75">
        <f t="shared" si="1"/>
        <v>35.949003248965703</v>
      </c>
      <c r="D27" s="75">
        <f t="shared" si="2"/>
        <v>206.85078751756933</v>
      </c>
      <c r="E27" s="75">
        <f t="shared" si="3"/>
        <v>7178.5893360884475</v>
      </c>
      <c r="H27" s="16">
        <v>4</v>
      </c>
      <c r="I27" s="75">
        <f t="shared" si="4"/>
        <v>0</v>
      </c>
      <c r="J27" s="75">
        <f t="shared" si="5"/>
        <v>0</v>
      </c>
      <c r="K27" s="75">
        <f t="shared" si="6"/>
        <v>0</v>
      </c>
      <c r="L27" s="75">
        <f t="shared" si="7"/>
        <v>0</v>
      </c>
    </row>
    <row r="28" spans="1:12" ht="14.25" customHeight="1">
      <c r="A28" s="42">
        <v>5</v>
      </c>
      <c r="B28" s="75">
        <f t="shared" si="0"/>
        <v>242.79979076653504</v>
      </c>
      <c r="C28" s="75">
        <f t="shared" si="1"/>
        <v>34.942146581242902</v>
      </c>
      <c r="D28" s="75">
        <f t="shared" si="2"/>
        <v>207.85764418529214</v>
      </c>
      <c r="E28" s="75">
        <f t="shared" si="3"/>
        <v>6970.7316919031555</v>
      </c>
      <c r="H28" s="16">
        <v>5</v>
      </c>
      <c r="I28" s="75">
        <f t="shared" si="4"/>
        <v>0</v>
      </c>
      <c r="J28" s="75">
        <f t="shared" si="5"/>
        <v>0</v>
      </c>
      <c r="K28" s="75">
        <f t="shared" si="6"/>
        <v>0</v>
      </c>
      <c r="L28" s="75">
        <f t="shared" si="7"/>
        <v>0</v>
      </c>
    </row>
    <row r="29" spans="1:12" ht="14.25" customHeight="1">
      <c r="A29" s="16">
        <v>6</v>
      </c>
      <c r="B29" s="75">
        <f t="shared" si="0"/>
        <v>242.79979076653504</v>
      </c>
      <c r="C29" s="75">
        <f t="shared" si="1"/>
        <v>33.93038898777791</v>
      </c>
      <c r="D29" s="75">
        <f t="shared" si="2"/>
        <v>208.86940177875712</v>
      </c>
      <c r="E29" s="75">
        <f t="shared" si="3"/>
        <v>6761.862290124398</v>
      </c>
      <c r="H29" s="16">
        <v>6</v>
      </c>
      <c r="I29" s="75">
        <f t="shared" si="4"/>
        <v>0</v>
      </c>
      <c r="J29" s="75">
        <f t="shared" si="5"/>
        <v>0</v>
      </c>
      <c r="K29" s="75">
        <f t="shared" si="6"/>
        <v>0</v>
      </c>
      <c r="L29" s="75">
        <f t="shared" si="7"/>
        <v>0</v>
      </c>
    </row>
    <row r="30" spans="1:12" ht="14.25" customHeight="1">
      <c r="A30" s="16">
        <v>7</v>
      </c>
      <c r="B30" s="75">
        <f t="shared" si="0"/>
        <v>242.79979076653504</v>
      </c>
      <c r="C30" s="75">
        <f t="shared" si="1"/>
        <v>32.91370661306685</v>
      </c>
      <c r="D30" s="75">
        <f t="shared" si="2"/>
        <v>209.88608415346818</v>
      </c>
      <c r="E30" s="75">
        <f t="shared" si="3"/>
        <v>6551.9762059709301</v>
      </c>
      <c r="H30" s="16">
        <v>7</v>
      </c>
      <c r="I30" s="75">
        <f t="shared" si="4"/>
        <v>0</v>
      </c>
      <c r="J30" s="75">
        <f t="shared" si="5"/>
        <v>0</v>
      </c>
      <c r="K30" s="75">
        <f t="shared" si="6"/>
        <v>0</v>
      </c>
      <c r="L30" s="75">
        <f t="shared" si="7"/>
        <v>0</v>
      </c>
    </row>
    <row r="31" spans="1:12" ht="14.25" customHeight="1">
      <c r="A31" s="16">
        <v>8</v>
      </c>
      <c r="B31" s="75">
        <f t="shared" si="0"/>
        <v>242.79979076653504</v>
      </c>
      <c r="C31" s="75">
        <f t="shared" si="1"/>
        <v>31.892075485488004</v>
      </c>
      <c r="D31" s="75">
        <f t="shared" si="2"/>
        <v>210.90771528104705</v>
      </c>
      <c r="E31" s="75">
        <f t="shared" si="3"/>
        <v>6341.0684906898832</v>
      </c>
      <c r="H31" s="16">
        <v>8</v>
      </c>
      <c r="I31" s="75">
        <f t="shared" si="4"/>
        <v>0</v>
      </c>
      <c r="J31" s="75">
        <f t="shared" si="5"/>
        <v>0</v>
      </c>
      <c r="K31" s="75">
        <f t="shared" si="6"/>
        <v>0</v>
      </c>
      <c r="L31" s="75">
        <f t="shared" si="7"/>
        <v>0</v>
      </c>
    </row>
    <row r="32" spans="1:12" ht="14.25" customHeight="1">
      <c r="A32" s="16">
        <v>9</v>
      </c>
      <c r="B32" s="75">
        <f t="shared" si="0"/>
        <v>242.79979076653504</v>
      </c>
      <c r="C32" s="75">
        <f t="shared" si="1"/>
        <v>30.86547151673653</v>
      </c>
      <c r="D32" s="75">
        <f t="shared" si="2"/>
        <v>211.93431924979851</v>
      </c>
      <c r="E32" s="75">
        <f t="shared" si="3"/>
        <v>6129.1341714400851</v>
      </c>
      <c r="H32" s="16">
        <v>9</v>
      </c>
      <c r="I32" s="75">
        <f t="shared" si="4"/>
        <v>0</v>
      </c>
      <c r="J32" s="75">
        <f t="shared" si="5"/>
        <v>0</v>
      </c>
      <c r="K32" s="75">
        <f t="shared" si="6"/>
        <v>0</v>
      </c>
      <c r="L32" s="75">
        <f t="shared" si="7"/>
        <v>0</v>
      </c>
    </row>
    <row r="33" spans="1:12" ht="14.25" customHeight="1">
      <c r="A33" s="42">
        <v>10</v>
      </c>
      <c r="B33" s="75">
        <f t="shared" si="0"/>
        <v>242.79979076653504</v>
      </c>
      <c r="C33" s="75">
        <f t="shared" si="1"/>
        <v>29.833870501256584</v>
      </c>
      <c r="D33" s="75">
        <f t="shared" si="2"/>
        <v>212.96592026527844</v>
      </c>
      <c r="E33" s="75">
        <f t="shared" si="3"/>
        <v>5916.1682511748068</v>
      </c>
      <c r="H33" s="16">
        <v>10</v>
      </c>
      <c r="I33" s="75">
        <f t="shared" si="4"/>
        <v>0</v>
      </c>
      <c r="J33" s="75">
        <f t="shared" si="5"/>
        <v>0</v>
      </c>
      <c r="K33" s="75">
        <f t="shared" si="6"/>
        <v>0</v>
      </c>
      <c r="L33" s="75">
        <f t="shared" si="7"/>
        <v>0</v>
      </c>
    </row>
    <row r="34" spans="1:12" ht="14.25" customHeight="1">
      <c r="A34" s="16">
        <v>11</v>
      </c>
      <c r="B34" s="75">
        <f t="shared" si="0"/>
        <v>242.79979076653504</v>
      </c>
      <c r="C34" s="75">
        <f t="shared" si="1"/>
        <v>28.797248115670524</v>
      </c>
      <c r="D34" s="75">
        <f t="shared" si="2"/>
        <v>214.00254265086451</v>
      </c>
      <c r="E34" s="75">
        <f t="shared" si="3"/>
        <v>5702.1657085239422</v>
      </c>
      <c r="H34" s="16">
        <v>11</v>
      </c>
      <c r="I34" s="75">
        <f t="shared" si="4"/>
        <v>0</v>
      </c>
      <c r="J34" s="75">
        <f t="shared" si="5"/>
        <v>0</v>
      </c>
      <c r="K34" s="75">
        <f t="shared" si="6"/>
        <v>0</v>
      </c>
      <c r="L34" s="75">
        <f t="shared" si="7"/>
        <v>0</v>
      </c>
    </row>
    <row r="35" spans="1:12" ht="14.25" customHeight="1">
      <c r="A35" s="16">
        <v>12</v>
      </c>
      <c r="B35" s="75">
        <f t="shared" si="0"/>
        <v>242.79979076653504</v>
      </c>
      <c r="C35" s="75">
        <f t="shared" si="1"/>
        <v>27.755579918205459</v>
      </c>
      <c r="D35" s="75">
        <f t="shared" si="2"/>
        <v>215.04421084832958</v>
      </c>
      <c r="E35" s="75">
        <f t="shared" si="3"/>
        <v>5487.1214976756128</v>
      </c>
      <c r="G35" s="42"/>
      <c r="H35" s="16">
        <v>12</v>
      </c>
      <c r="I35" s="75">
        <f t="shared" si="4"/>
        <v>0</v>
      </c>
      <c r="J35" s="75">
        <f t="shared" si="5"/>
        <v>0</v>
      </c>
      <c r="K35" s="75">
        <f t="shared" si="6"/>
        <v>0</v>
      </c>
      <c r="L35" s="75">
        <f t="shared" si="7"/>
        <v>0</v>
      </c>
    </row>
    <row r="36" spans="1:12" ht="14.25" customHeight="1">
      <c r="A36" s="16">
        <v>13</v>
      </c>
      <c r="B36" s="75">
        <f t="shared" si="0"/>
        <v>242.79979076653504</v>
      </c>
      <c r="C36" s="75">
        <f t="shared" si="1"/>
        <v>26.708841348116923</v>
      </c>
      <c r="D36" s="75">
        <f t="shared" si="2"/>
        <v>216.09094941841812</v>
      </c>
      <c r="E36" s="75">
        <f t="shared" si="3"/>
        <v>5271.0305482571948</v>
      </c>
      <c r="G36" s="42"/>
      <c r="H36" s="16">
        <v>13</v>
      </c>
      <c r="I36" s="75">
        <f t="shared" si="4"/>
        <v>0</v>
      </c>
      <c r="J36" s="75">
        <f t="shared" si="5"/>
        <v>0</v>
      </c>
      <c r="K36" s="75">
        <f t="shared" si="6"/>
        <v>0</v>
      </c>
      <c r="L36" s="75">
        <f t="shared" si="7"/>
        <v>0</v>
      </c>
    </row>
    <row r="37" spans="1:12" ht="14.25" customHeight="1">
      <c r="A37" s="16">
        <v>14</v>
      </c>
      <c r="B37" s="75">
        <f t="shared" si="0"/>
        <v>242.79979076653504</v>
      </c>
      <c r="C37" s="75">
        <f t="shared" si="1"/>
        <v>25.657007725109786</v>
      </c>
      <c r="D37" s="75">
        <f t="shared" si="2"/>
        <v>217.14278304142525</v>
      </c>
      <c r="E37" s="75">
        <f t="shared" si="3"/>
        <v>5053.8877652157698</v>
      </c>
      <c r="H37" s="16">
        <v>14</v>
      </c>
      <c r="I37" s="75">
        <f t="shared" si="4"/>
        <v>0</v>
      </c>
      <c r="J37" s="75">
        <f t="shared" si="5"/>
        <v>0</v>
      </c>
      <c r="K37" s="75">
        <f t="shared" si="6"/>
        <v>0</v>
      </c>
      <c r="L37" s="75">
        <f t="shared" si="7"/>
        <v>0</v>
      </c>
    </row>
    <row r="38" spans="1:12" ht="14.25" customHeight="1">
      <c r="A38" s="42">
        <v>15</v>
      </c>
      <c r="B38" s="75">
        <f t="shared" si="0"/>
        <v>242.79979076653504</v>
      </c>
      <c r="C38" s="75">
        <f t="shared" si="1"/>
        <v>24.600054248756337</v>
      </c>
      <c r="D38" s="75">
        <f t="shared" si="2"/>
        <v>218.19973651777872</v>
      </c>
      <c r="E38" s="75">
        <f t="shared" si="3"/>
        <v>4835.6880286979913</v>
      </c>
      <c r="H38" s="16">
        <v>15</v>
      </c>
      <c r="I38" s="75">
        <f t="shared" si="4"/>
        <v>0</v>
      </c>
      <c r="J38" s="75">
        <f t="shared" si="5"/>
        <v>0</v>
      </c>
      <c r="K38" s="75">
        <f t="shared" si="6"/>
        <v>0</v>
      </c>
      <c r="L38" s="75">
        <f t="shared" si="7"/>
        <v>0</v>
      </c>
    </row>
    <row r="39" spans="1:12" ht="14.25" customHeight="1">
      <c r="A39" s="16">
        <v>16</v>
      </c>
      <c r="B39" s="75">
        <f t="shared" si="0"/>
        <v>242.79979076653504</v>
      </c>
      <c r="C39" s="75">
        <f t="shared" si="1"/>
        <v>23.537955997911517</v>
      </c>
      <c r="D39" s="75">
        <f t="shared" si="2"/>
        <v>219.26183476862352</v>
      </c>
      <c r="E39" s="75">
        <f t="shared" si="3"/>
        <v>4616.4261939293674</v>
      </c>
      <c r="H39" s="16">
        <v>16</v>
      </c>
      <c r="I39" s="75">
        <f t="shared" si="4"/>
        <v>0</v>
      </c>
      <c r="J39" s="75">
        <f t="shared" si="5"/>
        <v>0</v>
      </c>
      <c r="K39" s="75">
        <f t="shared" si="6"/>
        <v>0</v>
      </c>
      <c r="L39" s="75">
        <f t="shared" si="7"/>
        <v>0</v>
      </c>
    </row>
    <row r="40" spans="1:12" ht="14.25" customHeight="1">
      <c r="A40" s="16">
        <v>17</v>
      </c>
      <c r="B40" s="75">
        <f t="shared" si="0"/>
        <v>242.79979076653504</v>
      </c>
      <c r="C40" s="75">
        <f t="shared" si="1"/>
        <v>22.470687930125351</v>
      </c>
      <c r="D40" s="75">
        <f t="shared" si="2"/>
        <v>220.32910283640967</v>
      </c>
      <c r="E40" s="75">
        <f t="shared" si="3"/>
        <v>4396.0970910929573</v>
      </c>
      <c r="H40" s="16">
        <v>17</v>
      </c>
      <c r="I40" s="75">
        <f t="shared" si="4"/>
        <v>0</v>
      </c>
      <c r="J40" s="75">
        <f t="shared" si="5"/>
        <v>0</v>
      </c>
      <c r="K40" s="75">
        <f t="shared" si="6"/>
        <v>0</v>
      </c>
      <c r="L40" s="75">
        <f t="shared" si="7"/>
        <v>0</v>
      </c>
    </row>
    <row r="41" spans="1:12" ht="14.25" customHeight="1">
      <c r="A41" s="16">
        <v>18</v>
      </c>
      <c r="B41" s="75">
        <f t="shared" si="0"/>
        <v>242.79979076653504</v>
      </c>
      <c r="C41" s="75">
        <f t="shared" si="1"/>
        <v>21.398224881052453</v>
      </c>
      <c r="D41" s="75">
        <f t="shared" si="2"/>
        <v>221.4015658854826</v>
      </c>
      <c r="E41" s="75">
        <f t="shared" si="3"/>
        <v>4174.6955252074749</v>
      </c>
      <c r="H41" s="16">
        <v>18</v>
      </c>
      <c r="I41" s="75">
        <f t="shared" si="4"/>
        <v>0</v>
      </c>
      <c r="J41" s="75">
        <f t="shared" si="5"/>
        <v>0</v>
      </c>
      <c r="K41" s="75">
        <f t="shared" si="6"/>
        <v>0</v>
      </c>
      <c r="L41" s="75">
        <f t="shared" si="7"/>
        <v>0</v>
      </c>
    </row>
    <row r="42" spans="1:12" ht="14.25" customHeight="1">
      <c r="A42" s="16">
        <v>19</v>
      </c>
      <c r="B42" s="75">
        <f t="shared" si="0"/>
        <v>242.79979076653504</v>
      </c>
      <c r="C42" s="75">
        <f t="shared" si="1"/>
        <v>20.32054156385874</v>
      </c>
      <c r="D42" s="75">
        <f t="shared" si="2"/>
        <v>222.4792492026763</v>
      </c>
      <c r="E42" s="75">
        <f t="shared" si="3"/>
        <v>3952.2162760047986</v>
      </c>
      <c r="H42" s="16">
        <v>19</v>
      </c>
      <c r="I42" s="75">
        <f t="shared" si="4"/>
        <v>0</v>
      </c>
      <c r="J42" s="75">
        <f t="shared" si="5"/>
        <v>0</v>
      </c>
      <c r="K42" s="75">
        <f t="shared" si="6"/>
        <v>0</v>
      </c>
      <c r="L42" s="75">
        <f t="shared" si="7"/>
        <v>0</v>
      </c>
    </row>
    <row r="43" spans="1:12" ht="14.25" customHeight="1">
      <c r="A43" s="42">
        <v>20</v>
      </c>
      <c r="B43" s="75">
        <f t="shared" si="0"/>
        <v>242.79979076653504</v>
      </c>
      <c r="C43" s="75">
        <f t="shared" si="1"/>
        <v>19.237612568625156</v>
      </c>
      <c r="D43" s="75">
        <f t="shared" si="2"/>
        <v>223.56217819790987</v>
      </c>
      <c r="E43" s="75">
        <f t="shared" si="3"/>
        <v>3728.6540978068888</v>
      </c>
      <c r="H43" s="16">
        <v>20</v>
      </c>
      <c r="I43" s="75">
        <f t="shared" si="4"/>
        <v>0</v>
      </c>
      <c r="J43" s="75">
        <f t="shared" si="5"/>
        <v>0</v>
      </c>
      <c r="K43" s="75">
        <f t="shared" si="6"/>
        <v>0</v>
      </c>
      <c r="L43" s="75">
        <f t="shared" si="7"/>
        <v>0</v>
      </c>
    </row>
    <row r="44" spans="1:12" ht="14.25" customHeight="1">
      <c r="A44" s="16">
        <v>21</v>
      </c>
      <c r="B44" s="75">
        <f t="shared" si="0"/>
        <v>242.79979076653504</v>
      </c>
      <c r="C44" s="75">
        <f t="shared" si="1"/>
        <v>18.149412361748595</v>
      </c>
      <c r="D44" s="75">
        <f t="shared" si="2"/>
        <v>224.65037840478644</v>
      </c>
      <c r="E44" s="75">
        <f t="shared" si="3"/>
        <v>3504.0037194021024</v>
      </c>
      <c r="H44" s="16">
        <v>21</v>
      </c>
      <c r="I44" s="75">
        <f t="shared" si="4"/>
        <v>0</v>
      </c>
      <c r="J44" s="75">
        <f t="shared" si="5"/>
        <v>0</v>
      </c>
      <c r="K44" s="75">
        <f t="shared" si="6"/>
        <v>0</v>
      </c>
      <c r="L44" s="75">
        <f t="shared" si="7"/>
        <v>0</v>
      </c>
    </row>
    <row r="45" spans="1:12" ht="14.25" customHeight="1">
      <c r="A45" s="16">
        <v>22</v>
      </c>
      <c r="B45" s="75">
        <f t="shared" si="0"/>
        <v>242.79979076653504</v>
      </c>
      <c r="C45" s="75">
        <f t="shared" si="1"/>
        <v>17.055915285339847</v>
      </c>
      <c r="D45" s="75">
        <f t="shared" si="2"/>
        <v>225.7438754811952</v>
      </c>
      <c r="E45" s="75">
        <f t="shared" si="3"/>
        <v>3278.2598439209073</v>
      </c>
      <c r="H45" s="16">
        <v>22</v>
      </c>
      <c r="I45" s="75">
        <f t="shared" si="4"/>
        <v>0</v>
      </c>
      <c r="J45" s="75">
        <f t="shared" si="5"/>
        <v>0</v>
      </c>
      <c r="K45" s="75">
        <f t="shared" si="6"/>
        <v>0</v>
      </c>
      <c r="L45" s="75">
        <f t="shared" si="7"/>
        <v>0</v>
      </c>
    </row>
    <row r="46" spans="1:12" ht="14.25" customHeight="1">
      <c r="A46" s="16">
        <v>23</v>
      </c>
      <c r="B46" s="75">
        <f t="shared" si="0"/>
        <v>242.79979076653504</v>
      </c>
      <c r="C46" s="75">
        <f t="shared" si="1"/>
        <v>15.957095556618626</v>
      </c>
      <c r="D46" s="75">
        <f t="shared" si="2"/>
        <v>226.84269520991643</v>
      </c>
      <c r="E46" s="75">
        <f t="shared" si="3"/>
        <v>3051.4171487109907</v>
      </c>
      <c r="H46" s="16">
        <v>23</v>
      </c>
      <c r="I46" s="75">
        <f t="shared" si="4"/>
        <v>0</v>
      </c>
      <c r="J46" s="75">
        <f t="shared" si="5"/>
        <v>0</v>
      </c>
      <c r="K46" s="75">
        <f t="shared" si="6"/>
        <v>0</v>
      </c>
      <c r="L46" s="75">
        <f t="shared" si="7"/>
        <v>0</v>
      </c>
    </row>
    <row r="47" spans="1:12" ht="14.25" customHeight="1">
      <c r="A47" s="16">
        <v>24</v>
      </c>
      <c r="B47" s="75">
        <f t="shared" si="0"/>
        <v>242.79979076653504</v>
      </c>
      <c r="C47" s="75">
        <f t="shared" si="1"/>
        <v>14.852927267305656</v>
      </c>
      <c r="D47" s="75">
        <f t="shared" si="2"/>
        <v>227.94686349922938</v>
      </c>
      <c r="E47" s="75">
        <f t="shared" si="3"/>
        <v>2823.4702852117612</v>
      </c>
      <c r="H47" s="16">
        <v>24</v>
      </c>
      <c r="I47" s="75">
        <f t="shared" si="4"/>
        <v>0</v>
      </c>
      <c r="J47" s="75">
        <f t="shared" si="5"/>
        <v>0</v>
      </c>
      <c r="K47" s="75">
        <f t="shared" si="6"/>
        <v>0</v>
      </c>
      <c r="L47" s="75">
        <f t="shared" si="7"/>
        <v>0</v>
      </c>
    </row>
    <row r="48" spans="1:12" ht="14.25" customHeight="1">
      <c r="A48" s="42">
        <v>25</v>
      </c>
      <c r="B48" s="75">
        <f t="shared" si="0"/>
        <v>242.79979076653504</v>
      </c>
      <c r="C48" s="75">
        <f t="shared" si="1"/>
        <v>13.743384383011806</v>
      </c>
      <c r="D48" s="75">
        <f t="shared" si="2"/>
        <v>229.05640638352324</v>
      </c>
      <c r="E48" s="75">
        <f t="shared" si="3"/>
        <v>2594.413878828238</v>
      </c>
      <c r="H48" s="16">
        <v>25</v>
      </c>
      <c r="I48" s="75">
        <f t="shared" si="4"/>
        <v>0</v>
      </c>
      <c r="J48" s="75">
        <f t="shared" si="5"/>
        <v>0</v>
      </c>
      <c r="K48" s="75">
        <f t="shared" si="6"/>
        <v>0</v>
      </c>
      <c r="L48" s="75">
        <f t="shared" si="7"/>
        <v>0</v>
      </c>
    </row>
    <row r="49" spans="1:12" ht="14.25" customHeight="1">
      <c r="A49" s="16">
        <v>26</v>
      </c>
      <c r="B49" s="75">
        <f t="shared" si="0"/>
        <v>242.79979076653504</v>
      </c>
      <c r="C49" s="75">
        <f t="shared" si="1"/>
        <v>12.628440742624241</v>
      </c>
      <c r="D49" s="75">
        <f t="shared" si="2"/>
        <v>230.1713500239108</v>
      </c>
      <c r="E49" s="75">
        <f t="shared" si="3"/>
        <v>2364.2425288043273</v>
      </c>
      <c r="H49" s="16">
        <v>26</v>
      </c>
      <c r="I49" s="75">
        <f t="shared" si="4"/>
        <v>0</v>
      </c>
      <c r="J49" s="75">
        <f t="shared" si="5"/>
        <v>0</v>
      </c>
      <c r="K49" s="75">
        <f t="shared" si="6"/>
        <v>0</v>
      </c>
      <c r="L49" s="75">
        <f t="shared" si="7"/>
        <v>0</v>
      </c>
    </row>
    <row r="50" spans="1:12" ht="14.25" customHeight="1">
      <c r="A50" s="16">
        <v>27</v>
      </c>
      <c r="B50" s="75">
        <f t="shared" si="0"/>
        <v>242.79979076653504</v>
      </c>
      <c r="C50" s="75">
        <f t="shared" si="1"/>
        <v>11.508070057689581</v>
      </c>
      <c r="D50" s="75">
        <f t="shared" si="2"/>
        <v>231.29172070884545</v>
      </c>
      <c r="E50" s="75">
        <f t="shared" si="3"/>
        <v>2132.950808095482</v>
      </c>
      <c r="H50" s="16">
        <v>27</v>
      </c>
      <c r="I50" s="75">
        <f t="shared" si="4"/>
        <v>0</v>
      </c>
      <c r="J50" s="75">
        <f t="shared" si="5"/>
        <v>0</v>
      </c>
      <c r="K50" s="75">
        <f t="shared" si="6"/>
        <v>0</v>
      </c>
      <c r="L50" s="75">
        <f t="shared" si="7"/>
        <v>0</v>
      </c>
    </row>
    <row r="51" spans="1:12" ht="14.25" customHeight="1">
      <c r="A51" s="16">
        <v>28</v>
      </c>
      <c r="B51" s="75">
        <f t="shared" si="0"/>
        <v>242.79979076653504</v>
      </c>
      <c r="C51" s="75">
        <f t="shared" si="1"/>
        <v>10.382245911794076</v>
      </c>
      <c r="D51" s="75">
        <f t="shared" si="2"/>
        <v>232.41754485474095</v>
      </c>
      <c r="E51" s="75">
        <f t="shared" si="3"/>
        <v>1900.533263240741</v>
      </c>
      <c r="H51" s="16">
        <v>28</v>
      </c>
      <c r="I51" s="75">
        <f t="shared" si="4"/>
        <v>0</v>
      </c>
      <c r="J51" s="75">
        <f t="shared" si="5"/>
        <v>0</v>
      </c>
      <c r="K51" s="75">
        <f t="shared" si="6"/>
        <v>0</v>
      </c>
      <c r="L51" s="75">
        <f t="shared" si="7"/>
        <v>0</v>
      </c>
    </row>
    <row r="52" spans="1:12" ht="14.25" customHeight="1">
      <c r="A52" s="16">
        <v>29</v>
      </c>
      <c r="B52" s="75">
        <f t="shared" si="0"/>
        <v>242.79979076653504</v>
      </c>
      <c r="C52" s="75">
        <f t="shared" si="1"/>
        <v>9.2509417599407371</v>
      </c>
      <c r="D52" s="75">
        <f t="shared" si="2"/>
        <v>233.54884900659431</v>
      </c>
      <c r="E52" s="75">
        <f t="shared" si="3"/>
        <v>1666.9844142341467</v>
      </c>
      <c r="H52" s="16">
        <v>29</v>
      </c>
      <c r="I52" s="75">
        <f t="shared" si="4"/>
        <v>0</v>
      </c>
      <c r="J52" s="75">
        <f t="shared" si="5"/>
        <v>0</v>
      </c>
      <c r="K52" s="75">
        <f t="shared" si="6"/>
        <v>0</v>
      </c>
      <c r="L52" s="75">
        <f t="shared" si="7"/>
        <v>0</v>
      </c>
    </row>
    <row r="53" spans="1:12" ht="14.25" customHeight="1">
      <c r="A53" s="42">
        <v>30</v>
      </c>
      <c r="B53" s="75">
        <f t="shared" si="0"/>
        <v>242.79979076653504</v>
      </c>
      <c r="C53" s="75">
        <f t="shared" si="1"/>
        <v>8.1141309279234708</v>
      </c>
      <c r="D53" s="75">
        <f t="shared" si="2"/>
        <v>234.68565983861157</v>
      </c>
      <c r="E53" s="75">
        <f t="shared" si="3"/>
        <v>1432.2987543955351</v>
      </c>
      <c r="H53" s="16">
        <v>30</v>
      </c>
      <c r="I53" s="75">
        <f t="shared" si="4"/>
        <v>0</v>
      </c>
      <c r="J53" s="75">
        <f t="shared" si="5"/>
        <v>0</v>
      </c>
      <c r="K53" s="75">
        <f t="shared" si="6"/>
        <v>0</v>
      </c>
      <c r="L53" s="75">
        <f t="shared" si="7"/>
        <v>0</v>
      </c>
    </row>
    <row r="54" spans="1:12" ht="14.25" customHeight="1">
      <c r="A54" s="16">
        <v>31</v>
      </c>
      <c r="B54" s="75">
        <f t="shared" si="0"/>
        <v>242.79979076653504</v>
      </c>
      <c r="C54" s="75">
        <f t="shared" si="1"/>
        <v>6.9717866116981311</v>
      </c>
      <c r="D54" s="75">
        <f t="shared" si="2"/>
        <v>235.82800415483692</v>
      </c>
      <c r="E54" s="75">
        <f t="shared" si="3"/>
        <v>1196.4707502406982</v>
      </c>
      <c r="H54" s="16">
        <v>31</v>
      </c>
      <c r="I54" s="75">
        <f t="shared" si="4"/>
        <v>0</v>
      </c>
      <c r="J54" s="75">
        <f t="shared" si="5"/>
        <v>0</v>
      </c>
      <c r="K54" s="75">
        <f t="shared" si="6"/>
        <v>0</v>
      </c>
      <c r="L54" s="75">
        <f t="shared" si="7"/>
        <v>0</v>
      </c>
    </row>
    <row r="55" spans="1:12" ht="14.25" customHeight="1">
      <c r="A55" s="16">
        <v>32</v>
      </c>
      <c r="B55" s="75">
        <f t="shared" si="0"/>
        <v>242.79979076653504</v>
      </c>
      <c r="C55" s="75">
        <f t="shared" si="1"/>
        <v>5.8238818767505318</v>
      </c>
      <c r="D55" s="75">
        <f t="shared" si="2"/>
        <v>236.97590888978451</v>
      </c>
      <c r="E55" s="75">
        <f t="shared" si="3"/>
        <v>959.4948413509137</v>
      </c>
      <c r="H55" s="16">
        <v>32</v>
      </c>
      <c r="I55" s="75">
        <f t="shared" si="4"/>
        <v>0</v>
      </c>
      <c r="J55" s="75">
        <f t="shared" si="5"/>
        <v>0</v>
      </c>
      <c r="K55" s="75">
        <f t="shared" si="6"/>
        <v>0</v>
      </c>
      <c r="L55" s="75">
        <f t="shared" si="7"/>
        <v>0</v>
      </c>
    </row>
    <row r="56" spans="1:12" ht="14.25" customHeight="1">
      <c r="A56" s="16">
        <v>33</v>
      </c>
      <c r="B56" s="75">
        <f t="shared" si="0"/>
        <v>242.79979076653504</v>
      </c>
      <c r="C56" s="75">
        <f t="shared" si="1"/>
        <v>4.6703896574613788</v>
      </c>
      <c r="D56" s="75">
        <f t="shared" si="2"/>
        <v>238.12940110907365</v>
      </c>
      <c r="E56" s="75">
        <f t="shared" si="3"/>
        <v>721.36544024184002</v>
      </c>
      <c r="H56" s="16">
        <v>33</v>
      </c>
      <c r="I56" s="75">
        <f t="shared" si="4"/>
        <v>0</v>
      </c>
      <c r="J56" s="75">
        <f t="shared" si="5"/>
        <v>0</v>
      </c>
      <c r="K56" s="75">
        <f t="shared" si="6"/>
        <v>0</v>
      </c>
      <c r="L56" s="75">
        <f t="shared" si="7"/>
        <v>0</v>
      </c>
    </row>
    <row r="57" spans="1:12" ht="14.25" customHeight="1">
      <c r="A57" s="16">
        <v>34</v>
      </c>
      <c r="B57" s="75">
        <f t="shared" si="0"/>
        <v>242.79979076653504</v>
      </c>
      <c r="C57" s="75">
        <f t="shared" si="1"/>
        <v>3.5112827564681055</v>
      </c>
      <c r="D57" s="75">
        <f t="shared" si="2"/>
        <v>239.28850801006695</v>
      </c>
      <c r="E57" s="75">
        <f t="shared" si="3"/>
        <v>482.07693223177307</v>
      </c>
      <c r="H57" s="16">
        <v>34</v>
      </c>
      <c r="I57" s="75">
        <f t="shared" si="4"/>
        <v>0</v>
      </c>
      <c r="J57" s="75">
        <f t="shared" si="5"/>
        <v>0</v>
      </c>
      <c r="K57" s="75">
        <f t="shared" si="6"/>
        <v>0</v>
      </c>
      <c r="L57" s="75">
        <f t="shared" si="7"/>
        <v>0</v>
      </c>
    </row>
    <row r="58" spans="1:12" ht="14.25" customHeight="1">
      <c r="A58" s="42">
        <v>35</v>
      </c>
      <c r="B58" s="75">
        <f t="shared" si="0"/>
        <v>242.79979076653504</v>
      </c>
      <c r="C58" s="75">
        <f t="shared" si="1"/>
        <v>2.3465338440236096</v>
      </c>
      <c r="D58" s="75">
        <f t="shared" si="2"/>
        <v>240.45325692251143</v>
      </c>
      <c r="E58" s="75">
        <f t="shared" si="3"/>
        <v>241.62367530926164</v>
      </c>
      <c r="H58" s="16">
        <v>35</v>
      </c>
      <c r="I58" s="75">
        <f t="shared" si="4"/>
        <v>0</v>
      </c>
      <c r="J58" s="75">
        <f t="shared" si="5"/>
        <v>0</v>
      </c>
      <c r="K58" s="75">
        <f t="shared" si="6"/>
        <v>0</v>
      </c>
      <c r="L58" s="75">
        <f t="shared" si="7"/>
        <v>0</v>
      </c>
    </row>
    <row r="59" spans="1:12" ht="14.25" customHeight="1">
      <c r="A59" s="16">
        <v>36</v>
      </c>
      <c r="B59" s="75">
        <f t="shared" si="0"/>
        <v>242.79979076653504</v>
      </c>
      <c r="C59" s="75">
        <f t="shared" si="1"/>
        <v>1.1761154573518617</v>
      </c>
      <c r="D59" s="75">
        <f t="shared" si="2"/>
        <v>241.62367530918317</v>
      </c>
      <c r="E59" s="75">
        <f t="shared" si="3"/>
        <v>7.8472339737345465E-11</v>
      </c>
      <c r="H59" s="16">
        <v>36</v>
      </c>
      <c r="I59" s="75">
        <f t="shared" si="4"/>
        <v>0</v>
      </c>
      <c r="J59" s="75">
        <f t="shared" si="5"/>
        <v>0</v>
      </c>
      <c r="K59" s="75">
        <f t="shared" si="6"/>
        <v>0</v>
      </c>
      <c r="L59" s="75">
        <f t="shared" si="7"/>
        <v>0</v>
      </c>
    </row>
    <row r="60" spans="1:12" ht="14.25" customHeight="1">
      <c r="A60" s="16">
        <v>37</v>
      </c>
      <c r="B60" s="75">
        <f t="shared" si="0"/>
        <v>0</v>
      </c>
      <c r="C60" s="75">
        <f t="shared" si="1"/>
        <v>3.8196808165230769E-13</v>
      </c>
      <c r="D60" s="75">
        <f t="shared" si="2"/>
        <v>-3.8196808165230769E-13</v>
      </c>
      <c r="E60" s="75">
        <f t="shared" si="3"/>
        <v>7.885430781899777E-11</v>
      </c>
      <c r="H60" s="16">
        <v>37</v>
      </c>
      <c r="I60" s="75">
        <f t="shared" si="4"/>
        <v>0</v>
      </c>
      <c r="J60" s="75">
        <f t="shared" si="5"/>
        <v>0</v>
      </c>
      <c r="K60" s="75">
        <f t="shared" si="6"/>
        <v>0</v>
      </c>
      <c r="L60" s="75">
        <f t="shared" si="7"/>
        <v>0</v>
      </c>
    </row>
    <row r="61" spans="1:12" ht="14.25" customHeight="1">
      <c r="A61" s="16">
        <v>38</v>
      </c>
      <c r="B61" s="75">
        <f t="shared" si="0"/>
        <v>0</v>
      </c>
      <c r="C61" s="75">
        <f t="shared" si="1"/>
        <v>3.8382733060409737E-13</v>
      </c>
      <c r="D61" s="75">
        <f t="shared" si="2"/>
        <v>-3.8382733060409737E-13</v>
      </c>
      <c r="E61" s="75">
        <f t="shared" si="3"/>
        <v>7.9238135149601861E-11</v>
      </c>
      <c r="H61" s="16">
        <v>38</v>
      </c>
      <c r="I61" s="75">
        <f t="shared" si="4"/>
        <v>0</v>
      </c>
      <c r="J61" s="75">
        <f t="shared" si="5"/>
        <v>0</v>
      </c>
      <c r="K61" s="75">
        <f t="shared" si="6"/>
        <v>0</v>
      </c>
      <c r="L61" s="75">
        <f t="shared" si="7"/>
        <v>0</v>
      </c>
    </row>
    <row r="62" spans="1:12" ht="14.25" customHeight="1">
      <c r="A62" s="16">
        <v>39</v>
      </c>
      <c r="B62" s="75">
        <f t="shared" si="0"/>
        <v>0</v>
      </c>
      <c r="C62" s="75">
        <f t="shared" si="1"/>
        <v>3.856956295441734E-13</v>
      </c>
      <c r="D62" s="75">
        <f t="shared" si="2"/>
        <v>-3.856956295441734E-13</v>
      </c>
      <c r="E62" s="75">
        <f t="shared" si="3"/>
        <v>7.9623830779146034E-11</v>
      </c>
      <c r="H62" s="16">
        <v>39</v>
      </c>
      <c r="I62" s="75">
        <f t="shared" si="4"/>
        <v>0</v>
      </c>
      <c r="J62" s="75">
        <f t="shared" si="5"/>
        <v>0</v>
      </c>
      <c r="K62" s="75">
        <f t="shared" si="6"/>
        <v>0</v>
      </c>
      <c r="L62" s="75">
        <f t="shared" si="7"/>
        <v>0</v>
      </c>
    </row>
    <row r="63" spans="1:12" ht="14.25" customHeight="1">
      <c r="A63" s="42">
        <v>40</v>
      </c>
      <c r="B63" s="75">
        <f t="shared" si="0"/>
        <v>0</v>
      </c>
      <c r="C63" s="75">
        <f t="shared" si="1"/>
        <v>3.8757302252381147E-13</v>
      </c>
      <c r="D63" s="75">
        <f t="shared" si="2"/>
        <v>-3.8757302252381147E-13</v>
      </c>
      <c r="E63" s="75">
        <f t="shared" si="3"/>
        <v>8.0011403801669851E-11</v>
      </c>
      <c r="H63" s="16">
        <v>40</v>
      </c>
      <c r="I63" s="75">
        <f t="shared" si="4"/>
        <v>0</v>
      </c>
      <c r="J63" s="75">
        <f t="shared" si="5"/>
        <v>0</v>
      </c>
      <c r="K63" s="75">
        <f t="shared" si="6"/>
        <v>0</v>
      </c>
      <c r="L63" s="75">
        <f t="shared" si="7"/>
        <v>0</v>
      </c>
    </row>
    <row r="64" spans="1:12" ht="14.25" customHeight="1">
      <c r="A64" s="16">
        <v>41</v>
      </c>
      <c r="B64" s="75">
        <f t="shared" si="0"/>
        <v>0</v>
      </c>
      <c r="C64" s="75">
        <f t="shared" si="1"/>
        <v>3.8945955380870904E-13</v>
      </c>
      <c r="D64" s="75">
        <f t="shared" si="2"/>
        <v>-3.8945955380870904E-13</v>
      </c>
      <c r="E64" s="75">
        <f t="shared" si="3"/>
        <v>8.0400863355478557E-11</v>
      </c>
      <c r="H64" s="16">
        <v>41</v>
      </c>
      <c r="I64" s="75">
        <f t="shared" si="4"/>
        <v>0</v>
      </c>
      <c r="J64" s="75">
        <f t="shared" si="5"/>
        <v>0</v>
      </c>
      <c r="K64" s="75">
        <f t="shared" si="6"/>
        <v>0</v>
      </c>
      <c r="L64" s="75">
        <f t="shared" si="7"/>
        <v>0</v>
      </c>
    </row>
    <row r="65" spans="1:12" ht="14.25" customHeight="1">
      <c r="A65" s="16">
        <v>42</v>
      </c>
      <c r="B65" s="75">
        <f t="shared" si="0"/>
        <v>0</v>
      </c>
      <c r="C65" s="75">
        <f t="shared" si="1"/>
        <v>3.9135526788002885E-13</v>
      </c>
      <c r="D65" s="75">
        <f t="shared" si="2"/>
        <v>-3.9135526788002885E-13</v>
      </c>
      <c r="E65" s="75">
        <f t="shared" si="3"/>
        <v>8.079221862335858E-11</v>
      </c>
      <c r="H65" s="16">
        <v>42</v>
      </c>
      <c r="I65" s="75">
        <f t="shared" si="4"/>
        <v>0</v>
      </c>
      <c r="J65" s="75">
        <f t="shared" si="5"/>
        <v>0</v>
      </c>
      <c r="K65" s="75">
        <f t="shared" si="6"/>
        <v>0</v>
      </c>
      <c r="L65" s="75">
        <f t="shared" si="7"/>
        <v>0</v>
      </c>
    </row>
    <row r="66" spans="1:12" ht="14.25" customHeight="1">
      <c r="A66" s="16">
        <v>43</v>
      </c>
      <c r="B66" s="75">
        <f t="shared" si="0"/>
        <v>0</v>
      </c>
      <c r="C66" s="75">
        <f t="shared" si="1"/>
        <v>3.932602094354482E-13</v>
      </c>
      <c r="D66" s="75">
        <f t="shared" si="2"/>
        <v>-3.932602094354482E-13</v>
      </c>
      <c r="E66" s="75">
        <f t="shared" si="3"/>
        <v>8.1185478832794022E-11</v>
      </c>
      <c r="H66" s="16">
        <v>43</v>
      </c>
      <c r="I66" s="75">
        <f t="shared" si="4"/>
        <v>0</v>
      </c>
      <c r="J66" s="75">
        <f t="shared" si="5"/>
        <v>0</v>
      </c>
      <c r="K66" s="75">
        <f t="shared" si="6"/>
        <v>0</v>
      </c>
      <c r="L66" s="75">
        <f t="shared" si="7"/>
        <v>0</v>
      </c>
    </row>
    <row r="67" spans="1:12" ht="14.25" customHeight="1">
      <c r="A67" s="16">
        <v>44</v>
      </c>
      <c r="B67" s="75">
        <f t="shared" si="0"/>
        <v>0</v>
      </c>
      <c r="C67" s="75">
        <f t="shared" si="1"/>
        <v>3.9517442339021262E-13</v>
      </c>
      <c r="D67" s="75">
        <f t="shared" si="2"/>
        <v>-3.9517442339021262E-13</v>
      </c>
      <c r="E67" s="75">
        <f t="shared" si="3"/>
        <v>8.1580653256184233E-11</v>
      </c>
      <c r="H67" s="16">
        <v>44</v>
      </c>
      <c r="I67" s="75">
        <f t="shared" si="4"/>
        <v>0</v>
      </c>
      <c r="J67" s="75">
        <f t="shared" si="5"/>
        <v>0</v>
      </c>
      <c r="K67" s="75">
        <f t="shared" si="6"/>
        <v>0</v>
      </c>
      <c r="L67" s="75">
        <f t="shared" si="7"/>
        <v>0</v>
      </c>
    </row>
    <row r="68" spans="1:12" ht="14.25" customHeight="1">
      <c r="A68" s="42">
        <v>45</v>
      </c>
      <c r="B68" s="75">
        <f t="shared" si="0"/>
        <v>0</v>
      </c>
      <c r="C68" s="75">
        <f t="shared" si="1"/>
        <v>3.9709795487819479E-13</v>
      </c>
      <c r="D68" s="75">
        <f t="shared" si="2"/>
        <v>-3.9709795487819479E-13</v>
      </c>
      <c r="E68" s="75">
        <f t="shared" si="3"/>
        <v>8.1977751211062434E-11</v>
      </c>
      <c r="H68" s="16">
        <v>45</v>
      </c>
      <c r="I68" s="75">
        <f t="shared" si="4"/>
        <v>0</v>
      </c>
      <c r="J68" s="75">
        <f t="shared" si="5"/>
        <v>0</v>
      </c>
      <c r="K68" s="75">
        <f t="shared" si="6"/>
        <v>0</v>
      </c>
      <c r="L68" s="75">
        <f t="shared" si="7"/>
        <v>0</v>
      </c>
    </row>
    <row r="69" spans="1:12" ht="14.25" customHeight="1">
      <c r="A69" s="16">
        <v>46</v>
      </c>
      <c r="B69" s="75">
        <f t="shared" si="0"/>
        <v>0</v>
      </c>
      <c r="C69" s="75">
        <f t="shared" si="1"/>
        <v>3.9903084925295872E-13</v>
      </c>
      <c r="D69" s="75">
        <f t="shared" si="2"/>
        <v>-3.9903084925295872E-13</v>
      </c>
      <c r="E69" s="75">
        <f t="shared" si="3"/>
        <v>8.2376782060315394E-11</v>
      </c>
      <c r="H69" s="16">
        <v>46</v>
      </c>
      <c r="I69" s="75">
        <f t="shared" si="4"/>
        <v>0</v>
      </c>
      <c r="J69" s="75">
        <f t="shared" si="5"/>
        <v>0</v>
      </c>
      <c r="K69" s="75">
        <f t="shared" si="6"/>
        <v>0</v>
      </c>
      <c r="L69" s="75">
        <f t="shared" si="7"/>
        <v>0</v>
      </c>
    </row>
    <row r="70" spans="1:12" ht="14.25" customHeight="1">
      <c r="A70" s="16">
        <v>47</v>
      </c>
      <c r="B70" s="75">
        <f t="shared" si="0"/>
        <v>0</v>
      </c>
      <c r="C70" s="75">
        <f t="shared" si="1"/>
        <v>4.0097315208882927E-13</v>
      </c>
      <c r="D70" s="75">
        <f t="shared" si="2"/>
        <v>-4.0097315208882927E-13</v>
      </c>
      <c r="E70" s="75">
        <f t="shared" si="3"/>
        <v>8.2777755212404227E-11</v>
      </c>
      <c r="H70" s="16">
        <v>47</v>
      </c>
      <c r="I70" s="75">
        <f t="shared" si="4"/>
        <v>0</v>
      </c>
      <c r="J70" s="75">
        <f t="shared" si="5"/>
        <v>0</v>
      </c>
      <c r="K70" s="75">
        <f t="shared" si="6"/>
        <v>0</v>
      </c>
      <c r="L70" s="75">
        <f t="shared" si="7"/>
        <v>0</v>
      </c>
    </row>
    <row r="71" spans="1:12" ht="14.25" customHeight="1">
      <c r="A71" s="16">
        <v>48</v>
      </c>
      <c r="B71" s="75">
        <f t="shared" si="0"/>
        <v>0</v>
      </c>
      <c r="C71" s="75">
        <f t="shared" si="1"/>
        <v>4.0292490918196669E-13</v>
      </c>
      <c r="D71" s="75">
        <f t="shared" si="2"/>
        <v>-4.0292490918196669E-13</v>
      </c>
      <c r="E71" s="75">
        <f t="shared" si="3"/>
        <v>8.3180680121586188E-11</v>
      </c>
      <c r="H71" s="16">
        <v>48</v>
      </c>
      <c r="I71" s="75">
        <f t="shared" si="4"/>
        <v>0</v>
      </c>
      <c r="J71" s="75">
        <f t="shared" si="5"/>
        <v>0</v>
      </c>
      <c r="K71" s="75">
        <f t="shared" si="6"/>
        <v>0</v>
      </c>
      <c r="L71" s="75">
        <f t="shared" si="7"/>
        <v>0</v>
      </c>
    </row>
    <row r="72" spans="1:12" ht="14.25" customHeight="1">
      <c r="A72" s="16">
        <v>49</v>
      </c>
      <c r="B72" s="75">
        <f t="shared" si="0"/>
        <v>0</v>
      </c>
      <c r="C72" s="75">
        <f t="shared" si="1"/>
        <v>4.0488616655144614E-13</v>
      </c>
      <c r="D72" s="75">
        <f t="shared" si="2"/>
        <v>-4.0488616655144614E-13</v>
      </c>
      <c r="E72" s="75">
        <f t="shared" si="3"/>
        <v>8.3585566288137631E-11</v>
      </c>
      <c r="H72" s="16">
        <v>49</v>
      </c>
      <c r="I72" s="75">
        <f t="shared" si="4"/>
        <v>0</v>
      </c>
      <c r="J72" s="75">
        <f t="shared" si="5"/>
        <v>0</v>
      </c>
      <c r="K72" s="75">
        <f t="shared" si="6"/>
        <v>0</v>
      </c>
      <c r="L72" s="75">
        <f t="shared" si="7"/>
        <v>0</v>
      </c>
    </row>
    <row r="73" spans="1:12" ht="14.25" customHeight="1">
      <c r="A73" s="42">
        <v>50</v>
      </c>
      <c r="B73" s="75">
        <f t="shared" si="0"/>
        <v>0</v>
      </c>
      <c r="C73" s="75">
        <f t="shared" si="1"/>
        <v>4.0685697044034319E-13</v>
      </c>
      <c r="D73" s="75">
        <f t="shared" si="2"/>
        <v>-4.0685697044034319E-13</v>
      </c>
      <c r="E73" s="75">
        <f t="shared" si="3"/>
        <v>8.3992423258577973E-11</v>
      </c>
      <c r="H73" s="16">
        <v>50</v>
      </c>
      <c r="I73" s="75">
        <f t="shared" si="4"/>
        <v>0</v>
      </c>
      <c r="J73" s="75">
        <f t="shared" si="5"/>
        <v>0</v>
      </c>
      <c r="K73" s="75">
        <f t="shared" si="6"/>
        <v>0</v>
      </c>
      <c r="L73" s="75">
        <f t="shared" si="7"/>
        <v>0</v>
      </c>
    </row>
    <row r="74" spans="1:12" ht="14.25" customHeight="1">
      <c r="A74" s="16">
        <v>51</v>
      </c>
      <c r="B74" s="75">
        <f t="shared" si="0"/>
        <v>0</v>
      </c>
      <c r="C74" s="75">
        <f t="shared" si="1"/>
        <v>4.0883736731682381E-13</v>
      </c>
      <c r="D74" s="75">
        <f t="shared" si="2"/>
        <v>-4.0883736731682381E-13</v>
      </c>
      <c r="E74" s="75">
        <f t="shared" si="3"/>
        <v>8.4401260625894797E-11</v>
      </c>
      <c r="H74" s="16">
        <v>51</v>
      </c>
      <c r="I74" s="75">
        <f t="shared" si="4"/>
        <v>0</v>
      </c>
      <c r="J74" s="75">
        <f t="shared" si="5"/>
        <v>0</v>
      </c>
      <c r="K74" s="75">
        <f t="shared" si="6"/>
        <v>0</v>
      </c>
      <c r="L74" s="75">
        <f t="shared" si="7"/>
        <v>0</v>
      </c>
    </row>
    <row r="75" spans="1:12" ht="14.25" customHeight="1">
      <c r="A75" s="16">
        <v>52</v>
      </c>
      <c r="B75" s="75">
        <f t="shared" si="0"/>
        <v>0</v>
      </c>
      <c r="C75" s="75">
        <f t="shared" si="1"/>
        <v>4.1082740387524019E-13</v>
      </c>
      <c r="D75" s="75">
        <f t="shared" si="2"/>
        <v>-4.1082740387524019E-13</v>
      </c>
      <c r="E75" s="75">
        <f t="shared" si="3"/>
        <v>8.4812088029770042E-11</v>
      </c>
      <c r="H75" s="16">
        <v>52</v>
      </c>
      <c r="I75" s="75">
        <f t="shared" si="4"/>
        <v>0</v>
      </c>
      <c r="J75" s="75">
        <f t="shared" si="5"/>
        <v>0</v>
      </c>
      <c r="K75" s="75">
        <f t="shared" si="6"/>
        <v>0</v>
      </c>
      <c r="L75" s="75">
        <f t="shared" si="7"/>
        <v>0</v>
      </c>
    </row>
    <row r="76" spans="1:12" ht="14.25" customHeight="1">
      <c r="A76" s="16">
        <v>53</v>
      </c>
      <c r="B76" s="75">
        <f t="shared" si="0"/>
        <v>0</v>
      </c>
      <c r="C76" s="75">
        <f t="shared" si="1"/>
        <v>4.1282712703723157E-13</v>
      </c>
      <c r="D76" s="75">
        <f t="shared" si="2"/>
        <v>-4.1282712703723157E-13</v>
      </c>
      <c r="E76" s="75">
        <f t="shared" si="3"/>
        <v>8.5224915156807276E-11</v>
      </c>
      <c r="H76" s="16">
        <v>53</v>
      </c>
      <c r="I76" s="75">
        <f t="shared" si="4"/>
        <v>0</v>
      </c>
      <c r="J76" s="75">
        <f t="shared" si="5"/>
        <v>0</v>
      </c>
      <c r="K76" s="75">
        <f t="shared" si="6"/>
        <v>0</v>
      </c>
      <c r="L76" s="75">
        <f t="shared" si="7"/>
        <v>0</v>
      </c>
    </row>
    <row r="77" spans="1:12" ht="14.25" customHeight="1">
      <c r="A77" s="16">
        <v>54</v>
      </c>
      <c r="B77" s="75">
        <f t="shared" si="0"/>
        <v>0</v>
      </c>
      <c r="C77" s="75">
        <f t="shared" si="1"/>
        <v>4.148365839528306E-13</v>
      </c>
      <c r="D77" s="75">
        <f t="shared" si="2"/>
        <v>-4.148365839528306E-13</v>
      </c>
      <c r="E77" s="75">
        <f t="shared" si="3"/>
        <v>8.563975174076011E-11</v>
      </c>
      <c r="H77" s="16">
        <v>54</v>
      </c>
      <c r="I77" s="75">
        <f t="shared" si="4"/>
        <v>0</v>
      </c>
      <c r="J77" s="75">
        <f t="shared" si="5"/>
        <v>0</v>
      </c>
      <c r="K77" s="75">
        <f t="shared" si="6"/>
        <v>0</v>
      </c>
      <c r="L77" s="75">
        <f t="shared" si="7"/>
        <v>0</v>
      </c>
    </row>
    <row r="78" spans="1:12" ht="14.25" customHeight="1">
      <c r="A78" s="42">
        <v>55</v>
      </c>
      <c r="B78" s="75">
        <f t="shared" si="0"/>
        <v>0</v>
      </c>
      <c r="C78" s="75">
        <f t="shared" si="1"/>
        <v>4.1685582200157521E-13</v>
      </c>
      <c r="D78" s="75">
        <f t="shared" si="2"/>
        <v>-4.1685582200157521E-13</v>
      </c>
      <c r="E78" s="75">
        <f t="shared" si="3"/>
        <v>8.605660756276169E-11</v>
      </c>
      <c r="H78" s="16">
        <v>55</v>
      </c>
      <c r="I78" s="75">
        <f t="shared" si="4"/>
        <v>0</v>
      </c>
      <c r="J78" s="75">
        <f t="shared" si="5"/>
        <v>0</v>
      </c>
      <c r="K78" s="75">
        <f t="shared" si="6"/>
        <v>0</v>
      </c>
      <c r="L78" s="75">
        <f t="shared" si="7"/>
        <v>0</v>
      </c>
    </row>
    <row r="79" spans="1:12" ht="14.25" customHeight="1">
      <c r="A79" s="42">
        <v>56</v>
      </c>
      <c r="B79" s="75">
        <f t="shared" si="0"/>
        <v>0</v>
      </c>
      <c r="C79" s="75">
        <f t="shared" si="1"/>
        <v>4.1888488879362553E-13</v>
      </c>
      <c r="D79" s="75">
        <f t="shared" si="2"/>
        <v>-4.1888488879362553E-13</v>
      </c>
      <c r="E79" s="75">
        <f t="shared" si="3"/>
        <v>8.6475492451555315E-11</v>
      </c>
      <c r="H79" s="16">
        <v>56</v>
      </c>
      <c r="I79" s="75">
        <f t="shared" si="4"/>
        <v>0</v>
      </c>
      <c r="J79" s="75">
        <f t="shared" si="5"/>
        <v>0</v>
      </c>
      <c r="K79" s="75">
        <f t="shared" si="6"/>
        <v>0</v>
      </c>
      <c r="L79" s="75">
        <f t="shared" si="7"/>
        <v>0</v>
      </c>
    </row>
    <row r="80" spans="1:12" ht="14.25" customHeight="1">
      <c r="A80" s="16">
        <v>57</v>
      </c>
      <c r="B80" s="75">
        <f t="shared" si="0"/>
        <v>0</v>
      </c>
      <c r="C80" s="75">
        <f t="shared" si="1"/>
        <v>4.2092383217088661E-13</v>
      </c>
      <c r="D80" s="75">
        <f t="shared" si="2"/>
        <v>-4.2092383217088661E-13</v>
      </c>
      <c r="E80" s="75">
        <f t="shared" si="3"/>
        <v>8.6896416283726198E-11</v>
      </c>
      <c r="H80" s="16">
        <v>57</v>
      </c>
      <c r="I80" s="75">
        <f t="shared" si="4"/>
        <v>0</v>
      </c>
      <c r="J80" s="75">
        <f t="shared" si="5"/>
        <v>0</v>
      </c>
      <c r="K80" s="75">
        <f t="shared" si="6"/>
        <v>0</v>
      </c>
      <c r="L80" s="75">
        <f t="shared" si="7"/>
        <v>0</v>
      </c>
    </row>
    <row r="81" spans="1:12" ht="14.25" customHeight="1">
      <c r="A81" s="16">
        <v>58</v>
      </c>
      <c r="B81" s="75">
        <f t="shared" si="0"/>
        <v>0</v>
      </c>
      <c r="C81" s="75">
        <f t="shared" si="1"/>
        <v>4.2297270020813635E-13</v>
      </c>
      <c r="D81" s="75">
        <f t="shared" si="2"/>
        <v>-4.2297270020813635E-13</v>
      </c>
      <c r="E81" s="75">
        <f t="shared" si="3"/>
        <v>8.7319388983934335E-11</v>
      </c>
      <c r="H81" s="16">
        <v>58</v>
      </c>
      <c r="I81" s="75">
        <f t="shared" si="4"/>
        <v>0</v>
      </c>
      <c r="J81" s="75">
        <f t="shared" si="5"/>
        <v>0</v>
      </c>
      <c r="K81" s="75">
        <f t="shared" si="6"/>
        <v>0</v>
      </c>
      <c r="L81" s="75">
        <f t="shared" si="7"/>
        <v>0</v>
      </c>
    </row>
    <row r="82" spans="1:12" ht="14.25" customHeight="1">
      <c r="A82" s="16">
        <v>59</v>
      </c>
      <c r="B82" s="75">
        <f t="shared" si="0"/>
        <v>0</v>
      </c>
      <c r="C82" s="75">
        <f t="shared" si="1"/>
        <v>4.2503154121415913E-13</v>
      </c>
      <c r="D82" s="75">
        <f t="shared" si="2"/>
        <v>-4.2503154121415913E-13</v>
      </c>
      <c r="E82" s="75">
        <f t="shared" si="3"/>
        <v>8.7744420525148489E-11</v>
      </c>
      <c r="H82" s="16">
        <v>59</v>
      </c>
      <c r="I82" s="75">
        <f t="shared" si="4"/>
        <v>0</v>
      </c>
      <c r="J82" s="75">
        <f t="shared" si="5"/>
        <v>0</v>
      </c>
      <c r="K82" s="75">
        <f t="shared" si="6"/>
        <v>0</v>
      </c>
      <c r="L82" s="75">
        <f t="shared" si="7"/>
        <v>0</v>
      </c>
    </row>
    <row r="83" spans="1:12" ht="14.25" customHeight="1">
      <c r="A83" s="16">
        <v>60</v>
      </c>
      <c r="B83" s="75">
        <f t="shared" si="0"/>
        <v>0</v>
      </c>
      <c r="C83" s="75">
        <f t="shared" si="1"/>
        <v>4.271004037328847E-13</v>
      </c>
      <c r="D83" s="75">
        <f t="shared" si="2"/>
        <v>-4.271004037328847E-13</v>
      </c>
      <c r="E83" s="75">
        <f t="shared" si="3"/>
        <v>8.8171520928881373E-11</v>
      </c>
      <c r="H83" s="16">
        <v>60</v>
      </c>
      <c r="I83" s="75">
        <f t="shared" si="4"/>
        <v>0</v>
      </c>
      <c r="J83" s="75">
        <f t="shared" si="5"/>
        <v>0</v>
      </c>
      <c r="K83" s="75">
        <f t="shared" si="6"/>
        <v>0</v>
      </c>
      <c r="L83" s="75">
        <f t="shared" si="7"/>
        <v>0</v>
      </c>
    </row>
    <row r="84" spans="1:12" ht="14.25" customHeight="1">
      <c r="A84" s="42">
        <v>61</v>
      </c>
      <c r="B84" s="75">
        <f t="shared" si="0"/>
        <v>0</v>
      </c>
      <c r="C84" s="75">
        <f t="shared" si="1"/>
        <v>4.2917933654453295E-13</v>
      </c>
      <c r="D84" s="75">
        <f t="shared" si="2"/>
        <v>-4.2917933654453295E-13</v>
      </c>
      <c r="E84" s="75">
        <f t="shared" si="3"/>
        <v>8.8600700265425909E-11</v>
      </c>
      <c r="H84" s="16">
        <v>61</v>
      </c>
      <c r="I84" s="75">
        <f t="shared" si="4"/>
        <v>0</v>
      </c>
      <c r="J84" s="75">
        <f t="shared" si="5"/>
        <v>0</v>
      </c>
      <c r="K84" s="75">
        <f t="shared" si="6"/>
        <v>0</v>
      </c>
      <c r="L84" s="75">
        <f t="shared" si="7"/>
        <v>0</v>
      </c>
    </row>
    <row r="85" spans="1:12" ht="14.25" customHeight="1">
      <c r="A85" s="42">
        <v>62</v>
      </c>
      <c r="B85" s="75">
        <f t="shared" si="0"/>
        <v>0</v>
      </c>
      <c r="C85" s="75">
        <f t="shared" si="1"/>
        <v>4.3126838866676387E-13</v>
      </c>
      <c r="D85" s="75">
        <f t="shared" si="2"/>
        <v>-4.3126838866676387E-13</v>
      </c>
      <c r="E85" s="75">
        <f t="shared" si="3"/>
        <v>8.9031968654092669E-11</v>
      </c>
      <c r="H85" s="16">
        <v>62</v>
      </c>
      <c r="I85" s="75">
        <f t="shared" si="4"/>
        <v>0</v>
      </c>
      <c r="J85" s="75">
        <f t="shared" si="5"/>
        <v>0</v>
      </c>
      <c r="K85" s="75">
        <f t="shared" si="6"/>
        <v>0</v>
      </c>
      <c r="L85" s="75">
        <f t="shared" si="7"/>
        <v>0</v>
      </c>
    </row>
    <row r="86" spans="1:12" ht="14.25" customHeight="1">
      <c r="A86" s="16">
        <v>63</v>
      </c>
      <c r="B86" s="75">
        <f t="shared" si="0"/>
        <v>0</v>
      </c>
      <c r="C86" s="75">
        <f t="shared" si="1"/>
        <v>4.3336760935583331E-13</v>
      </c>
      <c r="D86" s="75">
        <f t="shared" si="2"/>
        <v>-4.3336760935583331E-13</v>
      </c>
      <c r="E86" s="75">
        <f t="shared" si="3"/>
        <v>8.9465336263448506E-11</v>
      </c>
      <c r="H86" s="16">
        <v>63</v>
      </c>
      <c r="I86" s="75">
        <f t="shared" si="4"/>
        <v>0</v>
      </c>
      <c r="J86" s="75">
        <f t="shared" si="5"/>
        <v>0</v>
      </c>
      <c r="K86" s="75">
        <f t="shared" si="6"/>
        <v>0</v>
      </c>
      <c r="L86" s="75">
        <f t="shared" si="7"/>
        <v>0</v>
      </c>
    </row>
    <row r="87" spans="1:12" ht="14.25" customHeight="1">
      <c r="A87" s="16">
        <v>64</v>
      </c>
      <c r="B87" s="75">
        <f t="shared" si="0"/>
        <v>0</v>
      </c>
      <c r="C87" s="75">
        <f t="shared" si="1"/>
        <v>4.3547704810775472E-13</v>
      </c>
      <c r="D87" s="75">
        <f t="shared" si="2"/>
        <v>-4.3547704810775472E-13</v>
      </c>
      <c r="E87" s="75">
        <f t="shared" si="3"/>
        <v>8.9900813311556264E-11</v>
      </c>
      <c r="H87" s="16">
        <v>64</v>
      </c>
      <c r="I87" s="75">
        <f t="shared" si="4"/>
        <v>0</v>
      </c>
      <c r="J87" s="75">
        <f t="shared" si="5"/>
        <v>0</v>
      </c>
      <c r="K87" s="75">
        <f t="shared" si="6"/>
        <v>0</v>
      </c>
      <c r="L87" s="75">
        <f t="shared" si="7"/>
        <v>0</v>
      </c>
    </row>
    <row r="88" spans="1:12" ht="14.25" customHeight="1">
      <c r="A88" s="16">
        <v>65</v>
      </c>
      <c r="B88" s="75">
        <f t="shared" si="0"/>
        <v>0</v>
      </c>
      <c r="C88" s="75">
        <f t="shared" si="1"/>
        <v>4.3759675465946554E-13</v>
      </c>
      <c r="D88" s="75">
        <f t="shared" si="2"/>
        <v>-4.3759675465946554E-13</v>
      </c>
      <c r="E88" s="75">
        <f t="shared" si="3"/>
        <v>9.0338410066215725E-11</v>
      </c>
      <c r="H88" s="16">
        <v>65</v>
      </c>
      <c r="I88" s="75">
        <f t="shared" si="4"/>
        <v>0</v>
      </c>
      <c r="J88" s="75">
        <f t="shared" si="5"/>
        <v>0</v>
      </c>
      <c r="K88" s="75">
        <f t="shared" si="6"/>
        <v>0</v>
      </c>
      <c r="L88" s="75">
        <f t="shared" si="7"/>
        <v>0</v>
      </c>
    </row>
    <row r="89" spans="1:12" ht="14.25" customHeight="1">
      <c r="A89" s="16">
        <v>66</v>
      </c>
      <c r="B89" s="75">
        <f t="shared" si="0"/>
        <v>0</v>
      </c>
      <c r="C89" s="75">
        <f t="shared" si="1"/>
        <v>4.3972677899000049E-13</v>
      </c>
      <c r="D89" s="75">
        <f t="shared" si="2"/>
        <v>-4.3972677899000049E-13</v>
      </c>
      <c r="E89" s="75">
        <f t="shared" si="3"/>
        <v>9.0778136845205724E-11</v>
      </c>
      <c r="H89" s="16">
        <v>66</v>
      </c>
      <c r="I89" s="75">
        <f t="shared" si="4"/>
        <v>0</v>
      </c>
      <c r="J89" s="75">
        <f t="shared" si="5"/>
        <v>0</v>
      </c>
      <c r="K89" s="75">
        <f t="shared" si="6"/>
        <v>0</v>
      </c>
      <c r="L89" s="75">
        <f t="shared" si="7"/>
        <v>0</v>
      </c>
    </row>
    <row r="90" spans="1:12" ht="14.25" customHeight="1">
      <c r="A90" s="42">
        <v>67</v>
      </c>
      <c r="B90" s="75">
        <f t="shared" si="0"/>
        <v>0</v>
      </c>
      <c r="C90" s="75">
        <f t="shared" si="1"/>
        <v>4.4186717132166973E-13</v>
      </c>
      <c r="D90" s="75">
        <f t="shared" si="2"/>
        <v>-4.4186717132166973E-13</v>
      </c>
      <c r="E90" s="75">
        <f t="shared" si="3"/>
        <v>9.122000401652739E-11</v>
      </c>
      <c r="H90" s="16">
        <v>67</v>
      </c>
      <c r="I90" s="75">
        <f t="shared" si="4"/>
        <v>0</v>
      </c>
      <c r="J90" s="75">
        <f t="shared" si="5"/>
        <v>0</v>
      </c>
      <c r="K90" s="75">
        <f t="shared" si="6"/>
        <v>0</v>
      </c>
      <c r="L90" s="75">
        <f t="shared" si="7"/>
        <v>0</v>
      </c>
    </row>
    <row r="91" spans="1:12" ht="14.25" customHeight="1">
      <c r="A91" s="42">
        <v>68</v>
      </c>
      <c r="B91" s="75">
        <f t="shared" si="0"/>
        <v>0</v>
      </c>
      <c r="C91" s="75">
        <f t="shared" si="1"/>
        <v>4.4401798212124303E-13</v>
      </c>
      <c r="D91" s="75">
        <f t="shared" si="2"/>
        <v>-4.4401798212124303E-13</v>
      </c>
      <c r="E91" s="75">
        <f t="shared" si="3"/>
        <v>9.1664021998648637E-11</v>
      </c>
      <c r="H91" s="16">
        <v>68</v>
      </c>
      <c r="I91" s="75">
        <f t="shared" si="4"/>
        <v>0</v>
      </c>
      <c r="J91" s="75">
        <f t="shared" si="5"/>
        <v>0</v>
      </c>
      <c r="K91" s="75">
        <f t="shared" si="6"/>
        <v>0</v>
      </c>
      <c r="L91" s="75">
        <f t="shared" si="7"/>
        <v>0</v>
      </c>
    </row>
    <row r="92" spans="1:12" ht="14.25" customHeight="1">
      <c r="A92" s="16">
        <v>69</v>
      </c>
      <c r="B92" s="75">
        <f t="shared" si="0"/>
        <v>0</v>
      </c>
      <c r="C92" s="75">
        <f t="shared" si="1"/>
        <v>4.4617926210113981E-13</v>
      </c>
      <c r="D92" s="75">
        <f t="shared" si="2"/>
        <v>-4.4617926210113981E-13</v>
      </c>
      <c r="E92" s="75">
        <f t="shared" si="3"/>
        <v>9.2110201260749778E-11</v>
      </c>
      <c r="H92" s="16">
        <v>69</v>
      </c>
      <c r="I92" s="75">
        <f t="shared" si="4"/>
        <v>0</v>
      </c>
      <c r="J92" s="75">
        <f t="shared" si="5"/>
        <v>0</v>
      </c>
      <c r="K92" s="75">
        <f t="shared" si="6"/>
        <v>0</v>
      </c>
      <c r="L92" s="75">
        <f t="shared" si="7"/>
        <v>0</v>
      </c>
    </row>
    <row r="93" spans="1:12" ht="14.25" customHeight="1">
      <c r="A93" s="16">
        <v>70</v>
      </c>
      <c r="B93" s="75">
        <f t="shared" si="0"/>
        <v>0</v>
      </c>
      <c r="C93" s="75">
        <f t="shared" si="1"/>
        <v>4.4835106222062455E-13</v>
      </c>
      <c r="D93" s="75">
        <f t="shared" si="2"/>
        <v>-4.4835106222062455E-13</v>
      </c>
      <c r="E93" s="75">
        <f t="shared" si="3"/>
        <v>9.2558552322970401E-11</v>
      </c>
      <c r="H93" s="16">
        <v>70</v>
      </c>
      <c r="I93" s="75">
        <f t="shared" si="4"/>
        <v>0</v>
      </c>
      <c r="J93" s="75">
        <f t="shared" si="5"/>
        <v>0</v>
      </c>
      <c r="K93" s="75">
        <f t="shared" si="6"/>
        <v>0</v>
      </c>
      <c r="L93" s="75">
        <f t="shared" si="7"/>
        <v>0</v>
      </c>
    </row>
    <row r="94" spans="1:12" ht="14.25" customHeight="1">
      <c r="A94" s="16">
        <v>71</v>
      </c>
      <c r="B94" s="75">
        <f t="shared" si="0"/>
        <v>0</v>
      </c>
      <c r="C94" s="75">
        <f t="shared" si="1"/>
        <v>4.5053343368700869E-13</v>
      </c>
      <c r="D94" s="75">
        <f t="shared" si="2"/>
        <v>-4.5053343368700869E-13</v>
      </c>
      <c r="E94" s="75">
        <f t="shared" si="3"/>
        <v>9.3009085756657409E-11</v>
      </c>
      <c r="H94" s="16">
        <v>71</v>
      </c>
      <c r="I94" s="75">
        <f t="shared" si="4"/>
        <v>0</v>
      </c>
      <c r="J94" s="75">
        <f t="shared" si="5"/>
        <v>0</v>
      </c>
      <c r="K94" s="75">
        <f t="shared" si="6"/>
        <v>0</v>
      </c>
      <c r="L94" s="75">
        <f t="shared" si="7"/>
        <v>0</v>
      </c>
    </row>
    <row r="95" spans="1:12" ht="14.25" customHeight="1">
      <c r="A95" s="16">
        <v>72</v>
      </c>
      <c r="B95" s="75">
        <f t="shared" si="0"/>
        <v>0</v>
      </c>
      <c r="C95" s="75">
        <f t="shared" si="1"/>
        <v>4.5272642795685786E-13</v>
      </c>
      <c r="D95" s="75">
        <f t="shared" si="2"/>
        <v>-4.5272642795685786E-13</v>
      </c>
      <c r="E95" s="75">
        <f t="shared" si="3"/>
        <v>9.3461812184614271E-11</v>
      </c>
      <c r="H95" s="16">
        <v>72</v>
      </c>
      <c r="I95" s="75">
        <f t="shared" si="4"/>
        <v>0</v>
      </c>
      <c r="J95" s="75">
        <f t="shared" si="5"/>
        <v>0</v>
      </c>
      <c r="K95" s="75">
        <f t="shared" si="6"/>
        <v>0</v>
      </c>
      <c r="L95" s="75">
        <f t="shared" si="7"/>
        <v>0</v>
      </c>
    </row>
    <row r="96" spans="1:12" ht="14.25" customHeight="1">
      <c r="A96" s="42">
        <v>73</v>
      </c>
      <c r="B96" s="75">
        <f t="shared" si="0"/>
        <v>0</v>
      </c>
      <c r="C96" s="75">
        <f t="shared" si="1"/>
        <v>4.5493009673720497E-13</v>
      </c>
      <c r="D96" s="75">
        <f t="shared" si="2"/>
        <v>-4.5493009673720497E-13</v>
      </c>
      <c r="E96" s="75">
        <f t="shared" si="3"/>
        <v>9.3916742281351479E-11</v>
      </c>
      <c r="H96" s="16">
        <v>73</v>
      </c>
      <c r="I96" s="75">
        <f t="shared" si="4"/>
        <v>0</v>
      </c>
      <c r="J96" s="75">
        <f t="shared" si="5"/>
        <v>0</v>
      </c>
      <c r="K96" s="75">
        <f t="shared" si="6"/>
        <v>0</v>
      </c>
      <c r="L96" s="75">
        <f t="shared" si="7"/>
        <v>0</v>
      </c>
    </row>
    <row r="97" spans="1:12" ht="14.25" customHeight="1">
      <c r="A97" s="42">
        <v>74</v>
      </c>
      <c r="B97" s="75">
        <f t="shared" si="0"/>
        <v>0</v>
      </c>
      <c r="C97" s="75">
        <f t="shared" si="1"/>
        <v>4.5714449198676979E-13</v>
      </c>
      <c r="D97" s="75">
        <f t="shared" si="2"/>
        <v>-4.5714449198676979E-13</v>
      </c>
      <c r="E97" s="75">
        <f t="shared" si="3"/>
        <v>9.4373886773338251E-11</v>
      </c>
      <c r="H97" s="16">
        <v>74</v>
      </c>
      <c r="I97" s="75">
        <f t="shared" si="4"/>
        <v>0</v>
      </c>
      <c r="J97" s="75">
        <f t="shared" si="5"/>
        <v>0</v>
      </c>
      <c r="K97" s="75">
        <f t="shared" si="6"/>
        <v>0</v>
      </c>
      <c r="L97" s="75">
        <f t="shared" si="7"/>
        <v>0</v>
      </c>
    </row>
    <row r="98" spans="1:12" ht="14.25" customHeight="1">
      <c r="A98" s="16">
        <v>75</v>
      </c>
      <c r="B98" s="75">
        <f t="shared" si="0"/>
        <v>0</v>
      </c>
      <c r="C98" s="75">
        <f t="shared" si="1"/>
        <v>4.5936966591718348E-13</v>
      </c>
      <c r="D98" s="75">
        <f t="shared" si="2"/>
        <v>-4.5936966591718348E-13</v>
      </c>
      <c r="E98" s="75">
        <f t="shared" si="3"/>
        <v>9.4833256439255436E-11</v>
      </c>
      <c r="H98" s="16">
        <v>75</v>
      </c>
      <c r="I98" s="75">
        <f t="shared" si="4"/>
        <v>0</v>
      </c>
      <c r="J98" s="75">
        <f t="shared" si="5"/>
        <v>0</v>
      </c>
      <c r="K98" s="75">
        <f t="shared" si="6"/>
        <v>0</v>
      </c>
      <c r="L98" s="75">
        <f t="shared" si="7"/>
        <v>0</v>
      </c>
    </row>
    <row r="99" spans="1:12" ht="14.25" customHeight="1">
      <c r="A99" s="16">
        <v>76</v>
      </c>
      <c r="B99" s="75">
        <f t="shared" si="0"/>
        <v>0</v>
      </c>
      <c r="C99" s="75">
        <f t="shared" si="1"/>
        <v>4.6160567099422008E-13</v>
      </c>
      <c r="D99" s="75">
        <f t="shared" si="2"/>
        <v>-4.6160567099422008E-13</v>
      </c>
      <c r="E99" s="75">
        <f t="shared" si="3"/>
        <v>9.529486211024966E-11</v>
      </c>
      <c r="H99" s="16">
        <v>76</v>
      </c>
      <c r="I99" s="75">
        <f t="shared" si="4"/>
        <v>0</v>
      </c>
      <c r="J99" s="75">
        <f t="shared" si="5"/>
        <v>0</v>
      </c>
      <c r="K99" s="75">
        <f t="shared" si="6"/>
        <v>0</v>
      </c>
      <c r="L99" s="75">
        <f t="shared" si="7"/>
        <v>0</v>
      </c>
    </row>
    <row r="100" spans="1:12" ht="14.25" customHeight="1">
      <c r="A100" s="16">
        <v>77</v>
      </c>
      <c r="B100" s="75">
        <f t="shared" si="0"/>
        <v>0</v>
      </c>
      <c r="C100" s="75">
        <f t="shared" si="1"/>
        <v>4.6385255993903353E-13</v>
      </c>
      <c r="D100" s="75">
        <f t="shared" si="2"/>
        <v>-4.6385255993903353E-13</v>
      </c>
      <c r="E100" s="75">
        <f t="shared" si="3"/>
        <v>9.5758714670188694E-11</v>
      </c>
      <c r="H100" s="16">
        <v>77</v>
      </c>
      <c r="I100" s="75">
        <f t="shared" si="4"/>
        <v>0</v>
      </c>
      <c r="J100" s="75">
        <f t="shared" si="5"/>
        <v>0</v>
      </c>
      <c r="K100" s="75">
        <f t="shared" si="6"/>
        <v>0</v>
      </c>
      <c r="L100" s="75">
        <f t="shared" si="7"/>
        <v>0</v>
      </c>
    </row>
    <row r="101" spans="1:12" ht="14.25" customHeight="1">
      <c r="A101" s="16">
        <v>78</v>
      </c>
      <c r="B101" s="75">
        <f t="shared" si="0"/>
        <v>0</v>
      </c>
      <c r="C101" s="75">
        <f t="shared" si="1"/>
        <v>4.6611038572940065E-13</v>
      </c>
      <c r="D101" s="75">
        <f t="shared" si="2"/>
        <v>-4.6611038572940065E-13</v>
      </c>
      <c r="E101" s="75">
        <f t="shared" si="3"/>
        <v>9.6224825055918099E-11</v>
      </c>
      <c r="H101" s="16">
        <v>78</v>
      </c>
      <c r="I101" s="75">
        <f t="shared" si="4"/>
        <v>0</v>
      </c>
      <c r="J101" s="75">
        <f t="shared" si="5"/>
        <v>0</v>
      </c>
      <c r="K101" s="75">
        <f t="shared" si="6"/>
        <v>0</v>
      </c>
      <c r="L101" s="75">
        <f t="shared" si="7"/>
        <v>0</v>
      </c>
    </row>
    <row r="102" spans="1:12" ht="14.25" customHeight="1">
      <c r="A102" s="42">
        <v>79</v>
      </c>
      <c r="B102" s="75">
        <f t="shared" si="0"/>
        <v>0</v>
      </c>
      <c r="C102" s="75">
        <f t="shared" si="1"/>
        <v>4.6837920160097012E-13</v>
      </c>
      <c r="D102" s="75">
        <f t="shared" si="2"/>
        <v>-4.6837920160097012E-13</v>
      </c>
      <c r="E102" s="75">
        <f t="shared" si="3"/>
        <v>9.6693204257519076E-11</v>
      </c>
      <c r="H102" s="16">
        <v>79</v>
      </c>
      <c r="I102" s="75">
        <f t="shared" si="4"/>
        <v>0</v>
      </c>
      <c r="J102" s="75">
        <f t="shared" si="5"/>
        <v>0</v>
      </c>
      <c r="K102" s="75">
        <f t="shared" si="6"/>
        <v>0</v>
      </c>
      <c r="L102" s="75">
        <f t="shared" si="7"/>
        <v>0</v>
      </c>
    </row>
    <row r="103" spans="1:12" ht="14.25" customHeight="1">
      <c r="A103" s="42">
        <v>80</v>
      </c>
      <c r="B103" s="75">
        <f t="shared" si="0"/>
        <v>0</v>
      </c>
      <c r="C103" s="75">
        <f t="shared" si="1"/>
        <v>4.7065906104851785E-13</v>
      </c>
      <c r="D103" s="75">
        <f t="shared" si="2"/>
        <v>-4.7065906104851785E-13</v>
      </c>
      <c r="E103" s="75">
        <f t="shared" si="3"/>
        <v>9.7163863318567589E-11</v>
      </c>
      <c r="H103" s="16">
        <v>80</v>
      </c>
      <c r="I103" s="75">
        <f t="shared" si="4"/>
        <v>0</v>
      </c>
      <c r="J103" s="75">
        <f t="shared" si="5"/>
        <v>0</v>
      </c>
      <c r="K103" s="75">
        <f t="shared" si="6"/>
        <v>0</v>
      </c>
      <c r="L103" s="75">
        <f t="shared" si="7"/>
        <v>0</v>
      </c>
    </row>
    <row r="104" spans="1:12" ht="14.25" customHeight="1">
      <c r="A104" s="16">
        <v>81</v>
      </c>
      <c r="B104" s="75">
        <f t="shared" si="0"/>
        <v>0</v>
      </c>
      <c r="C104" s="75">
        <f t="shared" si="1"/>
        <v>4.7295001782720837E-13</v>
      </c>
      <c r="D104" s="75">
        <f t="shared" si="2"/>
        <v>-4.7295001782720837E-13</v>
      </c>
      <c r="E104" s="75">
        <f t="shared" si="3"/>
        <v>9.76368133363948E-11</v>
      </c>
      <c r="H104" s="16">
        <v>81</v>
      </c>
      <c r="I104" s="75">
        <f t="shared" si="4"/>
        <v>0</v>
      </c>
      <c r="J104" s="75">
        <f t="shared" si="5"/>
        <v>0</v>
      </c>
      <c r="K104" s="75">
        <f t="shared" si="6"/>
        <v>0</v>
      </c>
      <c r="L104" s="75">
        <f t="shared" si="7"/>
        <v>0</v>
      </c>
    </row>
    <row r="105" spans="1:12" ht="14.25" customHeight="1">
      <c r="A105" s="42">
        <v>82</v>
      </c>
      <c r="B105" s="75">
        <f t="shared" si="0"/>
        <v>0</v>
      </c>
      <c r="C105" s="75">
        <f t="shared" si="1"/>
        <v>4.7525212595386217E-13</v>
      </c>
      <c r="D105" s="75">
        <f t="shared" si="2"/>
        <v>-4.7525212595386217E-13</v>
      </c>
      <c r="E105" s="75">
        <f t="shared" si="3"/>
        <v>9.8112065462348669E-11</v>
      </c>
      <c r="H105" s="16">
        <v>82</v>
      </c>
      <c r="I105" s="75">
        <f t="shared" si="4"/>
        <v>0</v>
      </c>
      <c r="J105" s="75">
        <f t="shared" si="5"/>
        <v>0</v>
      </c>
      <c r="K105" s="75">
        <f t="shared" si="6"/>
        <v>0</v>
      </c>
      <c r="L105" s="75">
        <f t="shared" si="7"/>
        <v>0</v>
      </c>
    </row>
    <row r="106" spans="1:12" ht="14.25" customHeight="1">
      <c r="A106" s="16">
        <v>83</v>
      </c>
      <c r="B106" s="75">
        <f t="shared" si="0"/>
        <v>0</v>
      </c>
      <c r="C106" s="75">
        <f t="shared" si="1"/>
        <v>4.7756543970822947E-13</v>
      </c>
      <c r="D106" s="75">
        <f t="shared" si="2"/>
        <v>-4.7756543970822947E-13</v>
      </c>
      <c r="E106" s="75">
        <f t="shared" si="3"/>
        <v>9.8589630902056897E-11</v>
      </c>
      <c r="H106" s="16">
        <v>83</v>
      </c>
      <c r="I106" s="75">
        <f t="shared" si="4"/>
        <v>0</v>
      </c>
      <c r="J106" s="75">
        <f t="shared" si="5"/>
        <v>0</v>
      </c>
      <c r="K106" s="75">
        <f t="shared" si="6"/>
        <v>0</v>
      </c>
      <c r="L106" s="75">
        <f t="shared" si="7"/>
        <v>0</v>
      </c>
    </row>
    <row r="107" spans="1:12" ht="14.25" customHeight="1">
      <c r="A107" s="16">
        <v>84</v>
      </c>
      <c r="B107" s="75">
        <f t="shared" si="0"/>
        <v>0</v>
      </c>
      <c r="C107" s="75">
        <f t="shared" si="1"/>
        <v>4.7989001363426949E-13</v>
      </c>
      <c r="D107" s="75">
        <f t="shared" si="2"/>
        <v>-4.7989001363426949E-13</v>
      </c>
      <c r="E107" s="75">
        <f t="shared" si="3"/>
        <v>9.9069520915691169E-11</v>
      </c>
      <c r="H107" s="16">
        <v>84</v>
      </c>
      <c r="I107" s="75">
        <f t="shared" si="4"/>
        <v>0</v>
      </c>
      <c r="J107" s="75">
        <f t="shared" si="5"/>
        <v>0</v>
      </c>
      <c r="K107" s="75">
        <f t="shared" si="6"/>
        <v>0</v>
      </c>
      <c r="L107" s="75">
        <f t="shared" si="7"/>
        <v>0</v>
      </c>
    </row>
    <row r="108" spans="1:12" ht="14.25" customHeight="1">
      <c r="A108" s="16">
        <v>85</v>
      </c>
      <c r="B108" s="75">
        <f t="shared" si="0"/>
        <v>0</v>
      </c>
      <c r="C108" s="75">
        <f t="shared" si="1"/>
        <v>4.8222590254143752E-13</v>
      </c>
      <c r="D108" s="75">
        <f t="shared" si="2"/>
        <v>-4.8222590254143752E-13</v>
      </c>
      <c r="E108" s="75">
        <f t="shared" si="3"/>
        <v>9.9551746818232607E-11</v>
      </c>
      <c r="H108" s="16">
        <v>85</v>
      </c>
      <c r="I108" s="75">
        <f t="shared" si="4"/>
        <v>0</v>
      </c>
      <c r="J108" s="75">
        <f t="shared" si="5"/>
        <v>0</v>
      </c>
      <c r="K108" s="75">
        <f t="shared" si="6"/>
        <v>0</v>
      </c>
      <c r="L108" s="75">
        <f t="shared" si="7"/>
        <v>0</v>
      </c>
    </row>
    <row r="109" spans="1:12" ht="14.25" customHeight="1">
      <c r="A109" s="16">
        <v>86</v>
      </c>
      <c r="B109" s="75">
        <f t="shared" si="0"/>
        <v>0</v>
      </c>
      <c r="C109" s="75">
        <f t="shared" si="1"/>
        <v>4.8457316150597612E-13</v>
      </c>
      <c r="D109" s="75">
        <f t="shared" si="2"/>
        <v>-4.8457316150597612E-13</v>
      </c>
      <c r="E109" s="75">
        <f t="shared" si="3"/>
        <v>1.0003631997973858E-10</v>
      </c>
      <c r="H109" s="16">
        <v>86</v>
      </c>
      <c r="I109" s="75">
        <f t="shared" si="4"/>
        <v>0</v>
      </c>
      <c r="J109" s="75">
        <f t="shared" si="5"/>
        <v>0</v>
      </c>
      <c r="K109" s="75">
        <f t="shared" si="6"/>
        <v>0</v>
      </c>
      <c r="L109" s="75">
        <f t="shared" si="7"/>
        <v>0</v>
      </c>
    </row>
    <row r="110" spans="1:12" ht="14.25" customHeight="1">
      <c r="A110" s="42">
        <v>87</v>
      </c>
      <c r="B110" s="75">
        <f t="shared" si="0"/>
        <v>0</v>
      </c>
      <c r="C110" s="75">
        <f t="shared" si="1"/>
        <v>4.8693184587221464E-13</v>
      </c>
      <c r="D110" s="75">
        <f t="shared" si="2"/>
        <v>-4.8693184587221464E-13</v>
      </c>
      <c r="E110" s="75">
        <f t="shared" si="3"/>
        <v>1.0052325182561079E-10</v>
      </c>
      <c r="H110" s="16">
        <v>87</v>
      </c>
      <c r="I110" s="75">
        <f t="shared" si="4"/>
        <v>0</v>
      </c>
      <c r="J110" s="75">
        <f t="shared" si="5"/>
        <v>0</v>
      </c>
      <c r="K110" s="75">
        <f t="shared" si="6"/>
        <v>0</v>
      </c>
      <c r="L110" s="75">
        <f t="shared" si="7"/>
        <v>0</v>
      </c>
    </row>
    <row r="111" spans="1:12" ht="14.25" customHeight="1">
      <c r="A111" s="42">
        <v>88</v>
      </c>
      <c r="B111" s="75">
        <f t="shared" si="0"/>
        <v>0</v>
      </c>
      <c r="C111" s="75">
        <f t="shared" si="1"/>
        <v>4.8930201125387341E-13</v>
      </c>
      <c r="D111" s="75">
        <f t="shared" si="2"/>
        <v>-4.8930201125387341E-13</v>
      </c>
      <c r="E111" s="75">
        <f t="shared" si="3"/>
        <v>1.0101255383686466E-10</v>
      </c>
      <c r="H111" s="16">
        <v>88</v>
      </c>
      <c r="I111" s="75">
        <f t="shared" si="4"/>
        <v>0</v>
      </c>
      <c r="J111" s="75">
        <f t="shared" si="5"/>
        <v>0</v>
      </c>
      <c r="K111" s="75">
        <f t="shared" si="6"/>
        <v>0</v>
      </c>
      <c r="L111" s="75">
        <f t="shared" si="7"/>
        <v>0</v>
      </c>
    </row>
    <row r="112" spans="1:12" ht="14.25" customHeight="1">
      <c r="A112" s="16">
        <v>89</v>
      </c>
      <c r="B112" s="75">
        <f t="shared" si="0"/>
        <v>0</v>
      </c>
      <c r="C112" s="75">
        <f t="shared" si="1"/>
        <v>4.9168371353537568E-13</v>
      </c>
      <c r="D112" s="75">
        <f t="shared" si="2"/>
        <v>-4.9168371353537568E-13</v>
      </c>
      <c r="E112" s="75">
        <f t="shared" si="3"/>
        <v>1.0150423755040004E-10</v>
      </c>
      <c r="H112" s="16">
        <v>89</v>
      </c>
      <c r="I112" s="75">
        <f t="shared" si="4"/>
        <v>0</v>
      </c>
      <c r="J112" s="75">
        <f t="shared" si="5"/>
        <v>0</v>
      </c>
      <c r="K112" s="75">
        <f t="shared" si="6"/>
        <v>0</v>
      </c>
      <c r="L112" s="75">
        <f t="shared" si="7"/>
        <v>0</v>
      </c>
    </row>
    <row r="113" spans="1:12" ht="14.25" customHeight="1">
      <c r="A113" s="16">
        <v>90</v>
      </c>
      <c r="B113" s="75">
        <f t="shared" si="0"/>
        <v>0</v>
      </c>
      <c r="C113" s="75">
        <f t="shared" si="1"/>
        <v>4.9407700887316485E-13</v>
      </c>
      <c r="D113" s="75">
        <f t="shared" si="2"/>
        <v>-4.9407700887316485E-13</v>
      </c>
      <c r="E113" s="75">
        <f t="shared" si="3"/>
        <v>1.0199831455927321E-10</v>
      </c>
      <c r="H113" s="16">
        <v>90</v>
      </c>
      <c r="I113" s="75">
        <f t="shared" si="4"/>
        <v>0</v>
      </c>
      <c r="J113" s="75">
        <f t="shared" si="5"/>
        <v>0</v>
      </c>
      <c r="K113" s="75">
        <f t="shared" si="6"/>
        <v>0</v>
      </c>
      <c r="L113" s="75">
        <f t="shared" si="7"/>
        <v>0</v>
      </c>
    </row>
    <row r="114" spans="1:12" ht="14.25" customHeight="1"/>
    <row r="115" spans="1:12" ht="14.25" customHeight="1"/>
    <row r="116" spans="1:12" ht="14.25" customHeight="1"/>
    <row r="117" spans="1:12" ht="14.25" customHeight="1"/>
    <row r="118" spans="1:12" ht="14.25" customHeight="1"/>
    <row r="119" spans="1:12" ht="14.25" customHeight="1"/>
    <row r="120" spans="1:12" ht="14.25" customHeight="1"/>
    <row r="121" spans="1:12" ht="14.25" customHeight="1"/>
    <row r="122" spans="1:12" ht="14.25" customHeight="1"/>
    <row r="123" spans="1:12" ht="14.25" customHeight="1"/>
    <row r="124" spans="1:12" ht="14.25" customHeight="1"/>
    <row r="125" spans="1:12" ht="14.25" customHeight="1"/>
    <row r="126" spans="1:12" ht="14.25" customHeight="1"/>
    <row r="127" spans="1:12" ht="14.25" customHeight="1"/>
    <row r="128" spans="1:12"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F4"/>
  </mergeCell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00"/>
  <sheetViews>
    <sheetView workbookViewId="0">
      <selection sqref="A1:F4"/>
    </sheetView>
  </sheetViews>
  <sheetFormatPr baseColWidth="10" defaultColWidth="14.44140625" defaultRowHeight="15" customHeight="1"/>
  <cols>
    <col min="1" max="1" width="26.109375" customWidth="1"/>
    <col min="2" max="6" width="10.6640625" customWidth="1"/>
    <col min="7" max="26" width="9.109375" customWidth="1"/>
  </cols>
  <sheetData>
    <row r="1" spans="1:6" ht="15" customHeight="1">
      <c r="A1" s="178" t="s">
        <v>226</v>
      </c>
      <c r="B1" s="168"/>
      <c r="C1" s="168"/>
      <c r="D1" s="168"/>
      <c r="E1" s="168"/>
      <c r="F1" s="169"/>
    </row>
    <row r="2" spans="1:6" ht="14.25" customHeight="1">
      <c r="A2" s="170"/>
      <c r="B2" s="166"/>
      <c r="C2" s="166"/>
      <c r="D2" s="166"/>
      <c r="E2" s="166"/>
      <c r="F2" s="171"/>
    </row>
    <row r="3" spans="1:6" ht="14.25" customHeight="1">
      <c r="A3" s="170"/>
      <c r="B3" s="166"/>
      <c r="C3" s="166"/>
      <c r="D3" s="166"/>
      <c r="E3" s="166"/>
      <c r="F3" s="171"/>
    </row>
    <row r="4" spans="1:6" ht="14.25" customHeight="1">
      <c r="A4" s="172"/>
      <c r="B4" s="173"/>
      <c r="C4" s="173"/>
      <c r="D4" s="173"/>
      <c r="E4" s="173"/>
      <c r="F4" s="174"/>
    </row>
    <row r="5" spans="1:6" ht="14.25" customHeight="1"/>
    <row r="6" spans="1:6" ht="14.25" customHeight="1">
      <c r="A6" s="42" t="s">
        <v>191</v>
      </c>
      <c r="B6" s="37">
        <f>'8.FINANCIACIÓN PROPIA'!B10</f>
        <v>5000</v>
      </c>
    </row>
    <row r="7" spans="1:6" ht="14.25" customHeight="1">
      <c r="A7" s="42" t="s">
        <v>201</v>
      </c>
      <c r="B7" s="37">
        <f>'9.FINANCIACIÓN AJENA'!B8</f>
        <v>5000</v>
      </c>
    </row>
    <row r="8" spans="1:6" ht="14.25" customHeight="1">
      <c r="A8" s="42" t="s">
        <v>203</v>
      </c>
      <c r="B8" s="37">
        <f>'9.FINANCIACIÓN AJENA'!B9</f>
        <v>0</v>
      </c>
    </row>
    <row r="9" spans="1:6" ht="14.25" customHeight="1">
      <c r="A9" s="42" t="s">
        <v>206</v>
      </c>
      <c r="B9" s="37">
        <f>'9.FINANCIACIÓN AJENA'!B13</f>
        <v>8000</v>
      </c>
    </row>
    <row r="10" spans="1:6" ht="14.25" customHeight="1">
      <c r="A10" s="42" t="s">
        <v>207</v>
      </c>
      <c r="B10" s="37">
        <f>'9.FINANCIACIÓN AJENA'!J13</f>
        <v>0</v>
      </c>
    </row>
    <row r="11" spans="1:6" ht="14.25" customHeight="1"/>
    <row r="12" spans="1:6" ht="14.25" customHeight="1">
      <c r="A12" s="42" t="s">
        <v>227</v>
      </c>
      <c r="B12" s="37">
        <f>SUM(B6:B10)</f>
        <v>18000</v>
      </c>
    </row>
    <row r="13" spans="1:6" ht="14.25" customHeight="1">
      <c r="A13" s="42" t="s">
        <v>228</v>
      </c>
      <c r="B13" s="37">
        <f>'6.INVERSIONES + GASTOS'!B16</f>
        <v>6255.0329914529921</v>
      </c>
    </row>
    <row r="14" spans="1:6" ht="14.25" customHeight="1"/>
    <row r="15" spans="1:6" ht="14.25" customHeight="1">
      <c r="A15" s="42" t="s">
        <v>229</v>
      </c>
      <c r="B15" s="37">
        <f>B12-B13</f>
        <v>11744.967008547008</v>
      </c>
    </row>
    <row r="16" spans="1:6" ht="14.25" customHeight="1"/>
    <row r="17" spans="1:4" ht="14.25" customHeight="1">
      <c r="A17" s="18" t="s">
        <v>230</v>
      </c>
    </row>
    <row r="18" spans="1:4" ht="14.25" customHeight="1">
      <c r="A18" s="25" t="s">
        <v>231</v>
      </c>
      <c r="B18" s="47">
        <v>0.2</v>
      </c>
      <c r="D18" s="16" t="s">
        <v>232</v>
      </c>
    </row>
    <row r="19" spans="1:4" ht="14.25" customHeight="1">
      <c r="A19" s="25" t="s">
        <v>233</v>
      </c>
      <c r="B19" s="47">
        <v>0.8</v>
      </c>
    </row>
    <row r="20" spans="1:4" ht="14.25" customHeight="1"/>
    <row r="21" spans="1:4" ht="14.25" customHeight="1">
      <c r="A21" s="42" t="s">
        <v>234</v>
      </c>
      <c r="B21" s="37">
        <f>B15*B18</f>
        <v>2348.9934017094015</v>
      </c>
      <c r="C21" s="16" t="s">
        <v>158</v>
      </c>
    </row>
    <row r="22" spans="1:4" ht="14.25" customHeight="1">
      <c r="A22" s="42" t="s">
        <v>235</v>
      </c>
      <c r="B22" s="37">
        <f>B15*B19</f>
        <v>9395.973606837606</v>
      </c>
      <c r="C22" s="16" t="s">
        <v>158</v>
      </c>
    </row>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F4"/>
  </mergeCell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000"/>
  <sheetViews>
    <sheetView topLeftCell="A4" workbookViewId="0">
      <selection sqref="A1:I4"/>
    </sheetView>
  </sheetViews>
  <sheetFormatPr baseColWidth="10" defaultColWidth="14.44140625" defaultRowHeight="15" customHeight="1"/>
  <cols>
    <col min="1" max="1" width="14" customWidth="1"/>
    <col min="2" max="15" width="10.6640625" customWidth="1"/>
    <col min="16" max="16" width="18" customWidth="1"/>
    <col min="17" max="26" width="9.109375" customWidth="1"/>
  </cols>
  <sheetData>
    <row r="1" spans="1:16" ht="15" customHeight="1">
      <c r="A1" s="183" t="s">
        <v>236</v>
      </c>
      <c r="B1" s="168"/>
      <c r="C1" s="168"/>
      <c r="D1" s="168"/>
      <c r="E1" s="168"/>
      <c r="F1" s="168"/>
      <c r="G1" s="168"/>
      <c r="H1" s="168"/>
      <c r="I1" s="169"/>
    </row>
    <row r="2" spans="1:16" ht="14.25" customHeight="1">
      <c r="A2" s="170"/>
      <c r="B2" s="166"/>
      <c r="C2" s="166"/>
      <c r="D2" s="166"/>
      <c r="E2" s="166"/>
      <c r="F2" s="166"/>
      <c r="G2" s="166"/>
      <c r="H2" s="166"/>
      <c r="I2" s="171"/>
    </row>
    <row r="3" spans="1:16" ht="14.25" customHeight="1">
      <c r="A3" s="170"/>
      <c r="B3" s="166"/>
      <c r="C3" s="166"/>
      <c r="D3" s="166"/>
      <c r="E3" s="166"/>
      <c r="F3" s="166"/>
      <c r="G3" s="166"/>
      <c r="H3" s="166"/>
      <c r="I3" s="171"/>
    </row>
    <row r="4" spans="1:16" ht="14.25" customHeight="1">
      <c r="A4" s="172"/>
      <c r="B4" s="173"/>
      <c r="C4" s="173"/>
      <c r="D4" s="173"/>
      <c r="E4" s="173"/>
      <c r="F4" s="173"/>
      <c r="G4" s="173"/>
      <c r="H4" s="173"/>
      <c r="I4" s="174"/>
    </row>
    <row r="5" spans="1:16" ht="14.25" customHeight="1"/>
    <row r="6" spans="1:16" ht="14.25" customHeight="1"/>
    <row r="7" spans="1:16" ht="14.25" customHeight="1">
      <c r="A7" s="23" t="s">
        <v>7</v>
      </c>
      <c r="B7" s="5"/>
      <c r="C7" s="5"/>
      <c r="D7" s="5"/>
      <c r="E7" s="5"/>
      <c r="F7" s="5"/>
      <c r="G7" s="5"/>
      <c r="H7" s="5"/>
      <c r="I7" s="5"/>
      <c r="J7" s="5"/>
      <c r="K7" s="5"/>
      <c r="L7" s="5"/>
      <c r="M7" s="5"/>
      <c r="N7" s="5"/>
      <c r="O7" s="5"/>
      <c r="P7" s="6"/>
    </row>
    <row r="8" spans="1:16" ht="14.25" customHeight="1">
      <c r="A8" s="7" t="s">
        <v>9</v>
      </c>
      <c r="B8" s="8" t="s">
        <v>10</v>
      </c>
      <c r="C8" s="25"/>
      <c r="D8" s="8" t="s">
        <v>11</v>
      </c>
      <c r="E8" s="8" t="s">
        <v>12</v>
      </c>
      <c r="F8" s="8" t="s">
        <v>13</v>
      </c>
      <c r="G8" s="8" t="s">
        <v>14</v>
      </c>
      <c r="H8" s="8" t="s">
        <v>15</v>
      </c>
      <c r="I8" s="8" t="s">
        <v>16</v>
      </c>
      <c r="J8" s="8" t="s">
        <v>17</v>
      </c>
      <c r="K8" s="8" t="s">
        <v>18</v>
      </c>
      <c r="L8" s="8" t="s">
        <v>19</v>
      </c>
      <c r="M8" s="8" t="s">
        <v>20</v>
      </c>
      <c r="N8" s="8" t="s">
        <v>21</v>
      </c>
      <c r="O8" s="8" t="s">
        <v>22</v>
      </c>
      <c r="P8" s="9" t="s">
        <v>23</v>
      </c>
    </row>
    <row r="9" spans="1:16" ht="14.25" customHeight="1">
      <c r="A9" s="10" t="str">
        <f>'4.PRECIOS'!A23</f>
        <v>PRODUCTO 1</v>
      </c>
      <c r="B9" s="16" t="str">
        <f>'4.PRECIOS'!B15</f>
        <v>Patrocinio</v>
      </c>
      <c r="D9" s="55">
        <f>'1.ESTIMACIÓN VENTAS'!C9</f>
        <v>5</v>
      </c>
      <c r="E9" s="55">
        <f>'1.ESTIMACIÓN VENTAS'!D9</f>
        <v>5</v>
      </c>
      <c r="F9" s="55">
        <f>'1.ESTIMACIÓN VENTAS'!E9</f>
        <v>4</v>
      </c>
      <c r="G9" s="55">
        <f>'1.ESTIMACIÓN VENTAS'!F9</f>
        <v>4</v>
      </c>
      <c r="H9" s="55">
        <f>'1.ESTIMACIÓN VENTAS'!G9</f>
        <v>6</v>
      </c>
      <c r="I9" s="55">
        <f>'1.ESTIMACIÓN VENTAS'!H9</f>
        <v>6</v>
      </c>
      <c r="J9" s="55">
        <f>'1.ESTIMACIÓN VENTAS'!I9</f>
        <v>10</v>
      </c>
      <c r="K9" s="55">
        <f>'1.ESTIMACIÓN VENTAS'!J9</f>
        <v>10</v>
      </c>
      <c r="L9" s="55">
        <f>'1.ESTIMACIÓN VENTAS'!K9</f>
        <v>10</v>
      </c>
      <c r="M9" s="55">
        <f>'1.ESTIMACIÓN VENTAS'!L9</f>
        <v>10</v>
      </c>
      <c r="N9" s="55">
        <f>'1.ESTIMACIÓN VENTAS'!M9</f>
        <v>14</v>
      </c>
      <c r="O9" s="55">
        <f>'1.ESTIMACIÓN VENTAS'!N9</f>
        <v>16</v>
      </c>
      <c r="P9" s="9">
        <f t="shared" ref="P9:P13" si="0">SUM(D9:O9)</f>
        <v>100</v>
      </c>
    </row>
    <row r="10" spans="1:16" ht="14.25" customHeight="1">
      <c r="A10" s="10" t="str">
        <f>'4.PRECIOS'!A24</f>
        <v>PRODUCTO 2</v>
      </c>
      <c r="B10" s="16">
        <f>'4.PRECIOS'!B16</f>
        <v>0</v>
      </c>
      <c r="D10" s="55">
        <f>'1.ESTIMACIÓN VENTAS'!C10</f>
        <v>0</v>
      </c>
      <c r="E10" s="55">
        <f>'1.ESTIMACIÓN VENTAS'!D10</f>
        <v>0</v>
      </c>
      <c r="F10" s="55">
        <f>'1.ESTIMACIÓN VENTAS'!E10</f>
        <v>0</v>
      </c>
      <c r="G10" s="55">
        <f>'1.ESTIMACIÓN VENTAS'!F10</f>
        <v>0</v>
      </c>
      <c r="H10" s="55">
        <f>'1.ESTIMACIÓN VENTAS'!G10</f>
        <v>0</v>
      </c>
      <c r="I10" s="55">
        <f>'1.ESTIMACIÓN VENTAS'!H10</f>
        <v>0</v>
      </c>
      <c r="J10" s="55">
        <f>'1.ESTIMACIÓN VENTAS'!I10</f>
        <v>0</v>
      </c>
      <c r="K10" s="55">
        <f>'1.ESTIMACIÓN VENTAS'!J10</f>
        <v>0</v>
      </c>
      <c r="L10" s="55">
        <f>'1.ESTIMACIÓN VENTAS'!K10</f>
        <v>0</v>
      </c>
      <c r="M10" s="55">
        <f>'1.ESTIMACIÓN VENTAS'!L10</f>
        <v>0</v>
      </c>
      <c r="N10" s="55">
        <f>'1.ESTIMACIÓN VENTAS'!M10</f>
        <v>0</v>
      </c>
      <c r="O10" s="55">
        <f>'1.ESTIMACIÓN VENTAS'!N10</f>
        <v>0</v>
      </c>
      <c r="P10" s="9">
        <f t="shared" si="0"/>
        <v>0</v>
      </c>
    </row>
    <row r="11" spans="1:16" ht="14.25" customHeight="1">
      <c r="A11" s="10" t="str">
        <f>'4.PRECIOS'!A25</f>
        <v>PRODUCTO 3</v>
      </c>
      <c r="B11" s="16">
        <f>'4.PRECIOS'!B17</f>
        <v>0</v>
      </c>
      <c r="D11" s="55">
        <f>'1.ESTIMACIÓN VENTAS'!C11</f>
        <v>0</v>
      </c>
      <c r="E11" s="55">
        <f>'1.ESTIMACIÓN VENTAS'!D11</f>
        <v>0</v>
      </c>
      <c r="F11" s="55">
        <f>'1.ESTIMACIÓN VENTAS'!E11</f>
        <v>0</v>
      </c>
      <c r="G11" s="55">
        <f>'1.ESTIMACIÓN VENTAS'!F11</f>
        <v>0</v>
      </c>
      <c r="H11" s="55">
        <f>'1.ESTIMACIÓN VENTAS'!G11</f>
        <v>0</v>
      </c>
      <c r="I11" s="55">
        <f>'1.ESTIMACIÓN VENTAS'!H11</f>
        <v>0</v>
      </c>
      <c r="J11" s="55">
        <f>'1.ESTIMACIÓN VENTAS'!I11</f>
        <v>0</v>
      </c>
      <c r="K11" s="55">
        <f>'1.ESTIMACIÓN VENTAS'!J11</f>
        <v>0</v>
      </c>
      <c r="L11" s="55">
        <f>'1.ESTIMACIÓN VENTAS'!K11</f>
        <v>0</v>
      </c>
      <c r="M11" s="55">
        <f>'1.ESTIMACIÓN VENTAS'!L11</f>
        <v>0</v>
      </c>
      <c r="N11" s="55">
        <f>'1.ESTIMACIÓN VENTAS'!M11</f>
        <v>0</v>
      </c>
      <c r="O11" s="55">
        <f>'1.ESTIMACIÓN VENTAS'!N11</f>
        <v>0</v>
      </c>
      <c r="P11" s="9">
        <f t="shared" si="0"/>
        <v>0</v>
      </c>
    </row>
    <row r="12" spans="1:16" ht="14.25" customHeight="1">
      <c r="A12" s="10" t="str">
        <f>'4.PRECIOS'!A26</f>
        <v>PRODUCTO 4</v>
      </c>
      <c r="B12" s="16">
        <f>'4.PRECIOS'!B18</f>
        <v>0</v>
      </c>
      <c r="D12" s="55">
        <f>'1.ESTIMACIÓN VENTAS'!C12</f>
        <v>0</v>
      </c>
      <c r="E12" s="55">
        <f>'1.ESTIMACIÓN VENTAS'!D12</f>
        <v>0</v>
      </c>
      <c r="F12" s="55">
        <f>'1.ESTIMACIÓN VENTAS'!E12</f>
        <v>0</v>
      </c>
      <c r="G12" s="55">
        <f>'1.ESTIMACIÓN VENTAS'!F12</f>
        <v>0</v>
      </c>
      <c r="H12" s="55">
        <f>'1.ESTIMACIÓN VENTAS'!G12</f>
        <v>0</v>
      </c>
      <c r="I12" s="55">
        <f>'1.ESTIMACIÓN VENTAS'!H12</f>
        <v>0</v>
      </c>
      <c r="J12" s="55">
        <f>'1.ESTIMACIÓN VENTAS'!I12</f>
        <v>0</v>
      </c>
      <c r="K12" s="55">
        <f>'1.ESTIMACIÓN VENTAS'!J12</f>
        <v>0</v>
      </c>
      <c r="L12" s="55">
        <f>'1.ESTIMACIÓN VENTAS'!K12</f>
        <v>0</v>
      </c>
      <c r="M12" s="55">
        <f>'1.ESTIMACIÓN VENTAS'!L12</f>
        <v>0</v>
      </c>
      <c r="N12" s="55">
        <f>'1.ESTIMACIÓN VENTAS'!M12</f>
        <v>0</v>
      </c>
      <c r="O12" s="55">
        <f>'1.ESTIMACIÓN VENTAS'!N12</f>
        <v>0</v>
      </c>
      <c r="P12" s="9">
        <f t="shared" si="0"/>
        <v>0</v>
      </c>
    </row>
    <row r="13" spans="1:16" ht="14.25" customHeight="1">
      <c r="A13" s="13" t="str">
        <f>'4.PRECIOS'!A27</f>
        <v>PRODUCTO 5</v>
      </c>
      <c r="B13" s="28">
        <f>'4.PRECIOS'!B19</f>
        <v>0</v>
      </c>
      <c r="C13" s="28"/>
      <c r="D13" s="76">
        <f>'1.ESTIMACIÓN VENTAS'!C13</f>
        <v>0</v>
      </c>
      <c r="E13" s="76">
        <f>'1.ESTIMACIÓN VENTAS'!D13</f>
        <v>0</v>
      </c>
      <c r="F13" s="76">
        <f>'1.ESTIMACIÓN VENTAS'!E13</f>
        <v>0</v>
      </c>
      <c r="G13" s="76">
        <f>'1.ESTIMACIÓN VENTAS'!F13</f>
        <v>0</v>
      </c>
      <c r="H13" s="76">
        <f>'1.ESTIMACIÓN VENTAS'!G13</f>
        <v>0</v>
      </c>
      <c r="I13" s="76">
        <f>'1.ESTIMACIÓN VENTAS'!H13</f>
        <v>0</v>
      </c>
      <c r="J13" s="76">
        <f>'1.ESTIMACIÓN VENTAS'!I13</f>
        <v>0</v>
      </c>
      <c r="K13" s="76">
        <f>'1.ESTIMACIÓN VENTAS'!J13</f>
        <v>0</v>
      </c>
      <c r="L13" s="76">
        <f>'1.ESTIMACIÓN VENTAS'!K13</f>
        <v>0</v>
      </c>
      <c r="M13" s="76">
        <f>'1.ESTIMACIÓN VENTAS'!L13</f>
        <v>0</v>
      </c>
      <c r="N13" s="76">
        <f>'1.ESTIMACIÓN VENTAS'!M13</f>
        <v>0</v>
      </c>
      <c r="O13" s="76">
        <f>'1.ESTIMACIÓN VENTAS'!N13</f>
        <v>0</v>
      </c>
      <c r="P13" s="15">
        <f t="shared" si="0"/>
        <v>0</v>
      </c>
    </row>
    <row r="14" spans="1:16" ht="14.25" customHeight="1"/>
    <row r="15" spans="1:16" ht="14.25" customHeight="1"/>
    <row r="16" spans="1:16" ht="14.25" customHeight="1">
      <c r="A16" s="23" t="s">
        <v>237</v>
      </c>
      <c r="B16" s="5"/>
      <c r="C16" s="5"/>
      <c r="D16" s="5"/>
      <c r="E16" s="5"/>
      <c r="F16" s="5"/>
      <c r="G16" s="5"/>
      <c r="H16" s="5"/>
      <c r="I16" s="5"/>
      <c r="J16" s="5"/>
      <c r="K16" s="5"/>
      <c r="L16" s="5"/>
      <c r="M16" s="5"/>
      <c r="N16" s="5"/>
      <c r="O16" s="5"/>
      <c r="P16" s="6"/>
    </row>
    <row r="17" spans="1:16" ht="14.25" customHeight="1">
      <c r="A17" s="7" t="s">
        <v>9</v>
      </c>
      <c r="B17" s="8" t="s">
        <v>10</v>
      </c>
      <c r="C17" s="25" t="s">
        <v>238</v>
      </c>
      <c r="D17" s="8" t="s">
        <v>11</v>
      </c>
      <c r="E17" s="8" t="s">
        <v>12</v>
      </c>
      <c r="F17" s="8" t="s">
        <v>13</v>
      </c>
      <c r="G17" s="8" t="s">
        <v>14</v>
      </c>
      <c r="H17" s="8" t="s">
        <v>15</v>
      </c>
      <c r="I17" s="8" t="s">
        <v>16</v>
      </c>
      <c r="J17" s="8" t="s">
        <v>17</v>
      </c>
      <c r="K17" s="8" t="s">
        <v>18</v>
      </c>
      <c r="L17" s="8" t="s">
        <v>19</v>
      </c>
      <c r="M17" s="8" t="s">
        <v>20</v>
      </c>
      <c r="N17" s="8" t="s">
        <v>21</v>
      </c>
      <c r="O17" s="8" t="s">
        <v>22</v>
      </c>
      <c r="P17" s="9" t="s">
        <v>23</v>
      </c>
    </row>
    <row r="18" spans="1:16" ht="14.25" customHeight="1">
      <c r="A18" s="10" t="str">
        <f>'4.PRECIOS'!A23</f>
        <v>PRODUCTO 1</v>
      </c>
      <c r="B18" s="16" t="str">
        <f>'4.PRECIOS'!B15</f>
        <v>Patrocinio</v>
      </c>
      <c r="C18" s="45">
        <f>'4.PRECIOS'!G39</f>
        <v>200</v>
      </c>
      <c r="D18" s="37">
        <f t="shared" ref="D18:O18" si="1">D9*$C$18</f>
        <v>1000</v>
      </c>
      <c r="E18" s="37">
        <f t="shared" si="1"/>
        <v>1000</v>
      </c>
      <c r="F18" s="37">
        <f t="shared" si="1"/>
        <v>800</v>
      </c>
      <c r="G18" s="37">
        <f t="shared" si="1"/>
        <v>800</v>
      </c>
      <c r="H18" s="37">
        <f t="shared" si="1"/>
        <v>1200</v>
      </c>
      <c r="I18" s="37">
        <f t="shared" si="1"/>
        <v>1200</v>
      </c>
      <c r="J18" s="37">
        <f t="shared" si="1"/>
        <v>2000</v>
      </c>
      <c r="K18" s="37">
        <f t="shared" si="1"/>
        <v>2000</v>
      </c>
      <c r="L18" s="37">
        <f t="shared" si="1"/>
        <v>2000</v>
      </c>
      <c r="M18" s="37">
        <f t="shared" si="1"/>
        <v>2000</v>
      </c>
      <c r="N18" s="37">
        <f t="shared" si="1"/>
        <v>2800</v>
      </c>
      <c r="O18" s="37">
        <f t="shared" si="1"/>
        <v>3200</v>
      </c>
      <c r="P18" s="59">
        <f t="shared" ref="P18:P23" si="2">SUM(D18:O18)</f>
        <v>20000</v>
      </c>
    </row>
    <row r="19" spans="1:16" ht="14.25" customHeight="1">
      <c r="A19" s="10" t="str">
        <f>'4.PRECIOS'!A24</f>
        <v>PRODUCTO 2</v>
      </c>
      <c r="B19" s="16">
        <f>'4.PRECIOS'!B16</f>
        <v>0</v>
      </c>
      <c r="C19" s="45">
        <f>'4.PRECIOS'!G40</f>
        <v>0</v>
      </c>
      <c r="D19" s="37">
        <f t="shared" ref="D19:O19" si="3">D10*$C$19</f>
        <v>0</v>
      </c>
      <c r="E19" s="37">
        <f t="shared" si="3"/>
        <v>0</v>
      </c>
      <c r="F19" s="37">
        <f t="shared" si="3"/>
        <v>0</v>
      </c>
      <c r="G19" s="37">
        <f t="shared" si="3"/>
        <v>0</v>
      </c>
      <c r="H19" s="37">
        <f t="shared" si="3"/>
        <v>0</v>
      </c>
      <c r="I19" s="37">
        <f t="shared" si="3"/>
        <v>0</v>
      </c>
      <c r="J19" s="37">
        <f t="shared" si="3"/>
        <v>0</v>
      </c>
      <c r="K19" s="37">
        <f t="shared" si="3"/>
        <v>0</v>
      </c>
      <c r="L19" s="37">
        <f t="shared" si="3"/>
        <v>0</v>
      </c>
      <c r="M19" s="37">
        <f t="shared" si="3"/>
        <v>0</v>
      </c>
      <c r="N19" s="37">
        <f t="shared" si="3"/>
        <v>0</v>
      </c>
      <c r="O19" s="37">
        <f t="shared" si="3"/>
        <v>0</v>
      </c>
      <c r="P19" s="59">
        <f t="shared" si="2"/>
        <v>0</v>
      </c>
    </row>
    <row r="20" spans="1:16" ht="14.25" customHeight="1">
      <c r="A20" s="10" t="str">
        <f>'4.PRECIOS'!A25</f>
        <v>PRODUCTO 3</v>
      </c>
      <c r="B20" s="16">
        <f>'4.PRECIOS'!B17</f>
        <v>0</v>
      </c>
      <c r="C20" s="45">
        <f>'4.PRECIOS'!G41</f>
        <v>0</v>
      </c>
      <c r="D20" s="37">
        <f t="shared" ref="D20:O20" si="4">D11*$C$20</f>
        <v>0</v>
      </c>
      <c r="E20" s="37">
        <f t="shared" si="4"/>
        <v>0</v>
      </c>
      <c r="F20" s="37">
        <f t="shared" si="4"/>
        <v>0</v>
      </c>
      <c r="G20" s="37">
        <f t="shared" si="4"/>
        <v>0</v>
      </c>
      <c r="H20" s="37">
        <f t="shared" si="4"/>
        <v>0</v>
      </c>
      <c r="I20" s="37">
        <f t="shared" si="4"/>
        <v>0</v>
      </c>
      <c r="J20" s="37">
        <f t="shared" si="4"/>
        <v>0</v>
      </c>
      <c r="K20" s="37">
        <f t="shared" si="4"/>
        <v>0</v>
      </c>
      <c r="L20" s="37">
        <f t="shared" si="4"/>
        <v>0</v>
      </c>
      <c r="M20" s="37">
        <f t="shared" si="4"/>
        <v>0</v>
      </c>
      <c r="N20" s="37">
        <f t="shared" si="4"/>
        <v>0</v>
      </c>
      <c r="O20" s="37">
        <f t="shared" si="4"/>
        <v>0</v>
      </c>
      <c r="P20" s="59">
        <f t="shared" si="2"/>
        <v>0</v>
      </c>
    </row>
    <row r="21" spans="1:16" ht="14.25" customHeight="1">
      <c r="A21" s="10" t="str">
        <f>'4.PRECIOS'!A26</f>
        <v>PRODUCTO 4</v>
      </c>
      <c r="B21" s="16">
        <f>'4.PRECIOS'!B18</f>
        <v>0</v>
      </c>
      <c r="C21" s="45">
        <f>'4.PRECIOS'!G42</f>
        <v>0</v>
      </c>
      <c r="D21" s="37">
        <f t="shared" ref="D21:O21" si="5">D12*$C$21</f>
        <v>0</v>
      </c>
      <c r="E21" s="37">
        <f t="shared" si="5"/>
        <v>0</v>
      </c>
      <c r="F21" s="37">
        <f t="shared" si="5"/>
        <v>0</v>
      </c>
      <c r="G21" s="37">
        <f t="shared" si="5"/>
        <v>0</v>
      </c>
      <c r="H21" s="37">
        <f t="shared" si="5"/>
        <v>0</v>
      </c>
      <c r="I21" s="37">
        <f t="shared" si="5"/>
        <v>0</v>
      </c>
      <c r="J21" s="37">
        <f t="shared" si="5"/>
        <v>0</v>
      </c>
      <c r="K21" s="37">
        <f t="shared" si="5"/>
        <v>0</v>
      </c>
      <c r="L21" s="37">
        <f t="shared" si="5"/>
        <v>0</v>
      </c>
      <c r="M21" s="37">
        <f t="shared" si="5"/>
        <v>0</v>
      </c>
      <c r="N21" s="37">
        <f t="shared" si="5"/>
        <v>0</v>
      </c>
      <c r="O21" s="37">
        <f t="shared" si="5"/>
        <v>0</v>
      </c>
      <c r="P21" s="59">
        <f t="shared" si="2"/>
        <v>0</v>
      </c>
    </row>
    <row r="22" spans="1:16" ht="14.25" customHeight="1">
      <c r="A22" s="10" t="str">
        <f>'4.PRECIOS'!A27</f>
        <v>PRODUCTO 5</v>
      </c>
      <c r="B22" s="16">
        <f>'4.PRECIOS'!B19</f>
        <v>0</v>
      </c>
      <c r="C22" s="45">
        <f>'4.PRECIOS'!G43</f>
        <v>0</v>
      </c>
      <c r="D22" s="37">
        <f t="shared" ref="D22:O22" si="6">D13*$C$22</f>
        <v>0</v>
      </c>
      <c r="E22" s="37">
        <f t="shared" si="6"/>
        <v>0</v>
      </c>
      <c r="F22" s="37">
        <f t="shared" si="6"/>
        <v>0</v>
      </c>
      <c r="G22" s="37">
        <f t="shared" si="6"/>
        <v>0</v>
      </c>
      <c r="H22" s="37">
        <f t="shared" si="6"/>
        <v>0</v>
      </c>
      <c r="I22" s="37">
        <f t="shared" si="6"/>
        <v>0</v>
      </c>
      <c r="J22" s="37">
        <f t="shared" si="6"/>
        <v>0</v>
      </c>
      <c r="K22" s="37">
        <f t="shared" si="6"/>
        <v>0</v>
      </c>
      <c r="L22" s="37">
        <f t="shared" si="6"/>
        <v>0</v>
      </c>
      <c r="M22" s="37">
        <f t="shared" si="6"/>
        <v>0</v>
      </c>
      <c r="N22" s="37">
        <f t="shared" si="6"/>
        <v>0</v>
      </c>
      <c r="O22" s="37">
        <f t="shared" si="6"/>
        <v>0</v>
      </c>
      <c r="P22" s="59">
        <f t="shared" si="2"/>
        <v>0</v>
      </c>
    </row>
    <row r="23" spans="1:16" ht="14.25" customHeight="1">
      <c r="A23" s="77"/>
      <c r="B23" s="184" t="s">
        <v>23</v>
      </c>
      <c r="C23" s="185"/>
      <c r="D23" s="78">
        <f t="shared" ref="D23:O23" si="7">SUM(D18:D22)</f>
        <v>1000</v>
      </c>
      <c r="E23" s="78">
        <f t="shared" si="7"/>
        <v>1000</v>
      </c>
      <c r="F23" s="78">
        <f t="shared" si="7"/>
        <v>800</v>
      </c>
      <c r="G23" s="78">
        <f t="shared" si="7"/>
        <v>800</v>
      </c>
      <c r="H23" s="78">
        <f t="shared" si="7"/>
        <v>1200</v>
      </c>
      <c r="I23" s="78">
        <f t="shared" si="7"/>
        <v>1200</v>
      </c>
      <c r="J23" s="78">
        <f t="shared" si="7"/>
        <v>2000</v>
      </c>
      <c r="K23" s="78">
        <f t="shared" si="7"/>
        <v>2000</v>
      </c>
      <c r="L23" s="78">
        <f t="shared" si="7"/>
        <v>2000</v>
      </c>
      <c r="M23" s="78">
        <f t="shared" si="7"/>
        <v>2000</v>
      </c>
      <c r="N23" s="78">
        <f t="shared" si="7"/>
        <v>2800</v>
      </c>
      <c r="O23" s="78">
        <f t="shared" si="7"/>
        <v>3200</v>
      </c>
      <c r="P23" s="44">
        <f t="shared" si="2"/>
        <v>20000</v>
      </c>
    </row>
    <row r="24" spans="1:16" ht="14.25" customHeight="1">
      <c r="B24" s="79"/>
      <c r="C24" s="79"/>
      <c r="D24" s="42"/>
      <c r="E24" s="42"/>
      <c r="F24" s="42"/>
      <c r="G24" s="42"/>
      <c r="H24" s="42"/>
      <c r="I24" s="42"/>
      <c r="J24" s="42"/>
      <c r="K24" s="42"/>
      <c r="L24" s="42"/>
      <c r="M24" s="42"/>
      <c r="N24" s="42"/>
      <c r="O24" s="42"/>
      <c r="P24" s="42"/>
    </row>
    <row r="25" spans="1:16" ht="14.25" customHeight="1"/>
    <row r="26" spans="1:16" ht="14.25" customHeight="1">
      <c r="A26" s="23" t="s">
        <v>239</v>
      </c>
      <c r="B26" s="5"/>
      <c r="C26" s="5"/>
      <c r="D26" s="5" t="s">
        <v>240</v>
      </c>
      <c r="E26" s="5"/>
      <c r="F26" s="5"/>
      <c r="G26" s="5"/>
      <c r="H26" s="5"/>
      <c r="I26" s="5"/>
      <c r="J26" s="5"/>
      <c r="K26" s="5"/>
      <c r="L26" s="5"/>
      <c r="M26" s="5"/>
      <c r="N26" s="5"/>
      <c r="O26" s="5"/>
      <c r="P26" s="6"/>
    </row>
    <row r="27" spans="1:16" ht="14.25" customHeight="1">
      <c r="A27" s="24"/>
      <c r="D27" s="8" t="s">
        <v>11</v>
      </c>
      <c r="E27" s="8" t="s">
        <v>12</v>
      </c>
      <c r="F27" s="8" t="s">
        <v>13</v>
      </c>
      <c r="G27" s="8" t="s">
        <v>14</v>
      </c>
      <c r="H27" s="8" t="s">
        <v>15</v>
      </c>
      <c r="I27" s="8" t="s">
        <v>16</v>
      </c>
      <c r="J27" s="8" t="s">
        <v>17</v>
      </c>
      <c r="K27" s="8" t="s">
        <v>18</v>
      </c>
      <c r="L27" s="8" t="s">
        <v>19</v>
      </c>
      <c r="M27" s="8" t="s">
        <v>20</v>
      </c>
      <c r="N27" s="8" t="s">
        <v>21</v>
      </c>
      <c r="O27" s="8" t="s">
        <v>22</v>
      </c>
      <c r="P27" s="9" t="s">
        <v>23</v>
      </c>
    </row>
    <row r="28" spans="1:16" ht="14.25" customHeight="1">
      <c r="A28" s="7" t="s">
        <v>241</v>
      </c>
      <c r="D28" s="68"/>
      <c r="E28" s="68"/>
      <c r="F28" s="68"/>
      <c r="G28" s="68"/>
      <c r="H28" s="68"/>
      <c r="I28" s="68"/>
      <c r="J28" s="68"/>
      <c r="K28" s="68"/>
      <c r="L28" s="68"/>
      <c r="M28" s="68"/>
      <c r="N28" s="68"/>
      <c r="O28" s="68"/>
      <c r="P28" s="80">
        <f t="shared" ref="P28:P29" si="8">SUM(D28:O28)</f>
        <v>0</v>
      </c>
    </row>
    <row r="29" spans="1:16" ht="14.25" customHeight="1">
      <c r="A29" s="7" t="s">
        <v>242</v>
      </c>
      <c r="D29" s="68"/>
      <c r="E29" s="68"/>
      <c r="F29" s="68"/>
      <c r="G29" s="68"/>
      <c r="H29" s="68"/>
      <c r="I29" s="68"/>
      <c r="J29" s="68"/>
      <c r="K29" s="68"/>
      <c r="L29" s="68"/>
      <c r="M29" s="68"/>
      <c r="N29" s="68"/>
      <c r="O29" s="68"/>
      <c r="P29" s="80">
        <f t="shared" si="8"/>
        <v>0</v>
      </c>
    </row>
    <row r="30" spans="1:16" ht="14.25" customHeight="1">
      <c r="A30" s="77"/>
      <c r="B30" s="184" t="s">
        <v>23</v>
      </c>
      <c r="C30" s="185"/>
      <c r="D30" s="78">
        <f t="shared" ref="D30:P30" si="9">SUM(D28:D29)</f>
        <v>0</v>
      </c>
      <c r="E30" s="78">
        <f t="shared" si="9"/>
        <v>0</v>
      </c>
      <c r="F30" s="78">
        <f t="shared" si="9"/>
        <v>0</v>
      </c>
      <c r="G30" s="78">
        <f t="shared" si="9"/>
        <v>0</v>
      </c>
      <c r="H30" s="78">
        <f t="shared" si="9"/>
        <v>0</v>
      </c>
      <c r="I30" s="78">
        <f t="shared" si="9"/>
        <v>0</v>
      </c>
      <c r="J30" s="78">
        <f t="shared" si="9"/>
        <v>0</v>
      </c>
      <c r="K30" s="78">
        <f t="shared" si="9"/>
        <v>0</v>
      </c>
      <c r="L30" s="78">
        <f t="shared" si="9"/>
        <v>0</v>
      </c>
      <c r="M30" s="78">
        <f t="shared" si="9"/>
        <v>0</v>
      </c>
      <c r="N30" s="78">
        <f t="shared" si="9"/>
        <v>0</v>
      </c>
      <c r="O30" s="78">
        <f t="shared" si="9"/>
        <v>0</v>
      </c>
      <c r="P30" s="44">
        <f t="shared" si="9"/>
        <v>0</v>
      </c>
    </row>
    <row r="31" spans="1:16" ht="14.25" customHeight="1">
      <c r="B31" s="79"/>
      <c r="C31" s="79"/>
      <c r="D31" s="42"/>
      <c r="E31" s="42"/>
      <c r="F31" s="42"/>
      <c r="G31" s="42"/>
      <c r="H31" s="42"/>
      <c r="I31" s="42"/>
      <c r="J31" s="42"/>
      <c r="K31" s="42"/>
      <c r="L31" s="42"/>
      <c r="M31" s="42"/>
      <c r="N31" s="42"/>
      <c r="O31" s="42"/>
      <c r="P31" s="42"/>
    </row>
    <row r="32" spans="1:16" ht="14.25" customHeight="1"/>
    <row r="33" spans="1:16" ht="14.25" customHeight="1">
      <c r="A33" s="18" t="s">
        <v>243</v>
      </c>
    </row>
    <row r="34" spans="1:16" ht="14.25" customHeight="1">
      <c r="A34" s="42" t="s">
        <v>244</v>
      </c>
      <c r="K34" s="42"/>
    </row>
    <row r="35" spans="1:16" ht="14.25" customHeight="1">
      <c r="A35" s="25" t="s">
        <v>245</v>
      </c>
      <c r="B35" s="81">
        <v>1</v>
      </c>
      <c r="D35" s="16" t="s">
        <v>246</v>
      </c>
    </row>
    <row r="36" spans="1:16" ht="14.25" customHeight="1">
      <c r="A36" s="25" t="s">
        <v>247</v>
      </c>
      <c r="B36" s="81"/>
      <c r="F36" s="25" t="s">
        <v>248</v>
      </c>
    </row>
    <row r="37" spans="1:16" ht="14.25" customHeight="1">
      <c r="A37" s="25" t="s">
        <v>249</v>
      </c>
      <c r="B37" s="81"/>
      <c r="F37" s="25" t="s">
        <v>250</v>
      </c>
      <c r="G37" s="82"/>
      <c r="I37" s="16" t="s">
        <v>251</v>
      </c>
    </row>
    <row r="38" spans="1:16" ht="14.25" customHeight="1"/>
    <row r="39" spans="1:16" ht="14.25" customHeight="1"/>
    <row r="40" spans="1:16" ht="14.25" customHeight="1">
      <c r="A40" s="18" t="s">
        <v>252</v>
      </c>
    </row>
    <row r="41" spans="1:16" ht="14.25" customHeight="1">
      <c r="D41" s="8" t="s">
        <v>11</v>
      </c>
      <c r="E41" s="8" t="s">
        <v>12</v>
      </c>
      <c r="F41" s="8" t="s">
        <v>13</v>
      </c>
      <c r="G41" s="8" t="s">
        <v>14</v>
      </c>
      <c r="H41" s="8" t="s">
        <v>15</v>
      </c>
      <c r="I41" s="8" t="s">
        <v>16</v>
      </c>
      <c r="J41" s="8" t="s">
        <v>17</v>
      </c>
      <c r="K41" s="8" t="s">
        <v>18</v>
      </c>
      <c r="L41" s="8" t="s">
        <v>19</v>
      </c>
      <c r="M41" s="8" t="s">
        <v>20</v>
      </c>
      <c r="N41" s="8" t="s">
        <v>21</v>
      </c>
      <c r="O41" s="8" t="s">
        <v>22</v>
      </c>
      <c r="P41" s="9" t="s">
        <v>23</v>
      </c>
    </row>
    <row r="42" spans="1:16" ht="14.25" customHeight="1">
      <c r="A42" s="25" t="s">
        <v>253</v>
      </c>
      <c r="D42" s="83">
        <f>((D23+D30)*$B$35)-D46</f>
        <v>1000</v>
      </c>
      <c r="E42" s="83">
        <f t="shared" ref="E42:O42" si="10">(((E23+E30)*$B$35)+D43)-E46</f>
        <v>1000</v>
      </c>
      <c r="F42" s="83">
        <f t="shared" si="10"/>
        <v>800</v>
      </c>
      <c r="G42" s="83">
        <f t="shared" si="10"/>
        <v>800</v>
      </c>
      <c r="H42" s="83">
        <f t="shared" si="10"/>
        <v>1200</v>
      </c>
      <c r="I42" s="83">
        <f t="shared" si="10"/>
        <v>1200</v>
      </c>
      <c r="J42" s="83">
        <f t="shared" si="10"/>
        <v>2000</v>
      </c>
      <c r="K42" s="83">
        <f t="shared" si="10"/>
        <v>2000</v>
      </c>
      <c r="L42" s="83">
        <f t="shared" si="10"/>
        <v>2000</v>
      </c>
      <c r="M42" s="83">
        <f t="shared" si="10"/>
        <v>2000</v>
      </c>
      <c r="N42" s="83">
        <f t="shared" si="10"/>
        <v>2800</v>
      </c>
      <c r="O42" s="83">
        <f t="shared" si="10"/>
        <v>3200</v>
      </c>
      <c r="P42" s="25"/>
    </row>
    <row r="43" spans="1:16" ht="14.25" customHeight="1">
      <c r="A43" s="25" t="s">
        <v>254</v>
      </c>
      <c r="D43" s="75">
        <f>(D23+D30)*$B$36</f>
        <v>0</v>
      </c>
      <c r="E43" s="75">
        <f t="shared" ref="E43:O43" si="11">((E23+E30)*$B$36)+D44</f>
        <v>0</v>
      </c>
      <c r="F43" s="75">
        <f t="shared" si="11"/>
        <v>0</v>
      </c>
      <c r="G43" s="75">
        <f t="shared" si="11"/>
        <v>0</v>
      </c>
      <c r="H43" s="75">
        <f t="shared" si="11"/>
        <v>0</v>
      </c>
      <c r="I43" s="75">
        <f t="shared" si="11"/>
        <v>0</v>
      </c>
      <c r="J43" s="75">
        <f t="shared" si="11"/>
        <v>0</v>
      </c>
      <c r="K43" s="75">
        <f t="shared" si="11"/>
        <v>0</v>
      </c>
      <c r="L43" s="75">
        <f t="shared" si="11"/>
        <v>0</v>
      </c>
      <c r="M43" s="75">
        <f t="shared" si="11"/>
        <v>0</v>
      </c>
      <c r="N43" s="75">
        <f t="shared" si="11"/>
        <v>0</v>
      </c>
      <c r="O43" s="75">
        <f t="shared" si="11"/>
        <v>0</v>
      </c>
    </row>
    <row r="44" spans="1:16" ht="14.25" customHeight="1">
      <c r="A44" s="25" t="s">
        <v>255</v>
      </c>
      <c r="D44" s="75">
        <f t="shared" ref="D44:O44" si="12">(D23+D30)*$B$37</f>
        <v>0</v>
      </c>
      <c r="E44" s="75">
        <f t="shared" si="12"/>
        <v>0</v>
      </c>
      <c r="F44" s="75">
        <f t="shared" si="12"/>
        <v>0</v>
      </c>
      <c r="G44" s="75">
        <f t="shared" si="12"/>
        <v>0</v>
      </c>
      <c r="H44" s="75">
        <f t="shared" si="12"/>
        <v>0</v>
      </c>
      <c r="I44" s="75">
        <f t="shared" si="12"/>
        <v>0</v>
      </c>
      <c r="J44" s="75">
        <f t="shared" si="12"/>
        <v>0</v>
      </c>
      <c r="K44" s="75">
        <f t="shared" si="12"/>
        <v>0</v>
      </c>
      <c r="L44" s="75">
        <f t="shared" si="12"/>
        <v>0</v>
      </c>
      <c r="M44" s="75">
        <f t="shared" si="12"/>
        <v>0</v>
      </c>
      <c r="N44" s="75">
        <f t="shared" si="12"/>
        <v>0</v>
      </c>
      <c r="O44" s="75">
        <f t="shared" si="12"/>
        <v>0</v>
      </c>
    </row>
    <row r="45" spans="1:16" ht="14.25" customHeight="1">
      <c r="A45" s="25" t="s">
        <v>256</v>
      </c>
      <c r="D45" s="83">
        <f t="shared" ref="D45:O45" si="13">SUM(D43:D44)</f>
        <v>0</v>
      </c>
      <c r="E45" s="83">
        <f t="shared" si="13"/>
        <v>0</v>
      </c>
      <c r="F45" s="83">
        <f t="shared" si="13"/>
        <v>0</v>
      </c>
      <c r="G45" s="83">
        <f t="shared" si="13"/>
        <v>0</v>
      </c>
      <c r="H45" s="83">
        <f t="shared" si="13"/>
        <v>0</v>
      </c>
      <c r="I45" s="83">
        <f t="shared" si="13"/>
        <v>0</v>
      </c>
      <c r="J45" s="83">
        <f t="shared" si="13"/>
        <v>0</v>
      </c>
      <c r="K45" s="83">
        <f t="shared" si="13"/>
        <v>0</v>
      </c>
      <c r="L45" s="83">
        <f t="shared" si="13"/>
        <v>0</v>
      </c>
      <c r="M45" s="83">
        <f t="shared" si="13"/>
        <v>0</v>
      </c>
      <c r="N45" s="83">
        <f t="shared" si="13"/>
        <v>0</v>
      </c>
      <c r="O45" s="83">
        <f t="shared" si="13"/>
        <v>0</v>
      </c>
    </row>
    <row r="46" spans="1:16" ht="14.25" customHeight="1">
      <c r="A46" s="7" t="s">
        <v>257</v>
      </c>
      <c r="D46" s="37">
        <f t="shared" ref="D46:O46" si="14">(D23+D30)*$B$35*$G$37</f>
        <v>0</v>
      </c>
      <c r="E46" s="37">
        <f t="shared" si="14"/>
        <v>0</v>
      </c>
      <c r="F46" s="37">
        <f t="shared" si="14"/>
        <v>0</v>
      </c>
      <c r="G46" s="37">
        <f t="shared" si="14"/>
        <v>0</v>
      </c>
      <c r="H46" s="37">
        <f t="shared" si="14"/>
        <v>0</v>
      </c>
      <c r="I46" s="37">
        <f t="shared" si="14"/>
        <v>0</v>
      </c>
      <c r="J46" s="37">
        <f t="shared" si="14"/>
        <v>0</v>
      </c>
      <c r="K46" s="37">
        <f t="shared" si="14"/>
        <v>0</v>
      </c>
      <c r="L46" s="37">
        <f t="shared" si="14"/>
        <v>0</v>
      </c>
      <c r="M46" s="37">
        <f t="shared" si="14"/>
        <v>0</v>
      </c>
      <c r="N46" s="37">
        <f t="shared" si="14"/>
        <v>0</v>
      </c>
      <c r="O46" s="37">
        <f t="shared" si="14"/>
        <v>0</v>
      </c>
      <c r="P46" s="37">
        <f>SUM(D46:O46)</f>
        <v>0</v>
      </c>
    </row>
    <row r="47" spans="1:16" ht="14.25" customHeight="1"/>
    <row r="48" spans="1:1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I4"/>
    <mergeCell ref="B23:C23"/>
    <mergeCell ref="B30:C30"/>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sqref="A1:G5"/>
    </sheetView>
  </sheetViews>
  <sheetFormatPr baseColWidth="10" defaultColWidth="14.44140625" defaultRowHeight="15" customHeight="1"/>
  <cols>
    <col min="1" max="1" width="12.5546875" customWidth="1"/>
    <col min="2" max="2" width="10.6640625" customWidth="1"/>
    <col min="3" max="3" width="15.109375" customWidth="1"/>
    <col min="4" max="16" width="10.6640625" customWidth="1"/>
    <col min="17" max="26" width="9.109375" customWidth="1"/>
  </cols>
  <sheetData>
    <row r="1" spans="1:16" ht="15" customHeight="1">
      <c r="A1" s="178" t="s">
        <v>258</v>
      </c>
      <c r="B1" s="168"/>
      <c r="C1" s="168"/>
      <c r="D1" s="168"/>
      <c r="E1" s="168"/>
      <c r="F1" s="168"/>
      <c r="G1" s="169"/>
    </row>
    <row r="2" spans="1:16" ht="14.25" customHeight="1">
      <c r="A2" s="170"/>
      <c r="B2" s="166"/>
      <c r="C2" s="166"/>
      <c r="D2" s="166"/>
      <c r="E2" s="166"/>
      <c r="F2" s="166"/>
      <c r="G2" s="171"/>
    </row>
    <row r="3" spans="1:16" ht="14.25" customHeight="1">
      <c r="A3" s="170"/>
      <c r="B3" s="166"/>
      <c r="C3" s="166"/>
      <c r="D3" s="166"/>
      <c r="E3" s="166"/>
      <c r="F3" s="166"/>
      <c r="G3" s="171"/>
    </row>
    <row r="4" spans="1:16" ht="14.25" customHeight="1">
      <c r="A4" s="170"/>
      <c r="B4" s="166"/>
      <c r="C4" s="166"/>
      <c r="D4" s="166"/>
      <c r="E4" s="166"/>
      <c r="F4" s="166"/>
      <c r="G4" s="171"/>
    </row>
    <row r="5" spans="1:16" ht="14.25" customHeight="1">
      <c r="A5" s="172"/>
      <c r="B5" s="173"/>
      <c r="C5" s="173"/>
      <c r="D5" s="173"/>
      <c r="E5" s="173"/>
      <c r="F5" s="173"/>
      <c r="G5" s="174"/>
    </row>
    <row r="6" spans="1:16" ht="14.25" customHeight="1"/>
    <row r="7" spans="1:16" ht="14.25" customHeight="1"/>
    <row r="8" spans="1:16" ht="14.25" customHeight="1">
      <c r="A8" s="23" t="s">
        <v>259</v>
      </c>
      <c r="B8" s="5"/>
      <c r="C8" s="5"/>
      <c r="D8" s="5"/>
      <c r="E8" s="5"/>
      <c r="F8" s="5"/>
      <c r="G8" s="5"/>
      <c r="H8" s="5"/>
      <c r="I8" s="5"/>
      <c r="J8" s="5"/>
      <c r="K8" s="5"/>
      <c r="L8" s="5"/>
      <c r="M8" s="5"/>
      <c r="N8" s="5"/>
      <c r="O8" s="5"/>
      <c r="P8" s="6"/>
    </row>
    <row r="9" spans="1:16" ht="14.25" customHeight="1">
      <c r="A9" s="7" t="s">
        <v>9</v>
      </c>
      <c r="B9" s="25" t="s">
        <v>10</v>
      </c>
      <c r="C9" s="25" t="s">
        <v>260</v>
      </c>
      <c r="D9" s="8" t="s">
        <v>11</v>
      </c>
      <c r="E9" s="8" t="s">
        <v>12</v>
      </c>
      <c r="F9" s="8" t="s">
        <v>13</v>
      </c>
      <c r="G9" s="8" t="s">
        <v>14</v>
      </c>
      <c r="H9" s="8" t="s">
        <v>15</v>
      </c>
      <c r="I9" s="8" t="s">
        <v>16</v>
      </c>
      <c r="J9" s="8" t="s">
        <v>17</v>
      </c>
      <c r="K9" s="8" t="s">
        <v>18</v>
      </c>
      <c r="L9" s="8" t="s">
        <v>19</v>
      </c>
      <c r="M9" s="8" t="s">
        <v>20</v>
      </c>
      <c r="N9" s="8" t="s">
        <v>21</v>
      </c>
      <c r="O9" s="8" t="s">
        <v>22</v>
      </c>
      <c r="P9" s="9" t="s">
        <v>23</v>
      </c>
    </row>
    <row r="10" spans="1:16" ht="14.25" customHeight="1">
      <c r="A10" s="24" t="str">
        <f>'4.PRECIOS'!A23</f>
        <v>PRODUCTO 1</v>
      </c>
      <c r="B10" s="16" t="str">
        <f>'4.PRECIOS'!B23</f>
        <v>Patrocinio</v>
      </c>
      <c r="C10" s="45">
        <f>'3.COSTES'!J7</f>
        <v>0</v>
      </c>
      <c r="D10" s="16">
        <f>$C$10*'11.INGRESOS'!D9</f>
        <v>0</v>
      </c>
      <c r="E10" s="16">
        <f>$C$10*'11.INGRESOS'!E9</f>
        <v>0</v>
      </c>
      <c r="F10" s="16">
        <f>$C$10*'11.INGRESOS'!F9</f>
        <v>0</v>
      </c>
      <c r="G10" s="16">
        <f>$C$10*'11.INGRESOS'!G9</f>
        <v>0</v>
      </c>
      <c r="H10" s="16">
        <f>$C$10*'11.INGRESOS'!H9</f>
        <v>0</v>
      </c>
      <c r="I10" s="16">
        <f>$C$10*'11.INGRESOS'!I9</f>
        <v>0</v>
      </c>
      <c r="J10" s="16">
        <f>$C$10*'11.INGRESOS'!J9</f>
        <v>0</v>
      </c>
      <c r="K10" s="16">
        <f>$C$10*'11.INGRESOS'!K9</f>
        <v>0</v>
      </c>
      <c r="L10" s="16">
        <f>$C$10*'11.INGRESOS'!L9</f>
        <v>0</v>
      </c>
      <c r="M10" s="16">
        <f>$C$10*'11.INGRESOS'!M9</f>
        <v>0</v>
      </c>
      <c r="N10" s="16">
        <f>$C$10*'11.INGRESOS'!N9</f>
        <v>0</v>
      </c>
      <c r="O10" s="16">
        <f>$C$10*'11.INGRESOS'!O9</f>
        <v>0</v>
      </c>
      <c r="P10" s="84">
        <f t="shared" ref="P10:P15" si="0">SUM(D10:O10)</f>
        <v>0</v>
      </c>
    </row>
    <row r="11" spans="1:16" ht="14.25" customHeight="1">
      <c r="A11" s="24" t="str">
        <f>'4.PRECIOS'!A24</f>
        <v>PRODUCTO 2</v>
      </c>
      <c r="B11" s="16">
        <f>'4.PRECIOS'!B24</f>
        <v>0</v>
      </c>
      <c r="C11" s="45">
        <f>'3.COSTES'!J14</f>
        <v>0</v>
      </c>
      <c r="D11" s="16">
        <f>$C$11*'11.INGRESOS'!D10</f>
        <v>0</v>
      </c>
      <c r="E11" s="16">
        <f>$C$11*'11.INGRESOS'!E10</f>
        <v>0</v>
      </c>
      <c r="F11" s="16">
        <f>$C$11*'11.INGRESOS'!F10</f>
        <v>0</v>
      </c>
      <c r="G11" s="16">
        <f>$C$11*'11.INGRESOS'!G10</f>
        <v>0</v>
      </c>
      <c r="H11" s="16">
        <f>$C$11*'11.INGRESOS'!H10</f>
        <v>0</v>
      </c>
      <c r="I11" s="16">
        <f>$C$11*'11.INGRESOS'!I10</f>
        <v>0</v>
      </c>
      <c r="J11" s="16">
        <f>$C$11*'11.INGRESOS'!J10</f>
        <v>0</v>
      </c>
      <c r="K11" s="16">
        <f>$C$11*'11.INGRESOS'!K10</f>
        <v>0</v>
      </c>
      <c r="L11" s="16">
        <f>$C$11*'11.INGRESOS'!L10</f>
        <v>0</v>
      </c>
      <c r="M11" s="16">
        <f>$C$11*'11.INGRESOS'!M10</f>
        <v>0</v>
      </c>
      <c r="N11" s="16">
        <f>$C$11*'11.INGRESOS'!N10</f>
        <v>0</v>
      </c>
      <c r="O11" s="16">
        <f>$C$11*'11.INGRESOS'!O10</f>
        <v>0</v>
      </c>
      <c r="P11" s="84">
        <f t="shared" si="0"/>
        <v>0</v>
      </c>
    </row>
    <row r="12" spans="1:16" ht="14.25" customHeight="1">
      <c r="A12" s="24" t="str">
        <f>'4.PRECIOS'!A25</f>
        <v>PRODUCTO 3</v>
      </c>
      <c r="B12" s="16">
        <f>'4.PRECIOS'!B25</f>
        <v>0</v>
      </c>
      <c r="C12" s="45">
        <f>'3.COSTES'!J22</f>
        <v>0</v>
      </c>
      <c r="D12" s="16">
        <f>$C$12*'11.INGRESOS'!D11</f>
        <v>0</v>
      </c>
      <c r="E12" s="16">
        <f>$C$12*'11.INGRESOS'!E11</f>
        <v>0</v>
      </c>
      <c r="F12" s="16">
        <f>$C$12*'11.INGRESOS'!F11</f>
        <v>0</v>
      </c>
      <c r="G12" s="16">
        <f>$C$12*'11.INGRESOS'!G11</f>
        <v>0</v>
      </c>
      <c r="H12" s="16">
        <f>$C$12*'11.INGRESOS'!H11</f>
        <v>0</v>
      </c>
      <c r="I12" s="16">
        <f>$C$12*'11.INGRESOS'!I11</f>
        <v>0</v>
      </c>
      <c r="J12" s="16">
        <f>$C$12*'11.INGRESOS'!J11</f>
        <v>0</v>
      </c>
      <c r="K12" s="16">
        <f>$C$12*'11.INGRESOS'!K11</f>
        <v>0</v>
      </c>
      <c r="L12" s="16">
        <f>$C$12*'11.INGRESOS'!L11</f>
        <v>0</v>
      </c>
      <c r="M12" s="16">
        <f>$C$12*'11.INGRESOS'!M11</f>
        <v>0</v>
      </c>
      <c r="N12" s="16">
        <f>$C$12*'11.INGRESOS'!N11</f>
        <v>0</v>
      </c>
      <c r="O12" s="16">
        <f>$C$12*'11.INGRESOS'!O11</f>
        <v>0</v>
      </c>
      <c r="P12" s="84">
        <f t="shared" si="0"/>
        <v>0</v>
      </c>
    </row>
    <row r="13" spans="1:16" ht="14.25" customHeight="1">
      <c r="A13" s="24" t="str">
        <f>'4.PRECIOS'!A26</f>
        <v>PRODUCTO 4</v>
      </c>
      <c r="B13" s="16">
        <f>'4.PRECIOS'!B26</f>
        <v>0</v>
      </c>
      <c r="C13" s="45">
        <f>'3.COSTES'!J29</f>
        <v>0</v>
      </c>
      <c r="D13" s="16">
        <f>$C$13*'11.INGRESOS'!D12</f>
        <v>0</v>
      </c>
      <c r="E13" s="16">
        <f>$C$13*'11.INGRESOS'!E12</f>
        <v>0</v>
      </c>
      <c r="F13" s="16">
        <f>$C$13*'11.INGRESOS'!F12</f>
        <v>0</v>
      </c>
      <c r="G13" s="16">
        <f>$C$13*'11.INGRESOS'!G12</f>
        <v>0</v>
      </c>
      <c r="H13" s="16">
        <f>$C$13*'11.INGRESOS'!H12</f>
        <v>0</v>
      </c>
      <c r="I13" s="16">
        <f>$C$13*'11.INGRESOS'!I12</f>
        <v>0</v>
      </c>
      <c r="J13" s="16">
        <f>$C$13*'11.INGRESOS'!J12</f>
        <v>0</v>
      </c>
      <c r="K13" s="16">
        <f>$C$13*'11.INGRESOS'!K12</f>
        <v>0</v>
      </c>
      <c r="L13" s="16">
        <f>$C$13*'11.INGRESOS'!L12</f>
        <v>0</v>
      </c>
      <c r="M13" s="16">
        <f>$C$13*'11.INGRESOS'!M12</f>
        <v>0</v>
      </c>
      <c r="N13" s="16">
        <f>$C$13*'11.INGRESOS'!N12</f>
        <v>0</v>
      </c>
      <c r="O13" s="16">
        <f>$C$13*'11.INGRESOS'!O12</f>
        <v>0</v>
      </c>
      <c r="P13" s="84">
        <f t="shared" si="0"/>
        <v>0</v>
      </c>
    </row>
    <row r="14" spans="1:16" ht="14.25" customHeight="1">
      <c r="A14" s="24" t="str">
        <f>'4.PRECIOS'!A27</f>
        <v>PRODUCTO 5</v>
      </c>
      <c r="B14" s="16">
        <f>'4.PRECIOS'!B27</f>
        <v>0</v>
      </c>
      <c r="C14" s="45">
        <f>'3.COSTES'!J36</f>
        <v>0</v>
      </c>
      <c r="D14" s="16">
        <f>$C$14*'11.INGRESOS'!D13</f>
        <v>0</v>
      </c>
      <c r="E14" s="16">
        <f>$C$14*'11.INGRESOS'!E13</f>
        <v>0</v>
      </c>
      <c r="F14" s="16">
        <f>$C$14*'11.INGRESOS'!F13</f>
        <v>0</v>
      </c>
      <c r="G14" s="16">
        <f>$C$14*'11.INGRESOS'!G13</f>
        <v>0</v>
      </c>
      <c r="H14" s="16">
        <f>$C$14*'11.INGRESOS'!H13</f>
        <v>0</v>
      </c>
      <c r="I14" s="16">
        <f>$C$14*'11.INGRESOS'!I13</f>
        <v>0</v>
      </c>
      <c r="J14" s="16">
        <f>$C$14*'11.INGRESOS'!J13</f>
        <v>0</v>
      </c>
      <c r="K14" s="16">
        <f>$C$14*'11.INGRESOS'!K13</f>
        <v>0</v>
      </c>
      <c r="L14" s="16">
        <f>$C$14*'11.INGRESOS'!L13</f>
        <v>0</v>
      </c>
      <c r="M14" s="16">
        <f>$C$14*'11.INGRESOS'!M13</f>
        <v>0</v>
      </c>
      <c r="N14" s="16">
        <f>$C$14*'11.INGRESOS'!N13</f>
        <v>0</v>
      </c>
      <c r="O14" s="16">
        <f>$C$14*'11.INGRESOS'!O13</f>
        <v>0</v>
      </c>
      <c r="P14" s="84">
        <f t="shared" si="0"/>
        <v>0</v>
      </c>
    </row>
    <row r="15" spans="1:16" ht="14.25" customHeight="1">
      <c r="A15" s="77"/>
      <c r="B15" s="186" t="s">
        <v>23</v>
      </c>
      <c r="C15" s="185"/>
      <c r="D15" s="85">
        <f t="shared" ref="D15:O15" si="1">SUM(D10:D14)</f>
        <v>0</v>
      </c>
      <c r="E15" s="85">
        <f t="shared" si="1"/>
        <v>0</v>
      </c>
      <c r="F15" s="85">
        <f t="shared" si="1"/>
        <v>0</v>
      </c>
      <c r="G15" s="85">
        <f t="shared" si="1"/>
        <v>0</v>
      </c>
      <c r="H15" s="85">
        <f t="shared" si="1"/>
        <v>0</v>
      </c>
      <c r="I15" s="85">
        <f t="shared" si="1"/>
        <v>0</v>
      </c>
      <c r="J15" s="85">
        <f t="shared" si="1"/>
        <v>0</v>
      </c>
      <c r="K15" s="85">
        <f t="shared" si="1"/>
        <v>0</v>
      </c>
      <c r="L15" s="85">
        <f t="shared" si="1"/>
        <v>0</v>
      </c>
      <c r="M15" s="85">
        <f t="shared" si="1"/>
        <v>0</v>
      </c>
      <c r="N15" s="85">
        <f t="shared" si="1"/>
        <v>0</v>
      </c>
      <c r="O15" s="85">
        <f t="shared" si="1"/>
        <v>0</v>
      </c>
      <c r="P15" s="86">
        <f t="shared" si="0"/>
        <v>0</v>
      </c>
    </row>
    <row r="16" spans="1:16" ht="14.25" customHeight="1"/>
    <row r="17" spans="1:16" ht="14.25" customHeight="1"/>
    <row r="18" spans="1:16" ht="14.25" customHeight="1">
      <c r="A18" s="23" t="s">
        <v>261</v>
      </c>
      <c r="B18" s="5"/>
      <c r="C18" s="5"/>
      <c r="D18" s="5"/>
      <c r="E18" s="5"/>
      <c r="F18" s="5"/>
      <c r="G18" s="5"/>
      <c r="H18" s="5"/>
      <c r="I18" s="5"/>
      <c r="J18" s="5"/>
      <c r="K18" s="5"/>
      <c r="L18" s="5"/>
      <c r="M18" s="5"/>
      <c r="N18" s="5"/>
      <c r="O18" s="5"/>
      <c r="P18" s="6"/>
    </row>
    <row r="19" spans="1:16" ht="14.25" customHeight="1">
      <c r="A19" s="7" t="s">
        <v>9</v>
      </c>
      <c r="B19" s="25" t="s">
        <v>10</v>
      </c>
      <c r="C19" s="25" t="s">
        <v>260</v>
      </c>
      <c r="D19" s="8" t="s">
        <v>11</v>
      </c>
      <c r="E19" s="8" t="s">
        <v>12</v>
      </c>
      <c r="F19" s="8" t="s">
        <v>13</v>
      </c>
      <c r="G19" s="8" t="s">
        <v>14</v>
      </c>
      <c r="H19" s="8" t="s">
        <v>15</v>
      </c>
      <c r="I19" s="8" t="s">
        <v>16</v>
      </c>
      <c r="J19" s="8" t="s">
        <v>17</v>
      </c>
      <c r="K19" s="8" t="s">
        <v>18</v>
      </c>
      <c r="L19" s="8" t="s">
        <v>19</v>
      </c>
      <c r="M19" s="8" t="s">
        <v>20</v>
      </c>
      <c r="N19" s="8" t="s">
        <v>21</v>
      </c>
      <c r="O19" s="8" t="s">
        <v>22</v>
      </c>
      <c r="P19" s="9" t="s">
        <v>23</v>
      </c>
    </row>
    <row r="20" spans="1:16" ht="14.25" customHeight="1">
      <c r="A20" s="24" t="str">
        <f>'4.PRECIOS'!A23</f>
        <v>PRODUCTO 1</v>
      </c>
      <c r="B20" s="16" t="str">
        <f>'4.PRECIOS'!B23</f>
        <v>Patrocinio</v>
      </c>
      <c r="C20" s="45">
        <f>'3.COSTES'!J8</f>
        <v>0</v>
      </c>
      <c r="D20" s="16">
        <f>'12.GASTOS'!$C20*'11.INGRESOS'!D9</f>
        <v>0</v>
      </c>
      <c r="E20" s="16">
        <f>'12.GASTOS'!$C20*'11.INGRESOS'!E9</f>
        <v>0</v>
      </c>
      <c r="F20" s="16">
        <f>'12.GASTOS'!$C20*'11.INGRESOS'!F9</f>
        <v>0</v>
      </c>
      <c r="G20" s="16">
        <f>'12.GASTOS'!$C20*'11.INGRESOS'!G9</f>
        <v>0</v>
      </c>
      <c r="H20" s="16">
        <f>'12.GASTOS'!$C20*'11.INGRESOS'!H9</f>
        <v>0</v>
      </c>
      <c r="I20" s="16">
        <f>'12.GASTOS'!$C20*'11.INGRESOS'!I9</f>
        <v>0</v>
      </c>
      <c r="J20" s="16">
        <f>'12.GASTOS'!$C20*'11.INGRESOS'!J9</f>
        <v>0</v>
      </c>
      <c r="K20" s="16">
        <f>'12.GASTOS'!$C20*'11.INGRESOS'!K9</f>
        <v>0</v>
      </c>
      <c r="L20" s="16">
        <f>'12.GASTOS'!$C20*'11.INGRESOS'!L9</f>
        <v>0</v>
      </c>
      <c r="M20" s="16">
        <f>'12.GASTOS'!$C20*'11.INGRESOS'!M9</f>
        <v>0</v>
      </c>
      <c r="N20" s="16">
        <f>'12.GASTOS'!$C20*'11.INGRESOS'!N9</f>
        <v>0</v>
      </c>
      <c r="O20" s="16">
        <f>'12.GASTOS'!$C20*'11.INGRESOS'!O9</f>
        <v>0</v>
      </c>
      <c r="P20" s="84">
        <f t="shared" ref="P20:P25" si="2">SUM(D20:O20)</f>
        <v>0</v>
      </c>
    </row>
    <row r="21" spans="1:16" ht="14.25" customHeight="1">
      <c r="A21" s="24" t="str">
        <f>'4.PRECIOS'!A24</f>
        <v>PRODUCTO 2</v>
      </c>
      <c r="B21" s="16">
        <f>'4.PRECIOS'!B24</f>
        <v>0</v>
      </c>
      <c r="C21" s="45">
        <f>'3.COSTES'!J15</f>
        <v>0</v>
      </c>
      <c r="D21" s="16">
        <f>'12.GASTOS'!$C21*'11.INGRESOS'!D10</f>
        <v>0</v>
      </c>
      <c r="E21" s="16">
        <f>'12.GASTOS'!$C21*'11.INGRESOS'!E10</f>
        <v>0</v>
      </c>
      <c r="F21" s="16">
        <f>'12.GASTOS'!$C21*'11.INGRESOS'!F10</f>
        <v>0</v>
      </c>
      <c r="G21" s="16">
        <f>'12.GASTOS'!$C21*'11.INGRESOS'!G10</f>
        <v>0</v>
      </c>
      <c r="H21" s="16">
        <f>'12.GASTOS'!$C21*'11.INGRESOS'!H10</f>
        <v>0</v>
      </c>
      <c r="I21" s="16">
        <f>'12.GASTOS'!$C21*'11.INGRESOS'!I10</f>
        <v>0</v>
      </c>
      <c r="J21" s="16">
        <f>'12.GASTOS'!$C21*'11.INGRESOS'!J10</f>
        <v>0</v>
      </c>
      <c r="K21" s="16">
        <f>'12.GASTOS'!$C21*'11.INGRESOS'!K10</f>
        <v>0</v>
      </c>
      <c r="L21" s="16">
        <f>'12.GASTOS'!$C21*'11.INGRESOS'!L10</f>
        <v>0</v>
      </c>
      <c r="M21" s="16">
        <f>'12.GASTOS'!$C21*'11.INGRESOS'!M10</f>
        <v>0</v>
      </c>
      <c r="N21" s="16">
        <f>'12.GASTOS'!$C21*'11.INGRESOS'!N10</f>
        <v>0</v>
      </c>
      <c r="O21" s="16">
        <f>'12.GASTOS'!$C21*'11.INGRESOS'!O10</f>
        <v>0</v>
      </c>
      <c r="P21" s="84">
        <f t="shared" si="2"/>
        <v>0</v>
      </c>
    </row>
    <row r="22" spans="1:16" ht="14.25" customHeight="1">
      <c r="A22" s="24" t="str">
        <f>'4.PRECIOS'!A25</f>
        <v>PRODUCTO 3</v>
      </c>
      <c r="B22" s="16">
        <f>'4.PRECIOS'!B25</f>
        <v>0</v>
      </c>
      <c r="C22" s="45">
        <f>'3.COSTES'!J23</f>
        <v>0</v>
      </c>
      <c r="D22" s="16">
        <f>'12.GASTOS'!$C22*'11.INGRESOS'!D11</f>
        <v>0</v>
      </c>
      <c r="E22" s="16">
        <f>'12.GASTOS'!$C22*'11.INGRESOS'!E11</f>
        <v>0</v>
      </c>
      <c r="F22" s="16">
        <f>'12.GASTOS'!$C22*'11.INGRESOS'!F11</f>
        <v>0</v>
      </c>
      <c r="G22" s="16">
        <f>'12.GASTOS'!$C22*'11.INGRESOS'!G11</f>
        <v>0</v>
      </c>
      <c r="H22" s="16">
        <f>'12.GASTOS'!$C22*'11.INGRESOS'!H11</f>
        <v>0</v>
      </c>
      <c r="I22" s="16">
        <f>'12.GASTOS'!$C22*'11.INGRESOS'!I11</f>
        <v>0</v>
      </c>
      <c r="J22" s="16">
        <f>'12.GASTOS'!$C22*'11.INGRESOS'!J11</f>
        <v>0</v>
      </c>
      <c r="K22" s="16">
        <f>'12.GASTOS'!$C22*'11.INGRESOS'!K11</f>
        <v>0</v>
      </c>
      <c r="L22" s="16">
        <f>'12.GASTOS'!$C22*'11.INGRESOS'!L11</f>
        <v>0</v>
      </c>
      <c r="M22" s="16">
        <f>'12.GASTOS'!$C22*'11.INGRESOS'!M11</f>
        <v>0</v>
      </c>
      <c r="N22" s="16">
        <f>'12.GASTOS'!$C22*'11.INGRESOS'!N11</f>
        <v>0</v>
      </c>
      <c r="O22" s="16">
        <f>'12.GASTOS'!$C22*'11.INGRESOS'!O11</f>
        <v>0</v>
      </c>
      <c r="P22" s="84">
        <f t="shared" si="2"/>
        <v>0</v>
      </c>
    </row>
    <row r="23" spans="1:16" ht="14.25" customHeight="1">
      <c r="A23" s="24" t="str">
        <f>'4.PRECIOS'!A26</f>
        <v>PRODUCTO 4</v>
      </c>
      <c r="B23" s="16">
        <f>'4.PRECIOS'!B26</f>
        <v>0</v>
      </c>
      <c r="C23" s="45">
        <f>'3.COSTES'!J30</f>
        <v>0</v>
      </c>
      <c r="D23" s="16">
        <f>'12.GASTOS'!$C23*'11.INGRESOS'!D12</f>
        <v>0</v>
      </c>
      <c r="E23" s="16">
        <f>'12.GASTOS'!$C23*'11.INGRESOS'!E12</f>
        <v>0</v>
      </c>
      <c r="F23" s="16">
        <f>'12.GASTOS'!$C23*'11.INGRESOS'!F12</f>
        <v>0</v>
      </c>
      <c r="G23" s="16">
        <f>'12.GASTOS'!$C23*'11.INGRESOS'!G12</f>
        <v>0</v>
      </c>
      <c r="H23" s="16">
        <f>'12.GASTOS'!$C23*'11.INGRESOS'!H12</f>
        <v>0</v>
      </c>
      <c r="I23" s="16">
        <f>'12.GASTOS'!$C23*'11.INGRESOS'!I12</f>
        <v>0</v>
      </c>
      <c r="J23" s="16">
        <f>'12.GASTOS'!$C23*'11.INGRESOS'!J12</f>
        <v>0</v>
      </c>
      <c r="K23" s="16">
        <f>'12.GASTOS'!$C23*'11.INGRESOS'!K12</f>
        <v>0</v>
      </c>
      <c r="L23" s="16">
        <f>'12.GASTOS'!$C23*'11.INGRESOS'!L12</f>
        <v>0</v>
      </c>
      <c r="M23" s="16">
        <f>'12.GASTOS'!$C23*'11.INGRESOS'!M12</f>
        <v>0</v>
      </c>
      <c r="N23" s="16">
        <f>'12.GASTOS'!$C23*'11.INGRESOS'!N12</f>
        <v>0</v>
      </c>
      <c r="O23" s="16">
        <f>'12.GASTOS'!$C23*'11.INGRESOS'!O12</f>
        <v>0</v>
      </c>
      <c r="P23" s="84">
        <f t="shared" si="2"/>
        <v>0</v>
      </c>
    </row>
    <row r="24" spans="1:16" ht="14.25" customHeight="1">
      <c r="A24" s="24" t="str">
        <f>'4.PRECIOS'!A27</f>
        <v>PRODUCTO 5</v>
      </c>
      <c r="B24" s="16">
        <f>'4.PRECIOS'!B27</f>
        <v>0</v>
      </c>
      <c r="C24" s="45">
        <f>'3.COSTES'!J37</f>
        <v>0</v>
      </c>
      <c r="D24" s="16">
        <f>'12.GASTOS'!$C24*'11.INGRESOS'!D13</f>
        <v>0</v>
      </c>
      <c r="E24" s="16">
        <f>'12.GASTOS'!$C24*'11.INGRESOS'!E13</f>
        <v>0</v>
      </c>
      <c r="F24" s="16">
        <f>'12.GASTOS'!$C24*'11.INGRESOS'!F13</f>
        <v>0</v>
      </c>
      <c r="G24" s="16">
        <f>'12.GASTOS'!$C24*'11.INGRESOS'!G13</f>
        <v>0</v>
      </c>
      <c r="H24" s="16">
        <f>'12.GASTOS'!$C24*'11.INGRESOS'!H13</f>
        <v>0</v>
      </c>
      <c r="I24" s="16">
        <f>'12.GASTOS'!$C24*'11.INGRESOS'!I13</f>
        <v>0</v>
      </c>
      <c r="J24" s="16">
        <f>'12.GASTOS'!$C24*'11.INGRESOS'!J13</f>
        <v>0</v>
      </c>
      <c r="K24" s="16">
        <f>'12.GASTOS'!$C24*'11.INGRESOS'!K13</f>
        <v>0</v>
      </c>
      <c r="L24" s="16">
        <f>'12.GASTOS'!$C24*'11.INGRESOS'!L13</f>
        <v>0</v>
      </c>
      <c r="M24" s="16">
        <f>'12.GASTOS'!$C24*'11.INGRESOS'!M13</f>
        <v>0</v>
      </c>
      <c r="N24" s="16">
        <f>'12.GASTOS'!$C24*'11.INGRESOS'!N13</f>
        <v>0</v>
      </c>
      <c r="O24" s="16">
        <f>'12.GASTOS'!$C24*'11.INGRESOS'!O13</f>
        <v>0</v>
      </c>
      <c r="P24" s="84">
        <f t="shared" si="2"/>
        <v>0</v>
      </c>
    </row>
    <row r="25" spans="1:16" ht="14.25" customHeight="1">
      <c r="A25" s="77"/>
      <c r="B25" s="186" t="s">
        <v>23</v>
      </c>
      <c r="C25" s="185"/>
      <c r="D25" s="85">
        <f t="shared" ref="D25:O25" si="3">SUM(D20:D24)</f>
        <v>0</v>
      </c>
      <c r="E25" s="85">
        <f t="shared" si="3"/>
        <v>0</v>
      </c>
      <c r="F25" s="85">
        <f t="shared" si="3"/>
        <v>0</v>
      </c>
      <c r="G25" s="85">
        <f t="shared" si="3"/>
        <v>0</v>
      </c>
      <c r="H25" s="85">
        <f t="shared" si="3"/>
        <v>0</v>
      </c>
      <c r="I25" s="85">
        <f t="shared" si="3"/>
        <v>0</v>
      </c>
      <c r="J25" s="85">
        <f t="shared" si="3"/>
        <v>0</v>
      </c>
      <c r="K25" s="85">
        <f t="shared" si="3"/>
        <v>0</v>
      </c>
      <c r="L25" s="85">
        <f t="shared" si="3"/>
        <v>0</v>
      </c>
      <c r="M25" s="85">
        <f t="shared" si="3"/>
        <v>0</v>
      </c>
      <c r="N25" s="85">
        <f t="shared" si="3"/>
        <v>0</v>
      </c>
      <c r="O25" s="85">
        <f t="shared" si="3"/>
        <v>0</v>
      </c>
      <c r="P25" s="86">
        <f t="shared" si="2"/>
        <v>0</v>
      </c>
    </row>
    <row r="26" spans="1:16" ht="14.25" customHeight="1">
      <c r="C26" s="187"/>
      <c r="D26" s="166"/>
    </row>
    <row r="27" spans="1:16" ht="14.25" customHeight="1"/>
    <row r="28" spans="1:16" ht="14.25" customHeight="1">
      <c r="A28" s="23" t="s">
        <v>262</v>
      </c>
      <c r="B28" s="5"/>
      <c r="C28" s="5"/>
      <c r="D28" s="5"/>
      <c r="E28" s="5"/>
      <c r="F28" s="5"/>
      <c r="G28" s="5"/>
      <c r="H28" s="5"/>
      <c r="I28" s="5"/>
      <c r="J28" s="5"/>
      <c r="K28" s="5"/>
      <c r="L28" s="5"/>
      <c r="M28" s="5"/>
      <c r="N28" s="5"/>
      <c r="O28" s="5"/>
      <c r="P28" s="6"/>
    </row>
    <row r="29" spans="1:16" ht="14.25" customHeight="1">
      <c r="A29" s="7" t="s">
        <v>9</v>
      </c>
      <c r="B29" s="25" t="s">
        <v>10</v>
      </c>
      <c r="C29" s="25" t="s">
        <v>260</v>
      </c>
      <c r="D29" s="8" t="s">
        <v>11</v>
      </c>
      <c r="E29" s="8" t="s">
        <v>12</v>
      </c>
      <c r="F29" s="8" t="s">
        <v>13</v>
      </c>
      <c r="G29" s="8" t="s">
        <v>14</v>
      </c>
      <c r="H29" s="8" t="s">
        <v>15</v>
      </c>
      <c r="I29" s="8" t="s">
        <v>16</v>
      </c>
      <c r="J29" s="8" t="s">
        <v>17</v>
      </c>
      <c r="K29" s="8" t="s">
        <v>18</v>
      </c>
      <c r="L29" s="8" t="s">
        <v>19</v>
      </c>
      <c r="M29" s="8" t="s">
        <v>20</v>
      </c>
      <c r="N29" s="8" t="s">
        <v>21</v>
      </c>
      <c r="O29" s="8" t="s">
        <v>22</v>
      </c>
      <c r="P29" s="9" t="s">
        <v>23</v>
      </c>
    </row>
    <row r="30" spans="1:16" ht="14.25" customHeight="1">
      <c r="A30" s="24" t="str">
        <f>'4.PRECIOS'!A23</f>
        <v>PRODUCTO 1</v>
      </c>
      <c r="B30" s="16" t="str">
        <f>'4.PRECIOS'!B23</f>
        <v>Patrocinio</v>
      </c>
      <c r="C30" s="45">
        <f>'3.COSTES'!J9</f>
        <v>0</v>
      </c>
      <c r="D30" s="16">
        <f>$C30*'11.INGRESOS'!D9</f>
        <v>0</v>
      </c>
      <c r="E30" s="16">
        <f>$C30*'11.INGRESOS'!E9</f>
        <v>0</v>
      </c>
      <c r="F30" s="16">
        <f>$C30*'11.INGRESOS'!F9</f>
        <v>0</v>
      </c>
      <c r="G30" s="16">
        <f>$C30*'11.INGRESOS'!G9</f>
        <v>0</v>
      </c>
      <c r="H30" s="16">
        <f>$C30*'11.INGRESOS'!H9</f>
        <v>0</v>
      </c>
      <c r="I30" s="16">
        <f>$C30*'11.INGRESOS'!I9</f>
        <v>0</v>
      </c>
      <c r="J30" s="16">
        <f>$C30*'11.INGRESOS'!J9</f>
        <v>0</v>
      </c>
      <c r="K30" s="16">
        <f>$C30*'11.INGRESOS'!K9</f>
        <v>0</v>
      </c>
      <c r="L30" s="16">
        <f>$C30*'11.INGRESOS'!L9</f>
        <v>0</v>
      </c>
      <c r="M30" s="16">
        <f>$C30*'11.INGRESOS'!M9</f>
        <v>0</v>
      </c>
      <c r="N30" s="16">
        <f>$C30*'11.INGRESOS'!N9</f>
        <v>0</v>
      </c>
      <c r="O30" s="16">
        <f>$C30*'11.INGRESOS'!O9</f>
        <v>0</v>
      </c>
      <c r="P30" s="84">
        <f t="shared" ref="P30:P35" si="4">SUM(D30:O30)</f>
        <v>0</v>
      </c>
    </row>
    <row r="31" spans="1:16" ht="14.25" customHeight="1">
      <c r="A31" s="24" t="str">
        <f>'4.PRECIOS'!A24</f>
        <v>PRODUCTO 2</v>
      </c>
      <c r="B31" s="16">
        <f>'4.PRECIOS'!B24</f>
        <v>0</v>
      </c>
      <c r="C31" s="45">
        <f>'3.COSTES'!J16</f>
        <v>0</v>
      </c>
      <c r="D31" s="16">
        <f>$C31*'11.INGRESOS'!D10</f>
        <v>0</v>
      </c>
      <c r="E31" s="16">
        <f>$C31*'11.INGRESOS'!E10</f>
        <v>0</v>
      </c>
      <c r="F31" s="16">
        <f>$C31*'11.INGRESOS'!F10</f>
        <v>0</v>
      </c>
      <c r="G31" s="16">
        <f>$C31*'11.INGRESOS'!G10</f>
        <v>0</v>
      </c>
      <c r="H31" s="16">
        <f>$C31*'11.INGRESOS'!H10</f>
        <v>0</v>
      </c>
      <c r="I31" s="16">
        <f>$C31*'11.INGRESOS'!I10</f>
        <v>0</v>
      </c>
      <c r="J31" s="16">
        <f>$C31*'11.INGRESOS'!J10</f>
        <v>0</v>
      </c>
      <c r="K31" s="16">
        <f>$C31*'11.INGRESOS'!K10</f>
        <v>0</v>
      </c>
      <c r="L31" s="16">
        <f>$C31*'11.INGRESOS'!L10</f>
        <v>0</v>
      </c>
      <c r="M31" s="16">
        <f>$C31*'11.INGRESOS'!M10</f>
        <v>0</v>
      </c>
      <c r="N31" s="16">
        <f>$C31*'11.INGRESOS'!N10</f>
        <v>0</v>
      </c>
      <c r="O31" s="16">
        <f>$C31*'11.INGRESOS'!O10</f>
        <v>0</v>
      </c>
      <c r="P31" s="84">
        <f t="shared" si="4"/>
        <v>0</v>
      </c>
    </row>
    <row r="32" spans="1:16" ht="14.25" customHeight="1">
      <c r="A32" s="24" t="str">
        <f>'4.PRECIOS'!A25</f>
        <v>PRODUCTO 3</v>
      </c>
      <c r="B32" s="16">
        <f>'4.PRECIOS'!B25</f>
        <v>0</v>
      </c>
      <c r="C32" s="45">
        <f>'3.COSTES'!J24</f>
        <v>0</v>
      </c>
      <c r="D32" s="16">
        <f>$C32*'11.INGRESOS'!D11</f>
        <v>0</v>
      </c>
      <c r="E32" s="16">
        <f>$C32*'11.INGRESOS'!E11</f>
        <v>0</v>
      </c>
      <c r="F32" s="16">
        <f>$C32*'11.INGRESOS'!F11</f>
        <v>0</v>
      </c>
      <c r="G32" s="16">
        <f>$C32*'11.INGRESOS'!G11</f>
        <v>0</v>
      </c>
      <c r="H32" s="16">
        <f>$C32*'11.INGRESOS'!H11</f>
        <v>0</v>
      </c>
      <c r="I32" s="16">
        <f>$C32*'11.INGRESOS'!I11</f>
        <v>0</v>
      </c>
      <c r="J32" s="16">
        <f>$C32*'11.INGRESOS'!J11</f>
        <v>0</v>
      </c>
      <c r="K32" s="16">
        <f>$C32*'11.INGRESOS'!K11</f>
        <v>0</v>
      </c>
      <c r="L32" s="16">
        <f>$C32*'11.INGRESOS'!L11</f>
        <v>0</v>
      </c>
      <c r="M32" s="16">
        <f>$C32*'11.INGRESOS'!M11</f>
        <v>0</v>
      </c>
      <c r="N32" s="16">
        <f>$C32*'11.INGRESOS'!N11</f>
        <v>0</v>
      </c>
      <c r="O32" s="16">
        <f>$C32*'11.INGRESOS'!O11</f>
        <v>0</v>
      </c>
      <c r="P32" s="84">
        <f t="shared" si="4"/>
        <v>0</v>
      </c>
    </row>
    <row r="33" spans="1:16" ht="14.25" customHeight="1">
      <c r="A33" s="24" t="str">
        <f>'4.PRECIOS'!A26</f>
        <v>PRODUCTO 4</v>
      </c>
      <c r="B33" s="16">
        <f>'4.PRECIOS'!B26</f>
        <v>0</v>
      </c>
      <c r="C33" s="45">
        <f>'3.COSTES'!J31</f>
        <v>0</v>
      </c>
      <c r="D33" s="16">
        <f>$C33*'11.INGRESOS'!D12</f>
        <v>0</v>
      </c>
      <c r="E33" s="16">
        <f>$C33*'11.INGRESOS'!E12</f>
        <v>0</v>
      </c>
      <c r="F33" s="16">
        <f>$C33*'11.INGRESOS'!F12</f>
        <v>0</v>
      </c>
      <c r="G33" s="16">
        <f>$C33*'11.INGRESOS'!G12</f>
        <v>0</v>
      </c>
      <c r="H33" s="16">
        <f>$C33*'11.INGRESOS'!H12</f>
        <v>0</v>
      </c>
      <c r="I33" s="16">
        <f>$C33*'11.INGRESOS'!I12</f>
        <v>0</v>
      </c>
      <c r="J33" s="16">
        <f>$C33*'11.INGRESOS'!J12</f>
        <v>0</v>
      </c>
      <c r="K33" s="16">
        <f>$C33*'11.INGRESOS'!K12</f>
        <v>0</v>
      </c>
      <c r="L33" s="16">
        <f>$C33*'11.INGRESOS'!L12</f>
        <v>0</v>
      </c>
      <c r="M33" s="16">
        <f>$C33*'11.INGRESOS'!M12</f>
        <v>0</v>
      </c>
      <c r="N33" s="16">
        <f>$C33*'11.INGRESOS'!N12</f>
        <v>0</v>
      </c>
      <c r="O33" s="16">
        <f>$C33*'11.INGRESOS'!O12</f>
        <v>0</v>
      </c>
      <c r="P33" s="84">
        <f t="shared" si="4"/>
        <v>0</v>
      </c>
    </row>
    <row r="34" spans="1:16" ht="14.25" customHeight="1">
      <c r="A34" s="24" t="str">
        <f>'4.PRECIOS'!A27</f>
        <v>PRODUCTO 5</v>
      </c>
      <c r="B34" s="16">
        <f>'4.PRECIOS'!B27</f>
        <v>0</v>
      </c>
      <c r="C34" s="45">
        <f>'3.COSTES'!J38</f>
        <v>0</v>
      </c>
      <c r="D34" s="16">
        <f>$C34*'11.INGRESOS'!D13</f>
        <v>0</v>
      </c>
      <c r="E34" s="16">
        <f>$C34*'11.INGRESOS'!E13</f>
        <v>0</v>
      </c>
      <c r="F34" s="16">
        <f>$C34*'11.INGRESOS'!F13</f>
        <v>0</v>
      </c>
      <c r="G34" s="16">
        <f>$C34*'11.INGRESOS'!G13</f>
        <v>0</v>
      </c>
      <c r="H34" s="16">
        <f>$C34*'11.INGRESOS'!H13</f>
        <v>0</v>
      </c>
      <c r="I34" s="16">
        <f>$C34*'11.INGRESOS'!I13</f>
        <v>0</v>
      </c>
      <c r="J34" s="16">
        <f>$C34*'11.INGRESOS'!J13</f>
        <v>0</v>
      </c>
      <c r="K34" s="16">
        <f>$C34*'11.INGRESOS'!K13</f>
        <v>0</v>
      </c>
      <c r="L34" s="16">
        <f>$C34*'11.INGRESOS'!L13</f>
        <v>0</v>
      </c>
      <c r="M34" s="16">
        <f>$C34*'11.INGRESOS'!M13</f>
        <v>0</v>
      </c>
      <c r="N34" s="16">
        <f>$C34*'11.INGRESOS'!N13</f>
        <v>0</v>
      </c>
      <c r="O34" s="16">
        <f>$C34*'11.INGRESOS'!O13</f>
        <v>0</v>
      </c>
      <c r="P34" s="84">
        <f t="shared" si="4"/>
        <v>0</v>
      </c>
    </row>
    <row r="35" spans="1:16" ht="14.25" customHeight="1">
      <c r="A35" s="77"/>
      <c r="B35" s="186" t="s">
        <v>23</v>
      </c>
      <c r="C35" s="185"/>
      <c r="D35" s="85">
        <f t="shared" ref="D35:O35" si="5">SUM(D30:D34)</f>
        <v>0</v>
      </c>
      <c r="E35" s="85">
        <f t="shared" si="5"/>
        <v>0</v>
      </c>
      <c r="F35" s="85">
        <f t="shared" si="5"/>
        <v>0</v>
      </c>
      <c r="G35" s="85">
        <f t="shared" si="5"/>
        <v>0</v>
      </c>
      <c r="H35" s="85">
        <f t="shared" si="5"/>
        <v>0</v>
      </c>
      <c r="I35" s="85">
        <f t="shared" si="5"/>
        <v>0</v>
      </c>
      <c r="J35" s="85">
        <f t="shared" si="5"/>
        <v>0</v>
      </c>
      <c r="K35" s="85">
        <f t="shared" si="5"/>
        <v>0</v>
      </c>
      <c r="L35" s="85">
        <f t="shared" si="5"/>
        <v>0</v>
      </c>
      <c r="M35" s="85">
        <f t="shared" si="5"/>
        <v>0</v>
      </c>
      <c r="N35" s="85">
        <f t="shared" si="5"/>
        <v>0</v>
      </c>
      <c r="O35" s="85">
        <f t="shared" si="5"/>
        <v>0</v>
      </c>
      <c r="P35" s="86">
        <f t="shared" si="4"/>
        <v>0</v>
      </c>
    </row>
    <row r="36" spans="1:16" ht="14.25" customHeight="1"/>
    <row r="37" spans="1:16" ht="14.25" customHeight="1"/>
    <row r="38" spans="1:16" ht="14.25" customHeight="1">
      <c r="A38" s="18" t="s">
        <v>263</v>
      </c>
    </row>
    <row r="39" spans="1:16" ht="14.25" customHeight="1">
      <c r="A39" s="42" t="s">
        <v>264</v>
      </c>
    </row>
    <row r="40" spans="1:16" ht="14.25" customHeight="1">
      <c r="A40" s="25" t="s">
        <v>245</v>
      </c>
      <c r="B40" s="81">
        <v>1</v>
      </c>
      <c r="D40" s="16" t="s">
        <v>265</v>
      </c>
    </row>
    <row r="41" spans="1:16" ht="14.25" customHeight="1">
      <c r="A41" s="25" t="s">
        <v>247</v>
      </c>
      <c r="B41" s="81"/>
      <c r="F41" s="25" t="s">
        <v>266</v>
      </c>
    </row>
    <row r="42" spans="1:16" ht="14.25" customHeight="1">
      <c r="A42" s="25" t="s">
        <v>249</v>
      </c>
      <c r="B42" s="81"/>
      <c r="F42" s="25" t="s">
        <v>250</v>
      </c>
      <c r="G42" s="67"/>
      <c r="H42" s="16" t="s">
        <v>267</v>
      </c>
      <c r="I42" s="16" t="s">
        <v>268</v>
      </c>
    </row>
    <row r="43" spans="1:16" ht="14.25" customHeight="1"/>
    <row r="44" spans="1:16" ht="14.25" customHeight="1"/>
    <row r="45" spans="1:16" ht="14.25" customHeight="1">
      <c r="A45" s="23" t="s">
        <v>269</v>
      </c>
      <c r="B45" s="5"/>
      <c r="C45" s="5"/>
      <c r="D45" s="5"/>
      <c r="E45" s="5"/>
      <c r="F45" s="5"/>
      <c r="G45" s="5"/>
      <c r="H45" s="5"/>
      <c r="I45" s="5"/>
      <c r="J45" s="5"/>
      <c r="K45" s="5"/>
      <c r="L45" s="5"/>
      <c r="M45" s="5"/>
      <c r="N45" s="5"/>
      <c r="O45" s="5"/>
      <c r="P45" s="6"/>
    </row>
    <row r="46" spans="1:16" ht="14.25" customHeight="1">
      <c r="A46" s="7"/>
      <c r="D46" s="8" t="s">
        <v>11</v>
      </c>
      <c r="E46" s="8" t="s">
        <v>12</v>
      </c>
      <c r="F46" s="8" t="s">
        <v>13</v>
      </c>
      <c r="G46" s="8" t="s">
        <v>14</v>
      </c>
      <c r="H46" s="8" t="s">
        <v>15</v>
      </c>
      <c r="I46" s="8" t="s">
        <v>16</v>
      </c>
      <c r="J46" s="8" t="s">
        <v>17</v>
      </c>
      <c r="K46" s="8" t="s">
        <v>18</v>
      </c>
      <c r="L46" s="8" t="s">
        <v>19</v>
      </c>
      <c r="M46" s="8" t="s">
        <v>20</v>
      </c>
      <c r="N46" s="8" t="s">
        <v>21</v>
      </c>
      <c r="O46" s="8" t="s">
        <v>22</v>
      </c>
      <c r="P46" s="9" t="s">
        <v>23</v>
      </c>
    </row>
    <row r="47" spans="1:16" ht="14.25" customHeight="1">
      <c r="A47" s="39" t="s">
        <v>270</v>
      </c>
      <c r="B47" s="87"/>
      <c r="C47" s="87"/>
      <c r="D47" s="88">
        <f>($B$40*D15)*(1-G42/100)</f>
        <v>0</v>
      </c>
      <c r="E47" s="88">
        <f t="shared" ref="E47:O47" si="6">($B$40*E15)*(1-$G$42/100)+D48</f>
        <v>0</v>
      </c>
      <c r="F47" s="88">
        <f t="shared" si="6"/>
        <v>0</v>
      </c>
      <c r="G47" s="88">
        <f t="shared" si="6"/>
        <v>0</v>
      </c>
      <c r="H47" s="88">
        <f t="shared" si="6"/>
        <v>0</v>
      </c>
      <c r="I47" s="88">
        <f t="shared" si="6"/>
        <v>0</v>
      </c>
      <c r="J47" s="88">
        <f t="shared" si="6"/>
        <v>0</v>
      </c>
      <c r="K47" s="88">
        <f t="shared" si="6"/>
        <v>0</v>
      </c>
      <c r="L47" s="88">
        <f t="shared" si="6"/>
        <v>0</v>
      </c>
      <c r="M47" s="88">
        <f t="shared" si="6"/>
        <v>0</v>
      </c>
      <c r="N47" s="88">
        <f t="shared" si="6"/>
        <v>0</v>
      </c>
      <c r="O47" s="88">
        <f t="shared" si="6"/>
        <v>0</v>
      </c>
      <c r="P47" s="89">
        <f t="shared" ref="P47:P55" si="7">SUM(D47:O47)</f>
        <v>0</v>
      </c>
    </row>
    <row r="48" spans="1:16" ht="14.25" customHeight="1">
      <c r="A48" s="24" t="s">
        <v>271</v>
      </c>
      <c r="D48" s="75">
        <f>$B$41*D15</f>
        <v>0</v>
      </c>
      <c r="E48" s="75">
        <f t="shared" ref="E48:O48" si="8">$B$41*E15+D49</f>
        <v>0</v>
      </c>
      <c r="F48" s="75">
        <f t="shared" si="8"/>
        <v>0</v>
      </c>
      <c r="G48" s="75">
        <f t="shared" si="8"/>
        <v>0</v>
      </c>
      <c r="H48" s="75">
        <f t="shared" si="8"/>
        <v>0</v>
      </c>
      <c r="I48" s="75">
        <f t="shared" si="8"/>
        <v>0</v>
      </c>
      <c r="J48" s="75">
        <f t="shared" si="8"/>
        <v>0</v>
      </c>
      <c r="K48" s="75">
        <f t="shared" si="8"/>
        <v>0</v>
      </c>
      <c r="L48" s="75">
        <f t="shared" si="8"/>
        <v>0</v>
      </c>
      <c r="M48" s="75">
        <f t="shared" si="8"/>
        <v>0</v>
      </c>
      <c r="N48" s="75">
        <f t="shared" si="8"/>
        <v>0</v>
      </c>
      <c r="O48" s="75">
        <f t="shared" si="8"/>
        <v>0</v>
      </c>
      <c r="P48" s="90">
        <f t="shared" si="7"/>
        <v>0</v>
      </c>
    </row>
    <row r="49" spans="1:26" ht="14.25" customHeight="1">
      <c r="A49" s="24" t="s">
        <v>272</v>
      </c>
      <c r="D49" s="75">
        <f t="shared" ref="D49:O49" si="9">$B$42*D15</f>
        <v>0</v>
      </c>
      <c r="E49" s="75">
        <f t="shared" si="9"/>
        <v>0</v>
      </c>
      <c r="F49" s="75">
        <f t="shared" si="9"/>
        <v>0</v>
      </c>
      <c r="G49" s="75">
        <f t="shared" si="9"/>
        <v>0</v>
      </c>
      <c r="H49" s="75">
        <f t="shared" si="9"/>
        <v>0</v>
      </c>
      <c r="I49" s="75">
        <f t="shared" si="9"/>
        <v>0</v>
      </c>
      <c r="J49" s="75">
        <f t="shared" si="9"/>
        <v>0</v>
      </c>
      <c r="K49" s="75">
        <f t="shared" si="9"/>
        <v>0</v>
      </c>
      <c r="L49" s="75">
        <f t="shared" si="9"/>
        <v>0</v>
      </c>
      <c r="M49" s="75">
        <f t="shared" si="9"/>
        <v>0</v>
      </c>
      <c r="N49" s="75">
        <f t="shared" si="9"/>
        <v>0</v>
      </c>
      <c r="O49" s="75">
        <f t="shared" si="9"/>
        <v>0</v>
      </c>
      <c r="P49" s="90">
        <f t="shared" si="7"/>
        <v>0</v>
      </c>
    </row>
    <row r="50" spans="1:26" ht="14.25" customHeight="1">
      <c r="A50" s="39" t="s">
        <v>273</v>
      </c>
      <c r="B50" s="87"/>
      <c r="C50" s="87"/>
      <c r="D50" s="88">
        <f>($B$40*D25)*(1-G42/100)</f>
        <v>0</v>
      </c>
      <c r="E50" s="88">
        <f t="shared" ref="E50:O50" si="10">($B$40*E25)*(1-$G$42/100)+D51</f>
        <v>0</v>
      </c>
      <c r="F50" s="88">
        <f t="shared" si="10"/>
        <v>0</v>
      </c>
      <c r="G50" s="88">
        <f t="shared" si="10"/>
        <v>0</v>
      </c>
      <c r="H50" s="88">
        <f t="shared" si="10"/>
        <v>0</v>
      </c>
      <c r="I50" s="88">
        <f t="shared" si="10"/>
        <v>0</v>
      </c>
      <c r="J50" s="88">
        <f t="shared" si="10"/>
        <v>0</v>
      </c>
      <c r="K50" s="88">
        <f t="shared" si="10"/>
        <v>0</v>
      </c>
      <c r="L50" s="88">
        <f t="shared" si="10"/>
        <v>0</v>
      </c>
      <c r="M50" s="88">
        <f t="shared" si="10"/>
        <v>0</v>
      </c>
      <c r="N50" s="88">
        <f t="shared" si="10"/>
        <v>0</v>
      </c>
      <c r="O50" s="88">
        <f t="shared" si="10"/>
        <v>0</v>
      </c>
      <c r="P50" s="89">
        <f t="shared" si="7"/>
        <v>0</v>
      </c>
      <c r="Q50" s="87"/>
      <c r="R50" s="87"/>
      <c r="S50" s="87"/>
      <c r="T50" s="87"/>
      <c r="U50" s="87"/>
      <c r="V50" s="87"/>
      <c r="W50" s="87"/>
      <c r="X50" s="87"/>
      <c r="Y50" s="87"/>
      <c r="Z50" s="87"/>
    </row>
    <row r="51" spans="1:26" ht="14.25" customHeight="1">
      <c r="A51" s="24" t="s">
        <v>274</v>
      </c>
      <c r="D51" s="75">
        <f>$B$41*D25</f>
        <v>0</v>
      </c>
      <c r="E51" s="75">
        <f t="shared" ref="E51:O51" si="11">$B$41*E25+D52</f>
        <v>0</v>
      </c>
      <c r="F51" s="75">
        <f t="shared" si="11"/>
        <v>0</v>
      </c>
      <c r="G51" s="75">
        <f t="shared" si="11"/>
        <v>0</v>
      </c>
      <c r="H51" s="75">
        <f t="shared" si="11"/>
        <v>0</v>
      </c>
      <c r="I51" s="75">
        <f t="shared" si="11"/>
        <v>0</v>
      </c>
      <c r="J51" s="75">
        <f t="shared" si="11"/>
        <v>0</v>
      </c>
      <c r="K51" s="75">
        <f t="shared" si="11"/>
        <v>0</v>
      </c>
      <c r="L51" s="75">
        <f t="shared" si="11"/>
        <v>0</v>
      </c>
      <c r="M51" s="75">
        <f t="shared" si="11"/>
        <v>0</v>
      </c>
      <c r="N51" s="75">
        <f t="shared" si="11"/>
        <v>0</v>
      </c>
      <c r="O51" s="75">
        <f t="shared" si="11"/>
        <v>0</v>
      </c>
      <c r="P51" s="90">
        <f t="shared" si="7"/>
        <v>0</v>
      </c>
    </row>
    <row r="52" spans="1:26" ht="14.25" customHeight="1">
      <c r="A52" s="24" t="s">
        <v>275</v>
      </c>
      <c r="D52" s="75">
        <f t="shared" ref="D52:O52" si="12">$B$42*D25</f>
        <v>0</v>
      </c>
      <c r="E52" s="75">
        <f t="shared" si="12"/>
        <v>0</v>
      </c>
      <c r="F52" s="75">
        <f t="shared" si="12"/>
        <v>0</v>
      </c>
      <c r="G52" s="75">
        <f t="shared" si="12"/>
        <v>0</v>
      </c>
      <c r="H52" s="75">
        <f t="shared" si="12"/>
        <v>0</v>
      </c>
      <c r="I52" s="75">
        <f t="shared" si="12"/>
        <v>0</v>
      </c>
      <c r="J52" s="75">
        <f t="shared" si="12"/>
        <v>0</v>
      </c>
      <c r="K52" s="75">
        <f t="shared" si="12"/>
        <v>0</v>
      </c>
      <c r="L52" s="75">
        <f t="shared" si="12"/>
        <v>0</v>
      </c>
      <c r="M52" s="75">
        <f t="shared" si="12"/>
        <v>0</v>
      </c>
      <c r="N52" s="75">
        <f t="shared" si="12"/>
        <v>0</v>
      </c>
      <c r="O52" s="75">
        <f t="shared" si="12"/>
        <v>0</v>
      </c>
      <c r="P52" s="90">
        <f t="shared" si="7"/>
        <v>0</v>
      </c>
    </row>
    <row r="53" spans="1:26" ht="14.25" customHeight="1">
      <c r="A53" s="39" t="s">
        <v>276</v>
      </c>
      <c r="B53" s="87"/>
      <c r="C53" s="87"/>
      <c r="D53" s="88">
        <f>($B$40*D35)*(1-G42/100)</f>
        <v>0</v>
      </c>
      <c r="E53" s="88">
        <f t="shared" ref="E53:O53" si="13">($B$40*E35)*(1-$G$42/100)+D54</f>
        <v>0</v>
      </c>
      <c r="F53" s="88">
        <f t="shared" si="13"/>
        <v>0</v>
      </c>
      <c r="G53" s="88">
        <f t="shared" si="13"/>
        <v>0</v>
      </c>
      <c r="H53" s="88">
        <f t="shared" si="13"/>
        <v>0</v>
      </c>
      <c r="I53" s="88">
        <f t="shared" si="13"/>
        <v>0</v>
      </c>
      <c r="J53" s="88">
        <f t="shared" si="13"/>
        <v>0</v>
      </c>
      <c r="K53" s="88">
        <f t="shared" si="13"/>
        <v>0</v>
      </c>
      <c r="L53" s="88">
        <f t="shared" si="13"/>
        <v>0</v>
      </c>
      <c r="M53" s="88">
        <f t="shared" si="13"/>
        <v>0</v>
      </c>
      <c r="N53" s="88">
        <f t="shared" si="13"/>
        <v>0</v>
      </c>
      <c r="O53" s="88">
        <f t="shared" si="13"/>
        <v>0</v>
      </c>
      <c r="P53" s="89">
        <f t="shared" si="7"/>
        <v>0</v>
      </c>
      <c r="Q53" s="87"/>
      <c r="R53" s="87"/>
      <c r="S53" s="87"/>
      <c r="T53" s="87"/>
      <c r="U53" s="87"/>
      <c r="V53" s="87"/>
      <c r="W53" s="87"/>
      <c r="X53" s="87"/>
      <c r="Y53" s="87"/>
      <c r="Z53" s="87"/>
    </row>
    <row r="54" spans="1:26" ht="14.25" customHeight="1">
      <c r="A54" s="24" t="s">
        <v>277</v>
      </c>
      <c r="D54" s="75">
        <f>$B$41*D35</f>
        <v>0</v>
      </c>
      <c r="E54" s="75">
        <f t="shared" ref="E54:O54" si="14">$B$41*E35+D55</f>
        <v>0</v>
      </c>
      <c r="F54" s="75">
        <f t="shared" si="14"/>
        <v>0</v>
      </c>
      <c r="G54" s="75">
        <f t="shared" si="14"/>
        <v>0</v>
      </c>
      <c r="H54" s="75">
        <f t="shared" si="14"/>
        <v>0</v>
      </c>
      <c r="I54" s="75">
        <f t="shared" si="14"/>
        <v>0</v>
      </c>
      <c r="J54" s="75">
        <f t="shared" si="14"/>
        <v>0</v>
      </c>
      <c r="K54" s="75">
        <f t="shared" si="14"/>
        <v>0</v>
      </c>
      <c r="L54" s="75">
        <f t="shared" si="14"/>
        <v>0</v>
      </c>
      <c r="M54" s="75">
        <f t="shared" si="14"/>
        <v>0</v>
      </c>
      <c r="N54" s="75">
        <f t="shared" si="14"/>
        <v>0</v>
      </c>
      <c r="O54" s="75">
        <f t="shared" si="14"/>
        <v>0</v>
      </c>
      <c r="P54" s="90">
        <f t="shared" si="7"/>
        <v>0</v>
      </c>
    </row>
    <row r="55" spans="1:26" ht="14.25" customHeight="1">
      <c r="A55" s="24" t="s">
        <v>278</v>
      </c>
      <c r="D55" s="75">
        <f t="shared" ref="D55:O55" si="15">$B$42*D35</f>
        <v>0</v>
      </c>
      <c r="E55" s="75">
        <f t="shared" si="15"/>
        <v>0</v>
      </c>
      <c r="F55" s="75">
        <f t="shared" si="15"/>
        <v>0</v>
      </c>
      <c r="G55" s="75">
        <f t="shared" si="15"/>
        <v>0</v>
      </c>
      <c r="H55" s="75">
        <f t="shared" si="15"/>
        <v>0</v>
      </c>
      <c r="I55" s="75">
        <f t="shared" si="15"/>
        <v>0</v>
      </c>
      <c r="J55" s="75">
        <f t="shared" si="15"/>
        <v>0</v>
      </c>
      <c r="K55" s="75">
        <f t="shared" si="15"/>
        <v>0</v>
      </c>
      <c r="L55" s="75">
        <f t="shared" si="15"/>
        <v>0</v>
      </c>
      <c r="M55" s="75">
        <f t="shared" si="15"/>
        <v>0</v>
      </c>
      <c r="N55" s="75">
        <f t="shared" si="15"/>
        <v>0</v>
      </c>
      <c r="O55" s="75">
        <f t="shared" si="15"/>
        <v>0</v>
      </c>
      <c r="P55" s="90">
        <f t="shared" si="7"/>
        <v>0</v>
      </c>
    </row>
    <row r="56" spans="1:26" ht="14.25" customHeight="1">
      <c r="A56" s="35" t="s">
        <v>279</v>
      </c>
      <c r="B56" s="91"/>
      <c r="C56" s="91"/>
      <c r="D56" s="92">
        <f t="shared" ref="D56:O56" si="16">D48+D49+D51+D52+D54+D55</f>
        <v>0</v>
      </c>
      <c r="E56" s="92">
        <f t="shared" si="16"/>
        <v>0</v>
      </c>
      <c r="F56" s="92">
        <f t="shared" si="16"/>
        <v>0</v>
      </c>
      <c r="G56" s="92">
        <f t="shared" si="16"/>
        <v>0</v>
      </c>
      <c r="H56" s="92">
        <f t="shared" si="16"/>
        <v>0</v>
      </c>
      <c r="I56" s="92">
        <f t="shared" si="16"/>
        <v>0</v>
      </c>
      <c r="J56" s="92">
        <f t="shared" si="16"/>
        <v>0</v>
      </c>
      <c r="K56" s="92">
        <f t="shared" si="16"/>
        <v>0</v>
      </c>
      <c r="L56" s="92">
        <f t="shared" si="16"/>
        <v>0</v>
      </c>
      <c r="M56" s="92">
        <f t="shared" si="16"/>
        <v>0</v>
      </c>
      <c r="N56" s="92">
        <f t="shared" si="16"/>
        <v>0</v>
      </c>
      <c r="O56" s="92">
        <f t="shared" si="16"/>
        <v>0</v>
      </c>
      <c r="P56" s="93"/>
      <c r="Q56" s="87"/>
      <c r="R56" s="87"/>
      <c r="S56" s="87"/>
      <c r="T56" s="87"/>
      <c r="U56" s="87"/>
      <c r="V56" s="87"/>
      <c r="W56" s="87"/>
      <c r="X56" s="87"/>
      <c r="Y56" s="87"/>
      <c r="Z56" s="87"/>
    </row>
    <row r="57" spans="1:26" ht="14.25" customHeight="1"/>
    <row r="58" spans="1:26" ht="14.25" customHeight="1">
      <c r="A58" s="25" t="s">
        <v>280</v>
      </c>
      <c r="D58" s="37">
        <f t="shared" ref="D58:O58" si="17">(D15)*$B$40*($G$42/100)</f>
        <v>0</v>
      </c>
      <c r="E58" s="37">
        <f t="shared" si="17"/>
        <v>0</v>
      </c>
      <c r="F58" s="37">
        <f t="shared" si="17"/>
        <v>0</v>
      </c>
      <c r="G58" s="37">
        <f t="shared" si="17"/>
        <v>0</v>
      </c>
      <c r="H58" s="37">
        <f t="shared" si="17"/>
        <v>0</v>
      </c>
      <c r="I58" s="37">
        <f t="shared" si="17"/>
        <v>0</v>
      </c>
      <c r="J58" s="37">
        <f t="shared" si="17"/>
        <v>0</v>
      </c>
      <c r="K58" s="37">
        <f t="shared" si="17"/>
        <v>0</v>
      </c>
      <c r="L58" s="37">
        <f t="shared" si="17"/>
        <v>0</v>
      </c>
      <c r="M58" s="37">
        <f t="shared" si="17"/>
        <v>0</v>
      </c>
      <c r="N58" s="37">
        <f t="shared" si="17"/>
        <v>0</v>
      </c>
      <c r="O58" s="37">
        <f t="shared" si="17"/>
        <v>0</v>
      </c>
      <c r="P58" s="37">
        <f t="shared" ref="P58:P60" si="18">SUM(D58:O58)</f>
        <v>0</v>
      </c>
    </row>
    <row r="59" spans="1:26" ht="14.25" customHeight="1">
      <c r="A59" s="25" t="s">
        <v>281</v>
      </c>
      <c r="D59" s="37">
        <f t="shared" ref="D59:O59" si="19">D25*$B$40*($G$42/100)</f>
        <v>0</v>
      </c>
      <c r="E59" s="37">
        <f t="shared" si="19"/>
        <v>0</v>
      </c>
      <c r="F59" s="37">
        <f t="shared" si="19"/>
        <v>0</v>
      </c>
      <c r="G59" s="37">
        <f t="shared" si="19"/>
        <v>0</v>
      </c>
      <c r="H59" s="37">
        <f t="shared" si="19"/>
        <v>0</v>
      </c>
      <c r="I59" s="37">
        <f t="shared" si="19"/>
        <v>0</v>
      </c>
      <c r="J59" s="37">
        <f t="shared" si="19"/>
        <v>0</v>
      </c>
      <c r="K59" s="37">
        <f t="shared" si="19"/>
        <v>0</v>
      </c>
      <c r="L59" s="37">
        <f t="shared" si="19"/>
        <v>0</v>
      </c>
      <c r="M59" s="37">
        <f t="shared" si="19"/>
        <v>0</v>
      </c>
      <c r="N59" s="37">
        <f t="shared" si="19"/>
        <v>0</v>
      </c>
      <c r="O59" s="37">
        <f t="shared" si="19"/>
        <v>0</v>
      </c>
      <c r="P59" s="37">
        <f t="shared" si="18"/>
        <v>0</v>
      </c>
    </row>
    <row r="60" spans="1:26" ht="14.25" customHeight="1">
      <c r="A60" s="25" t="s">
        <v>282</v>
      </c>
      <c r="D60" s="37">
        <f t="shared" ref="D60:O60" si="20">D35*$B$40*($G$42/100)</f>
        <v>0</v>
      </c>
      <c r="E60" s="37">
        <f t="shared" si="20"/>
        <v>0</v>
      </c>
      <c r="F60" s="37">
        <f t="shared" si="20"/>
        <v>0</v>
      </c>
      <c r="G60" s="37">
        <f t="shared" si="20"/>
        <v>0</v>
      </c>
      <c r="H60" s="37">
        <f t="shared" si="20"/>
        <v>0</v>
      </c>
      <c r="I60" s="37">
        <f t="shared" si="20"/>
        <v>0</v>
      </c>
      <c r="J60" s="37">
        <f t="shared" si="20"/>
        <v>0</v>
      </c>
      <c r="K60" s="37">
        <f t="shared" si="20"/>
        <v>0</v>
      </c>
      <c r="L60" s="37">
        <f t="shared" si="20"/>
        <v>0</v>
      </c>
      <c r="M60" s="37">
        <f t="shared" si="20"/>
        <v>0</v>
      </c>
      <c r="N60" s="37">
        <f t="shared" si="20"/>
        <v>0</v>
      </c>
      <c r="O60" s="37">
        <f t="shared" si="20"/>
        <v>0</v>
      </c>
      <c r="P60" s="37">
        <f t="shared" si="18"/>
        <v>0</v>
      </c>
    </row>
    <row r="61" spans="1:26" ht="14.25" customHeight="1"/>
    <row r="62" spans="1:26" ht="14.25" customHeight="1"/>
    <row r="63" spans="1:26" ht="14.25" customHeight="1"/>
    <row r="64" spans="1:26"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G5"/>
    <mergeCell ref="B15:C15"/>
    <mergeCell ref="B25:C25"/>
    <mergeCell ref="C26:D26"/>
    <mergeCell ref="B35:C35"/>
  </mergeCells>
  <pageMargins left="0.7" right="0.7" top="0.75" bottom="0.75"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baseColWidth="10" defaultColWidth="14.44140625" defaultRowHeight="15" customHeight="1"/>
  <cols>
    <col min="1" max="1" width="23.5546875" customWidth="1"/>
    <col min="2" max="2" width="14.109375" customWidth="1"/>
    <col min="3" max="3" width="15.6640625" customWidth="1"/>
    <col min="4" max="4" width="11.77734375" bestFit="1" customWidth="1"/>
    <col min="5" max="5" width="15.77734375" customWidth="1"/>
    <col min="6" max="6" width="17.88671875" customWidth="1"/>
    <col min="7" max="7" width="14.21875" customWidth="1"/>
    <col min="8" max="8" width="13.109375" customWidth="1"/>
    <col min="9" max="9" width="12.33203125" customWidth="1"/>
    <col min="10" max="10" width="14.77734375" customWidth="1"/>
    <col min="11" max="11" width="13.33203125" customWidth="1"/>
    <col min="12" max="12" width="14.77734375" customWidth="1"/>
    <col min="13" max="13" width="16.77734375" customWidth="1"/>
    <col min="14" max="14" width="20.33203125" customWidth="1"/>
    <col min="15" max="26" width="9.109375" customWidth="1"/>
  </cols>
  <sheetData>
    <row r="1" spans="1:26" ht="14.25" customHeight="1">
      <c r="B1" s="25" t="s">
        <v>11</v>
      </c>
      <c r="C1" s="25" t="s">
        <v>12</v>
      </c>
      <c r="D1" s="25" t="s">
        <v>13</v>
      </c>
      <c r="E1" s="25" t="s">
        <v>14</v>
      </c>
      <c r="F1" s="25" t="s">
        <v>15</v>
      </c>
      <c r="G1" s="25" t="s">
        <v>16</v>
      </c>
      <c r="H1" s="25" t="s">
        <v>17</v>
      </c>
      <c r="I1" s="25" t="s">
        <v>18</v>
      </c>
      <c r="J1" s="25" t="s">
        <v>19</v>
      </c>
      <c r="K1" s="25" t="s">
        <v>20</v>
      </c>
      <c r="L1" s="25" t="s">
        <v>21</v>
      </c>
      <c r="M1" s="25" t="s">
        <v>22</v>
      </c>
      <c r="N1" s="25" t="s">
        <v>23</v>
      </c>
    </row>
    <row r="2" spans="1:26" ht="14.25" customHeight="1">
      <c r="A2" s="94" t="s">
        <v>283</v>
      </c>
      <c r="B2" s="95">
        <f>'10.FINANCIACION TOTAL'!B15</f>
        <v>11744.967008547008</v>
      </c>
      <c r="C2" s="95">
        <f t="shared" ref="C2:M2" si="0">B26</f>
        <v>10208.667217780472</v>
      </c>
      <c r="D2" s="95">
        <f t="shared" si="0"/>
        <v>8672.3674270139381</v>
      </c>
      <c r="E2" s="95">
        <f t="shared" si="0"/>
        <v>6876.0676362474032</v>
      </c>
      <c r="F2" s="95">
        <f t="shared" si="0"/>
        <v>5139.7678454808683</v>
      </c>
      <c r="G2" s="95">
        <f t="shared" si="0"/>
        <v>3803.4680547143334</v>
      </c>
      <c r="H2" s="95">
        <f t="shared" si="0"/>
        <v>2407.1682639477986</v>
      </c>
      <c r="I2" s="95">
        <f t="shared" si="0"/>
        <v>1870.8684731812637</v>
      </c>
      <c r="J2" s="95">
        <f t="shared" si="0"/>
        <v>1334.5686824147288</v>
      </c>
      <c r="K2" s="95">
        <f t="shared" si="0"/>
        <v>738.26889164819386</v>
      </c>
      <c r="L2" s="95">
        <f t="shared" si="0"/>
        <v>201.96910088165896</v>
      </c>
      <c r="M2" s="95">
        <f t="shared" si="0"/>
        <v>465.66931011512406</v>
      </c>
      <c r="N2" s="95">
        <f t="shared" ref="N2:N25" si="1">SUM(B2:M2)</f>
        <v>53463.817911972794</v>
      </c>
      <c r="O2" s="42"/>
      <c r="P2" s="42"/>
      <c r="Q2" s="42"/>
      <c r="R2" s="42"/>
      <c r="S2" s="42"/>
      <c r="T2" s="42"/>
      <c r="U2" s="42"/>
      <c r="V2" s="42"/>
      <c r="W2" s="42"/>
      <c r="X2" s="42"/>
      <c r="Y2" s="42"/>
      <c r="Z2" s="42"/>
    </row>
    <row r="3" spans="1:26" ht="14.25" customHeight="1">
      <c r="A3" s="96" t="s">
        <v>284</v>
      </c>
      <c r="B3" s="97">
        <f t="shared" ref="B3:M3" si="2">SUM(B4)</f>
        <v>1000</v>
      </c>
      <c r="C3" s="97">
        <f t="shared" si="2"/>
        <v>1000</v>
      </c>
      <c r="D3" s="97">
        <f t="shared" si="2"/>
        <v>800</v>
      </c>
      <c r="E3" s="97">
        <f t="shared" si="2"/>
        <v>800</v>
      </c>
      <c r="F3" s="97">
        <f t="shared" si="2"/>
        <v>1200</v>
      </c>
      <c r="G3" s="97">
        <f t="shared" si="2"/>
        <v>1200</v>
      </c>
      <c r="H3" s="97">
        <f t="shared" si="2"/>
        <v>2000</v>
      </c>
      <c r="I3" s="97">
        <f t="shared" si="2"/>
        <v>2000</v>
      </c>
      <c r="J3" s="97">
        <f t="shared" si="2"/>
        <v>2000</v>
      </c>
      <c r="K3" s="97">
        <f t="shared" si="2"/>
        <v>2000</v>
      </c>
      <c r="L3" s="97">
        <f t="shared" si="2"/>
        <v>2800</v>
      </c>
      <c r="M3" s="97">
        <f t="shared" si="2"/>
        <v>3200</v>
      </c>
      <c r="N3" s="97">
        <f t="shared" si="1"/>
        <v>20000</v>
      </c>
      <c r="O3" s="42"/>
      <c r="P3" s="42"/>
      <c r="Q3" s="42"/>
      <c r="R3" s="42"/>
      <c r="S3" s="42"/>
      <c r="T3" s="42"/>
      <c r="U3" s="42"/>
      <c r="V3" s="42"/>
      <c r="W3" s="42"/>
      <c r="X3" s="42"/>
      <c r="Y3" s="42"/>
      <c r="Z3" s="42"/>
    </row>
    <row r="4" spans="1:26" ht="14.25" customHeight="1">
      <c r="A4" s="12" t="s">
        <v>285</v>
      </c>
      <c r="B4" s="98">
        <f>'11.INGRESOS'!D42</f>
        <v>1000</v>
      </c>
      <c r="C4" s="98">
        <f>'11.INGRESOS'!E42</f>
        <v>1000</v>
      </c>
      <c r="D4" s="98">
        <f>'11.INGRESOS'!F42</f>
        <v>800</v>
      </c>
      <c r="E4" s="98">
        <f>'11.INGRESOS'!G42</f>
        <v>800</v>
      </c>
      <c r="F4" s="98">
        <f>'11.INGRESOS'!H42</f>
        <v>1200</v>
      </c>
      <c r="G4" s="98">
        <f>'11.INGRESOS'!I42</f>
        <v>1200</v>
      </c>
      <c r="H4" s="98">
        <f>'11.INGRESOS'!J42</f>
        <v>2000</v>
      </c>
      <c r="I4" s="98">
        <f>'11.INGRESOS'!K42</f>
        <v>2000</v>
      </c>
      <c r="J4" s="98">
        <f>'11.INGRESOS'!L42</f>
        <v>2000</v>
      </c>
      <c r="K4" s="98">
        <f>'11.INGRESOS'!M42</f>
        <v>2000</v>
      </c>
      <c r="L4" s="98">
        <f>'11.INGRESOS'!N42</f>
        <v>2800</v>
      </c>
      <c r="M4" s="98">
        <f>'11.INGRESOS'!O42</f>
        <v>3200</v>
      </c>
      <c r="N4" s="97">
        <f t="shared" si="1"/>
        <v>20000</v>
      </c>
    </row>
    <row r="5" spans="1:26" ht="14.25" customHeight="1">
      <c r="A5" s="99" t="s">
        <v>286</v>
      </c>
      <c r="B5" s="100">
        <f t="shared" ref="B5:M5" si="3">SUM(B6:B25)</f>
        <v>2536.2997907665349</v>
      </c>
      <c r="C5" s="100">
        <f t="shared" si="3"/>
        <v>2536.2997907665349</v>
      </c>
      <c r="D5" s="100">
        <f t="shared" si="3"/>
        <v>2596.2997907665349</v>
      </c>
      <c r="E5" s="100">
        <f t="shared" si="3"/>
        <v>2536.2997907665349</v>
      </c>
      <c r="F5" s="100">
        <f t="shared" si="3"/>
        <v>2536.2997907665349</v>
      </c>
      <c r="G5" s="100">
        <f t="shared" si="3"/>
        <v>2596.2997907665349</v>
      </c>
      <c r="H5" s="100">
        <f t="shared" si="3"/>
        <v>2536.2997907665349</v>
      </c>
      <c r="I5" s="100">
        <f t="shared" si="3"/>
        <v>2536.2997907665349</v>
      </c>
      <c r="J5" s="100">
        <f t="shared" si="3"/>
        <v>2596.2997907665349</v>
      </c>
      <c r="K5" s="100">
        <f t="shared" si="3"/>
        <v>2536.2997907665349</v>
      </c>
      <c r="L5" s="100">
        <f t="shared" si="3"/>
        <v>2536.2997907665349</v>
      </c>
      <c r="M5" s="100">
        <f t="shared" si="3"/>
        <v>2596.2997907665349</v>
      </c>
      <c r="N5" s="100">
        <f t="shared" si="1"/>
        <v>30675.597489198411</v>
      </c>
      <c r="O5" s="42"/>
      <c r="P5" s="42"/>
      <c r="Q5" s="42"/>
      <c r="R5" s="42"/>
      <c r="S5" s="42"/>
      <c r="T5" s="42"/>
      <c r="U5" s="42"/>
      <c r="V5" s="42"/>
      <c r="W5" s="42"/>
      <c r="X5" s="42"/>
      <c r="Y5" s="42"/>
      <c r="Z5" s="42"/>
    </row>
    <row r="6" spans="1:26" ht="14.25" customHeight="1">
      <c r="A6" s="101" t="s">
        <v>287</v>
      </c>
      <c r="B6" s="102">
        <f>'12.GASTOS'!D47</f>
        <v>0</v>
      </c>
      <c r="C6" s="102">
        <f>'12.GASTOS'!E47</f>
        <v>0</v>
      </c>
      <c r="D6" s="102">
        <f>'12.GASTOS'!F47</f>
        <v>0</v>
      </c>
      <c r="E6" s="102">
        <f>'12.GASTOS'!G47</f>
        <v>0</v>
      </c>
      <c r="F6" s="102">
        <f>'12.GASTOS'!H47</f>
        <v>0</v>
      </c>
      <c r="G6" s="102">
        <f>'12.GASTOS'!I47</f>
        <v>0</v>
      </c>
      <c r="H6" s="102">
        <f>'12.GASTOS'!J47</f>
        <v>0</v>
      </c>
      <c r="I6" s="102">
        <f>'12.GASTOS'!K47</f>
        <v>0</v>
      </c>
      <c r="J6" s="102">
        <f>'12.GASTOS'!L47</f>
        <v>0</v>
      </c>
      <c r="K6" s="102">
        <f>'12.GASTOS'!M47</f>
        <v>0</v>
      </c>
      <c r="L6" s="102">
        <f>'12.GASTOS'!N47</f>
        <v>0</v>
      </c>
      <c r="M6" s="102">
        <f>'12.GASTOS'!O47</f>
        <v>0</v>
      </c>
      <c r="N6" s="100">
        <f t="shared" si="1"/>
        <v>0</v>
      </c>
    </row>
    <row r="7" spans="1:26" ht="14.25" customHeight="1">
      <c r="A7" s="101" t="s">
        <v>288</v>
      </c>
      <c r="B7" s="102">
        <f>'12.GASTOS'!D50</f>
        <v>0</v>
      </c>
      <c r="C7" s="102">
        <f>'12.GASTOS'!E50</f>
        <v>0</v>
      </c>
      <c r="D7" s="102">
        <f>'12.GASTOS'!F50</f>
        <v>0</v>
      </c>
      <c r="E7" s="102">
        <f>'12.GASTOS'!G50</f>
        <v>0</v>
      </c>
      <c r="F7" s="102">
        <f>'12.GASTOS'!H50</f>
        <v>0</v>
      </c>
      <c r="G7" s="102">
        <f>'12.GASTOS'!I50</f>
        <v>0</v>
      </c>
      <c r="H7" s="102">
        <f>'12.GASTOS'!J50</f>
        <v>0</v>
      </c>
      <c r="I7" s="102">
        <f>'12.GASTOS'!K50</f>
        <v>0</v>
      </c>
      <c r="J7" s="102">
        <f>'12.GASTOS'!L50</f>
        <v>0</v>
      </c>
      <c r="K7" s="102">
        <f>'12.GASTOS'!M50</f>
        <v>0</v>
      </c>
      <c r="L7" s="102">
        <f>'12.GASTOS'!N50</f>
        <v>0</v>
      </c>
      <c r="M7" s="102">
        <f>'12.GASTOS'!O50</f>
        <v>0</v>
      </c>
      <c r="N7" s="100">
        <f t="shared" si="1"/>
        <v>0</v>
      </c>
    </row>
    <row r="8" spans="1:26" ht="14.25" customHeight="1">
      <c r="A8" s="101" t="s">
        <v>289</v>
      </c>
      <c r="B8" s="102">
        <f>'12.GASTOS'!D53</f>
        <v>0</v>
      </c>
      <c r="C8" s="102">
        <f>'12.GASTOS'!E53</f>
        <v>0</v>
      </c>
      <c r="D8" s="102">
        <f>'12.GASTOS'!F53</f>
        <v>0</v>
      </c>
      <c r="E8" s="102">
        <f>'12.GASTOS'!G53</f>
        <v>0</v>
      </c>
      <c r="F8" s="102">
        <f>'12.GASTOS'!H53</f>
        <v>0</v>
      </c>
      <c r="G8" s="102">
        <f>'12.GASTOS'!I53</f>
        <v>0</v>
      </c>
      <c r="H8" s="102">
        <f>'12.GASTOS'!J53</f>
        <v>0</v>
      </c>
      <c r="I8" s="102">
        <f>'12.GASTOS'!K53</f>
        <v>0</v>
      </c>
      <c r="J8" s="102">
        <f>'12.GASTOS'!L53</f>
        <v>0</v>
      </c>
      <c r="K8" s="102">
        <f>'12.GASTOS'!M53</f>
        <v>0</v>
      </c>
      <c r="L8" s="102">
        <f>'12.GASTOS'!N53</f>
        <v>0</v>
      </c>
      <c r="M8" s="102">
        <f>'12.GASTOS'!O53</f>
        <v>0</v>
      </c>
      <c r="N8" s="100">
        <f t="shared" si="1"/>
        <v>0</v>
      </c>
    </row>
    <row r="9" spans="1:26" ht="14.25" customHeight="1">
      <c r="A9" s="101" t="s">
        <v>65</v>
      </c>
      <c r="B9" s="102">
        <f>'6.INVERSIONES + GASTOS'!$F$6</f>
        <v>500</v>
      </c>
      <c r="C9" s="102">
        <f>'6.INVERSIONES + GASTOS'!$F$6</f>
        <v>500</v>
      </c>
      <c r="D9" s="102">
        <f>'6.INVERSIONES + GASTOS'!$F$6</f>
        <v>500</v>
      </c>
      <c r="E9" s="102">
        <f>'6.INVERSIONES + GASTOS'!$F$6</f>
        <v>500</v>
      </c>
      <c r="F9" s="102">
        <f>'6.INVERSIONES + GASTOS'!$F$6</f>
        <v>500</v>
      </c>
      <c r="G9" s="102">
        <f>'6.INVERSIONES + GASTOS'!$F$6</f>
        <v>500</v>
      </c>
      <c r="H9" s="102">
        <f>'6.INVERSIONES + GASTOS'!$F$6</f>
        <v>500</v>
      </c>
      <c r="I9" s="102">
        <f>'6.INVERSIONES + GASTOS'!$F$6</f>
        <v>500</v>
      </c>
      <c r="J9" s="102">
        <f>'6.INVERSIONES + GASTOS'!$F$6</f>
        <v>500</v>
      </c>
      <c r="K9" s="102">
        <f>'6.INVERSIONES + GASTOS'!$F$6</f>
        <v>500</v>
      </c>
      <c r="L9" s="102">
        <f>'6.INVERSIONES + GASTOS'!$F$6</f>
        <v>500</v>
      </c>
      <c r="M9" s="102">
        <f>'6.INVERSIONES + GASTOS'!$F$6</f>
        <v>500</v>
      </c>
      <c r="N9" s="100">
        <f t="shared" si="1"/>
        <v>6000</v>
      </c>
    </row>
    <row r="10" spans="1:26" ht="14.25" customHeight="1">
      <c r="A10" s="101" t="s">
        <v>68</v>
      </c>
      <c r="B10" s="102">
        <f>'2.COSTES SALARIALES'!B36</f>
        <v>0</v>
      </c>
      <c r="C10" s="102">
        <f>'2.COSTES SALARIALES'!C36</f>
        <v>0</v>
      </c>
      <c r="D10" s="102">
        <f>'2.COSTES SALARIALES'!D36</f>
        <v>0</v>
      </c>
      <c r="E10" s="102">
        <f>'2.COSTES SALARIALES'!E36</f>
        <v>0</v>
      </c>
      <c r="F10" s="102">
        <f>'2.COSTES SALARIALES'!F36</f>
        <v>0</v>
      </c>
      <c r="G10" s="102">
        <f>'2.COSTES SALARIALES'!G36</f>
        <v>0</v>
      </c>
      <c r="H10" s="102">
        <f>'2.COSTES SALARIALES'!H36</f>
        <v>0</v>
      </c>
      <c r="I10" s="102">
        <f>'2.COSTES SALARIALES'!I36</f>
        <v>0</v>
      </c>
      <c r="J10" s="102">
        <f>'2.COSTES SALARIALES'!J36</f>
        <v>0</v>
      </c>
      <c r="K10" s="102">
        <f>'2.COSTES SALARIALES'!K36</f>
        <v>0</v>
      </c>
      <c r="L10" s="102">
        <f>'2.COSTES SALARIALES'!L36</f>
        <v>0</v>
      </c>
      <c r="M10" s="102">
        <f>'2.COSTES SALARIALES'!M36</f>
        <v>0</v>
      </c>
      <c r="N10" s="100">
        <f t="shared" si="1"/>
        <v>0</v>
      </c>
    </row>
    <row r="11" spans="1:26" ht="14.25" customHeight="1">
      <c r="A11" s="101" t="s">
        <v>70</v>
      </c>
      <c r="B11" s="102">
        <f>'2.COSTES SALARIALES'!B37</f>
        <v>0</v>
      </c>
      <c r="C11" s="102">
        <f>'2.COSTES SALARIALES'!C37</f>
        <v>0</v>
      </c>
      <c r="D11" s="102">
        <f>'2.COSTES SALARIALES'!D37</f>
        <v>0</v>
      </c>
      <c r="E11" s="102">
        <f>'2.COSTES SALARIALES'!E37</f>
        <v>0</v>
      </c>
      <c r="F11" s="102">
        <f>'2.COSTES SALARIALES'!F37</f>
        <v>0</v>
      </c>
      <c r="G11" s="102">
        <f>'2.COSTES SALARIALES'!G37</f>
        <v>0</v>
      </c>
      <c r="H11" s="102">
        <f>'2.COSTES SALARIALES'!H37</f>
        <v>0</v>
      </c>
      <c r="I11" s="102">
        <f>'2.COSTES SALARIALES'!I37</f>
        <v>0</v>
      </c>
      <c r="J11" s="102">
        <f>'2.COSTES SALARIALES'!J37</f>
        <v>0</v>
      </c>
      <c r="K11" s="102">
        <f>'2.COSTES SALARIALES'!K37</f>
        <v>0</v>
      </c>
      <c r="L11" s="102">
        <f>'2.COSTES SALARIALES'!L37</f>
        <v>0</v>
      </c>
      <c r="M11" s="102">
        <f>'2.COSTES SALARIALES'!M37</f>
        <v>0</v>
      </c>
      <c r="N11" s="100">
        <f t="shared" si="1"/>
        <v>0</v>
      </c>
    </row>
    <row r="12" spans="1:26" ht="14.25" customHeight="1">
      <c r="A12" s="101" t="s">
        <v>72</v>
      </c>
      <c r="B12" s="102">
        <f>'2.COSTES SALARIALES'!B38</f>
        <v>80</v>
      </c>
      <c r="C12" s="102">
        <f>'2.COSTES SALARIALES'!C38</f>
        <v>80</v>
      </c>
      <c r="D12" s="102">
        <f>'2.COSTES SALARIALES'!D38</f>
        <v>80</v>
      </c>
      <c r="E12" s="102">
        <f>'2.COSTES SALARIALES'!E38</f>
        <v>80</v>
      </c>
      <c r="F12" s="102">
        <f>'2.COSTES SALARIALES'!F38</f>
        <v>80</v>
      </c>
      <c r="G12" s="102">
        <f>'2.COSTES SALARIALES'!G38</f>
        <v>80</v>
      </c>
      <c r="H12" s="102">
        <f>'2.COSTES SALARIALES'!H38</f>
        <v>80</v>
      </c>
      <c r="I12" s="102">
        <f>'2.COSTES SALARIALES'!I38</f>
        <v>80</v>
      </c>
      <c r="J12" s="102">
        <f>'2.COSTES SALARIALES'!J38</f>
        <v>80</v>
      </c>
      <c r="K12" s="102">
        <f>'2.COSTES SALARIALES'!K38</f>
        <v>80</v>
      </c>
      <c r="L12" s="102">
        <f>'2.COSTES SALARIALES'!L38</f>
        <v>80</v>
      </c>
      <c r="M12" s="102">
        <f>'2.COSTES SALARIALES'!M38</f>
        <v>80</v>
      </c>
      <c r="N12" s="100">
        <f t="shared" si="1"/>
        <v>960</v>
      </c>
    </row>
    <row r="13" spans="1:26" ht="14.25" customHeight="1">
      <c r="A13" s="101" t="s">
        <v>290</v>
      </c>
      <c r="B13" s="102">
        <f>'2.COSTES SALARIALES'!B39</f>
        <v>1300</v>
      </c>
      <c r="C13" s="102">
        <f>'2.COSTES SALARIALES'!C39</f>
        <v>1300</v>
      </c>
      <c r="D13" s="102">
        <f>'2.COSTES SALARIALES'!D39</f>
        <v>1300</v>
      </c>
      <c r="E13" s="102">
        <f>'2.COSTES SALARIALES'!E39</f>
        <v>1300</v>
      </c>
      <c r="F13" s="102">
        <f>'2.COSTES SALARIALES'!F39</f>
        <v>1300</v>
      </c>
      <c r="G13" s="102">
        <f>'2.COSTES SALARIALES'!G39</f>
        <v>1300</v>
      </c>
      <c r="H13" s="102">
        <f>'2.COSTES SALARIALES'!H39</f>
        <v>1300</v>
      </c>
      <c r="I13" s="102">
        <f>'2.COSTES SALARIALES'!I39</f>
        <v>1300</v>
      </c>
      <c r="J13" s="102">
        <f>'2.COSTES SALARIALES'!J39</f>
        <v>1300</v>
      </c>
      <c r="K13" s="102">
        <f>'2.COSTES SALARIALES'!K39</f>
        <v>1300</v>
      </c>
      <c r="L13" s="102">
        <f>'2.COSTES SALARIALES'!L39</f>
        <v>1300</v>
      </c>
      <c r="M13" s="102">
        <f>'2.COSTES SALARIALES'!M39</f>
        <v>1300</v>
      </c>
      <c r="N13" s="100">
        <f t="shared" si="1"/>
        <v>15600</v>
      </c>
    </row>
    <row r="14" spans="1:26" ht="14.25" customHeight="1">
      <c r="A14" s="101" t="s">
        <v>73</v>
      </c>
      <c r="B14" s="102">
        <f>'6.INVERSIONES + GASTOS'!$F$10</f>
        <v>35</v>
      </c>
      <c r="C14" s="102">
        <f>'6.INVERSIONES + GASTOS'!$F$10</f>
        <v>35</v>
      </c>
      <c r="D14" s="102">
        <f>'6.INVERSIONES + GASTOS'!$F$10</f>
        <v>35</v>
      </c>
      <c r="E14" s="102">
        <f>'6.INVERSIONES + GASTOS'!$F$10</f>
        <v>35</v>
      </c>
      <c r="F14" s="102">
        <f>'6.INVERSIONES + GASTOS'!$F$10</f>
        <v>35</v>
      </c>
      <c r="G14" s="102">
        <f>'6.INVERSIONES + GASTOS'!$F$10</f>
        <v>35</v>
      </c>
      <c r="H14" s="102">
        <f>'6.INVERSIONES + GASTOS'!$F$10</f>
        <v>35</v>
      </c>
      <c r="I14" s="102">
        <f>'6.INVERSIONES + GASTOS'!$F$10</f>
        <v>35</v>
      </c>
      <c r="J14" s="102">
        <f>'6.INVERSIONES + GASTOS'!$F$10</f>
        <v>35</v>
      </c>
      <c r="K14" s="102">
        <f>'6.INVERSIONES + GASTOS'!$F$10</f>
        <v>35</v>
      </c>
      <c r="L14" s="102">
        <f>'6.INVERSIONES + GASTOS'!$F$10</f>
        <v>35</v>
      </c>
      <c r="M14" s="102">
        <f>'6.INVERSIONES + GASTOS'!$F$10</f>
        <v>35</v>
      </c>
      <c r="N14" s="100">
        <f t="shared" si="1"/>
        <v>420</v>
      </c>
    </row>
    <row r="15" spans="1:26" ht="14.25" customHeight="1">
      <c r="A15" s="101" t="s">
        <v>74</v>
      </c>
      <c r="B15" s="102"/>
      <c r="C15" s="102"/>
      <c r="D15" s="102">
        <f>3*'6.INVERSIONES + GASTOS'!F11</f>
        <v>60</v>
      </c>
      <c r="E15" s="102"/>
      <c r="F15" s="102"/>
      <c r="G15" s="102">
        <f>3*'6.INVERSIONES + GASTOS'!F11</f>
        <v>60</v>
      </c>
      <c r="H15" s="102"/>
      <c r="I15" s="102"/>
      <c r="J15" s="102">
        <f>3*'6.INVERSIONES + GASTOS'!F11</f>
        <v>60</v>
      </c>
      <c r="K15" s="102"/>
      <c r="L15" s="102"/>
      <c r="M15" s="102">
        <f>3*'6.INVERSIONES + GASTOS'!F11</f>
        <v>60</v>
      </c>
      <c r="N15" s="100">
        <f t="shared" si="1"/>
        <v>240</v>
      </c>
    </row>
    <row r="16" spans="1:26" ht="14.25" customHeight="1">
      <c r="A16" s="101" t="s">
        <v>75</v>
      </c>
      <c r="B16" s="102">
        <f>'6.INVERSIONES + GASTOS'!$F$12</f>
        <v>40</v>
      </c>
      <c r="C16" s="102">
        <f>'6.INVERSIONES + GASTOS'!$F$12</f>
        <v>40</v>
      </c>
      <c r="D16" s="102">
        <f>'6.INVERSIONES + GASTOS'!$F$12</f>
        <v>40</v>
      </c>
      <c r="E16" s="102">
        <f>'6.INVERSIONES + GASTOS'!$F$12</f>
        <v>40</v>
      </c>
      <c r="F16" s="102">
        <f>'6.INVERSIONES + GASTOS'!$F$12</f>
        <v>40</v>
      </c>
      <c r="G16" s="102">
        <f>'6.INVERSIONES + GASTOS'!$F$12</f>
        <v>40</v>
      </c>
      <c r="H16" s="102">
        <f>'6.INVERSIONES + GASTOS'!$F$12</f>
        <v>40</v>
      </c>
      <c r="I16" s="102">
        <f>'6.INVERSIONES + GASTOS'!$F$12</f>
        <v>40</v>
      </c>
      <c r="J16" s="102">
        <f>'6.INVERSIONES + GASTOS'!$F$12</f>
        <v>40</v>
      </c>
      <c r="K16" s="102">
        <f>'6.INVERSIONES + GASTOS'!$F$12</f>
        <v>40</v>
      </c>
      <c r="L16" s="102">
        <f>'6.INVERSIONES + GASTOS'!$F$12</f>
        <v>40</v>
      </c>
      <c r="M16" s="102">
        <f>'6.INVERSIONES + GASTOS'!$F$12</f>
        <v>40</v>
      </c>
      <c r="N16" s="100">
        <f t="shared" si="1"/>
        <v>480</v>
      </c>
    </row>
    <row r="17" spans="1:26" ht="14.25" customHeight="1">
      <c r="A17" s="101" t="s">
        <v>77</v>
      </c>
      <c r="B17" s="102">
        <f>'6.INVERSIONES + GASTOS'!$F$13</f>
        <v>200</v>
      </c>
      <c r="C17" s="102">
        <f>'6.INVERSIONES + GASTOS'!$F$13</f>
        <v>200</v>
      </c>
      <c r="D17" s="102">
        <f>'6.INVERSIONES + GASTOS'!$F$13</f>
        <v>200</v>
      </c>
      <c r="E17" s="102">
        <f>'6.INVERSIONES + GASTOS'!$F$13</f>
        <v>200</v>
      </c>
      <c r="F17" s="102">
        <f>'6.INVERSIONES + GASTOS'!$F$13</f>
        <v>200</v>
      </c>
      <c r="G17" s="102">
        <f>'6.INVERSIONES + GASTOS'!$F$13</f>
        <v>200</v>
      </c>
      <c r="H17" s="102">
        <f>'6.INVERSIONES + GASTOS'!$F$13</f>
        <v>200</v>
      </c>
      <c r="I17" s="102">
        <f>'6.INVERSIONES + GASTOS'!$F$13</f>
        <v>200</v>
      </c>
      <c r="J17" s="102">
        <f>'6.INVERSIONES + GASTOS'!$F$13</f>
        <v>200</v>
      </c>
      <c r="K17" s="102">
        <f>'6.INVERSIONES + GASTOS'!$F$13</f>
        <v>200</v>
      </c>
      <c r="L17" s="102">
        <f>'6.INVERSIONES + GASTOS'!$F$13</f>
        <v>200</v>
      </c>
      <c r="M17" s="102">
        <f>'6.INVERSIONES + GASTOS'!$F$13</f>
        <v>200</v>
      </c>
      <c r="N17" s="100">
        <f t="shared" si="1"/>
        <v>2400</v>
      </c>
    </row>
    <row r="18" spans="1:26" ht="14.25" customHeight="1">
      <c r="A18" s="101" t="s">
        <v>78</v>
      </c>
      <c r="B18" s="102">
        <f>'6.INVERSIONES + GASTOS'!$F$14</f>
        <v>35</v>
      </c>
      <c r="C18" s="102">
        <f>'6.INVERSIONES + GASTOS'!$F$14</f>
        <v>35</v>
      </c>
      <c r="D18" s="102">
        <f>'6.INVERSIONES + GASTOS'!$F$14</f>
        <v>35</v>
      </c>
      <c r="E18" s="102">
        <f>'6.INVERSIONES + GASTOS'!$F$14</f>
        <v>35</v>
      </c>
      <c r="F18" s="102">
        <f>'6.INVERSIONES + GASTOS'!$F$14</f>
        <v>35</v>
      </c>
      <c r="G18" s="102">
        <f>'6.INVERSIONES + GASTOS'!$F$14</f>
        <v>35</v>
      </c>
      <c r="H18" s="102">
        <f>'6.INVERSIONES + GASTOS'!$F$14</f>
        <v>35</v>
      </c>
      <c r="I18" s="102">
        <f>'6.INVERSIONES + GASTOS'!$F$14</f>
        <v>35</v>
      </c>
      <c r="J18" s="102">
        <f>'6.INVERSIONES + GASTOS'!$F$14</f>
        <v>35</v>
      </c>
      <c r="K18" s="102">
        <f>'6.INVERSIONES + GASTOS'!$F$14</f>
        <v>35</v>
      </c>
      <c r="L18" s="102">
        <f>'6.INVERSIONES + GASTOS'!$F$14</f>
        <v>35</v>
      </c>
      <c r="M18" s="102">
        <f>'6.INVERSIONES + GASTOS'!$F$14</f>
        <v>35</v>
      </c>
      <c r="N18" s="100">
        <f t="shared" si="1"/>
        <v>420</v>
      </c>
    </row>
    <row r="19" spans="1:26" ht="14.25" customHeight="1">
      <c r="A19" s="101" t="s">
        <v>291</v>
      </c>
      <c r="B19" s="102">
        <f>'6.INVERSIONES + GASTOS'!$F$16</f>
        <v>3.5</v>
      </c>
      <c r="C19" s="102">
        <f>'6.INVERSIONES + GASTOS'!$F$16</f>
        <v>3.5</v>
      </c>
      <c r="D19" s="102">
        <f>'6.INVERSIONES + GASTOS'!$F$16</f>
        <v>3.5</v>
      </c>
      <c r="E19" s="102">
        <f>'6.INVERSIONES + GASTOS'!$F$16</f>
        <v>3.5</v>
      </c>
      <c r="F19" s="102">
        <f>'6.INVERSIONES + GASTOS'!$F$16</f>
        <v>3.5</v>
      </c>
      <c r="G19" s="102">
        <f>'6.INVERSIONES + GASTOS'!$F$16</f>
        <v>3.5</v>
      </c>
      <c r="H19" s="102">
        <f>'6.INVERSIONES + GASTOS'!$F$16</f>
        <v>3.5</v>
      </c>
      <c r="I19" s="102">
        <f>'6.INVERSIONES + GASTOS'!$F$16</f>
        <v>3.5</v>
      </c>
      <c r="J19" s="102">
        <f>'6.INVERSIONES + GASTOS'!$F$16</f>
        <v>3.5</v>
      </c>
      <c r="K19" s="102">
        <f>'6.INVERSIONES + GASTOS'!$F$16</f>
        <v>3.5</v>
      </c>
      <c r="L19" s="102">
        <f>'6.INVERSIONES + GASTOS'!$F$16</f>
        <v>3.5</v>
      </c>
      <c r="M19" s="102">
        <f>'6.INVERSIONES + GASTOS'!$F$16</f>
        <v>3.5</v>
      </c>
      <c r="N19" s="100">
        <f t="shared" si="1"/>
        <v>42</v>
      </c>
    </row>
    <row r="20" spans="1:26" ht="14.25" customHeight="1">
      <c r="A20" s="101" t="s">
        <v>292</v>
      </c>
      <c r="B20" s="102">
        <f>'6.INVERSIONES + GASTOS'!$F$17</f>
        <v>100</v>
      </c>
      <c r="C20" s="102">
        <f>'6.INVERSIONES + GASTOS'!$F$17</f>
        <v>100</v>
      </c>
      <c r="D20" s="102">
        <f>'6.INVERSIONES + GASTOS'!$F$17</f>
        <v>100</v>
      </c>
      <c r="E20" s="102">
        <f>'6.INVERSIONES + GASTOS'!$F$17</f>
        <v>100</v>
      </c>
      <c r="F20" s="102">
        <f>'6.INVERSIONES + GASTOS'!$F$17</f>
        <v>100</v>
      </c>
      <c r="G20" s="102">
        <f>'6.INVERSIONES + GASTOS'!$F$17</f>
        <v>100</v>
      </c>
      <c r="H20" s="102">
        <f>'6.INVERSIONES + GASTOS'!$F$17</f>
        <v>100</v>
      </c>
      <c r="I20" s="102">
        <f>'6.INVERSIONES + GASTOS'!$F$17</f>
        <v>100</v>
      </c>
      <c r="J20" s="102">
        <f>'6.INVERSIONES + GASTOS'!$F$17</f>
        <v>100</v>
      </c>
      <c r="K20" s="102">
        <f>'6.INVERSIONES + GASTOS'!$F$17</f>
        <v>100</v>
      </c>
      <c r="L20" s="102">
        <f>'6.INVERSIONES + GASTOS'!$F$17</f>
        <v>100</v>
      </c>
      <c r="M20" s="102">
        <f>'6.INVERSIONES + GASTOS'!$F$17</f>
        <v>100</v>
      </c>
      <c r="N20" s="100">
        <f t="shared" si="1"/>
        <v>1200</v>
      </c>
    </row>
    <row r="21" spans="1:26" ht="14.25" customHeight="1">
      <c r="A21" s="101" t="s">
        <v>84</v>
      </c>
      <c r="B21" s="102">
        <f>'6.INVERSIONES + GASTOS'!$F$18</f>
        <v>0</v>
      </c>
      <c r="C21" s="102">
        <f>'6.INVERSIONES + GASTOS'!$F$18</f>
        <v>0</v>
      </c>
      <c r="D21" s="102">
        <f>'6.INVERSIONES + GASTOS'!$F$18</f>
        <v>0</v>
      </c>
      <c r="E21" s="102">
        <f>'6.INVERSIONES + GASTOS'!$F$18</f>
        <v>0</v>
      </c>
      <c r="F21" s="102">
        <f>'6.INVERSIONES + GASTOS'!$F$18</f>
        <v>0</v>
      </c>
      <c r="G21" s="102">
        <f>'6.INVERSIONES + GASTOS'!$F$18</f>
        <v>0</v>
      </c>
      <c r="H21" s="102">
        <f>'6.INVERSIONES + GASTOS'!$F$18</f>
        <v>0</v>
      </c>
      <c r="I21" s="102">
        <f>'6.INVERSIONES + GASTOS'!$F$18</f>
        <v>0</v>
      </c>
      <c r="J21" s="102">
        <f>'6.INVERSIONES + GASTOS'!$F$18</f>
        <v>0</v>
      </c>
      <c r="K21" s="102">
        <f>'6.INVERSIONES + GASTOS'!$F$18</f>
        <v>0</v>
      </c>
      <c r="L21" s="102">
        <f>'6.INVERSIONES + GASTOS'!$F$18</f>
        <v>0</v>
      </c>
      <c r="M21" s="102">
        <f>'6.INVERSIONES + GASTOS'!$F$18</f>
        <v>0</v>
      </c>
      <c r="N21" s="100">
        <f t="shared" si="1"/>
        <v>0</v>
      </c>
    </row>
    <row r="22" spans="1:26" ht="14.25" customHeight="1">
      <c r="A22" s="101" t="s">
        <v>86</v>
      </c>
      <c r="B22" s="102">
        <f>'6.INVERSIONES + GASTOS'!$F$19</f>
        <v>0</v>
      </c>
      <c r="C22" s="102">
        <f>'6.INVERSIONES + GASTOS'!$F$19</f>
        <v>0</v>
      </c>
      <c r="D22" s="102">
        <f>'6.INVERSIONES + GASTOS'!$F$19</f>
        <v>0</v>
      </c>
      <c r="E22" s="102">
        <f>'6.INVERSIONES + GASTOS'!$F$19</f>
        <v>0</v>
      </c>
      <c r="F22" s="102">
        <f>'6.INVERSIONES + GASTOS'!$F$19</f>
        <v>0</v>
      </c>
      <c r="G22" s="102">
        <f>'6.INVERSIONES + GASTOS'!$F$19</f>
        <v>0</v>
      </c>
      <c r="H22" s="102">
        <f>'6.INVERSIONES + GASTOS'!$F$19</f>
        <v>0</v>
      </c>
      <c r="I22" s="102">
        <f>'6.INVERSIONES + GASTOS'!$F$19</f>
        <v>0</v>
      </c>
      <c r="J22" s="102">
        <f>'6.INVERSIONES + GASTOS'!$F$19</f>
        <v>0</v>
      </c>
      <c r="K22" s="102">
        <f>'6.INVERSIONES + GASTOS'!$F$19</f>
        <v>0</v>
      </c>
      <c r="L22" s="102">
        <f>'6.INVERSIONES + GASTOS'!$F$19</f>
        <v>0</v>
      </c>
      <c r="M22" s="102">
        <f>'6.INVERSIONES + GASTOS'!$F$19</f>
        <v>0</v>
      </c>
      <c r="N22" s="100">
        <f t="shared" si="1"/>
        <v>0</v>
      </c>
    </row>
    <row r="23" spans="1:26" ht="14.25" customHeight="1">
      <c r="A23" s="101" t="s">
        <v>293</v>
      </c>
      <c r="B23" s="102">
        <f>'9.FINANCIACIÓN AJENA'!$B$24+'9.FINANCIACIÓN AJENA'!$I$24</f>
        <v>242.79979076653504</v>
      </c>
      <c r="C23" s="102">
        <f>'9.FINANCIACIÓN AJENA'!$B$24+'9.FINANCIACIÓN AJENA'!$I$24</f>
        <v>242.79979076653504</v>
      </c>
      <c r="D23" s="102">
        <f>'9.FINANCIACIÓN AJENA'!$B$24+'9.FINANCIACIÓN AJENA'!$I$24</f>
        <v>242.79979076653504</v>
      </c>
      <c r="E23" s="102">
        <f>'9.FINANCIACIÓN AJENA'!$B$24+'9.FINANCIACIÓN AJENA'!$I$24</f>
        <v>242.79979076653504</v>
      </c>
      <c r="F23" s="102">
        <f>'9.FINANCIACIÓN AJENA'!$B$24+'9.FINANCIACIÓN AJENA'!$I$24</f>
        <v>242.79979076653504</v>
      </c>
      <c r="G23" s="102">
        <f>'9.FINANCIACIÓN AJENA'!$B$24+'9.FINANCIACIÓN AJENA'!$I$24</f>
        <v>242.79979076653504</v>
      </c>
      <c r="H23" s="102">
        <f>'9.FINANCIACIÓN AJENA'!$B$24+'9.FINANCIACIÓN AJENA'!$I$24</f>
        <v>242.79979076653504</v>
      </c>
      <c r="I23" s="102">
        <f>'9.FINANCIACIÓN AJENA'!$B$24+'9.FINANCIACIÓN AJENA'!$I$24</f>
        <v>242.79979076653504</v>
      </c>
      <c r="J23" s="102">
        <f>'9.FINANCIACIÓN AJENA'!$B$24+'9.FINANCIACIÓN AJENA'!$I$24</f>
        <v>242.79979076653504</v>
      </c>
      <c r="K23" s="102">
        <f>'9.FINANCIACIÓN AJENA'!$B$24+'9.FINANCIACIÓN AJENA'!$I$24</f>
        <v>242.79979076653504</v>
      </c>
      <c r="L23" s="102">
        <f>'9.FINANCIACIÓN AJENA'!$B$24+'9.FINANCIACIÓN AJENA'!$I$24</f>
        <v>242.79979076653504</v>
      </c>
      <c r="M23" s="102">
        <f>'9.FINANCIACIÓN AJENA'!$B$24+'9.FINANCIACIÓN AJENA'!$I$24</f>
        <v>242.79979076653504</v>
      </c>
      <c r="N23" s="100">
        <f t="shared" si="1"/>
        <v>2913.5974891984201</v>
      </c>
    </row>
    <row r="24" spans="1:26" ht="14.25" customHeight="1">
      <c r="A24" s="101" t="s">
        <v>294</v>
      </c>
      <c r="B24" s="102">
        <f>'9.FINANCIACIÓN AJENA'!B19+'9.FINANCIACIÓN AJENA'!J19</f>
        <v>0</v>
      </c>
      <c r="C24" s="102"/>
      <c r="D24" s="102"/>
      <c r="E24" s="102"/>
      <c r="F24" s="102"/>
      <c r="G24" s="102"/>
      <c r="H24" s="102"/>
      <c r="I24" s="102"/>
      <c r="J24" s="102"/>
      <c r="K24" s="102"/>
      <c r="L24" s="102"/>
      <c r="M24" s="102"/>
      <c r="N24" s="100">
        <f t="shared" si="1"/>
        <v>0</v>
      </c>
    </row>
    <row r="25" spans="1:26" ht="14.25" customHeight="1">
      <c r="A25" s="101" t="s">
        <v>295</v>
      </c>
      <c r="B25" s="102">
        <f>'9.FINANCIACIÓN AJENA'!$B$10</f>
        <v>0</v>
      </c>
      <c r="C25" s="102">
        <f>'9.FINANCIACIÓN AJENA'!$B$10</f>
        <v>0</v>
      </c>
      <c r="D25" s="102">
        <f>'9.FINANCIACIÓN AJENA'!$B$10</f>
        <v>0</v>
      </c>
      <c r="E25" s="102">
        <f>'9.FINANCIACIÓN AJENA'!$B$10</f>
        <v>0</v>
      </c>
      <c r="F25" s="102">
        <f>'9.FINANCIACIÓN AJENA'!$B$10</f>
        <v>0</v>
      </c>
      <c r="G25" s="102">
        <f>'9.FINANCIACIÓN AJENA'!$B$10</f>
        <v>0</v>
      </c>
      <c r="H25" s="102">
        <f>'9.FINANCIACIÓN AJENA'!$B$10</f>
        <v>0</v>
      </c>
      <c r="I25" s="102">
        <f>'9.FINANCIACIÓN AJENA'!$B$10</f>
        <v>0</v>
      </c>
      <c r="J25" s="102">
        <f>'9.FINANCIACIÓN AJENA'!$B$10</f>
        <v>0</v>
      </c>
      <c r="K25" s="102">
        <f>'9.FINANCIACIÓN AJENA'!$B$10</f>
        <v>0</v>
      </c>
      <c r="L25" s="102">
        <f>'9.FINANCIACIÓN AJENA'!$B$10</f>
        <v>0</v>
      </c>
      <c r="M25" s="102">
        <f>'9.FINANCIACIÓN AJENA'!$B$10</f>
        <v>0</v>
      </c>
      <c r="N25" s="100">
        <f t="shared" si="1"/>
        <v>0</v>
      </c>
    </row>
    <row r="26" spans="1:26" ht="14.25" customHeight="1">
      <c r="A26" s="103" t="s">
        <v>296</v>
      </c>
      <c r="B26" s="104">
        <f t="shared" ref="B26:M26" si="4">B2+B3-B5</f>
        <v>10208.667217780472</v>
      </c>
      <c r="C26" s="104">
        <f t="shared" si="4"/>
        <v>8672.3674270139381</v>
      </c>
      <c r="D26" s="104">
        <f t="shared" si="4"/>
        <v>6876.0676362474032</v>
      </c>
      <c r="E26" s="104">
        <f t="shared" si="4"/>
        <v>5139.7678454808683</v>
      </c>
      <c r="F26" s="104">
        <f t="shared" si="4"/>
        <v>3803.4680547143334</v>
      </c>
      <c r="G26" s="104">
        <f t="shared" si="4"/>
        <v>2407.1682639477986</v>
      </c>
      <c r="H26" s="104">
        <f t="shared" si="4"/>
        <v>1870.8684731812637</v>
      </c>
      <c r="I26" s="104">
        <f t="shared" si="4"/>
        <v>1334.5686824147288</v>
      </c>
      <c r="J26" s="104">
        <f t="shared" si="4"/>
        <v>738.26889164819386</v>
      </c>
      <c r="K26" s="104">
        <f t="shared" si="4"/>
        <v>201.96910088165896</v>
      </c>
      <c r="L26" s="104">
        <f t="shared" si="4"/>
        <v>465.66931011512406</v>
      </c>
      <c r="M26" s="104">
        <f t="shared" si="4"/>
        <v>1069.3695193485892</v>
      </c>
      <c r="N26" s="104"/>
      <c r="O26" s="42"/>
      <c r="P26" s="42"/>
      <c r="Q26" s="42"/>
      <c r="R26" s="42"/>
      <c r="S26" s="42"/>
      <c r="T26" s="42"/>
      <c r="U26" s="42"/>
      <c r="V26" s="42"/>
      <c r="W26" s="42"/>
      <c r="X26" s="42"/>
      <c r="Y26" s="42"/>
      <c r="Z26" s="42"/>
    </row>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000"/>
  <sheetViews>
    <sheetView workbookViewId="0">
      <selection sqref="A1:G1"/>
    </sheetView>
  </sheetViews>
  <sheetFormatPr baseColWidth="10" defaultColWidth="14.44140625" defaultRowHeight="15" customHeight="1"/>
  <cols>
    <col min="1" max="1" width="10.6640625" customWidth="1"/>
    <col min="2" max="2" width="27" customWidth="1"/>
    <col min="3" max="3" width="17.44140625" customWidth="1"/>
    <col min="4" max="4" width="24" customWidth="1"/>
    <col min="5" max="5" width="19" customWidth="1"/>
    <col min="6" max="7" width="10.6640625" customWidth="1"/>
    <col min="8" max="8" width="21.5546875" customWidth="1"/>
    <col min="9" max="9" width="10.6640625" customWidth="1"/>
    <col min="10" max="26" width="9.109375" customWidth="1"/>
  </cols>
  <sheetData>
    <row r="1" spans="1:9" ht="36" customHeight="1">
      <c r="A1" s="165" t="s">
        <v>297</v>
      </c>
      <c r="B1" s="166"/>
      <c r="C1" s="166"/>
      <c r="D1" s="166"/>
      <c r="E1" s="166"/>
      <c r="F1" s="166"/>
      <c r="G1" s="166"/>
    </row>
    <row r="2" spans="1:9" ht="14.25" customHeight="1"/>
    <row r="3" spans="1:9" ht="14.25" customHeight="1"/>
    <row r="4" spans="1:9" ht="14.25" customHeight="1">
      <c r="B4" s="105" t="s">
        <v>298</v>
      </c>
      <c r="C4" s="106">
        <f>SUM(C5:C12)</f>
        <v>6255.0329914529921</v>
      </c>
      <c r="D4" s="107" t="s">
        <v>299</v>
      </c>
      <c r="E4" s="108">
        <f>SUM(E5:E8)</f>
        <v>10000</v>
      </c>
      <c r="F4" s="42"/>
    </row>
    <row r="5" spans="1:9" ht="14.25" customHeight="1">
      <c r="B5" s="109" t="s">
        <v>165</v>
      </c>
      <c r="C5" s="110">
        <f>'6.INVERSIONES + GASTOS'!B6</f>
        <v>0</v>
      </c>
      <c r="D5" s="111" t="s">
        <v>300</v>
      </c>
      <c r="E5" s="112">
        <f>'10.FINANCIACION TOTAL'!B6</f>
        <v>5000</v>
      </c>
    </row>
    <row r="6" spans="1:9" ht="14.25" customHeight="1">
      <c r="B6" s="109" t="s">
        <v>168</v>
      </c>
      <c r="C6" s="110">
        <f>'6.INVERSIONES + GASTOS'!B7</f>
        <v>0</v>
      </c>
      <c r="D6" s="111" t="s">
        <v>301</v>
      </c>
      <c r="E6" s="112">
        <v>0</v>
      </c>
    </row>
    <row r="7" spans="1:9" ht="14.25" customHeight="1">
      <c r="B7" s="109" t="s">
        <v>170</v>
      </c>
      <c r="C7" s="110">
        <f>'6.INVERSIONES + GASTOS'!B8</f>
        <v>1500</v>
      </c>
      <c r="D7" s="111" t="s">
        <v>302</v>
      </c>
      <c r="E7" s="112">
        <v>0</v>
      </c>
      <c r="H7" s="30" t="s">
        <v>303</v>
      </c>
      <c r="I7" s="113">
        <f>C13-E13</f>
        <v>9232.0885062226207</v>
      </c>
    </row>
    <row r="8" spans="1:9" ht="14.25" customHeight="1">
      <c r="B8" s="109" t="s">
        <v>182</v>
      </c>
      <c r="C8" s="110">
        <f>'6.INVERSIONES + GASTOS'!B9</f>
        <v>0</v>
      </c>
      <c r="D8" s="111" t="s">
        <v>304</v>
      </c>
      <c r="E8" s="112">
        <f>'9.FINANCIACIÓN AJENA'!B8+'9.FINANCIACIÓN AJENA'!B9</f>
        <v>5000</v>
      </c>
      <c r="H8" s="39" t="s">
        <v>305</v>
      </c>
      <c r="I8" s="84">
        <f>(C13/E13)</f>
        <v>4.6739096210513278</v>
      </c>
    </row>
    <row r="9" spans="1:9" ht="14.25" customHeight="1">
      <c r="B9" s="109" t="s">
        <v>172</v>
      </c>
      <c r="C9" s="110">
        <f>'6.INVERSIONES + GASTOS'!B10</f>
        <v>500</v>
      </c>
      <c r="D9" s="114" t="s">
        <v>306</v>
      </c>
      <c r="E9" s="115">
        <f>E10</f>
        <v>5487.1214976756128</v>
      </c>
      <c r="F9" s="42"/>
      <c r="H9" s="35" t="s">
        <v>307</v>
      </c>
      <c r="I9" s="116">
        <f>((E9+E13)/E25)</f>
        <v>0.44444444444444442</v>
      </c>
    </row>
    <row r="10" spans="1:9" ht="14.25" customHeight="1">
      <c r="B10" s="109" t="s">
        <v>173</v>
      </c>
      <c r="C10" s="110">
        <f>'6.INVERSIONES + GASTOS'!B11</f>
        <v>200</v>
      </c>
      <c r="D10" s="117" t="s">
        <v>308</v>
      </c>
      <c r="E10" s="118">
        <f>'9.FINANCIACIÓN AJENA'!M5</f>
        <v>5487.1214976756128</v>
      </c>
    </row>
    <row r="11" spans="1:9" ht="14.25" customHeight="1">
      <c r="B11" s="109" t="s">
        <v>174</v>
      </c>
      <c r="C11" s="110">
        <f>'6.INVERSIONES + GASTOS'!B12</f>
        <v>4055.0329914529916</v>
      </c>
      <c r="D11" s="117"/>
      <c r="E11" s="118"/>
    </row>
    <row r="12" spans="1:9" ht="14.25" customHeight="1">
      <c r="B12" s="109" t="s">
        <v>309</v>
      </c>
      <c r="C12" s="110">
        <f>'6.INVERSIONES + GASTOS'!B15</f>
        <v>0</v>
      </c>
      <c r="D12" s="117"/>
      <c r="E12" s="118"/>
    </row>
    <row r="13" spans="1:9" ht="14.25" customHeight="1">
      <c r="B13" s="105" t="s">
        <v>310</v>
      </c>
      <c r="C13" s="106">
        <f>C14+C18+C21</f>
        <v>11744.967008547008</v>
      </c>
      <c r="D13" s="119" t="s">
        <v>311</v>
      </c>
      <c r="E13" s="120">
        <f>SUM(E14:E16)</f>
        <v>2512.8785023243877</v>
      </c>
    </row>
    <row r="14" spans="1:9" ht="14.25" customHeight="1">
      <c r="B14" s="121" t="s">
        <v>312</v>
      </c>
      <c r="C14" s="122">
        <f>SUM(C15:C16)</f>
        <v>0</v>
      </c>
      <c r="D14" s="117" t="s">
        <v>313</v>
      </c>
      <c r="E14" s="118">
        <f>'9.FINANCIACIÓN AJENA'!M4</f>
        <v>2512.8785023243877</v>
      </c>
    </row>
    <row r="15" spans="1:9" ht="14.25" customHeight="1">
      <c r="B15" s="109" t="s">
        <v>66</v>
      </c>
      <c r="C15" s="110">
        <f>'6.INVERSIONES + GASTOS'!B14</f>
        <v>0</v>
      </c>
      <c r="D15" s="117" t="s">
        <v>314</v>
      </c>
      <c r="E15" s="118">
        <v>0</v>
      </c>
    </row>
    <row r="16" spans="1:9" ht="14.25" customHeight="1">
      <c r="B16" s="109" t="s">
        <v>69</v>
      </c>
      <c r="C16" s="110">
        <f>'6.INVERSIONES + GASTOS'!B13</f>
        <v>0</v>
      </c>
      <c r="D16" s="117"/>
      <c r="E16" s="118"/>
    </row>
    <row r="17" spans="2:5" ht="14.25" customHeight="1">
      <c r="B17" s="109"/>
      <c r="C17" s="110"/>
      <c r="D17" s="117"/>
      <c r="E17" s="118"/>
    </row>
    <row r="18" spans="2:5" ht="14.25" customHeight="1">
      <c r="B18" s="121" t="s">
        <v>315</v>
      </c>
      <c r="C18" s="123">
        <f>SUM(C19)</f>
        <v>0</v>
      </c>
      <c r="D18" s="117"/>
      <c r="E18" s="118"/>
    </row>
    <row r="19" spans="2:5" ht="14.25" customHeight="1">
      <c r="B19" s="109" t="s">
        <v>316</v>
      </c>
      <c r="C19" s="110">
        <v>0</v>
      </c>
      <c r="D19" s="117"/>
      <c r="E19" s="118"/>
    </row>
    <row r="20" spans="2:5" ht="14.25" customHeight="1">
      <c r="B20" s="109"/>
      <c r="C20" s="110"/>
      <c r="D20" s="117"/>
      <c r="E20" s="118"/>
    </row>
    <row r="21" spans="2:5" ht="14.25" customHeight="1">
      <c r="B21" s="121" t="s">
        <v>317</v>
      </c>
      <c r="C21" s="123">
        <f>SUM(C22:C23)</f>
        <v>11744.967008547008</v>
      </c>
      <c r="D21" s="117"/>
      <c r="E21" s="118"/>
    </row>
    <row r="22" spans="2:5" ht="14.25" customHeight="1">
      <c r="B22" s="109" t="s">
        <v>318</v>
      </c>
      <c r="C22" s="110">
        <f>'10.FINANCIACION TOTAL'!B21</f>
        <v>2348.9934017094015</v>
      </c>
      <c r="D22" s="117"/>
      <c r="E22" s="118"/>
    </row>
    <row r="23" spans="2:5" ht="14.25" customHeight="1">
      <c r="B23" s="124" t="s">
        <v>319</v>
      </c>
      <c r="C23" s="125">
        <f>'10.FINANCIACION TOTAL'!B22</f>
        <v>9395.973606837606</v>
      </c>
      <c r="D23" s="126"/>
      <c r="E23" s="127"/>
    </row>
    <row r="24" spans="2:5" ht="14.25" customHeight="1">
      <c r="B24" s="24"/>
      <c r="C24" s="128"/>
      <c r="D24" s="24"/>
      <c r="E24" s="128"/>
    </row>
    <row r="25" spans="2:5" ht="14.25" customHeight="1">
      <c r="B25" s="129" t="s">
        <v>23</v>
      </c>
      <c r="C25" s="130">
        <f>C13+C4</f>
        <v>18000</v>
      </c>
      <c r="D25" s="129" t="s">
        <v>23</v>
      </c>
      <c r="E25" s="130">
        <f>E13+E9+E4</f>
        <v>18000</v>
      </c>
    </row>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1"/>
  </mergeCells>
  <pageMargins left="0.7" right="0.7" top="0.75" bottom="0.75"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000"/>
  <sheetViews>
    <sheetView topLeftCell="A5" zoomScale="80" zoomScaleNormal="80" workbookViewId="0">
      <selection activeCell="I14" sqref="I14"/>
    </sheetView>
  </sheetViews>
  <sheetFormatPr baseColWidth="10" defaultColWidth="14.44140625" defaultRowHeight="15" customHeight="1"/>
  <cols>
    <col min="1" max="1" width="38.44140625" customWidth="1"/>
    <col min="2" max="2" width="20.5546875" customWidth="1"/>
    <col min="3" max="8" width="10.6640625" customWidth="1"/>
    <col min="9" max="9" width="15.33203125" customWidth="1"/>
    <col min="10" max="10" width="10.6640625" customWidth="1"/>
    <col min="11" max="26" width="9.109375" customWidth="1"/>
  </cols>
  <sheetData>
    <row r="1" spans="1:10" ht="15" customHeight="1">
      <c r="A1" s="188" t="s">
        <v>320</v>
      </c>
      <c r="B1" s="166"/>
      <c r="C1" s="166"/>
      <c r="D1" s="166"/>
      <c r="E1" s="166"/>
    </row>
    <row r="2" spans="1:10" ht="14.25" customHeight="1">
      <c r="A2" s="166"/>
      <c r="B2" s="166"/>
      <c r="C2" s="166"/>
      <c r="D2" s="166"/>
      <c r="E2" s="166"/>
    </row>
    <row r="3" spans="1:10" ht="14.25" customHeight="1">
      <c r="A3" s="166"/>
      <c r="B3" s="166"/>
      <c r="C3" s="166"/>
      <c r="D3" s="166"/>
      <c r="E3" s="166"/>
    </row>
    <row r="4" spans="1:10" ht="14.25" customHeight="1">
      <c r="A4" s="166"/>
      <c r="B4" s="166"/>
      <c r="C4" s="166"/>
      <c r="D4" s="166"/>
      <c r="E4" s="166"/>
    </row>
    <row r="5" spans="1:10" ht="14.25" customHeight="1"/>
    <row r="6" spans="1:10" ht="14.25" customHeight="1"/>
    <row r="7" spans="1:10" ht="14.25" customHeight="1">
      <c r="A7" s="131" t="s">
        <v>321</v>
      </c>
      <c r="B7" s="132">
        <f>SUM(B8:B9)</f>
        <v>20000</v>
      </c>
    </row>
    <row r="8" spans="1:10" ht="14.25" customHeight="1">
      <c r="A8" s="133" t="s">
        <v>285</v>
      </c>
      <c r="B8" s="134">
        <f>'11.INGRESOS'!P23</f>
        <v>20000</v>
      </c>
    </row>
    <row r="9" spans="1:10" ht="14.25" customHeight="1">
      <c r="A9" s="133" t="s">
        <v>322</v>
      </c>
      <c r="B9" s="134">
        <f>'11.INGRESOS'!P30</f>
        <v>0</v>
      </c>
    </row>
    <row r="10" spans="1:10" ht="14.25" customHeight="1">
      <c r="A10" s="131" t="s">
        <v>323</v>
      </c>
      <c r="B10" s="132">
        <f>SUM(B11:B31)</f>
        <v>13241.290427350428</v>
      </c>
    </row>
    <row r="11" spans="1:10" ht="14.25" customHeight="1">
      <c r="A11" s="133" t="s">
        <v>287</v>
      </c>
      <c r="B11" s="134">
        <f>'12.GASTOS'!P15-'12.GASTOS'!P58</f>
        <v>0</v>
      </c>
      <c r="F11" s="30" t="s">
        <v>324</v>
      </c>
      <c r="G11" s="5"/>
      <c r="H11" s="135">
        <v>0.1</v>
      </c>
      <c r="I11" s="136">
        <f>IF(B41&gt;0,0.1*B41,0)</f>
        <v>540.42919979092085</v>
      </c>
      <c r="J11" s="6"/>
    </row>
    <row r="12" spans="1:10" ht="14.25" customHeight="1">
      <c r="A12" s="133" t="s">
        <v>288</v>
      </c>
      <c r="B12" s="134">
        <f>'12.GASTOS'!P25-'12.GASTOS'!P59</f>
        <v>0</v>
      </c>
      <c r="F12" s="39" t="s">
        <v>59</v>
      </c>
      <c r="I12" s="75">
        <f>'13.PLAN DE TESORERÍA'!N13</f>
        <v>15600</v>
      </c>
      <c r="J12" s="84"/>
    </row>
    <row r="13" spans="1:10" ht="14.25" customHeight="1">
      <c r="A13" s="133" t="s">
        <v>289</v>
      </c>
      <c r="B13" s="134">
        <f>'12.GASTOS'!P35-'12.GASTOS'!P60</f>
        <v>0</v>
      </c>
      <c r="F13" s="39"/>
      <c r="I13" s="75"/>
      <c r="J13" s="84"/>
    </row>
    <row r="14" spans="1:10" ht="14.25" customHeight="1">
      <c r="A14" s="133" t="s">
        <v>325</v>
      </c>
      <c r="B14" s="134">
        <v>0</v>
      </c>
      <c r="F14" s="35" t="s">
        <v>326</v>
      </c>
      <c r="G14" s="28"/>
      <c r="H14" s="28"/>
      <c r="I14" s="137">
        <f>B41-I11-I12</f>
        <v>-10736.137201881713</v>
      </c>
      <c r="J14" s="116"/>
    </row>
    <row r="15" spans="1:10" ht="14.25" customHeight="1">
      <c r="A15" s="133" t="s">
        <v>327</v>
      </c>
      <c r="B15" s="134">
        <v>0</v>
      </c>
    </row>
    <row r="16" spans="1:10" ht="14.25" customHeight="1">
      <c r="A16" s="133" t="s">
        <v>65</v>
      </c>
      <c r="B16" s="134">
        <f>'13.PLAN DE TESORERÍA'!N9</f>
        <v>6000</v>
      </c>
    </row>
    <row r="17" spans="1:2" ht="14.25" customHeight="1">
      <c r="A17" s="133" t="s">
        <v>68</v>
      </c>
      <c r="B17" s="134">
        <f>'2.COSTES SALARIALES'!N36</f>
        <v>0</v>
      </c>
    </row>
    <row r="18" spans="1:2" ht="14.25" customHeight="1">
      <c r="A18" s="133" t="s">
        <v>70</v>
      </c>
      <c r="B18" s="134">
        <f>'2.COSTES SALARIALES'!N37</f>
        <v>0</v>
      </c>
    </row>
    <row r="19" spans="1:2" ht="14.25" customHeight="1">
      <c r="A19" s="133" t="s">
        <v>72</v>
      </c>
      <c r="B19" s="134">
        <f>'2.COSTES SALARIALES'!N38</f>
        <v>960</v>
      </c>
    </row>
    <row r="20" spans="1:2" ht="14.25" customHeight="1">
      <c r="A20" s="133" t="s">
        <v>73</v>
      </c>
      <c r="B20" s="134">
        <f>'13.PLAN DE TESORERÍA'!N14</f>
        <v>420</v>
      </c>
    </row>
    <row r="21" spans="1:2" ht="14.25" customHeight="1">
      <c r="A21" s="133" t="s">
        <v>74</v>
      </c>
      <c r="B21" s="134">
        <f>'13.PLAN DE TESORERÍA'!N15</f>
        <v>240</v>
      </c>
    </row>
    <row r="22" spans="1:2" ht="14.25" customHeight="1">
      <c r="A22" s="133" t="s">
        <v>328</v>
      </c>
      <c r="B22" s="134">
        <f>'13.PLAN DE TESORERÍA'!N16</f>
        <v>480</v>
      </c>
    </row>
    <row r="23" spans="1:2" ht="14.25" customHeight="1">
      <c r="A23" s="133" t="s">
        <v>77</v>
      </c>
      <c r="B23" s="134">
        <f>'13.PLAN DE TESORERÍA'!N17</f>
        <v>2400</v>
      </c>
    </row>
    <row r="24" spans="1:2" ht="14.25" customHeight="1">
      <c r="A24" s="133" t="s">
        <v>78</v>
      </c>
      <c r="B24" s="134">
        <f>'13.PLAN DE TESORERÍA'!N18</f>
        <v>420</v>
      </c>
    </row>
    <row r="25" spans="1:2" ht="14.25" customHeight="1">
      <c r="A25" s="133" t="s">
        <v>257</v>
      </c>
      <c r="B25" s="134">
        <f>'11.INGRESOS'!P46</f>
        <v>0</v>
      </c>
    </row>
    <row r="26" spans="1:2" ht="14.25" customHeight="1">
      <c r="A26" s="133" t="s">
        <v>291</v>
      </c>
      <c r="B26" s="134">
        <f>'13.PLAN DE TESORERÍA'!N19</f>
        <v>42</v>
      </c>
    </row>
    <row r="27" spans="1:2" ht="14.25" customHeight="1">
      <c r="A27" s="133" t="s">
        <v>292</v>
      </c>
      <c r="B27" s="134">
        <f>'13.PLAN DE TESORERÍA'!N20</f>
        <v>1200</v>
      </c>
    </row>
    <row r="28" spans="1:2" ht="14.25" customHeight="1">
      <c r="A28" s="133" t="s">
        <v>84</v>
      </c>
      <c r="B28" s="134">
        <f>'13.PLAN DE TESORERÍA'!N21</f>
        <v>0</v>
      </c>
    </row>
    <row r="29" spans="1:2" ht="14.25" customHeight="1">
      <c r="A29" s="133" t="s">
        <v>86</v>
      </c>
      <c r="B29" s="134">
        <f>'13.PLAN DE TESORERÍA'!N22</f>
        <v>0</v>
      </c>
    </row>
    <row r="30" spans="1:2" ht="14.25" customHeight="1">
      <c r="A30" s="133" t="s">
        <v>295</v>
      </c>
      <c r="B30" s="134">
        <f>'13.PLAN DE TESORERÍA'!N25</f>
        <v>0</v>
      </c>
    </row>
    <row r="31" spans="1:2" ht="14.25" customHeight="1">
      <c r="A31" s="133" t="s">
        <v>80</v>
      </c>
      <c r="B31" s="134">
        <f>'7.AMORTIZACIÓN'!D15</f>
        <v>1079.2904273504273</v>
      </c>
    </row>
    <row r="32" spans="1:2" ht="14.25" customHeight="1">
      <c r="A32" s="131" t="s">
        <v>329</v>
      </c>
      <c r="B32" s="132">
        <f>B7-B10</f>
        <v>6758.7095726495718</v>
      </c>
    </row>
    <row r="33" spans="1:2" ht="14.25" customHeight="1">
      <c r="A33" s="138" t="s">
        <v>330</v>
      </c>
      <c r="B33" s="139">
        <v>0</v>
      </c>
    </row>
    <row r="34" spans="1:2" ht="14.25" customHeight="1">
      <c r="A34" s="140" t="s">
        <v>331</v>
      </c>
      <c r="B34" s="141">
        <v>0</v>
      </c>
    </row>
    <row r="35" spans="1:2" ht="14.25" customHeight="1">
      <c r="A35" s="138" t="s">
        <v>332</v>
      </c>
      <c r="B35" s="139">
        <f>SUM(B36:B37)</f>
        <v>400.71898687403257</v>
      </c>
    </row>
    <row r="36" spans="1:2" ht="14.25" customHeight="1">
      <c r="A36" s="140" t="s">
        <v>333</v>
      </c>
      <c r="B36" s="141">
        <f>SUM('9.FINANCIACIÓN AJENA'!C24:C35)+SUM('9.FINANCIACIÓN AJENA'!J24:J35)</f>
        <v>400.71898687403257</v>
      </c>
    </row>
    <row r="37" spans="1:2" ht="14.25" customHeight="1">
      <c r="A37" s="140" t="s">
        <v>334</v>
      </c>
      <c r="B37" s="141">
        <f>'9.FINANCIACIÓN AJENA'!B19+'9.FINANCIACIÓN AJENA'!J19</f>
        <v>0</v>
      </c>
    </row>
    <row r="38" spans="1:2" ht="14.25" customHeight="1">
      <c r="A38" s="138" t="s">
        <v>335</v>
      </c>
      <c r="B38" s="139">
        <f>B33-B35</f>
        <v>-400.71898687403257</v>
      </c>
    </row>
    <row r="39" spans="1:2" ht="14.25" customHeight="1">
      <c r="A39" s="142" t="s">
        <v>336</v>
      </c>
      <c r="B39" s="143">
        <f>B32+B38</f>
        <v>6357.9905857755393</v>
      </c>
    </row>
    <row r="40" spans="1:2" ht="14.25" customHeight="1">
      <c r="A40" s="144" t="s">
        <v>337</v>
      </c>
      <c r="B40" s="145">
        <f>IF(B39&lt;0,0,0.15*B39)</f>
        <v>953.69858786633085</v>
      </c>
    </row>
    <row r="41" spans="1:2" ht="14.25" customHeight="1">
      <c r="A41" s="146" t="s">
        <v>326</v>
      </c>
      <c r="B41" s="147">
        <f>B39-B40</f>
        <v>5404.2919979092085</v>
      </c>
    </row>
    <row r="42" spans="1:2" ht="14.25" customHeight="1"/>
    <row r="43" spans="1:2" ht="14.25" customHeight="1">
      <c r="A43" s="18"/>
      <c r="B43" s="148"/>
    </row>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4"/>
  </mergeCell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000"/>
  <sheetViews>
    <sheetView tabSelected="1" workbookViewId="0">
      <selection activeCell="G14" sqref="G14"/>
    </sheetView>
  </sheetViews>
  <sheetFormatPr baseColWidth="10" defaultColWidth="14.44140625" defaultRowHeight="15" customHeight="1"/>
  <cols>
    <col min="1" max="1" width="10.6640625" customWidth="1"/>
    <col min="2" max="2" width="25.6640625" customWidth="1"/>
    <col min="3" max="3" width="14.44140625" customWidth="1"/>
    <col min="4" max="4" width="24.33203125" customWidth="1"/>
    <col min="5" max="5" width="17.77734375" customWidth="1"/>
    <col min="6" max="7" width="10.6640625" customWidth="1"/>
    <col min="8" max="8" width="25" customWidth="1"/>
    <col min="9" max="10" width="10.6640625" customWidth="1"/>
    <col min="11" max="26" width="9.109375" customWidth="1"/>
  </cols>
  <sheetData>
    <row r="1" spans="1:10" ht="15" customHeight="1">
      <c r="A1" s="165" t="s">
        <v>338</v>
      </c>
      <c r="B1" s="166"/>
      <c r="C1" s="166"/>
      <c r="D1" s="166"/>
      <c r="E1" s="166"/>
    </row>
    <row r="2" spans="1:10" ht="36.75" customHeight="1">
      <c r="A2" s="166"/>
      <c r="B2" s="166"/>
      <c r="C2" s="166"/>
      <c r="D2" s="166"/>
      <c r="E2" s="166"/>
    </row>
    <row r="3" spans="1:10" ht="14.25" customHeight="1"/>
    <row r="4" spans="1:10" ht="14.25" customHeight="1">
      <c r="B4" s="149" t="s">
        <v>298</v>
      </c>
      <c r="C4" s="150">
        <f>SUM(C5:C13)</f>
        <v>5175.7425641025648</v>
      </c>
      <c r="D4" s="107" t="s">
        <v>299</v>
      </c>
      <c r="E4" s="108">
        <f>SUM(E5:E8)</f>
        <v>-195.70800209079243</v>
      </c>
    </row>
    <row r="5" spans="1:10" ht="14.25" customHeight="1">
      <c r="B5" s="151" t="s">
        <v>165</v>
      </c>
      <c r="C5" s="152">
        <f>'14.BALANCE INICIAL'!C5</f>
        <v>0</v>
      </c>
      <c r="D5" s="111" t="s">
        <v>300</v>
      </c>
      <c r="E5" s="112">
        <f>'14.BALANCE INICIAL'!E5</f>
        <v>5000</v>
      </c>
    </row>
    <row r="6" spans="1:10" ht="14.25" customHeight="1">
      <c r="B6" s="151" t="s">
        <v>168</v>
      </c>
      <c r="C6" s="152">
        <f>'14.BALANCE INICIAL'!C6</f>
        <v>0</v>
      </c>
      <c r="D6" s="111" t="s">
        <v>301</v>
      </c>
      <c r="E6" s="112">
        <f>'15.CUENTA DE RESULTADOS'!I11</f>
        <v>540.42919979092085</v>
      </c>
    </row>
    <row r="7" spans="1:10" ht="14.25" customHeight="1">
      <c r="B7" s="151" t="s">
        <v>170</v>
      </c>
      <c r="C7" s="152">
        <f>'14.BALANCE INICIAL'!C7</f>
        <v>1500</v>
      </c>
      <c r="D7" s="111" t="s">
        <v>302</v>
      </c>
      <c r="E7" s="112">
        <f>'15.CUENTA DE RESULTADOS'!I14</f>
        <v>-10736.137201881713</v>
      </c>
      <c r="H7" s="30" t="s">
        <v>303</v>
      </c>
      <c r="I7" s="136">
        <f>C14-E14</f>
        <v>-2547.9802809815933</v>
      </c>
      <c r="J7" s="6"/>
    </row>
    <row r="8" spans="1:10" ht="14.25" customHeight="1">
      <c r="B8" s="151" t="s">
        <v>182</v>
      </c>
      <c r="C8" s="152">
        <f>'14.BALANCE INICIAL'!C8</f>
        <v>0</v>
      </c>
      <c r="D8" s="153" t="s">
        <v>304</v>
      </c>
      <c r="E8" s="154">
        <f>'9.FINANCIACIÓN AJENA'!B8+'9.FINANCIACIÓN AJENA'!B9</f>
        <v>5000</v>
      </c>
      <c r="H8" s="39" t="s">
        <v>305</v>
      </c>
      <c r="I8" s="16">
        <f>(C14/E14)</f>
        <v>0.2956223695178663</v>
      </c>
      <c r="J8" s="84"/>
    </row>
    <row r="9" spans="1:10" ht="14.25" customHeight="1">
      <c r="B9" s="151" t="s">
        <v>172</v>
      </c>
      <c r="C9" s="152">
        <f>'14.BALANCE INICIAL'!C9</f>
        <v>500</v>
      </c>
      <c r="D9" s="155" t="s">
        <v>306</v>
      </c>
      <c r="E9" s="115">
        <f>E10</f>
        <v>2823.4702852117612</v>
      </c>
      <c r="H9" s="39" t="s">
        <v>307</v>
      </c>
      <c r="I9" s="16">
        <f>((E14+E9)/E26)</f>
        <v>1.0313377885737867</v>
      </c>
      <c r="J9" s="84"/>
    </row>
    <row r="10" spans="1:10" ht="14.25" customHeight="1">
      <c r="B10" s="151" t="s">
        <v>173</v>
      </c>
      <c r="C10" s="152">
        <f>'14.BALANCE INICIAL'!C10</f>
        <v>200</v>
      </c>
      <c r="D10" s="117" t="s">
        <v>308</v>
      </c>
      <c r="E10" s="118">
        <f>'9.FINANCIACIÓN AJENA'!M7</f>
        <v>2823.4702852117612</v>
      </c>
      <c r="H10" s="39" t="s">
        <v>339</v>
      </c>
      <c r="I10" s="16">
        <f>('15.CUENTA DE RESULTADOS'!B32/'16.BALANCE FINAL'!C26)*100</f>
        <v>108.22399153666741</v>
      </c>
      <c r="J10" s="84" t="s">
        <v>267</v>
      </c>
    </row>
    <row r="11" spans="1:10" ht="14.25" customHeight="1">
      <c r="B11" s="151" t="s">
        <v>174</v>
      </c>
      <c r="C11" s="152">
        <f>'14.BALANCE INICIAL'!C11</f>
        <v>4055.0329914529916</v>
      </c>
      <c r="D11" s="117"/>
      <c r="E11" s="118"/>
      <c r="H11" s="35" t="s">
        <v>340</v>
      </c>
      <c r="I11" s="28">
        <f>('15.CUENTA DE RESULTADOS'!B41/('16.BALANCE FINAL'!E5+'16.BALANCE FINAL'!E6))*100</f>
        <v>97.542840148794809</v>
      </c>
      <c r="J11" s="116" t="s">
        <v>267</v>
      </c>
    </row>
    <row r="12" spans="1:10" ht="14.25" customHeight="1">
      <c r="B12" s="151" t="s">
        <v>341</v>
      </c>
      <c r="C12" s="152">
        <f>-'7.AMORTIZACIÓN'!D15</f>
        <v>-1079.2904273504273</v>
      </c>
      <c r="D12" s="117"/>
      <c r="E12" s="118"/>
    </row>
    <row r="13" spans="1:10" ht="14.25" customHeight="1">
      <c r="B13" s="156" t="s">
        <v>309</v>
      </c>
      <c r="C13" s="157">
        <f>'14.BALANCE INICIAL'!C12</f>
        <v>0</v>
      </c>
      <c r="D13" s="126"/>
      <c r="E13" s="127"/>
    </row>
    <row r="14" spans="1:10" ht="14.25" customHeight="1">
      <c r="B14" s="149" t="s">
        <v>310</v>
      </c>
      <c r="C14" s="150">
        <f>C15+C19+C22</f>
        <v>1069.3695193485892</v>
      </c>
      <c r="D14" s="158" t="s">
        <v>311</v>
      </c>
      <c r="E14" s="120">
        <f>SUM(E15:E17)</f>
        <v>3617.3498003301825</v>
      </c>
    </row>
    <row r="15" spans="1:10" ht="14.25" customHeight="1">
      <c r="B15" s="159" t="s">
        <v>312</v>
      </c>
      <c r="C15" s="160">
        <f>SUM(C16:C17)</f>
        <v>0</v>
      </c>
      <c r="D15" s="69" t="s">
        <v>313</v>
      </c>
      <c r="E15" s="118">
        <f>'9.FINANCIACIÓN AJENA'!M6</f>
        <v>2663.6512124638516</v>
      </c>
    </row>
    <row r="16" spans="1:10" ht="14.25" customHeight="1">
      <c r="B16" s="151" t="s">
        <v>66</v>
      </c>
      <c r="C16" s="152">
        <f>'14.BALANCE INICIAL'!C15</f>
        <v>0</v>
      </c>
      <c r="D16" s="69" t="s">
        <v>314</v>
      </c>
      <c r="E16" s="118">
        <f>'12.GASTOS'!O56</f>
        <v>0</v>
      </c>
    </row>
    <row r="17" spans="2:8" ht="14.25" customHeight="1">
      <c r="B17" s="151" t="s">
        <v>69</v>
      </c>
      <c r="C17" s="152">
        <f>'14.BALANCE INICIAL'!C16</f>
        <v>0</v>
      </c>
      <c r="D17" s="69" t="s">
        <v>342</v>
      </c>
      <c r="E17" s="118">
        <f>'15.CUENTA DE RESULTADOS'!B40</f>
        <v>953.69858786633085</v>
      </c>
    </row>
    <row r="18" spans="2:8" ht="14.25" customHeight="1">
      <c r="B18" s="151"/>
      <c r="C18" s="152"/>
      <c r="D18" s="69"/>
      <c r="E18" s="118"/>
    </row>
    <row r="19" spans="2:8" ht="14.25" customHeight="1">
      <c r="B19" s="159" t="s">
        <v>315</v>
      </c>
      <c r="C19" s="160">
        <f>SUM(C20)</f>
        <v>0</v>
      </c>
      <c r="D19" s="69"/>
      <c r="E19" s="118"/>
    </row>
    <row r="20" spans="2:8" ht="14.25" customHeight="1">
      <c r="B20" s="151" t="s">
        <v>316</v>
      </c>
      <c r="C20" s="152">
        <f>'11.INGRESOS'!O45</f>
        <v>0</v>
      </c>
      <c r="D20" s="69"/>
      <c r="E20" s="118"/>
    </row>
    <row r="21" spans="2:8" ht="14.25" customHeight="1">
      <c r="B21" s="151"/>
      <c r="C21" s="152"/>
      <c r="D21" s="69"/>
      <c r="E21" s="118"/>
    </row>
    <row r="22" spans="2:8" ht="14.25" customHeight="1">
      <c r="B22" s="159" t="s">
        <v>317</v>
      </c>
      <c r="C22" s="160">
        <f>SUM(C23:C24)</f>
        <v>1069.3695193485892</v>
      </c>
      <c r="D22" s="69"/>
      <c r="E22" s="118"/>
    </row>
    <row r="23" spans="2:8" ht="14.25" customHeight="1">
      <c r="B23" s="151" t="s">
        <v>318</v>
      </c>
      <c r="C23" s="152">
        <f>'10.FINANCIACION TOTAL'!B18*'13.PLAN DE TESORERÍA'!M26</f>
        <v>213.87390386971785</v>
      </c>
      <c r="D23" s="69"/>
      <c r="E23" s="118"/>
    </row>
    <row r="24" spans="2:8" ht="14.25" customHeight="1">
      <c r="B24" s="151" t="s">
        <v>319</v>
      </c>
      <c r="C24" s="152">
        <f>'10.FINANCIACION TOTAL'!B19*'13.PLAN DE TESORERÍA'!M26</f>
        <v>855.4956154788714</v>
      </c>
      <c r="D24" s="69"/>
      <c r="E24" s="118"/>
    </row>
    <row r="25" spans="2:8" ht="14.25" customHeight="1">
      <c r="B25" s="151"/>
      <c r="C25" s="152"/>
      <c r="D25" s="69"/>
      <c r="E25" s="118"/>
    </row>
    <row r="26" spans="2:8" ht="14.25" customHeight="1">
      <c r="B26" s="161" t="s">
        <v>23</v>
      </c>
      <c r="C26" s="162">
        <f>C14+C4</f>
        <v>6245.1120834511539</v>
      </c>
      <c r="D26" s="163" t="s">
        <v>23</v>
      </c>
      <c r="E26" s="162">
        <f>E14+E9+E4</f>
        <v>6245.1120834511512</v>
      </c>
      <c r="H26" s="164"/>
    </row>
    <row r="27" spans="2:8" ht="14.25" customHeight="1"/>
    <row r="28" spans="2:8" ht="14.25" customHeight="1">
      <c r="F28" s="161"/>
    </row>
    <row r="29" spans="2:8" ht="14.25" customHeight="1"/>
    <row r="30" spans="2:8" ht="14.25" customHeight="1"/>
    <row r="31" spans="2:8" ht="14.25" customHeight="1"/>
    <row r="32" spans="2: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selection sqref="A1:F4"/>
    </sheetView>
  </sheetViews>
  <sheetFormatPr baseColWidth="10" defaultColWidth="14.44140625" defaultRowHeight="15" customHeight="1"/>
  <cols>
    <col min="1" max="1" width="16.33203125" customWidth="1"/>
    <col min="2" max="2" width="14.5546875" customWidth="1"/>
    <col min="3" max="15" width="10.6640625" customWidth="1"/>
    <col min="16" max="26" width="9.109375" customWidth="1"/>
  </cols>
  <sheetData>
    <row r="1" spans="1:15" ht="15" customHeight="1">
      <c r="A1" s="167" t="s">
        <v>5</v>
      </c>
      <c r="B1" s="168"/>
      <c r="C1" s="168"/>
      <c r="D1" s="168"/>
      <c r="E1" s="168"/>
      <c r="F1" s="169"/>
    </row>
    <row r="2" spans="1:15" ht="14.25" customHeight="1">
      <c r="A2" s="170"/>
      <c r="B2" s="166"/>
      <c r="C2" s="166"/>
      <c r="D2" s="166"/>
      <c r="E2" s="166"/>
      <c r="F2" s="171"/>
    </row>
    <row r="3" spans="1:15" ht="14.25" customHeight="1">
      <c r="A3" s="170"/>
      <c r="B3" s="166"/>
      <c r="C3" s="166"/>
      <c r="D3" s="166"/>
      <c r="E3" s="166"/>
      <c r="F3" s="171"/>
    </row>
    <row r="4" spans="1:15" ht="55.5" customHeight="1">
      <c r="A4" s="172"/>
      <c r="B4" s="173"/>
      <c r="C4" s="173"/>
      <c r="D4" s="173"/>
      <c r="E4" s="173"/>
      <c r="F4" s="174"/>
    </row>
    <row r="5" spans="1:15" ht="32.25" customHeight="1">
      <c r="A5" s="175" t="s">
        <v>6</v>
      </c>
      <c r="B5" s="176"/>
      <c r="C5" s="176"/>
      <c r="D5" s="176"/>
      <c r="E5" s="176"/>
      <c r="F5" s="177"/>
    </row>
    <row r="6" spans="1:15" ht="14.25" customHeight="1"/>
    <row r="7" spans="1:15" ht="14.25" customHeight="1">
      <c r="A7" s="4" t="s">
        <v>7</v>
      </c>
      <c r="B7" s="5"/>
      <c r="C7" s="5" t="s">
        <v>8</v>
      </c>
      <c r="D7" s="5"/>
      <c r="E7" s="5"/>
      <c r="F7" s="5"/>
      <c r="G7" s="5"/>
      <c r="H7" s="5"/>
      <c r="I7" s="5"/>
      <c r="J7" s="5"/>
      <c r="K7" s="5"/>
      <c r="L7" s="5"/>
      <c r="M7" s="5"/>
      <c r="N7" s="5"/>
      <c r="O7" s="6"/>
    </row>
    <row r="8" spans="1:15" ht="14.25" customHeight="1">
      <c r="A8" s="7" t="s">
        <v>9</v>
      </c>
      <c r="B8" s="8" t="s">
        <v>10</v>
      </c>
      <c r="C8" s="8" t="s">
        <v>11</v>
      </c>
      <c r="D8" s="8" t="s">
        <v>12</v>
      </c>
      <c r="E8" s="8" t="s">
        <v>13</v>
      </c>
      <c r="F8" s="8" t="s">
        <v>14</v>
      </c>
      <c r="G8" s="8" t="s">
        <v>15</v>
      </c>
      <c r="H8" s="8" t="s">
        <v>16</v>
      </c>
      <c r="I8" s="8" t="s">
        <v>17</v>
      </c>
      <c r="J8" s="8" t="s">
        <v>18</v>
      </c>
      <c r="K8" s="8" t="s">
        <v>19</v>
      </c>
      <c r="L8" s="8" t="s">
        <v>20</v>
      </c>
      <c r="M8" s="8" t="s">
        <v>21</v>
      </c>
      <c r="N8" s="8" t="s">
        <v>22</v>
      </c>
      <c r="O8" s="9" t="s">
        <v>23</v>
      </c>
    </row>
    <row r="9" spans="1:15" ht="14.25" customHeight="1">
      <c r="A9" s="10" t="str">
        <f>'4.PRECIOS'!A23</f>
        <v>PRODUCTO 1</v>
      </c>
      <c r="B9" s="11" t="s">
        <v>24</v>
      </c>
      <c r="C9" s="12">
        <v>5</v>
      </c>
      <c r="D9" s="12">
        <v>5</v>
      </c>
      <c r="E9" s="12">
        <v>4</v>
      </c>
      <c r="F9" s="12">
        <v>4</v>
      </c>
      <c r="G9" s="12">
        <v>6</v>
      </c>
      <c r="H9" s="12">
        <v>6</v>
      </c>
      <c r="I9" s="12">
        <v>10</v>
      </c>
      <c r="J9" s="12">
        <v>10</v>
      </c>
      <c r="K9" s="12">
        <v>10</v>
      </c>
      <c r="L9" s="12">
        <v>10</v>
      </c>
      <c r="M9" s="12">
        <v>14</v>
      </c>
      <c r="N9" s="12">
        <v>16</v>
      </c>
      <c r="O9" s="9">
        <f t="shared" ref="O9:O13" si="0">SUM(C9:N9)</f>
        <v>100</v>
      </c>
    </row>
    <row r="10" spans="1:15" ht="14.25" customHeight="1">
      <c r="A10" s="10" t="str">
        <f>'4.PRECIOS'!A24</f>
        <v>PRODUCTO 2</v>
      </c>
      <c r="B10" s="11"/>
      <c r="C10" s="12"/>
      <c r="D10" s="12"/>
      <c r="E10" s="12"/>
      <c r="F10" s="12"/>
      <c r="G10" s="12"/>
      <c r="H10" s="12"/>
      <c r="I10" s="12"/>
      <c r="J10" s="12"/>
      <c r="K10" s="12"/>
      <c r="L10" s="12"/>
      <c r="M10" s="12"/>
      <c r="N10" s="12"/>
      <c r="O10" s="9">
        <f t="shared" si="0"/>
        <v>0</v>
      </c>
    </row>
    <row r="11" spans="1:15" ht="14.25" customHeight="1">
      <c r="A11" s="10" t="str">
        <f>'4.PRECIOS'!A25</f>
        <v>PRODUCTO 3</v>
      </c>
      <c r="B11" s="11"/>
      <c r="C11" s="12"/>
      <c r="D11" s="12"/>
      <c r="E11" s="12"/>
      <c r="F11" s="12"/>
      <c r="G11" s="12"/>
      <c r="H11" s="12"/>
      <c r="I11" s="12"/>
      <c r="J11" s="12"/>
      <c r="K11" s="12"/>
      <c r="L11" s="12"/>
      <c r="M11" s="12"/>
      <c r="N11" s="12"/>
      <c r="O11" s="9">
        <f t="shared" si="0"/>
        <v>0</v>
      </c>
    </row>
    <row r="12" spans="1:15" ht="14.25" customHeight="1">
      <c r="A12" s="10" t="str">
        <f>'4.PRECIOS'!A26</f>
        <v>PRODUCTO 4</v>
      </c>
      <c r="B12" s="11"/>
      <c r="C12" s="12"/>
      <c r="D12" s="12"/>
      <c r="E12" s="12"/>
      <c r="F12" s="12"/>
      <c r="G12" s="12"/>
      <c r="H12" s="12"/>
      <c r="I12" s="12"/>
      <c r="J12" s="12"/>
      <c r="K12" s="12"/>
      <c r="L12" s="12"/>
      <c r="M12" s="12"/>
      <c r="N12" s="12"/>
      <c r="O12" s="9">
        <f t="shared" si="0"/>
        <v>0</v>
      </c>
    </row>
    <row r="13" spans="1:15" ht="14.25" customHeight="1">
      <c r="A13" s="13" t="str">
        <f>'4.PRECIOS'!A27</f>
        <v>PRODUCTO 5</v>
      </c>
      <c r="B13" s="11"/>
      <c r="C13" s="14"/>
      <c r="D13" s="14"/>
      <c r="E13" s="14"/>
      <c r="F13" s="14"/>
      <c r="G13" s="14"/>
      <c r="H13" s="14"/>
      <c r="I13" s="14"/>
      <c r="J13" s="14"/>
      <c r="K13" s="14"/>
      <c r="L13" s="14"/>
      <c r="M13" s="14"/>
      <c r="N13" s="14"/>
      <c r="O13" s="15">
        <f t="shared" si="0"/>
        <v>0</v>
      </c>
    </row>
    <row r="14" spans="1:15" ht="14.25" customHeight="1"/>
    <row r="15" spans="1:15" ht="14.25" customHeight="1">
      <c r="B15" s="16" t="s">
        <v>25</v>
      </c>
    </row>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F4"/>
    <mergeCell ref="A5:F5"/>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baseColWidth="10" defaultColWidth="14.44140625" defaultRowHeight="15" customHeight="1"/>
  <cols>
    <col min="1" max="1" width="27.44140625" customWidth="1"/>
    <col min="2" max="6" width="10.6640625" customWidth="1"/>
    <col min="7" max="7" width="21" customWidth="1"/>
    <col min="8" max="14" width="10.6640625" customWidth="1"/>
    <col min="15" max="26" width="9.109375" customWidth="1"/>
  </cols>
  <sheetData>
    <row r="1" spans="1:9" ht="14.25" customHeight="1">
      <c r="A1" s="17" t="s">
        <v>26</v>
      </c>
      <c r="G1" s="17" t="s">
        <v>27</v>
      </c>
    </row>
    <row r="2" spans="1:9" ht="14.25" customHeight="1"/>
    <row r="3" spans="1:9" ht="14.25" customHeight="1">
      <c r="A3" s="18" t="s">
        <v>28</v>
      </c>
      <c r="G3" s="18" t="s">
        <v>29</v>
      </c>
    </row>
    <row r="4" spans="1:9" ht="14.25" customHeight="1">
      <c r="A4" s="16" t="s">
        <v>30</v>
      </c>
      <c r="B4" s="11" t="s">
        <v>31</v>
      </c>
      <c r="C4" s="16" t="s">
        <v>32</v>
      </c>
      <c r="G4" s="16" t="s">
        <v>33</v>
      </c>
      <c r="H4" s="11"/>
      <c r="I4" s="16" t="s">
        <v>34</v>
      </c>
    </row>
    <row r="5" spans="1:9" ht="14.25" customHeight="1">
      <c r="A5" s="16" t="s">
        <v>35</v>
      </c>
      <c r="B5" s="19">
        <v>1300</v>
      </c>
      <c r="C5" s="16" t="s">
        <v>36</v>
      </c>
      <c r="G5" s="16" t="s">
        <v>37</v>
      </c>
      <c r="H5" s="19"/>
      <c r="I5" s="16" t="s">
        <v>38</v>
      </c>
    </row>
    <row r="6" spans="1:9" ht="14.25" customHeight="1">
      <c r="A6" s="16" t="s">
        <v>39</v>
      </c>
      <c r="B6" s="20">
        <v>96.6</v>
      </c>
      <c r="C6" s="16" t="s">
        <v>40</v>
      </c>
      <c r="G6" s="16" t="s">
        <v>41</v>
      </c>
      <c r="H6" s="21"/>
      <c r="I6" s="16" t="s">
        <v>42</v>
      </c>
    </row>
    <row r="7" spans="1:9" ht="14.25" customHeight="1">
      <c r="A7" s="16" t="s">
        <v>43</v>
      </c>
      <c r="B7" s="22">
        <f>IF(B6="",0,80)</f>
        <v>80</v>
      </c>
      <c r="C7" s="16" t="s">
        <v>44</v>
      </c>
      <c r="G7" s="16" t="s">
        <v>45</v>
      </c>
      <c r="H7" s="22">
        <f>H4*IF(H6="12",H5+((h5x2)/12),H5)</f>
        <v>0</v>
      </c>
      <c r="I7" s="16" t="s">
        <v>44</v>
      </c>
    </row>
    <row r="8" spans="1:9" ht="14.25" customHeight="1">
      <c r="G8" s="16" t="s">
        <v>46</v>
      </c>
      <c r="H8" s="22">
        <f>H4*(H5+(H5*2)/12)*0.319</f>
        <v>0</v>
      </c>
      <c r="I8" s="16" t="s">
        <v>44</v>
      </c>
    </row>
    <row r="9" spans="1:9" ht="14.25" customHeight="1">
      <c r="G9" s="16" t="s">
        <v>47</v>
      </c>
      <c r="H9" s="16">
        <f>H4*IF(H6=12,H5+((H5*2/12)),H5*2)</f>
        <v>0</v>
      </c>
    </row>
    <row r="10" spans="1:9" ht="14.25" customHeight="1"/>
    <row r="11" spans="1:9" ht="14.25" customHeight="1">
      <c r="G11" s="18" t="s">
        <v>48</v>
      </c>
    </row>
    <row r="12" spans="1:9" ht="14.25" customHeight="1">
      <c r="A12" s="18" t="s">
        <v>49</v>
      </c>
      <c r="G12" s="16" t="s">
        <v>33</v>
      </c>
      <c r="H12" s="11"/>
      <c r="I12" s="16" t="s">
        <v>34</v>
      </c>
    </row>
    <row r="13" spans="1:9" ht="14.25" customHeight="1">
      <c r="A13" s="16" t="s">
        <v>35</v>
      </c>
      <c r="B13" s="19"/>
      <c r="C13" s="16" t="s">
        <v>36</v>
      </c>
      <c r="G13" s="16" t="s">
        <v>37</v>
      </c>
      <c r="H13" s="19"/>
      <c r="I13" s="16" t="s">
        <v>38</v>
      </c>
    </row>
    <row r="14" spans="1:9" ht="14.25" customHeight="1">
      <c r="A14" s="16" t="s">
        <v>39</v>
      </c>
      <c r="B14" s="20"/>
      <c r="C14" s="16" t="s">
        <v>40</v>
      </c>
      <c r="G14" s="16" t="s">
        <v>41</v>
      </c>
      <c r="H14" s="21"/>
      <c r="I14" s="16" t="s">
        <v>42</v>
      </c>
    </row>
    <row r="15" spans="1:9" ht="14.25" customHeight="1">
      <c r="A15" s="16" t="s">
        <v>43</v>
      </c>
      <c r="B15" s="22">
        <f>IF(B14="",0,80)</f>
        <v>0</v>
      </c>
      <c r="C15" s="16" t="s">
        <v>44</v>
      </c>
      <c r="G15" s="16" t="s">
        <v>45</v>
      </c>
      <c r="H15" s="22">
        <f>H12*IF(H14="12",H13+((h5x2)/12),H13)</f>
        <v>0</v>
      </c>
      <c r="I15" s="16" t="s">
        <v>44</v>
      </c>
    </row>
    <row r="16" spans="1:9" ht="14.25" customHeight="1">
      <c r="G16" s="16" t="s">
        <v>46</v>
      </c>
      <c r="H16" s="22">
        <f>H12*(H13+(H13*2)/12)*0.319</f>
        <v>0</v>
      </c>
      <c r="I16" s="16" t="s">
        <v>44</v>
      </c>
    </row>
    <row r="17" spans="1:9" ht="14.25" customHeight="1">
      <c r="G17" s="16" t="s">
        <v>47</v>
      </c>
      <c r="H17" s="16">
        <f>H12*IF(H14=12,H13+((H13*2/12)),H13*2)</f>
        <v>0</v>
      </c>
    </row>
    <row r="18" spans="1:9" ht="14.25" customHeight="1"/>
    <row r="19" spans="1:9" ht="14.25" customHeight="1">
      <c r="G19" s="18" t="s">
        <v>50</v>
      </c>
    </row>
    <row r="20" spans="1:9" ht="14.25" customHeight="1">
      <c r="G20" s="16" t="s">
        <v>33</v>
      </c>
      <c r="H20" s="11"/>
      <c r="I20" s="16" t="s">
        <v>34</v>
      </c>
    </row>
    <row r="21" spans="1:9" ht="14.25" customHeight="1">
      <c r="A21" s="18" t="s">
        <v>51</v>
      </c>
      <c r="G21" s="16" t="s">
        <v>37</v>
      </c>
      <c r="H21" s="19"/>
      <c r="I21" s="16" t="s">
        <v>38</v>
      </c>
    </row>
    <row r="22" spans="1:9" ht="14.25" customHeight="1">
      <c r="A22" s="16" t="s">
        <v>35</v>
      </c>
      <c r="B22" s="19"/>
      <c r="C22" s="16" t="s">
        <v>36</v>
      </c>
      <c r="G22" s="16" t="s">
        <v>41</v>
      </c>
      <c r="H22" s="21"/>
      <c r="I22" s="16" t="s">
        <v>42</v>
      </c>
    </row>
    <row r="23" spans="1:9" ht="14.25" customHeight="1">
      <c r="A23" s="16" t="s">
        <v>39</v>
      </c>
      <c r="B23" s="20"/>
      <c r="C23" s="16" t="s">
        <v>40</v>
      </c>
      <c r="G23" s="16" t="s">
        <v>45</v>
      </c>
      <c r="H23" s="22">
        <f>H20*IF(H22="12",H21+((h5x2)/12),H21)</f>
        <v>0</v>
      </c>
      <c r="I23" s="16" t="s">
        <v>44</v>
      </c>
    </row>
    <row r="24" spans="1:9" ht="14.25" customHeight="1">
      <c r="A24" s="16" t="s">
        <v>43</v>
      </c>
      <c r="B24" s="22">
        <f>IF(B23="",0,80)</f>
        <v>0</v>
      </c>
      <c r="C24" s="16" t="s">
        <v>44</v>
      </c>
      <c r="G24" s="16" t="s">
        <v>46</v>
      </c>
      <c r="H24" s="22">
        <f>H20*(H21+(H21*2)/12)*0.319</f>
        <v>0</v>
      </c>
      <c r="I24" s="16" t="s">
        <v>44</v>
      </c>
    </row>
    <row r="25" spans="1:9" ht="14.25" customHeight="1">
      <c r="G25" s="16" t="s">
        <v>47</v>
      </c>
      <c r="H25" s="16">
        <f>H20*IF(H22=12,H21+((H21*2/12)),H21*2)</f>
        <v>0</v>
      </c>
    </row>
    <row r="26" spans="1:9" ht="14.25" customHeight="1">
      <c r="B26" s="22"/>
    </row>
    <row r="27" spans="1:9" ht="14.25" customHeight="1">
      <c r="B27" s="22"/>
      <c r="G27" s="18" t="s">
        <v>52</v>
      </c>
    </row>
    <row r="28" spans="1:9" ht="14.25" customHeight="1">
      <c r="G28" s="16" t="s">
        <v>33</v>
      </c>
      <c r="H28" s="11"/>
      <c r="I28" s="16" t="s">
        <v>34</v>
      </c>
    </row>
    <row r="29" spans="1:9" ht="14.25" customHeight="1">
      <c r="G29" s="16" t="s">
        <v>37</v>
      </c>
      <c r="H29" s="19"/>
      <c r="I29" s="16" t="s">
        <v>38</v>
      </c>
    </row>
    <row r="30" spans="1:9" ht="14.25" customHeight="1">
      <c r="G30" s="16" t="s">
        <v>41</v>
      </c>
      <c r="H30" s="21"/>
      <c r="I30" s="16" t="s">
        <v>42</v>
      </c>
    </row>
    <row r="31" spans="1:9" ht="14.25" customHeight="1">
      <c r="G31" s="16" t="s">
        <v>45</v>
      </c>
      <c r="H31" s="22">
        <f>H28*IF(H30="12",H29+((h5x2)/12),H29)</f>
        <v>0</v>
      </c>
      <c r="I31" s="16" t="s">
        <v>44</v>
      </c>
    </row>
    <row r="32" spans="1:9" ht="14.25" customHeight="1">
      <c r="G32" s="16" t="s">
        <v>46</v>
      </c>
      <c r="H32" s="22">
        <f>H28*(H29+(H29*2)/12)*0.319</f>
        <v>0</v>
      </c>
      <c r="I32" s="16" t="s">
        <v>44</v>
      </c>
    </row>
    <row r="33" spans="1:14" ht="14.25" customHeight="1">
      <c r="G33" s="16" t="s">
        <v>47</v>
      </c>
      <c r="H33" s="16">
        <f>H28*IF(H30=12,H29+((H29*2/12)),H29*2)</f>
        <v>0</v>
      </c>
    </row>
    <row r="34" spans="1:14" ht="14.25" customHeight="1">
      <c r="A34" s="23" t="s">
        <v>53</v>
      </c>
      <c r="B34" s="5"/>
      <c r="C34" s="5"/>
      <c r="D34" s="5"/>
      <c r="E34" s="5"/>
      <c r="F34" s="5"/>
      <c r="G34" s="5"/>
      <c r="H34" s="5"/>
      <c r="I34" s="5"/>
      <c r="J34" s="5"/>
      <c r="K34" s="5"/>
      <c r="L34" s="5"/>
      <c r="M34" s="5"/>
      <c r="N34" s="6"/>
    </row>
    <row r="35" spans="1:14" ht="14.25" customHeight="1">
      <c r="A35" s="24" t="s">
        <v>54</v>
      </c>
      <c r="B35" s="25" t="s">
        <v>11</v>
      </c>
      <c r="C35" s="25" t="s">
        <v>12</v>
      </c>
      <c r="D35" s="25" t="s">
        <v>13</v>
      </c>
      <c r="E35" s="25" t="s">
        <v>14</v>
      </c>
      <c r="F35" s="25" t="s">
        <v>15</v>
      </c>
      <c r="G35" s="25" t="s">
        <v>16</v>
      </c>
      <c r="H35" s="25" t="s">
        <v>17</v>
      </c>
      <c r="I35" s="25" t="s">
        <v>18</v>
      </c>
      <c r="J35" s="25" t="s">
        <v>19</v>
      </c>
      <c r="K35" s="25" t="s">
        <v>20</v>
      </c>
      <c r="L35" s="25" t="s">
        <v>21</v>
      </c>
      <c r="M35" s="25" t="s">
        <v>22</v>
      </c>
      <c r="N35" s="9" t="s">
        <v>55</v>
      </c>
    </row>
    <row r="36" spans="1:14" ht="14.25" customHeight="1">
      <c r="A36" s="7" t="s">
        <v>56</v>
      </c>
      <c r="B36" s="22">
        <f t="shared" ref="B36:F36" si="0">$H$7+$H$15+$H$23+$H$31+$B$13+$B$22+IF($B$4="",$B$5,0)</f>
        <v>0</v>
      </c>
      <c r="C36" s="22">
        <f t="shared" si="0"/>
        <v>0</v>
      </c>
      <c r="D36" s="22">
        <f t="shared" si="0"/>
        <v>0</v>
      </c>
      <c r="E36" s="22">
        <f t="shared" si="0"/>
        <v>0</v>
      </c>
      <c r="F36" s="22">
        <f t="shared" si="0"/>
        <v>0</v>
      </c>
      <c r="G36" s="22">
        <f>H9+H17+H25+H33+$B$13+$B$22+IF($B$4="",$B$5,0)</f>
        <v>0</v>
      </c>
      <c r="H36" s="22">
        <f t="shared" ref="H36:L36" si="1">$H$7+$H$15+$H$23+$H$31+$B$13+$B$22+IF($B$4="",$B$5,0)</f>
        <v>0</v>
      </c>
      <c r="I36" s="22">
        <f t="shared" si="1"/>
        <v>0</v>
      </c>
      <c r="J36" s="22">
        <f t="shared" si="1"/>
        <v>0</v>
      </c>
      <c r="K36" s="22">
        <f t="shared" si="1"/>
        <v>0</v>
      </c>
      <c r="L36" s="22">
        <f t="shared" si="1"/>
        <v>0</v>
      </c>
      <c r="M36" s="22">
        <f>H9+H17+H25+H33+$B$13+$B$22+IF($B$4="",$B$5,0)</f>
        <v>0</v>
      </c>
      <c r="N36" s="26">
        <f t="shared" ref="N36:N39" si="2">SUM(B36:M36)</f>
        <v>0</v>
      </c>
    </row>
    <row r="37" spans="1:14" ht="14.25" customHeight="1">
      <c r="A37" s="7" t="s">
        <v>57</v>
      </c>
      <c r="B37" s="22">
        <f t="shared" ref="B37:M37" si="3">$H$8+$H$16+$H$24+$H$32</f>
        <v>0</v>
      </c>
      <c r="C37" s="22">
        <f t="shared" si="3"/>
        <v>0</v>
      </c>
      <c r="D37" s="22">
        <f t="shared" si="3"/>
        <v>0</v>
      </c>
      <c r="E37" s="22">
        <f t="shared" si="3"/>
        <v>0</v>
      </c>
      <c r="F37" s="22">
        <f t="shared" si="3"/>
        <v>0</v>
      </c>
      <c r="G37" s="22">
        <f t="shared" si="3"/>
        <v>0</v>
      </c>
      <c r="H37" s="22">
        <f t="shared" si="3"/>
        <v>0</v>
      </c>
      <c r="I37" s="22">
        <f t="shared" si="3"/>
        <v>0</v>
      </c>
      <c r="J37" s="22">
        <f t="shared" si="3"/>
        <v>0</v>
      </c>
      <c r="K37" s="22">
        <f t="shared" si="3"/>
        <v>0</v>
      </c>
      <c r="L37" s="22">
        <f t="shared" si="3"/>
        <v>0</v>
      </c>
      <c r="M37" s="22">
        <f t="shared" si="3"/>
        <v>0</v>
      </c>
      <c r="N37" s="26">
        <f t="shared" si="2"/>
        <v>0</v>
      </c>
    </row>
    <row r="38" spans="1:14" ht="14.25" customHeight="1">
      <c r="A38" s="7" t="s">
        <v>58</v>
      </c>
      <c r="B38" s="22">
        <f t="shared" ref="B38:M38" si="4">$B$7+$B$15+$B$24</f>
        <v>80</v>
      </c>
      <c r="C38" s="22">
        <f t="shared" si="4"/>
        <v>80</v>
      </c>
      <c r="D38" s="22">
        <f t="shared" si="4"/>
        <v>80</v>
      </c>
      <c r="E38" s="22">
        <f t="shared" si="4"/>
        <v>80</v>
      </c>
      <c r="F38" s="22">
        <f t="shared" si="4"/>
        <v>80</v>
      </c>
      <c r="G38" s="22">
        <f t="shared" si="4"/>
        <v>80</v>
      </c>
      <c r="H38" s="22">
        <f t="shared" si="4"/>
        <v>80</v>
      </c>
      <c r="I38" s="22">
        <f t="shared" si="4"/>
        <v>80</v>
      </c>
      <c r="J38" s="22">
        <f t="shared" si="4"/>
        <v>80</v>
      </c>
      <c r="K38" s="22">
        <f t="shared" si="4"/>
        <v>80</v>
      </c>
      <c r="L38" s="22">
        <f t="shared" si="4"/>
        <v>80</v>
      </c>
      <c r="M38" s="22">
        <f t="shared" si="4"/>
        <v>80</v>
      </c>
      <c r="N38" s="26">
        <f t="shared" si="2"/>
        <v>960</v>
      </c>
    </row>
    <row r="39" spans="1:14" ht="14.25" customHeight="1">
      <c r="A39" s="27" t="s">
        <v>59</v>
      </c>
      <c r="B39" s="28">
        <f t="shared" ref="B39:M39" si="5">IF($B$4="x",$B$5,0)</f>
        <v>1300</v>
      </c>
      <c r="C39" s="28">
        <f t="shared" si="5"/>
        <v>1300</v>
      </c>
      <c r="D39" s="28">
        <f t="shared" si="5"/>
        <v>1300</v>
      </c>
      <c r="E39" s="28">
        <f t="shared" si="5"/>
        <v>1300</v>
      </c>
      <c r="F39" s="28">
        <f t="shared" si="5"/>
        <v>1300</v>
      </c>
      <c r="G39" s="28">
        <f t="shared" si="5"/>
        <v>1300</v>
      </c>
      <c r="H39" s="28">
        <f t="shared" si="5"/>
        <v>1300</v>
      </c>
      <c r="I39" s="28">
        <f t="shared" si="5"/>
        <v>1300</v>
      </c>
      <c r="J39" s="28">
        <f t="shared" si="5"/>
        <v>1300</v>
      </c>
      <c r="K39" s="28">
        <f t="shared" si="5"/>
        <v>1300</v>
      </c>
      <c r="L39" s="28">
        <f t="shared" si="5"/>
        <v>1300</v>
      </c>
      <c r="M39" s="28">
        <f t="shared" si="5"/>
        <v>1300</v>
      </c>
      <c r="N39" s="29">
        <f t="shared" si="2"/>
        <v>15600</v>
      </c>
    </row>
    <row r="40" spans="1:14" ht="14.25" customHeight="1"/>
    <row r="41" spans="1:14" ht="14.25" customHeight="1"/>
    <row r="42" spans="1:14" ht="14.25" customHeight="1"/>
    <row r="43" spans="1:14" ht="14.25" customHeight="1"/>
    <row r="44" spans="1:14" ht="14.25" customHeight="1"/>
    <row r="45" spans="1:14" ht="14.25" customHeight="1"/>
    <row r="46" spans="1:14" ht="14.25" customHeight="1"/>
    <row r="47" spans="1:14" ht="14.25" customHeight="1"/>
    <row r="48" spans="1: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sqref="A1:E3"/>
    </sheetView>
  </sheetViews>
  <sheetFormatPr baseColWidth="10" defaultColWidth="14.44140625" defaultRowHeight="15" customHeight="1"/>
  <cols>
    <col min="1" max="1" width="21.6640625" customWidth="1"/>
    <col min="2" max="2" width="17.5546875" customWidth="1"/>
    <col min="3" max="6" width="10.6640625" customWidth="1"/>
    <col min="7" max="7" width="17.6640625" customWidth="1"/>
    <col min="8" max="8" width="10.6640625" customWidth="1"/>
    <col min="9" max="9" width="17.109375" customWidth="1"/>
    <col min="10" max="10" width="18.109375" customWidth="1"/>
    <col min="11" max="11" width="10.6640625" customWidth="1"/>
    <col min="12" max="26" width="9.109375" customWidth="1"/>
  </cols>
  <sheetData>
    <row r="1" spans="1:11" ht="15" customHeight="1">
      <c r="A1" s="178" t="s">
        <v>60</v>
      </c>
      <c r="B1" s="168"/>
      <c r="C1" s="168"/>
      <c r="D1" s="168"/>
      <c r="E1" s="169"/>
    </row>
    <row r="2" spans="1:11" ht="14.25" customHeight="1">
      <c r="A2" s="170"/>
      <c r="B2" s="166"/>
      <c r="C2" s="166"/>
      <c r="D2" s="166"/>
      <c r="E2" s="171"/>
    </row>
    <row r="3" spans="1:11" ht="14.25" customHeight="1">
      <c r="A3" s="172"/>
      <c r="B3" s="173"/>
      <c r="C3" s="173"/>
      <c r="D3" s="173"/>
      <c r="E3" s="174"/>
    </row>
    <row r="4" spans="1:11" ht="14.25" customHeight="1"/>
    <row r="5" spans="1:11" ht="14.25" customHeight="1">
      <c r="I5" s="18" t="s">
        <v>61</v>
      </c>
    </row>
    <row r="6" spans="1:11" ht="14.25" customHeight="1">
      <c r="A6" s="18" t="s">
        <v>62</v>
      </c>
      <c r="B6" s="16" t="s">
        <v>63</v>
      </c>
      <c r="I6" s="30" t="s">
        <v>64</v>
      </c>
      <c r="J6" s="31" t="str">
        <f>'1.ESTIMACIÓN VENTAS'!B9</f>
        <v>Patrocinio</v>
      </c>
    </row>
    <row r="7" spans="1:11" ht="14.25" customHeight="1">
      <c r="A7" s="16" t="s">
        <v>65</v>
      </c>
      <c r="B7" s="32">
        <v>500</v>
      </c>
      <c r="C7" s="16" t="s">
        <v>44</v>
      </c>
      <c r="I7" s="24" t="s">
        <v>66</v>
      </c>
      <c r="J7" s="33"/>
      <c r="K7" s="16" t="s">
        <v>67</v>
      </c>
    </row>
    <row r="8" spans="1:11" ht="14.25" customHeight="1">
      <c r="A8" s="16" t="s">
        <v>68</v>
      </c>
      <c r="B8" s="34">
        <f>AVERAGE('2.COSTES SALARIALES'!B36:M36)</f>
        <v>0</v>
      </c>
      <c r="C8" s="16" t="s">
        <v>44</v>
      </c>
      <c r="I8" s="24" t="s">
        <v>69</v>
      </c>
      <c r="J8" s="33"/>
    </row>
    <row r="9" spans="1:11" ht="14.25" customHeight="1">
      <c r="A9" s="16" t="s">
        <v>70</v>
      </c>
      <c r="B9" s="34">
        <f>'2.COSTES SALARIALES'!H8+'2.COSTES SALARIALES'!H16+'2.COSTES SALARIALES'!H24</f>
        <v>0</v>
      </c>
      <c r="C9" s="16" t="s">
        <v>44</v>
      </c>
      <c r="I9" s="24" t="s">
        <v>71</v>
      </c>
      <c r="J9" s="33"/>
    </row>
    <row r="10" spans="1:11" ht="14.25" customHeight="1">
      <c r="A10" s="16" t="s">
        <v>72</v>
      </c>
      <c r="B10" s="34">
        <f>('2.COSTES SALARIALES'!B6*0.3)+('2.COSTES SALARIALES'!B14*0.3)+('2.COSTES SALARIALES'!B23*0.3)</f>
        <v>28.979999999999997</v>
      </c>
      <c r="C10" s="16" t="s">
        <v>44</v>
      </c>
      <c r="I10" s="35" t="s">
        <v>23</v>
      </c>
      <c r="J10" s="36">
        <f>SUM(J7:J9)</f>
        <v>0</v>
      </c>
    </row>
    <row r="11" spans="1:11" ht="14.25" customHeight="1">
      <c r="A11" s="16" t="s">
        <v>73</v>
      </c>
      <c r="B11" s="32">
        <v>35</v>
      </c>
      <c r="C11" s="16" t="s">
        <v>44</v>
      </c>
    </row>
    <row r="12" spans="1:11" ht="14.25" customHeight="1">
      <c r="A12" s="16" t="s">
        <v>74</v>
      </c>
      <c r="B12" s="32">
        <v>20</v>
      </c>
      <c r="C12" s="16" t="s">
        <v>44</v>
      </c>
    </row>
    <row r="13" spans="1:11" ht="14.25" customHeight="1">
      <c r="A13" s="16" t="s">
        <v>75</v>
      </c>
      <c r="B13" s="32">
        <v>40</v>
      </c>
      <c r="C13" s="16" t="s">
        <v>44</v>
      </c>
      <c r="I13" s="30" t="s">
        <v>76</v>
      </c>
      <c r="J13" s="31">
        <f>'1.ESTIMACIÓN VENTAS'!B10</f>
        <v>0</v>
      </c>
    </row>
    <row r="14" spans="1:11" ht="14.25" customHeight="1">
      <c r="A14" s="16" t="s">
        <v>77</v>
      </c>
      <c r="B14" s="32">
        <v>200</v>
      </c>
      <c r="C14" s="16" t="s">
        <v>44</v>
      </c>
      <c r="I14" s="24" t="s">
        <v>66</v>
      </c>
      <c r="J14" s="33"/>
      <c r="K14" s="16" t="s">
        <v>67</v>
      </c>
    </row>
    <row r="15" spans="1:11" ht="14.25" customHeight="1">
      <c r="A15" s="16" t="s">
        <v>78</v>
      </c>
      <c r="B15" s="32">
        <v>35</v>
      </c>
      <c r="C15" s="16" t="s">
        <v>44</v>
      </c>
      <c r="I15" s="24" t="s">
        <v>69</v>
      </c>
      <c r="J15" s="33"/>
    </row>
    <row r="16" spans="1:11" ht="14.25" customHeight="1">
      <c r="A16" s="16" t="s">
        <v>79</v>
      </c>
      <c r="B16" s="37">
        <f>AVERAGE('9.FINANCIACIÓN AJENA'!C24:C35)+AVERAGE('9.FINANCIACIÓN AJENA'!J24:J35)</f>
        <v>33.393248906169383</v>
      </c>
      <c r="C16" s="16" t="s">
        <v>44</v>
      </c>
      <c r="I16" s="24" t="s">
        <v>71</v>
      </c>
      <c r="J16" s="33"/>
    </row>
    <row r="17" spans="1:11" ht="14.25" customHeight="1">
      <c r="A17" s="16" t="s">
        <v>80</v>
      </c>
      <c r="B17" s="34">
        <f>'7.AMORTIZACIÓN'!D15/12</f>
        <v>89.940868945868942</v>
      </c>
      <c r="C17" s="16" t="s">
        <v>44</v>
      </c>
      <c r="I17" s="35" t="s">
        <v>23</v>
      </c>
      <c r="J17" s="36">
        <f>SUM(J14:J16)</f>
        <v>0</v>
      </c>
    </row>
    <row r="18" spans="1:11" ht="14.25" customHeight="1">
      <c r="A18" s="16" t="s">
        <v>81</v>
      </c>
      <c r="B18" s="32">
        <v>3.5</v>
      </c>
      <c r="C18" s="16" t="s">
        <v>44</v>
      </c>
      <c r="D18" s="16" t="s">
        <v>82</v>
      </c>
    </row>
    <row r="19" spans="1:11" ht="14.25" customHeight="1">
      <c r="A19" s="38" t="s">
        <v>83</v>
      </c>
      <c r="B19" s="32">
        <v>100</v>
      </c>
      <c r="C19" s="16" t="s">
        <v>44</v>
      </c>
    </row>
    <row r="20" spans="1:11" ht="14.25" customHeight="1">
      <c r="A20" s="16" t="s">
        <v>84</v>
      </c>
      <c r="B20" s="32"/>
      <c r="C20" s="16" t="s">
        <v>44</v>
      </c>
      <c r="I20" s="30" t="s">
        <v>85</v>
      </c>
      <c r="J20" s="31">
        <f>'1.ESTIMACIÓN VENTAS'!B11</f>
        <v>0</v>
      </c>
    </row>
    <row r="21" spans="1:11" ht="14.25" customHeight="1">
      <c r="A21" s="16" t="s">
        <v>86</v>
      </c>
      <c r="B21" s="32"/>
      <c r="C21" s="16" t="s">
        <v>44</v>
      </c>
      <c r="I21" s="39"/>
      <c r="J21" s="40"/>
    </row>
    <row r="22" spans="1:11" ht="14.25" customHeight="1">
      <c r="A22" s="18" t="s">
        <v>23</v>
      </c>
      <c r="B22" s="41">
        <f>SUM(B7:B20)</f>
        <v>1085.8141178520382</v>
      </c>
      <c r="I22" s="24" t="s">
        <v>66</v>
      </c>
      <c r="J22" s="33"/>
      <c r="K22" s="16" t="s">
        <v>67</v>
      </c>
    </row>
    <row r="23" spans="1:11" ht="14.25" customHeight="1">
      <c r="B23" s="37"/>
      <c r="I23" s="24" t="s">
        <v>69</v>
      </c>
      <c r="J23" s="33"/>
    </row>
    <row r="24" spans="1:11" ht="14.25" customHeight="1">
      <c r="I24" s="24" t="s">
        <v>71</v>
      </c>
      <c r="J24" s="33"/>
    </row>
    <row r="25" spans="1:11" ht="14.25" customHeight="1">
      <c r="I25" s="35" t="s">
        <v>23</v>
      </c>
      <c r="J25" s="36">
        <f>SUM(J22:J24)</f>
        <v>0</v>
      </c>
    </row>
    <row r="26" spans="1:11" ht="14.25" customHeight="1">
      <c r="A26" s="42" t="s">
        <v>87</v>
      </c>
      <c r="B26" s="43">
        <f>B22*12</f>
        <v>13029.769414224458</v>
      </c>
    </row>
    <row r="27" spans="1:11" ht="14.25" customHeight="1"/>
    <row r="28" spans="1:11" ht="14.25" customHeight="1">
      <c r="I28" s="30" t="s">
        <v>88</v>
      </c>
      <c r="J28" s="31">
        <f>'1.ESTIMACIÓN VENTAS'!B12</f>
        <v>0</v>
      </c>
    </row>
    <row r="29" spans="1:11" ht="14.25" customHeight="1">
      <c r="A29" s="42"/>
      <c r="I29" s="24" t="s">
        <v>66</v>
      </c>
      <c r="J29" s="33"/>
      <c r="K29" s="16" t="s">
        <v>67</v>
      </c>
    </row>
    <row r="30" spans="1:11" ht="14.25" customHeight="1">
      <c r="I30" s="24" t="s">
        <v>69</v>
      </c>
      <c r="J30" s="33"/>
    </row>
    <row r="31" spans="1:11" ht="14.25" customHeight="1">
      <c r="I31" s="24" t="s">
        <v>71</v>
      </c>
      <c r="J31" s="33"/>
    </row>
    <row r="32" spans="1:11" ht="14.25" customHeight="1">
      <c r="I32" s="35" t="s">
        <v>23</v>
      </c>
      <c r="J32" s="44">
        <f>SUM(J29:J31)</f>
        <v>0</v>
      </c>
    </row>
    <row r="33" spans="9:11" ht="14.25" customHeight="1"/>
    <row r="34" spans="9:11" ht="14.25" customHeight="1"/>
    <row r="35" spans="9:11" ht="14.25" customHeight="1">
      <c r="I35" s="30" t="s">
        <v>89</v>
      </c>
      <c r="J35" s="31">
        <f>'1.ESTIMACIÓN VENTAS'!B13</f>
        <v>0</v>
      </c>
    </row>
    <row r="36" spans="9:11" ht="14.25" customHeight="1">
      <c r="I36" s="24" t="s">
        <v>66</v>
      </c>
      <c r="J36" s="33"/>
      <c r="K36" s="16" t="s">
        <v>67</v>
      </c>
    </row>
    <row r="37" spans="9:11" ht="14.25" customHeight="1">
      <c r="I37" s="24" t="s">
        <v>69</v>
      </c>
      <c r="J37" s="33"/>
    </row>
    <row r="38" spans="9:11" ht="14.25" customHeight="1">
      <c r="I38" s="24" t="s">
        <v>71</v>
      </c>
      <c r="J38" s="33"/>
    </row>
    <row r="39" spans="9:11" ht="14.25" customHeight="1">
      <c r="I39" s="35" t="s">
        <v>23</v>
      </c>
      <c r="J39" s="44">
        <f>SUM(J36:J38)</f>
        <v>0</v>
      </c>
    </row>
    <row r="40" spans="9:11" ht="14.25" customHeight="1"/>
    <row r="41" spans="9:11" ht="14.25" customHeight="1"/>
    <row r="42" spans="9:11" ht="14.25" customHeight="1"/>
    <row r="43" spans="9:11" ht="14.25" customHeight="1"/>
    <row r="44" spans="9:11" ht="14.25" customHeight="1"/>
    <row r="45" spans="9:11" ht="14.25" customHeight="1"/>
    <row r="46" spans="9:11" ht="14.25" customHeight="1"/>
    <row r="47" spans="9:11" ht="14.25" customHeight="1"/>
    <row r="48" spans="9: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3"/>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24" workbookViewId="0">
      <selection activeCell="A52" sqref="A52"/>
    </sheetView>
  </sheetViews>
  <sheetFormatPr baseColWidth="10" defaultColWidth="14.44140625" defaultRowHeight="15" customHeight="1"/>
  <cols>
    <col min="1" max="1" width="22" customWidth="1"/>
    <col min="2" max="2" width="16.44140625" customWidth="1"/>
    <col min="3" max="5" width="10.6640625" customWidth="1"/>
    <col min="6" max="6" width="12.88671875" customWidth="1"/>
    <col min="7" max="9" width="10.6640625" customWidth="1"/>
    <col min="10" max="26" width="9.109375" customWidth="1"/>
  </cols>
  <sheetData>
    <row r="1" spans="1:7" ht="15" customHeight="1">
      <c r="A1" s="178" t="s">
        <v>90</v>
      </c>
      <c r="B1" s="168"/>
      <c r="C1" s="168"/>
      <c r="D1" s="168"/>
      <c r="E1" s="168"/>
      <c r="F1" s="168"/>
      <c r="G1" s="169"/>
    </row>
    <row r="2" spans="1:7" ht="14.25" customHeight="1">
      <c r="A2" s="170"/>
      <c r="B2" s="166"/>
      <c r="C2" s="166"/>
      <c r="D2" s="166"/>
      <c r="E2" s="166"/>
      <c r="F2" s="166"/>
      <c r="G2" s="171"/>
    </row>
    <row r="3" spans="1:7" ht="14.25" customHeight="1">
      <c r="A3" s="170"/>
      <c r="B3" s="166"/>
      <c r="C3" s="166"/>
      <c r="D3" s="166"/>
      <c r="E3" s="166"/>
      <c r="F3" s="166"/>
      <c r="G3" s="171"/>
    </row>
    <row r="4" spans="1:7" ht="14.25" customHeight="1">
      <c r="A4" s="172"/>
      <c r="B4" s="173"/>
      <c r="C4" s="173"/>
      <c r="D4" s="173"/>
      <c r="E4" s="173"/>
      <c r="F4" s="173"/>
      <c r="G4" s="174"/>
    </row>
    <row r="5" spans="1:7" ht="14.25" customHeight="1"/>
    <row r="6" spans="1:7" ht="14.25" customHeight="1">
      <c r="A6" s="16" t="s">
        <v>91</v>
      </c>
      <c r="C6" s="45">
        <f>'3.COSTES'!B26</f>
        <v>13029.769414224458</v>
      </c>
      <c r="D6" s="16" t="s">
        <v>92</v>
      </c>
    </row>
    <row r="7" spans="1:7" ht="14.25" customHeight="1">
      <c r="A7" s="46" t="s">
        <v>93</v>
      </c>
      <c r="B7" s="46"/>
      <c r="C7" s="45">
        <f>'3.COSTES'!J10</f>
        <v>0</v>
      </c>
      <c r="D7" s="16" t="s">
        <v>94</v>
      </c>
    </row>
    <row r="8" spans="1:7" ht="14.25" customHeight="1">
      <c r="A8" s="46" t="s">
        <v>95</v>
      </c>
      <c r="B8" s="46"/>
      <c r="C8" s="45">
        <f>'3.COSTES'!J17</f>
        <v>0</v>
      </c>
      <c r="D8" s="16" t="s">
        <v>94</v>
      </c>
    </row>
    <row r="9" spans="1:7" ht="14.25" customHeight="1">
      <c r="A9" s="46" t="s">
        <v>96</v>
      </c>
      <c r="B9" s="46"/>
      <c r="C9" s="45">
        <f>'3.COSTES'!J25</f>
        <v>0</v>
      </c>
      <c r="D9" s="16" t="s">
        <v>94</v>
      </c>
    </row>
    <row r="10" spans="1:7" ht="14.25" customHeight="1">
      <c r="A10" s="46" t="s">
        <v>97</v>
      </c>
      <c r="B10" s="46"/>
      <c r="C10" s="45">
        <f>'3.COSTES'!J32</f>
        <v>0</v>
      </c>
      <c r="D10" s="16" t="s">
        <v>94</v>
      </c>
    </row>
    <row r="11" spans="1:7" ht="14.25" customHeight="1">
      <c r="A11" s="46" t="s">
        <v>98</v>
      </c>
      <c r="B11" s="46"/>
      <c r="C11" s="45">
        <f>'3.COSTES'!J39</f>
        <v>0</v>
      </c>
      <c r="D11" s="16" t="s">
        <v>94</v>
      </c>
    </row>
    <row r="12" spans="1:7" ht="14.25" customHeight="1">
      <c r="A12" s="46"/>
      <c r="B12" s="46"/>
    </row>
    <row r="13" spans="1:7" ht="14.25" customHeight="1"/>
    <row r="14" spans="1:7" ht="14.25" customHeight="1">
      <c r="A14" s="42" t="s">
        <v>99</v>
      </c>
      <c r="B14" s="42"/>
    </row>
    <row r="15" spans="1:7" ht="14.25" customHeight="1">
      <c r="A15" s="16" t="s">
        <v>64</v>
      </c>
      <c r="B15" s="16" t="str">
        <f>'3.COSTES'!J6</f>
        <v>Patrocinio</v>
      </c>
      <c r="C15" s="47">
        <v>1</v>
      </c>
      <c r="E15" s="16" t="s">
        <v>100</v>
      </c>
    </row>
    <row r="16" spans="1:7" ht="14.25" customHeight="1">
      <c r="A16" s="16" t="s">
        <v>76</v>
      </c>
      <c r="B16" s="16">
        <f>'3.COSTES'!J13</f>
        <v>0</v>
      </c>
      <c r="C16" s="47"/>
      <c r="E16" s="16" t="s">
        <v>101</v>
      </c>
    </row>
    <row r="17" spans="1:9" ht="14.25" customHeight="1">
      <c r="A17" s="16" t="s">
        <v>85</v>
      </c>
      <c r="B17" s="16">
        <f>'3.COSTES'!J20</f>
        <v>0</v>
      </c>
      <c r="C17" s="47"/>
      <c r="E17" s="16" t="s">
        <v>102</v>
      </c>
      <c r="G17" s="48">
        <f>SUM(C15:C20)</f>
        <v>1</v>
      </c>
    </row>
    <row r="18" spans="1:9" ht="14.25" customHeight="1">
      <c r="A18" s="16" t="s">
        <v>88</v>
      </c>
      <c r="B18" s="16">
        <f>'3.COSTES'!J28</f>
        <v>0</v>
      </c>
      <c r="C18" s="47"/>
    </row>
    <row r="19" spans="1:9" ht="14.25" customHeight="1">
      <c r="A19" s="16" t="s">
        <v>89</v>
      </c>
      <c r="B19" s="16">
        <f>'3.COSTES'!J35</f>
        <v>0</v>
      </c>
      <c r="C19" s="47"/>
    </row>
    <row r="20" spans="1:9" ht="14.25" customHeight="1">
      <c r="C20" s="49"/>
    </row>
    <row r="21" spans="1:9" ht="14.25" customHeight="1"/>
    <row r="22" spans="1:9" ht="14.25" customHeight="1">
      <c r="A22" s="42" t="s">
        <v>103</v>
      </c>
      <c r="B22" s="42"/>
    </row>
    <row r="23" spans="1:9" ht="14.25" customHeight="1">
      <c r="A23" s="16" t="s">
        <v>64</v>
      </c>
      <c r="B23" s="16" t="str">
        <f>'3.COSTES'!J6</f>
        <v>Patrocinio</v>
      </c>
      <c r="C23" s="16">
        <f>'1.ESTIMACIÓN VENTAS'!O9</f>
        <v>100</v>
      </c>
      <c r="D23" s="16" t="s">
        <v>104</v>
      </c>
    </row>
    <row r="24" spans="1:9" ht="14.25" customHeight="1">
      <c r="A24" s="16" t="s">
        <v>76</v>
      </c>
      <c r="B24" s="16">
        <f>'3.COSTES'!J13</f>
        <v>0</v>
      </c>
      <c r="C24" s="16">
        <f>'1.ESTIMACIÓN VENTAS'!O10</f>
        <v>0</v>
      </c>
      <c r="D24" s="16" t="s">
        <v>104</v>
      </c>
    </row>
    <row r="25" spans="1:9" ht="14.25" customHeight="1">
      <c r="A25" s="16" t="s">
        <v>85</v>
      </c>
      <c r="B25" s="16">
        <f>'3.COSTES'!J20</f>
        <v>0</v>
      </c>
      <c r="C25" s="16">
        <f>'1.ESTIMACIÓN VENTAS'!O11</f>
        <v>0</v>
      </c>
      <c r="D25" s="16" t="s">
        <v>104</v>
      </c>
    </row>
    <row r="26" spans="1:9" ht="14.25" customHeight="1">
      <c r="A26" s="16" t="s">
        <v>88</v>
      </c>
      <c r="B26" s="16">
        <f>'3.COSTES'!J28</f>
        <v>0</v>
      </c>
      <c r="C26" s="16">
        <f>'1.ESTIMACIÓN VENTAS'!O12</f>
        <v>0</v>
      </c>
      <c r="D26" s="16" t="s">
        <v>104</v>
      </c>
    </row>
    <row r="27" spans="1:9" ht="14.25" customHeight="1">
      <c r="A27" s="16" t="s">
        <v>89</v>
      </c>
      <c r="B27" s="16">
        <f>'3.COSTES'!J35</f>
        <v>0</v>
      </c>
      <c r="C27" s="16">
        <f>'1.ESTIMACIÓN VENTAS'!O13</f>
        <v>0</v>
      </c>
      <c r="D27" s="16" t="s">
        <v>104</v>
      </c>
    </row>
    <row r="28" spans="1:9" ht="14.25" customHeight="1"/>
    <row r="29" spans="1:9" ht="14.25" customHeight="1"/>
    <row r="30" spans="1:9" ht="14.25" customHeight="1">
      <c r="A30" s="42" t="s">
        <v>105</v>
      </c>
      <c r="F30" s="42" t="s">
        <v>106</v>
      </c>
    </row>
    <row r="31" spans="1:9" ht="14.25" customHeight="1">
      <c r="A31" s="16" t="s">
        <v>107</v>
      </c>
      <c r="B31" s="16" t="str">
        <f>'3.COSTES'!J6</f>
        <v>Patrocinio</v>
      </c>
      <c r="C31" s="37">
        <f t="shared" ref="C31:C35" si="0">(($C$6*C15)/C23)+C7</f>
        <v>130.29769414224458</v>
      </c>
      <c r="F31" s="16" t="s">
        <v>64</v>
      </c>
      <c r="G31" s="47">
        <v>0.6</v>
      </c>
      <c r="I31" s="16" t="s">
        <v>108</v>
      </c>
    </row>
    <row r="32" spans="1:9" ht="14.25" customHeight="1">
      <c r="A32" s="16" t="s">
        <v>109</v>
      </c>
      <c r="B32" s="16">
        <f>'3.COSTES'!J13</f>
        <v>0</v>
      </c>
      <c r="C32" s="37" t="e">
        <f t="shared" si="0"/>
        <v>#DIV/0!</v>
      </c>
      <c r="F32" s="16" t="s">
        <v>76</v>
      </c>
      <c r="G32" s="47"/>
    </row>
    <row r="33" spans="1:9" ht="14.25" customHeight="1">
      <c r="A33" s="16" t="s">
        <v>110</v>
      </c>
      <c r="B33" s="16">
        <f>'3.COSTES'!J20</f>
        <v>0</v>
      </c>
      <c r="C33" s="37" t="e">
        <f t="shared" si="0"/>
        <v>#DIV/0!</v>
      </c>
      <c r="F33" s="16" t="s">
        <v>85</v>
      </c>
      <c r="G33" s="47"/>
    </row>
    <row r="34" spans="1:9" ht="14.25" customHeight="1">
      <c r="A34" s="16" t="s">
        <v>111</v>
      </c>
      <c r="B34" s="16">
        <f>'3.COSTES'!J28</f>
        <v>0</v>
      </c>
      <c r="C34" s="37" t="e">
        <f t="shared" si="0"/>
        <v>#DIV/0!</v>
      </c>
      <c r="F34" s="16" t="s">
        <v>88</v>
      </c>
      <c r="G34" s="47"/>
    </row>
    <row r="35" spans="1:9" ht="14.25" customHeight="1">
      <c r="A35" s="16" t="s">
        <v>112</v>
      </c>
      <c r="B35" s="16">
        <f>'3.COSTES'!J35</f>
        <v>0</v>
      </c>
      <c r="C35" s="37" t="e">
        <f t="shared" si="0"/>
        <v>#DIV/0!</v>
      </c>
      <c r="F35" s="16" t="s">
        <v>89</v>
      </c>
      <c r="G35" s="47"/>
    </row>
    <row r="36" spans="1:9" ht="14.25" customHeight="1">
      <c r="C36" s="37"/>
      <c r="G36" s="49"/>
    </row>
    <row r="37" spans="1:9" ht="14.25" customHeight="1"/>
    <row r="38" spans="1:9" ht="14.25" customHeight="1">
      <c r="A38" s="42" t="s">
        <v>113</v>
      </c>
      <c r="F38" s="42" t="s">
        <v>114</v>
      </c>
    </row>
    <row r="39" spans="1:9" ht="14.25" customHeight="1">
      <c r="A39" s="16" t="s">
        <v>115</v>
      </c>
      <c r="C39" s="37">
        <f t="shared" ref="C39:C43" si="1">C31*(100%+G31)</f>
        <v>208.47631062759135</v>
      </c>
      <c r="F39" s="16" t="s">
        <v>64</v>
      </c>
      <c r="G39" s="32">
        <v>200</v>
      </c>
      <c r="I39" s="16" t="s">
        <v>116</v>
      </c>
    </row>
    <row r="40" spans="1:9" ht="14.25" customHeight="1">
      <c r="A40" s="16" t="s">
        <v>117</v>
      </c>
      <c r="C40" s="37" t="e">
        <f t="shared" si="1"/>
        <v>#DIV/0!</v>
      </c>
      <c r="F40" s="16" t="s">
        <v>76</v>
      </c>
      <c r="G40" s="32"/>
      <c r="I40" s="16" t="s">
        <v>118</v>
      </c>
    </row>
    <row r="41" spans="1:9" ht="14.25" customHeight="1">
      <c r="A41" s="16" t="s">
        <v>119</v>
      </c>
      <c r="C41" s="37" t="e">
        <f t="shared" si="1"/>
        <v>#DIV/0!</v>
      </c>
      <c r="F41" s="16" t="s">
        <v>85</v>
      </c>
      <c r="G41" s="32"/>
      <c r="I41" s="16" t="s">
        <v>120</v>
      </c>
    </row>
    <row r="42" spans="1:9" ht="14.25" customHeight="1">
      <c r="A42" s="16" t="s">
        <v>121</v>
      </c>
      <c r="C42" s="37" t="e">
        <f t="shared" si="1"/>
        <v>#DIV/0!</v>
      </c>
      <c r="F42" s="16" t="s">
        <v>88</v>
      </c>
      <c r="G42" s="32"/>
    </row>
    <row r="43" spans="1:9" ht="14.25" customHeight="1">
      <c r="A43" s="16" t="s">
        <v>122</v>
      </c>
      <c r="C43" s="37" t="e">
        <f t="shared" si="1"/>
        <v>#DIV/0!</v>
      </c>
      <c r="F43" s="16" t="s">
        <v>89</v>
      </c>
      <c r="G43" s="32"/>
    </row>
    <row r="44" spans="1:9" ht="14.25" customHeight="1">
      <c r="C44" s="37"/>
    </row>
    <row r="45" spans="1:9" ht="14.25" customHeight="1"/>
    <row r="46" spans="1:9" ht="14.25" customHeight="1"/>
    <row r="47" spans="1:9" ht="14.25" customHeight="1"/>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4"/>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topLeftCell="A7" zoomScale="90" zoomScaleNormal="90" workbookViewId="0">
      <selection activeCell="B23" sqref="B23"/>
    </sheetView>
  </sheetViews>
  <sheetFormatPr baseColWidth="10" defaultColWidth="14.44140625" defaultRowHeight="15" customHeight="1"/>
  <cols>
    <col min="1" max="1" width="34.44140625" customWidth="1"/>
    <col min="2" max="2" width="14.44140625" customWidth="1"/>
    <col min="3" max="7" width="10.6640625" customWidth="1"/>
    <col min="8" max="8" width="23.44140625" customWidth="1"/>
    <col min="9" max="10" width="10.6640625" customWidth="1"/>
    <col min="11" max="26" width="9.109375" customWidth="1"/>
  </cols>
  <sheetData>
    <row r="1" spans="1:10" ht="18.75" customHeight="1">
      <c r="A1" s="179" t="s">
        <v>123</v>
      </c>
      <c r="B1" s="176"/>
      <c r="C1" s="176"/>
      <c r="D1" s="176"/>
      <c r="E1" s="177"/>
      <c r="F1" s="50"/>
      <c r="G1" s="50"/>
    </row>
    <row r="2" spans="1:10" ht="15" customHeight="1">
      <c r="A2" s="180" t="s">
        <v>124</v>
      </c>
      <c r="B2" s="168"/>
      <c r="C2" s="168"/>
      <c r="D2" s="168"/>
      <c r="E2" s="168"/>
      <c r="F2" s="168"/>
      <c r="G2" s="169"/>
    </row>
    <row r="3" spans="1:10" ht="14.25" customHeight="1">
      <c r="A3" s="170"/>
      <c r="B3" s="166"/>
      <c r="C3" s="166"/>
      <c r="D3" s="166"/>
      <c r="E3" s="166"/>
      <c r="F3" s="166"/>
      <c r="G3" s="171"/>
    </row>
    <row r="4" spans="1:10" ht="48.75" customHeight="1">
      <c r="A4" s="172"/>
      <c r="B4" s="173"/>
      <c r="C4" s="173"/>
      <c r="D4" s="173"/>
      <c r="E4" s="173"/>
      <c r="F4" s="173"/>
      <c r="G4" s="174"/>
    </row>
    <row r="5" spans="1:10" ht="48.75" customHeight="1">
      <c r="A5" s="51" t="s">
        <v>125</v>
      </c>
      <c r="B5" s="52" t="s">
        <v>31</v>
      </c>
      <c r="C5" s="16" t="s">
        <v>126</v>
      </c>
      <c r="D5" s="2"/>
      <c r="E5" s="2"/>
      <c r="F5" s="2"/>
      <c r="G5" s="2"/>
    </row>
    <row r="6" spans="1:10" ht="48.75" customHeight="1">
      <c r="A6" s="2"/>
      <c r="B6" s="2"/>
      <c r="C6" s="2"/>
      <c r="D6" s="2"/>
      <c r="E6" s="2"/>
      <c r="F6" s="2"/>
      <c r="G6" s="2"/>
    </row>
    <row r="7" spans="1:10" ht="14.25" customHeight="1">
      <c r="A7" s="18" t="s">
        <v>127</v>
      </c>
      <c r="H7" s="18" t="s">
        <v>128</v>
      </c>
    </row>
    <row r="8" spans="1:10" ht="14.25" customHeight="1">
      <c r="A8" s="16" t="s">
        <v>65</v>
      </c>
      <c r="B8" s="53">
        <v>500</v>
      </c>
      <c r="C8" s="16" t="s">
        <v>44</v>
      </c>
      <c r="D8" s="16" t="s">
        <v>129</v>
      </c>
      <c r="H8" s="25" t="s">
        <v>130</v>
      </c>
      <c r="I8" s="54">
        <v>5</v>
      </c>
      <c r="J8" s="16" t="s">
        <v>131</v>
      </c>
    </row>
    <row r="9" spans="1:10" ht="14.25" customHeight="1">
      <c r="A9" s="16" t="s">
        <v>73</v>
      </c>
      <c r="B9" s="53">
        <v>35</v>
      </c>
      <c r="C9" s="16" t="s">
        <v>44</v>
      </c>
      <c r="H9" s="25" t="s">
        <v>132</v>
      </c>
      <c r="I9" s="16">
        <v>52</v>
      </c>
      <c r="J9" s="16" t="s">
        <v>133</v>
      </c>
    </row>
    <row r="10" spans="1:10" ht="14.25" customHeight="1">
      <c r="A10" s="16" t="s">
        <v>74</v>
      </c>
      <c r="B10" s="53">
        <v>20</v>
      </c>
      <c r="C10" s="16" t="s">
        <v>44</v>
      </c>
      <c r="H10" s="25" t="s">
        <v>134</v>
      </c>
      <c r="I10" s="54">
        <v>8</v>
      </c>
      <c r="J10" s="16" t="s">
        <v>135</v>
      </c>
    </row>
    <row r="11" spans="1:10" ht="14.25" customHeight="1">
      <c r="A11" s="16" t="s">
        <v>136</v>
      </c>
      <c r="B11" s="53">
        <v>40</v>
      </c>
      <c r="C11" s="16" t="s">
        <v>44</v>
      </c>
      <c r="H11" s="25" t="s">
        <v>137</v>
      </c>
      <c r="I11" s="54">
        <v>30</v>
      </c>
      <c r="J11" s="16" t="s">
        <v>138</v>
      </c>
    </row>
    <row r="12" spans="1:10" ht="15" customHeight="1">
      <c r="A12" s="16" t="s">
        <v>68</v>
      </c>
      <c r="B12" s="53">
        <v>0</v>
      </c>
      <c r="C12" s="16" t="s">
        <v>44</v>
      </c>
      <c r="D12" s="165" t="s">
        <v>139</v>
      </c>
      <c r="E12" s="166"/>
      <c r="F12" s="166"/>
      <c r="H12" s="25" t="s">
        <v>140</v>
      </c>
      <c r="I12" s="55">
        <v>14</v>
      </c>
      <c r="J12" s="16" t="s">
        <v>141</v>
      </c>
    </row>
    <row r="13" spans="1:10" ht="14.25" customHeight="1">
      <c r="A13" s="16" t="s">
        <v>70</v>
      </c>
      <c r="B13" s="55">
        <f>B12*0.954</f>
        <v>0</v>
      </c>
      <c r="C13" s="16" t="s">
        <v>44</v>
      </c>
      <c r="D13" s="166"/>
      <c r="E13" s="166"/>
      <c r="F13" s="166"/>
      <c r="H13" s="25" t="s">
        <v>142</v>
      </c>
      <c r="I13" s="54">
        <v>65</v>
      </c>
      <c r="J13" s="16" t="s">
        <v>143</v>
      </c>
    </row>
    <row r="14" spans="1:10" ht="14.25" customHeight="1">
      <c r="A14" s="16" t="s">
        <v>72</v>
      </c>
      <c r="B14" s="56">
        <f>'2.COSTES SALARIALES'!B6*0.303+'2.COSTES SALARIALES'!B14*0.303+'2.COSTES SALARIALES'!B23*0.303</f>
        <v>29.269799999999996</v>
      </c>
      <c r="C14" s="16" t="s">
        <v>44</v>
      </c>
      <c r="H14" s="25" t="s">
        <v>144</v>
      </c>
      <c r="I14" s="54">
        <v>1</v>
      </c>
      <c r="J14" s="16" t="s">
        <v>145</v>
      </c>
    </row>
    <row r="15" spans="1:10" ht="14.25" customHeight="1">
      <c r="A15" s="16" t="s">
        <v>146</v>
      </c>
      <c r="B15" s="53">
        <v>50</v>
      </c>
      <c r="C15" s="16" t="s">
        <v>44</v>
      </c>
      <c r="H15" s="25" t="s">
        <v>147</v>
      </c>
      <c r="I15" s="16">
        <f>((I8*I9-I11-I12)*I10)*I14</f>
        <v>1728</v>
      </c>
    </row>
    <row r="16" spans="1:10" ht="14.25" customHeight="1">
      <c r="A16" s="16" t="s">
        <v>81</v>
      </c>
      <c r="B16" s="53">
        <v>3.5</v>
      </c>
      <c r="C16" s="16" t="s">
        <v>44</v>
      </c>
      <c r="H16" s="25" t="s">
        <v>148</v>
      </c>
      <c r="I16" s="16">
        <f>I15*(I13/100)</f>
        <v>1123.2</v>
      </c>
    </row>
    <row r="17" spans="1:7" ht="15" customHeight="1">
      <c r="B17" s="53"/>
      <c r="D17" s="165" t="s">
        <v>149</v>
      </c>
      <c r="E17" s="166"/>
      <c r="F17" s="166"/>
    </row>
    <row r="18" spans="1:7" ht="14.25" customHeight="1">
      <c r="B18" s="53"/>
      <c r="D18" s="166"/>
      <c r="E18" s="166"/>
      <c r="F18" s="166"/>
    </row>
    <row r="19" spans="1:7" ht="14.25" customHeight="1">
      <c r="B19" s="53"/>
      <c r="D19" s="166"/>
      <c r="E19" s="166"/>
      <c r="F19" s="166"/>
    </row>
    <row r="20" spans="1:7" ht="14.25" customHeight="1">
      <c r="A20" s="18" t="s">
        <v>23</v>
      </c>
      <c r="B20" s="41">
        <f>SUM(B8:B19)</f>
        <v>677.76980000000003</v>
      </c>
      <c r="C20" s="16" t="s">
        <v>44</v>
      </c>
    </row>
    <row r="21" spans="1:7" ht="14.25" customHeight="1"/>
    <row r="22" spans="1:7" ht="14.25" customHeight="1">
      <c r="A22" s="42" t="s">
        <v>150</v>
      </c>
      <c r="B22" s="25">
        <f>I16</f>
        <v>1123.2</v>
      </c>
      <c r="C22" s="25" t="s">
        <v>151</v>
      </c>
    </row>
    <row r="23" spans="1:7" ht="14.25" customHeight="1">
      <c r="A23" s="42" t="s">
        <v>152</v>
      </c>
      <c r="B23" s="43">
        <f>(B20*12)/B22</f>
        <v>7.2411303418803419</v>
      </c>
      <c r="C23" s="25" t="s">
        <v>153</v>
      </c>
    </row>
    <row r="24" spans="1:7" ht="15.75" customHeight="1">
      <c r="A24" s="42" t="s">
        <v>154</v>
      </c>
      <c r="B24" s="11">
        <v>560</v>
      </c>
      <c r="C24" s="25" t="s">
        <v>151</v>
      </c>
      <c r="D24" s="165" t="s">
        <v>155</v>
      </c>
      <c r="E24" s="166"/>
      <c r="F24" s="166"/>
    </row>
    <row r="25" spans="1:7" ht="30.75" customHeight="1">
      <c r="A25" s="42" t="s">
        <v>156</v>
      </c>
      <c r="B25" s="37">
        <f>B23*B24</f>
        <v>4055.0329914529916</v>
      </c>
      <c r="D25" s="166"/>
      <c r="E25" s="166"/>
      <c r="F25" s="166"/>
    </row>
    <row r="26" spans="1:7" ht="14.25" customHeight="1"/>
    <row r="27" spans="1:7" ht="14.25" customHeight="1"/>
    <row r="28" spans="1:7" ht="18.75" customHeight="1">
      <c r="A28" s="42" t="s">
        <v>157</v>
      </c>
      <c r="B28" s="41">
        <f>IF(B5="X",B25,0)</f>
        <v>4055.0329914529916</v>
      </c>
      <c r="C28" s="16" t="s">
        <v>158</v>
      </c>
      <c r="D28" s="181" t="s">
        <v>159</v>
      </c>
      <c r="E28" s="166"/>
      <c r="F28" s="166"/>
      <c r="G28" s="166"/>
    </row>
    <row r="29" spans="1:7" ht="60" customHeight="1">
      <c r="D29" s="166"/>
      <c r="E29" s="166"/>
      <c r="F29" s="166"/>
      <c r="G29" s="166"/>
    </row>
    <row r="30" spans="1:7" ht="14.25" customHeight="1"/>
    <row r="31" spans="1:7" ht="14.25" customHeight="1"/>
    <row r="32" spans="1:7" ht="14.25" customHeight="1"/>
    <row r="33" spans="1:1" ht="14.25" customHeight="1"/>
    <row r="34" spans="1:1" ht="14.25" customHeight="1"/>
    <row r="35" spans="1:1" ht="14.25" customHeight="1">
      <c r="A35" s="57"/>
    </row>
    <row r="36" spans="1:1" ht="14.25" customHeight="1"/>
    <row r="37" spans="1:1" ht="14.25" customHeight="1"/>
    <row r="38" spans="1:1" ht="14.25" customHeight="1"/>
    <row r="39" spans="1:1" ht="14.25" customHeight="1"/>
    <row r="40" spans="1:1" ht="14.25" customHeight="1"/>
    <row r="41" spans="1:1" ht="14.25" customHeight="1"/>
    <row r="42" spans="1:1" ht="14.25" customHeight="1"/>
    <row r="43" spans="1:1" ht="14.25" customHeight="1"/>
    <row r="44" spans="1:1" ht="14.25" customHeight="1"/>
    <row r="45" spans="1:1" ht="14.25" customHeight="1"/>
    <row r="46" spans="1:1" ht="14.25" customHeight="1"/>
    <row r="47" spans="1:1" ht="14.25" customHeight="1"/>
    <row r="48" spans="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D28:G29"/>
    <mergeCell ref="A1:E1"/>
    <mergeCell ref="A2:G4"/>
    <mergeCell ref="D12:F13"/>
    <mergeCell ref="D17:F19"/>
    <mergeCell ref="D24:F25"/>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G27" sqref="G27"/>
    </sheetView>
  </sheetViews>
  <sheetFormatPr baseColWidth="10" defaultColWidth="14.44140625" defaultRowHeight="15" customHeight="1"/>
  <cols>
    <col min="1" max="1" width="31.109375" customWidth="1"/>
    <col min="2" max="2" width="15.33203125" customWidth="1"/>
    <col min="3" max="4" width="10.6640625" customWidth="1"/>
    <col min="5" max="5" width="20.6640625" customWidth="1"/>
    <col min="6" max="6" width="14.5546875" customWidth="1"/>
    <col min="7" max="9" width="10.6640625" customWidth="1"/>
    <col min="10" max="26" width="9.109375" customWidth="1"/>
  </cols>
  <sheetData>
    <row r="1" spans="1:9" ht="15" customHeight="1">
      <c r="A1" s="182" t="s">
        <v>160</v>
      </c>
      <c r="B1" s="168"/>
      <c r="C1" s="168"/>
      <c r="D1" s="169"/>
    </row>
    <row r="2" spans="1:9" ht="14.25" customHeight="1">
      <c r="A2" s="170"/>
      <c r="B2" s="166"/>
      <c r="C2" s="166"/>
      <c r="D2" s="171"/>
    </row>
    <row r="3" spans="1:9" ht="14.25" customHeight="1">
      <c r="A3" s="172"/>
      <c r="B3" s="173"/>
      <c r="C3" s="173"/>
      <c r="D3" s="174"/>
    </row>
    <row r="4" spans="1:9" ht="14.25" customHeight="1"/>
    <row r="5" spans="1:9" ht="14.25" customHeight="1">
      <c r="A5" s="30" t="s">
        <v>161</v>
      </c>
      <c r="B5" s="58" t="s">
        <v>162</v>
      </c>
      <c r="E5" s="30" t="s">
        <v>163</v>
      </c>
      <c r="F5" s="58" t="s">
        <v>164</v>
      </c>
    </row>
    <row r="6" spans="1:9" ht="14.25" customHeight="1">
      <c r="A6" s="7" t="s">
        <v>165</v>
      </c>
      <c r="B6" s="33"/>
      <c r="C6" s="16" t="s">
        <v>166</v>
      </c>
      <c r="E6" s="39" t="s">
        <v>65</v>
      </c>
      <c r="F6" s="59">
        <f>IF(H6="X",'3.COSTES'!B7*H7,'3.COSTES'!B7)</f>
        <v>500</v>
      </c>
      <c r="H6" s="60"/>
      <c r="I6" s="25" t="s">
        <v>167</v>
      </c>
    </row>
    <row r="7" spans="1:9" ht="14.25" customHeight="1">
      <c r="A7" s="7" t="s">
        <v>168</v>
      </c>
      <c r="B7" s="33"/>
      <c r="E7" s="39" t="s">
        <v>68</v>
      </c>
      <c r="F7" s="59">
        <f>'3.COSTES'!B8</f>
        <v>0</v>
      </c>
      <c r="H7" s="61"/>
      <c r="I7" s="25" t="s">
        <v>169</v>
      </c>
    </row>
    <row r="8" spans="1:9" ht="14.25" customHeight="1">
      <c r="A8" s="7" t="s">
        <v>170</v>
      </c>
      <c r="B8" s="33">
        <v>1500</v>
      </c>
      <c r="E8" s="39" t="s">
        <v>70</v>
      </c>
      <c r="F8" s="59">
        <f>'3.COSTES'!B9</f>
        <v>0</v>
      </c>
    </row>
    <row r="9" spans="1:9" ht="14.25" customHeight="1">
      <c r="A9" s="7" t="s">
        <v>171</v>
      </c>
      <c r="B9" s="33"/>
      <c r="E9" s="39" t="s">
        <v>72</v>
      </c>
      <c r="F9" s="59">
        <f>'3.COSTES'!B10</f>
        <v>28.979999999999997</v>
      </c>
    </row>
    <row r="10" spans="1:9" ht="14.25" customHeight="1">
      <c r="A10" s="7" t="s">
        <v>172</v>
      </c>
      <c r="B10" s="33">
        <v>500</v>
      </c>
      <c r="E10" s="39" t="s">
        <v>73</v>
      </c>
      <c r="F10" s="59">
        <f>IF(H6="X",'3.COSTES'!B11*0.3,'3.COSTES'!B11)</f>
        <v>35</v>
      </c>
    </row>
    <row r="11" spans="1:9" ht="14.25" customHeight="1">
      <c r="A11" s="7" t="s">
        <v>173</v>
      </c>
      <c r="B11" s="33">
        <v>200</v>
      </c>
      <c r="E11" s="39" t="s">
        <v>74</v>
      </c>
      <c r="F11" s="59">
        <f>IF(H6="X",'3.COSTES'!B12*0.3,'3.COSTES'!B12)</f>
        <v>20</v>
      </c>
    </row>
    <row r="12" spans="1:9" ht="14.25" customHeight="1">
      <c r="A12" s="7" t="s">
        <v>174</v>
      </c>
      <c r="B12" s="59">
        <f>'5.DESARROLLO APP'!B28</f>
        <v>4055.0329914529916</v>
      </c>
      <c r="E12" s="39" t="s">
        <v>75</v>
      </c>
      <c r="F12" s="59">
        <f>IF(H6="X",'3.COSTES'!B13*H7,'3.COSTES'!B13)</f>
        <v>40</v>
      </c>
    </row>
    <row r="13" spans="1:9" ht="14.25" customHeight="1">
      <c r="A13" s="7" t="s">
        <v>175</v>
      </c>
      <c r="B13" s="33"/>
      <c r="E13" s="39" t="s">
        <v>77</v>
      </c>
      <c r="F13" s="59">
        <f>'3.COSTES'!B14</f>
        <v>200</v>
      </c>
    </row>
    <row r="14" spans="1:9" ht="14.25" customHeight="1">
      <c r="A14" s="7" t="s">
        <v>176</v>
      </c>
      <c r="B14" s="33"/>
      <c r="E14" s="39" t="s">
        <v>78</v>
      </c>
      <c r="F14" s="59">
        <f>'3.COSTES'!B15</f>
        <v>35</v>
      </c>
    </row>
    <row r="15" spans="1:9" ht="14.25" customHeight="1">
      <c r="A15" s="7" t="s">
        <v>177</v>
      </c>
      <c r="B15" s="33"/>
      <c r="E15" s="39" t="str">
        <f>'3.COSTES'!A17</f>
        <v>Amortización</v>
      </c>
      <c r="F15" s="59">
        <f>'3.COSTES'!B17</f>
        <v>89.940868945868942</v>
      </c>
    </row>
    <row r="16" spans="1:9" ht="14.25" customHeight="1">
      <c r="A16" s="35" t="s">
        <v>23</v>
      </c>
      <c r="B16" s="44">
        <f>SUM(B6:B15)</f>
        <v>6255.0329914529921</v>
      </c>
      <c r="E16" s="39" t="str">
        <f>'3.COSTES'!A18</f>
        <v>Hosting</v>
      </c>
      <c r="F16" s="59">
        <f>'3.COSTES'!B18</f>
        <v>3.5</v>
      </c>
    </row>
    <row r="17" spans="1:6" ht="14.25" customHeight="1">
      <c r="E17" s="39" t="str">
        <f>'3.COSTES'!A19</f>
        <v>Material de oficina</v>
      </c>
      <c r="F17" s="59">
        <f>'3.COSTES'!B19</f>
        <v>100</v>
      </c>
    </row>
    <row r="18" spans="1:6" ht="14.25" customHeight="1">
      <c r="E18" s="39" t="str">
        <f>'3.COSTES'!A20</f>
        <v>Otros 3</v>
      </c>
      <c r="F18" s="59">
        <f>'3.COSTES'!B20</f>
        <v>0</v>
      </c>
    </row>
    <row r="19" spans="1:6" ht="14.25" customHeight="1">
      <c r="E19" s="39" t="s">
        <v>86</v>
      </c>
      <c r="F19" s="59">
        <f>'3.COSTES'!B21</f>
        <v>0</v>
      </c>
    </row>
    <row r="20" spans="1:6" ht="14.25" customHeight="1">
      <c r="A20" s="18"/>
      <c r="E20" s="62" t="s">
        <v>23</v>
      </c>
      <c r="F20" s="63">
        <f>SUM(F6:F19)</f>
        <v>1052.420868945869</v>
      </c>
    </row>
    <row r="21" spans="1:6" ht="14.25" customHeight="1"/>
    <row r="22" spans="1:6" ht="14.25" customHeight="1"/>
    <row r="23" spans="1:6" ht="14.25" customHeight="1">
      <c r="A23" s="64" t="s">
        <v>178</v>
      </c>
      <c r="B23" s="65">
        <f>B16+3*F20</f>
        <v>9412.2955982905987</v>
      </c>
      <c r="C23" s="66"/>
    </row>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3"/>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selection sqref="A1:E2"/>
    </sheetView>
  </sheetViews>
  <sheetFormatPr baseColWidth="10" defaultColWidth="14.44140625" defaultRowHeight="15" customHeight="1"/>
  <cols>
    <col min="1" max="1" width="32.44140625" customWidth="1"/>
    <col min="2" max="2" width="10.6640625" customWidth="1"/>
    <col min="3" max="3" width="17.6640625" customWidth="1"/>
    <col min="4" max="4" width="17.44140625" customWidth="1"/>
    <col min="5" max="7" width="10.6640625" customWidth="1"/>
    <col min="8" max="26" width="9.109375" customWidth="1"/>
  </cols>
  <sheetData>
    <row r="1" spans="1:7" ht="15" customHeight="1">
      <c r="A1" s="178" t="s">
        <v>179</v>
      </c>
      <c r="B1" s="168"/>
      <c r="C1" s="168"/>
      <c r="D1" s="168"/>
      <c r="E1" s="169"/>
    </row>
    <row r="2" spans="1:7" ht="14.25" customHeight="1">
      <c r="A2" s="172"/>
      <c r="B2" s="173"/>
      <c r="C2" s="173"/>
      <c r="D2" s="173"/>
      <c r="E2" s="174"/>
    </row>
    <row r="3" spans="1:7" ht="14.25" customHeight="1"/>
    <row r="4" spans="1:7" ht="14.25" customHeight="1">
      <c r="A4" s="42" t="s">
        <v>161</v>
      </c>
      <c r="B4" s="42" t="s">
        <v>162</v>
      </c>
      <c r="C4" s="42" t="s">
        <v>180</v>
      </c>
      <c r="D4" s="42" t="s">
        <v>181</v>
      </c>
    </row>
    <row r="5" spans="1:7" ht="14.25" customHeight="1">
      <c r="A5" s="16" t="s">
        <v>165</v>
      </c>
      <c r="B5" s="22">
        <f>'6.INVERSIONES + GASTOS'!B6</f>
        <v>0</v>
      </c>
      <c r="C5" s="48">
        <v>0.03</v>
      </c>
      <c r="D5" s="37">
        <f t="shared" ref="D5:D14" si="0">B5*C5</f>
        <v>0</v>
      </c>
    </row>
    <row r="6" spans="1:7" ht="14.25" customHeight="1">
      <c r="A6" s="16" t="s">
        <v>168</v>
      </c>
      <c r="B6" s="22">
        <f>'6.INVERSIONES + GASTOS'!B7</f>
        <v>0</v>
      </c>
      <c r="C6" s="48">
        <v>0.16</v>
      </c>
      <c r="D6" s="37">
        <f t="shared" si="0"/>
        <v>0</v>
      </c>
    </row>
    <row r="7" spans="1:7" ht="14.25" customHeight="1">
      <c r="A7" s="16" t="s">
        <v>170</v>
      </c>
      <c r="B7" s="22">
        <f>'6.INVERSIONES + GASTOS'!B8</f>
        <v>1500</v>
      </c>
      <c r="C7" s="48">
        <v>0.26</v>
      </c>
      <c r="D7" s="37">
        <f t="shared" si="0"/>
        <v>390</v>
      </c>
    </row>
    <row r="8" spans="1:7" ht="14.25" customHeight="1">
      <c r="A8" s="16" t="s">
        <v>182</v>
      </c>
      <c r="B8" s="22">
        <f>'6.INVERSIONES + GASTOS'!B9</f>
        <v>0</v>
      </c>
      <c r="C8" s="48">
        <v>0.12</v>
      </c>
      <c r="D8" s="37">
        <f t="shared" si="0"/>
        <v>0</v>
      </c>
    </row>
    <row r="9" spans="1:7" ht="14.25" customHeight="1">
      <c r="A9" s="16" t="s">
        <v>172</v>
      </c>
      <c r="B9" s="22">
        <f>'6.INVERSIONES + GASTOS'!B10</f>
        <v>500</v>
      </c>
      <c r="C9" s="48">
        <v>0.1</v>
      </c>
      <c r="D9" s="37">
        <f t="shared" si="0"/>
        <v>50</v>
      </c>
    </row>
    <row r="10" spans="1:7" ht="14.25" customHeight="1">
      <c r="A10" s="16" t="s">
        <v>173</v>
      </c>
      <c r="B10" s="22">
        <f>'6.INVERSIONES + GASTOS'!B11</f>
        <v>200</v>
      </c>
      <c r="C10" s="48">
        <v>0.3</v>
      </c>
      <c r="D10" s="37">
        <f t="shared" si="0"/>
        <v>60</v>
      </c>
    </row>
    <row r="11" spans="1:7" ht="14.25" customHeight="1">
      <c r="A11" s="16" t="s">
        <v>174</v>
      </c>
      <c r="B11" s="22">
        <f>'6.INVERSIONES + GASTOS'!B12</f>
        <v>4055.0329914529916</v>
      </c>
      <c r="C11" s="49">
        <f>IF('5.DESARROLLO APP'!B5="X",(1/F11),0)</f>
        <v>0.14285714285714285</v>
      </c>
      <c r="D11" s="37">
        <f t="shared" si="0"/>
        <v>579.29042735042731</v>
      </c>
      <c r="F11" s="67">
        <v>7</v>
      </c>
      <c r="G11" s="25" t="s">
        <v>183</v>
      </c>
    </row>
    <row r="12" spans="1:7" ht="14.25" customHeight="1">
      <c r="A12" s="16" t="s">
        <v>175</v>
      </c>
      <c r="B12" s="22">
        <f>'6.INVERSIONES + GASTOS'!B13</f>
        <v>0</v>
      </c>
      <c r="C12" s="48">
        <v>0</v>
      </c>
      <c r="D12" s="37">
        <f t="shared" si="0"/>
        <v>0</v>
      </c>
    </row>
    <row r="13" spans="1:7" ht="14.25" customHeight="1">
      <c r="A13" s="16" t="s">
        <v>176</v>
      </c>
      <c r="B13" s="22">
        <f>'6.INVERSIONES + GASTOS'!B14</f>
        <v>0</v>
      </c>
      <c r="C13" s="48">
        <v>0</v>
      </c>
      <c r="D13" s="37">
        <f t="shared" si="0"/>
        <v>0</v>
      </c>
    </row>
    <row r="14" spans="1:7" ht="14.25" customHeight="1">
      <c r="A14" s="16" t="s">
        <v>184</v>
      </c>
      <c r="B14" s="22">
        <f>'6.INVERSIONES + GASTOS'!B15</f>
        <v>0</v>
      </c>
      <c r="C14" s="48">
        <v>0.26</v>
      </c>
      <c r="D14" s="37">
        <f t="shared" si="0"/>
        <v>0</v>
      </c>
    </row>
    <row r="15" spans="1:7" ht="14.25" customHeight="1">
      <c r="A15" s="18" t="s">
        <v>185</v>
      </c>
      <c r="B15" s="18"/>
      <c r="C15" s="18"/>
      <c r="D15" s="41">
        <f>SUM(D5:D14)</f>
        <v>1079.2904273504273</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2"/>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00"/>
  <sheetViews>
    <sheetView workbookViewId="0">
      <selection activeCell="B8" sqref="B8"/>
    </sheetView>
  </sheetViews>
  <sheetFormatPr baseColWidth="10" defaultColWidth="14.44140625" defaultRowHeight="15" customHeight="1"/>
  <cols>
    <col min="1" max="1" width="42.5546875" customWidth="1"/>
    <col min="2" max="2" width="17.5546875" customWidth="1"/>
    <col min="3" max="4" width="10.6640625" customWidth="1"/>
    <col min="5" max="5" width="18.6640625" customWidth="1"/>
    <col min="6" max="8" width="10.6640625" customWidth="1"/>
    <col min="9" max="26" width="9.109375" customWidth="1"/>
  </cols>
  <sheetData>
    <row r="1" spans="1:8" ht="15" customHeight="1">
      <c r="A1" s="182" t="s">
        <v>186</v>
      </c>
      <c r="B1" s="168"/>
      <c r="C1" s="168"/>
      <c r="D1" s="168"/>
      <c r="E1" s="169"/>
    </row>
    <row r="2" spans="1:8" ht="14.25" customHeight="1">
      <c r="A2" s="170"/>
      <c r="B2" s="166"/>
      <c r="C2" s="166"/>
      <c r="D2" s="166"/>
      <c r="E2" s="171"/>
    </row>
    <row r="3" spans="1:8" ht="14.25" customHeight="1">
      <c r="A3" s="170"/>
      <c r="B3" s="166"/>
      <c r="C3" s="166"/>
      <c r="D3" s="166"/>
      <c r="E3" s="171"/>
    </row>
    <row r="4" spans="1:8" ht="14.25" customHeight="1">
      <c r="A4" s="172"/>
      <c r="B4" s="173"/>
      <c r="C4" s="173"/>
      <c r="D4" s="173"/>
      <c r="E4" s="174"/>
    </row>
    <row r="5" spans="1:8" ht="14.25" customHeight="1"/>
    <row r="6" spans="1:8" ht="14.25" customHeight="1">
      <c r="A6" s="25" t="s">
        <v>178</v>
      </c>
      <c r="B6" s="45">
        <f>'6.INVERSIONES + GASTOS'!B23</f>
        <v>9412.2955982905987</v>
      </c>
      <c r="G6" s="16" t="s">
        <v>187</v>
      </c>
    </row>
    <row r="7" spans="1:8" ht="14.25" customHeight="1">
      <c r="A7" s="25" t="s">
        <v>28</v>
      </c>
      <c r="B7" s="32">
        <v>5000</v>
      </c>
      <c r="C7" s="16" t="s">
        <v>188</v>
      </c>
      <c r="G7" s="16" t="s">
        <v>28</v>
      </c>
      <c r="H7" s="48">
        <f t="shared" ref="H7:H9" si="0">B7/$B$10</f>
        <v>1</v>
      </c>
    </row>
    <row r="8" spans="1:8" ht="14.25" customHeight="1">
      <c r="A8" s="25" t="s">
        <v>49</v>
      </c>
      <c r="B8" s="32"/>
      <c r="C8" s="16" t="s">
        <v>189</v>
      </c>
      <c r="G8" s="16" t="s">
        <v>49</v>
      </c>
      <c r="H8" s="48">
        <f t="shared" si="0"/>
        <v>0</v>
      </c>
    </row>
    <row r="9" spans="1:8" ht="14.25" customHeight="1">
      <c r="A9" s="25" t="s">
        <v>51</v>
      </c>
      <c r="B9" s="32"/>
      <c r="C9" s="16" t="s">
        <v>190</v>
      </c>
      <c r="G9" s="16" t="s">
        <v>51</v>
      </c>
      <c r="H9" s="48">
        <f t="shared" si="0"/>
        <v>0</v>
      </c>
    </row>
    <row r="10" spans="1:8" ht="14.25" customHeight="1">
      <c r="A10" s="42" t="s">
        <v>191</v>
      </c>
      <c r="B10" s="43">
        <f>SUM(B7:B9)</f>
        <v>5000</v>
      </c>
    </row>
    <row r="11" spans="1:8" ht="14.25" customHeight="1">
      <c r="A11" s="25" t="s">
        <v>192</v>
      </c>
      <c r="B11" s="11">
        <v>1</v>
      </c>
      <c r="C11" s="16" t="s">
        <v>193</v>
      </c>
    </row>
    <row r="12" spans="1:8" ht="14.25" customHeight="1">
      <c r="A12" s="25" t="s">
        <v>194</v>
      </c>
      <c r="B12" s="16">
        <f>B10/B11</f>
        <v>5000</v>
      </c>
    </row>
    <row r="13" spans="1:8" ht="14.25" customHeight="1"/>
    <row r="14" spans="1:8" ht="14.25" customHeight="1"/>
    <row r="15" spans="1:8" ht="14.25" customHeight="1"/>
    <row r="16" spans="1:8" ht="14.25" customHeight="1">
      <c r="A16" s="42" t="s">
        <v>195</v>
      </c>
      <c r="B16" s="41">
        <f>B6-B10</f>
        <v>4412.2955982905987</v>
      </c>
      <c r="C16" s="16" t="s">
        <v>158</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4"/>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Instrucciones</vt:lpstr>
      <vt:lpstr>1.ESTIMACIÓN VENTAS</vt:lpstr>
      <vt:lpstr>2.COSTES SALARIALES</vt:lpstr>
      <vt:lpstr>3.COSTES</vt:lpstr>
      <vt:lpstr>4.PRECIOS</vt:lpstr>
      <vt:lpstr>5.DESARROLLO APP</vt:lpstr>
      <vt:lpstr>6.INVERSIONES + GASTOS</vt:lpstr>
      <vt:lpstr>7.AMORTIZACIÓN</vt:lpstr>
      <vt:lpstr>8.FINANCIACIÓN PROPIA</vt:lpstr>
      <vt:lpstr>9.FINANCIACIÓN AJENA</vt:lpstr>
      <vt:lpstr>10.FINANCIACION TOTAL</vt:lpstr>
      <vt:lpstr>11.INGRESOS</vt:lpstr>
      <vt:lpstr>12.GASTOS</vt:lpstr>
      <vt:lpstr>13.PLAN DE TESORERÍA</vt:lpstr>
      <vt:lpstr>14.BALANCE INICIAL</vt:lpstr>
      <vt:lpstr>15.CUENTA DE RESULTADOS</vt:lpstr>
      <vt:lpstr>16.BALANCE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jlrprof01</dc:creator>
  <cp:lastModifiedBy>aitor2002 parada linaje</cp:lastModifiedBy>
  <dcterms:created xsi:type="dcterms:W3CDTF">2019-01-07T11:13:24Z</dcterms:created>
  <dcterms:modified xsi:type="dcterms:W3CDTF">2024-05-21T17:50:51Z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