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ESTIMACIÓN VENTAS" sheetId="2" r:id="rId5"/>
    <sheet state="visible" name="2.COSTES SALARIALES" sheetId="3" r:id="rId6"/>
    <sheet state="visible" name="3.COSTES" sheetId="4" r:id="rId7"/>
    <sheet state="visible" name="4.PRECIOS" sheetId="5" r:id="rId8"/>
    <sheet state="visible" name="5.DESARROLLO APP" sheetId="6" r:id="rId9"/>
    <sheet state="visible" name="6.INVERSIONES + GASTOS" sheetId="7" r:id="rId10"/>
    <sheet state="visible" name="7.AMORTIZACIÓN" sheetId="8" r:id="rId11"/>
    <sheet state="visible" name="8.FINANCIACIÓN PROPIA" sheetId="9" r:id="rId12"/>
    <sheet state="visible" name="9.FINANCIACIÓN AJENA" sheetId="10" r:id="rId13"/>
    <sheet state="visible" name="10.FINANCIACION TOTAL" sheetId="11" r:id="rId14"/>
    <sheet state="visible" name="11.INGRESOS" sheetId="12" r:id="rId15"/>
    <sheet state="visible" name="12.GASTOS" sheetId="13" r:id="rId16"/>
    <sheet state="visible" name="13.PLAN DE TESORERÍA" sheetId="14" r:id="rId17"/>
    <sheet state="visible" name="14.BALANCE INICIAL" sheetId="15" r:id="rId18"/>
    <sheet state="visible" name="15.CUENTA DE RESULTADOS" sheetId="16" r:id="rId19"/>
    <sheet state="visible" name="16.BALANCE FINAL" sheetId="17" r:id="rId20"/>
  </sheets>
  <definedNames/>
  <calcPr/>
  <extLst>
    <ext uri="GoogleSheetsCustomDataVersion2">
      <go:sheetsCustomData xmlns:go="http://customooxmlschemas.google.com/" r:id="rId21" roundtripDataChecksum="nLeHkCDxEQGJUY/AOablztQKgOBe37HJ2RUoWHSrDKg="/>
    </ext>
  </extLst>
</workbook>
</file>

<file path=xl/sharedStrings.xml><?xml version="1.0" encoding="utf-8"?>
<sst xmlns="http://schemas.openxmlformats.org/spreadsheetml/2006/main" count="774" uniqueCount="343">
  <si>
    <t>ANÁLISIS ECONÓMICO-FINANCIERO DE UN PLAN DE EMPRESA</t>
  </si>
  <si>
    <t>En la presente hoja de cálculo podrás realizar los cálculos del análisis económico-financiero que todo Plan de Empresa debe contener (estimación de costes, inversiones, ingresos, gastos, esquema de financiación, balance de situación inicial, Plan de Tesorería del primer año, Cuenta de resultados previsional y Balance de situación Previsional)</t>
  </si>
  <si>
    <r>
      <rPr>
        <rFont val="Calibri"/>
        <color rgb="FF000000"/>
        <sz val="11.0"/>
      </rPr>
      <t xml:space="preserve">La idea es que </t>
    </r>
    <r>
      <rPr>
        <rFont val="Calibri"/>
        <b/>
        <color rgb="FF000000"/>
        <sz val="11.0"/>
        <u/>
      </rPr>
      <t>completes las partes que aparezcan coloreadas</t>
    </r>
    <r>
      <rPr>
        <rFont val="Calibri"/>
        <color rgb="FF000000"/>
        <sz val="11.0"/>
      </rPr>
      <t xml:space="preserve"> con los datos necesarios. La hoja de cálculo está diseñada para que el resto de cálculos se realicen automáticamente. Por lo tanto, </t>
    </r>
    <r>
      <rPr>
        <rFont val="Calibri"/>
        <b/>
        <color rgb="FF000000"/>
        <sz val="11.0"/>
      </rPr>
      <t>NO MODIFIQUES LAS CELDAS NO COLOREADAS</t>
    </r>
    <r>
      <rPr>
        <rFont val="Calibri"/>
        <color rgb="FF000000"/>
        <sz val="11.0"/>
      </rPr>
      <t>, porque podría ocasionar fallos de cálculo al final del análisis.</t>
    </r>
  </si>
  <si>
    <t>En la parte superior izquierda de cada hoja de este Excel encontrarás la explicación del contenido de la hoja. Además, en la mayoría de zonas coloreadas donde hay que insertar datos encontrarás paréntesis donde se indica qué información debes insertar. Lee atentamente toda la información.</t>
  </si>
  <si>
    <r>
      <rPr>
        <rFont val="Calibri"/>
        <color rgb="FF000000"/>
        <sz val="11.0"/>
      </rPr>
      <t xml:space="preserve">De cara al documento del Plan de Empresa, deberás insertar en el documento los diferentes resultados que obtengas en este EXCEL, </t>
    </r>
    <r>
      <rPr>
        <rFont val="Calibri"/>
        <b/>
        <color rgb="FF000000"/>
        <sz val="11.0"/>
      </rPr>
      <t xml:space="preserve">DEBIENDO COMENTAR DICHOS RESULTADOS, </t>
    </r>
    <r>
      <rPr>
        <rFont val="Calibri"/>
        <color rgb="FF000000"/>
        <sz val="11.0"/>
      </rPr>
      <t>así como justificar los datos que has introducido.</t>
    </r>
  </si>
  <si>
    <t>Aquí deberás señalar cuántas unidades o clientes esperas tener cada mes para cada uno de los productos definidos. Intenta ser lo más realista posible, teniendo en cuenta que al principio no serás conocido. Además, ten en cuenta otros efectos del calendario (meses en lo que quizás vendas más que otros por alguna razón, o si la empresa estará cerrada por vacaciones)</t>
  </si>
  <si>
    <t>Si la empresa ofrece un servicio (p.e. mantenimiento de ordenadores) contabiliza el número de horas al mes que dedicarás a ese servicio</t>
  </si>
  <si>
    <t>UNIDADES VENDIDAS</t>
  </si>
  <si>
    <t>(Inserta en cada mes el número de unidades/clientes que estimas que puedes vender cada mes. Ten en cuenta efectos calendario, vacaciones, etc)</t>
  </si>
  <si>
    <t>PRODUCTO</t>
  </si>
  <si>
    <t>NOMBRE</t>
  </si>
  <si>
    <t>ENERO</t>
  </si>
  <si>
    <t>FEBRERO</t>
  </si>
  <si>
    <t>MARZO</t>
  </si>
  <si>
    <t>ABRIL</t>
  </si>
  <si>
    <t>MAYO</t>
  </si>
  <si>
    <t>JUNIO</t>
  </si>
  <si>
    <t>JULIO</t>
  </si>
  <si>
    <t>AGOSTO</t>
  </si>
  <si>
    <t>SEPTIEMBRE</t>
  </si>
  <si>
    <t>OCTUBRE</t>
  </si>
  <si>
    <t>NOVIEMBRE</t>
  </si>
  <si>
    <t>DICIEMBRE</t>
  </si>
  <si>
    <t>TOTAL</t>
  </si>
  <si>
    <t>Patrocinio</t>
  </si>
  <si>
    <t>(Especifica el nombre de cada producto. P.e. Ordenadores; Impresoras…)</t>
  </si>
  <si>
    <t>SOCIOS</t>
  </si>
  <si>
    <t>TRABAJADORES</t>
  </si>
  <si>
    <t>SOCIO 1</t>
  </si>
  <si>
    <t>PUESTO 1</t>
  </si>
  <si>
    <t>¿Es empresario indiviual?</t>
  </si>
  <si>
    <t>x</t>
  </si>
  <si>
    <t>(Señala con una X si es así)</t>
  </si>
  <si>
    <t>Nº</t>
  </si>
  <si>
    <t>(Nº de trabajadores que ocupan ese puesto)</t>
  </si>
  <si>
    <t>"Nómina" del socio</t>
  </si>
  <si>
    <t>(Introduce lo cobrado a fin de mes)</t>
  </si>
  <si>
    <t>Salario mes</t>
  </si>
  <si>
    <t>(Salario mensual BRUTO pagado)</t>
  </si>
  <si>
    <t>Base Cuota Autónomos</t>
  </si>
  <si>
    <t>(Introduce base entre 960,60 y 4139,40)</t>
  </si>
  <si>
    <t>nº DE PAGAS</t>
  </si>
  <si>
    <t>(Selecciona "12" o "14" pagas)</t>
  </si>
  <si>
    <t>Cuota 12 primeros meses</t>
  </si>
  <si>
    <t>€/mes</t>
  </si>
  <si>
    <t>Sueldos y salarios (mes)</t>
  </si>
  <si>
    <t>Seguridad Social (mes)</t>
  </si>
  <si>
    <t>Sueldo del mes con paga</t>
  </si>
  <si>
    <t>PUESTO 2</t>
  </si>
  <si>
    <t>SOCIO 2</t>
  </si>
  <si>
    <t>PUESTO 3</t>
  </si>
  <si>
    <t>SOCIO 3</t>
  </si>
  <si>
    <t>PUESTO 4</t>
  </si>
  <si>
    <t>RESUMEN DE COSTES SALARIALES</t>
  </si>
  <si>
    <t>CONCEPTO</t>
  </si>
  <si>
    <t>AÑO</t>
  </si>
  <si>
    <t>SUELDOS Y SALARIOS</t>
  </si>
  <si>
    <t>SEGURIDAD SOCIAL</t>
  </si>
  <si>
    <t>CUOTA DE AUTÓNOMOS</t>
  </si>
  <si>
    <t>ADELANTO DE BENEFICIOS</t>
  </si>
  <si>
    <t>Explicación: En este apartado indicaremos los costes fijos de la empresa, así como los costes variables de los productos más importantes.</t>
  </si>
  <si>
    <t>COSTES VARIABLES UNITARIOS</t>
  </si>
  <si>
    <t>COSTES FIJOS</t>
  </si>
  <si>
    <t>(mes)</t>
  </si>
  <si>
    <t>PRODUCTO 1</t>
  </si>
  <si>
    <t>Alquiler</t>
  </si>
  <si>
    <t>Materias primas</t>
  </si>
  <si>
    <t>(Inserta el coste unitario)</t>
  </si>
  <si>
    <t>Sueldos y salarios</t>
  </si>
  <si>
    <t>Mercaderías</t>
  </si>
  <si>
    <t>Seguridad Social</t>
  </si>
  <si>
    <t>Otros</t>
  </si>
  <si>
    <t>Cuota de autónomos</t>
  </si>
  <si>
    <t>Luz</t>
  </si>
  <si>
    <t>Agua</t>
  </si>
  <si>
    <t>Internet/teléfono</t>
  </si>
  <si>
    <t>PRODUCTO 2</t>
  </si>
  <si>
    <t>Publicidad</t>
  </si>
  <si>
    <t>Gestoría</t>
  </si>
  <si>
    <t>Intereses préstamos</t>
  </si>
  <si>
    <t>Amortización</t>
  </si>
  <si>
    <t>Hosting</t>
  </si>
  <si>
    <t>(Introduce otros posibles costes fijos importantes de tu empresa)</t>
  </si>
  <si>
    <t>Material de oficina</t>
  </si>
  <si>
    <t>Otros 3</t>
  </si>
  <si>
    <t>PRODUCTO 3</t>
  </si>
  <si>
    <t>Otros 4</t>
  </si>
  <si>
    <t>COSTES FIJOS AÑO</t>
  </si>
  <si>
    <t>PRODUCTO 4</t>
  </si>
  <si>
    <t>PRODUCTO 5</t>
  </si>
  <si>
    <t>Explicación: En este apartado se calcularán los precios técnicos y los precios de venta aconsejados de cada producto, teniendo en cuenta los costes fijos de la empresa y los variables unitarios de cada producto.</t>
  </si>
  <si>
    <t>COSTES FIJOS TOTALES</t>
  </si>
  <si>
    <t>€/año</t>
  </si>
  <si>
    <t>COSTE VARIABLE UNITARIO PRODUCTO 1</t>
  </si>
  <si>
    <t>€/unidad</t>
  </si>
  <si>
    <t>COSTE VARIABLE UNITARIO PRODUCTO 2</t>
  </si>
  <si>
    <t>COSTE VARIABLE UNITARIO PRODUCTO 3</t>
  </si>
  <si>
    <t>COSTE VARIABLE UNITARIO PRODUCTO 4</t>
  </si>
  <si>
    <t>COSTE VARIABLE UNITARIO PRODUCTO 5</t>
  </si>
  <si>
    <t>¿Cómo quieres repartir los costes fijos entre tus productos?</t>
  </si>
  <si>
    <t>(Inserta el % deseado para cada producto)</t>
  </si>
  <si>
    <t>(Tú eliges el criterio para repartir los costes fijos entre los productos. P.e. % de ingresos; % de ventas…)</t>
  </si>
  <si>
    <t>(Debe sumar 100%)</t>
  </si>
  <si>
    <t>¿Cuántas unidades/clientes tienes de media al año de cada producto?</t>
  </si>
  <si>
    <t>unidades/año</t>
  </si>
  <si>
    <t>¿Cuál es el precio técnico de cada producto?</t>
  </si>
  <si>
    <t>¿Qué margen de beneficio quieres dar a cada producto?</t>
  </si>
  <si>
    <t>PRECIO TÉCNICO P1</t>
  </si>
  <si>
    <t>(Inserta el % de margen de beneficio deseado para cada producto)</t>
  </si>
  <si>
    <t>PRECIO TÉCNICO P2</t>
  </si>
  <si>
    <t>PRECIO TÉCNICO P3</t>
  </si>
  <si>
    <t>PRECIO TÉCNICO P4</t>
  </si>
  <si>
    <t>PRECIO TÉCNICO P5</t>
  </si>
  <si>
    <t>¿Cuál es el precio de venta recomendado para cada producto?</t>
  </si>
  <si>
    <t>¿Qué precio de venta vas a poner a cada producto?</t>
  </si>
  <si>
    <t>PRECIO VENTA P1</t>
  </si>
  <si>
    <t>(Inserta el precio final que va a tener cada producto)</t>
  </si>
  <si>
    <t>PRECIO VENTA P2</t>
  </si>
  <si>
    <t>(Deberías tener en cuenta el precio de venta recomendado)</t>
  </si>
  <si>
    <t>PRECIO VENTA P3</t>
  </si>
  <si>
    <t>(Ten en cuenta las estrategias de precio que consideres p.e. precio psicológico, gancho, etc)</t>
  </si>
  <si>
    <t>PRECIO VENTA P4</t>
  </si>
  <si>
    <t>PRECIO VENTA P5</t>
  </si>
  <si>
    <t xml:space="preserve">Explicación: </t>
  </si>
  <si>
    <t xml:space="preserve">Los que hayáis desarrollado una app, vais a tener una serie de gastos durante el proceso. Es necesario conocer qué gastos son, así como el número de horas utilizadas. Esos gastos se acabarán contabilizando como una inversión, "Investigación y Desarrollo") </t>
  </si>
  <si>
    <t>¿Vas a tener una aplicación web o móvil en tu empresa?</t>
  </si>
  <si>
    <t>(Contesta con una X si es que sí. Déjala en blanco si es que no)</t>
  </si>
  <si>
    <t>COSTES DE DESARROLLO DE LA APLICACIÓN</t>
  </si>
  <si>
    <t>Horas de trabajo al año</t>
  </si>
  <si>
    <t>(Inserta el valor de los gastos que hayas tenido)</t>
  </si>
  <si>
    <t>Nº Días a la semana</t>
  </si>
  <si>
    <t>días</t>
  </si>
  <si>
    <t>Nº Semanas al año</t>
  </si>
  <si>
    <t>semanas</t>
  </si>
  <si>
    <t>Nº Horas de trabajo al día</t>
  </si>
  <si>
    <t>horas/día</t>
  </si>
  <si>
    <t>Teléfono/internet</t>
  </si>
  <si>
    <t>Nº Días de vacaciones/año</t>
  </si>
  <si>
    <t>días laborales</t>
  </si>
  <si>
    <t>(Sólo en caso de que hayas contratado trabajadores para el desarrollo)</t>
  </si>
  <si>
    <t>Nº Festivos al año</t>
  </si>
  <si>
    <t>días festivos</t>
  </si>
  <si>
    <t>% de horas productivas</t>
  </si>
  <si>
    <t>(entre el 60-70%, en número)</t>
  </si>
  <si>
    <t>Nº Trabajadores</t>
  </si>
  <si>
    <t>(señala el número de trabajadores implicados en el desarrollo)</t>
  </si>
  <si>
    <t>Especialistas contratados</t>
  </si>
  <si>
    <t>Horas laborales al año</t>
  </si>
  <si>
    <t>Horas productivos al año</t>
  </si>
  <si>
    <t>(Especifica los gastos concretos que no aparezcan anteriormente, y que sean necesarios para el desarrollo)</t>
  </si>
  <si>
    <t>HORAS DE TRABAJO AL AÑO</t>
  </si>
  <si>
    <t>horas</t>
  </si>
  <si>
    <t>COSTE/HORA</t>
  </si>
  <si>
    <t>€/hora</t>
  </si>
  <si>
    <t>NÚMERO HORAS DE DESARROLLO</t>
  </si>
  <si>
    <t>(Introduce el número de horas que estimas que necesitas para desarrollar la app)</t>
  </si>
  <si>
    <t>COSTE DE DESARROLLO APP</t>
  </si>
  <si>
    <t>INVESTIGACIÓN Y DESARROLLO</t>
  </si>
  <si>
    <t>€</t>
  </si>
  <si>
    <t>(Si no vas a desarrollar ninguna aplicación web o multiplataforma para tu negocio BORRA EL CONTENIDO DE ESTA CASILLA B27)</t>
  </si>
  <si>
    <t>Explicación: En esta página debes señalar el valor de los principales bienes de inversión y de los costes mensuales más importante de la empresa</t>
  </si>
  <si>
    <t>INVERSIONES</t>
  </si>
  <si>
    <t>VALOR</t>
  </si>
  <si>
    <t>GASTOS CORRIENTES</t>
  </si>
  <si>
    <t>VALOR (mes)</t>
  </si>
  <si>
    <t>Construcciones</t>
  </si>
  <si>
    <t>(Introduce el valor)</t>
  </si>
  <si>
    <t>¿Vas a trabajar en tu casa? (Marca con una X si es afirmativo)</t>
  </si>
  <si>
    <t>Elementos de transporte</t>
  </si>
  <si>
    <t>¿Qué porcentaje de la vivienda dedicarás a la empresa?</t>
  </si>
  <si>
    <t>Equipos informáticos</t>
  </si>
  <si>
    <t>Maquinaria</t>
  </si>
  <si>
    <t>Mobiliario</t>
  </si>
  <si>
    <t>Útiles y herramientas</t>
  </si>
  <si>
    <t>Investigación y desarrollo</t>
  </si>
  <si>
    <t>Mercaderías (stock seguridad)</t>
  </si>
  <si>
    <t>Materias primas (stock seguridad)</t>
  </si>
  <si>
    <t>Aplicaciones y programas Informáticos</t>
  </si>
  <si>
    <t>NECESIDAD DE FINANCIACIÓN</t>
  </si>
  <si>
    <t>Explicación: En esta hoja se calculan las amortizaciones por los bienes de inversión.</t>
  </si>
  <si>
    <t>%AMORTIZACIÓN</t>
  </si>
  <si>
    <t>AMORT. AÑO</t>
  </si>
  <si>
    <t>Maquinara</t>
  </si>
  <si>
    <t>¿Cuántos años crees que tendrá de vida útil la app?</t>
  </si>
  <si>
    <t>Aplicaciones y programas informáticos</t>
  </si>
  <si>
    <t>AMORTIZACIÓN</t>
  </si>
  <si>
    <t>Explicación: En esta hoja debes indicar el capital que vais a poner cada socio al comienzo de la actividad. Recuerda que debe cumplirse la condición de capital mínimo según la forma jurídica</t>
  </si>
  <si>
    <t>% de participación en la empresa de cada socio</t>
  </si>
  <si>
    <t>(Introduce el dinero que pone el Socio 1)</t>
  </si>
  <si>
    <t>(Introduce el dinero que pone el Socio 2)</t>
  </si>
  <si>
    <t>(Introduce el dinero que pone el Socio 3)</t>
  </si>
  <si>
    <t>CAPITAL SOCIAL</t>
  </si>
  <si>
    <t>NºPARTICIPACIONES</t>
  </si>
  <si>
    <t>(Introduce el número de participaciones que va a tener tu empresa (si es SL)</t>
  </si>
  <si>
    <t>VALOR/PARTICIPACIÓN</t>
  </si>
  <si>
    <t>RESTO DE FINANCIACIÓN AJENA NECESARIA</t>
  </si>
  <si>
    <t>EXPLICACIÓN: En esta hoja introduciremos datos sobre la financiación ajena (subvenciones, crowdfunding, leasing y renting, y préstamos del banco)</t>
  </si>
  <si>
    <t>Préstamos a corto plazo (Año 0)</t>
  </si>
  <si>
    <t>Préstamos a largo plazo (Año 0)</t>
  </si>
  <si>
    <t>Préstamos a corto plazo (Año 1)</t>
  </si>
  <si>
    <t>Préstamos a largo plazo (Año 1)</t>
  </si>
  <si>
    <t>SUBVENCIONES</t>
  </si>
  <si>
    <t>(Inserta la cantidad de dinero que vas a obtener mediante crowdfundin o subvencion)</t>
  </si>
  <si>
    <t>CROWDFUNDING</t>
  </si>
  <si>
    <t>LEASING/RENTING</t>
  </si>
  <si>
    <t>(En caso de adquirir algún bien mediante leasing o renting, indica la cuota mensual que se va a pagar)</t>
  </si>
  <si>
    <t>PRÉSTAMO BANCARIO 1</t>
  </si>
  <si>
    <t>PRÉSTAMO BANCARIO 2</t>
  </si>
  <si>
    <t>CAPITAL</t>
  </si>
  <si>
    <t>(Inserta el capital que vas a pedir al banco)</t>
  </si>
  <si>
    <t>AÑOS</t>
  </si>
  <si>
    <t>años</t>
  </si>
  <si>
    <t>(Inserta el plazo (años) para devolverlo)</t>
  </si>
  <si>
    <t>PLAZO (meses)</t>
  </si>
  <si>
    <t>meses</t>
  </si>
  <si>
    <t>TIPO DE INTERÉS</t>
  </si>
  <si>
    <t>(Inserta el TIN anual)</t>
  </si>
  <si>
    <t>TIN mensual</t>
  </si>
  <si>
    <t>COMISIÓN</t>
  </si>
  <si>
    <t>(Inserta el % de comisión inicial)</t>
  </si>
  <si>
    <t>Comisión préstamo</t>
  </si>
  <si>
    <t>CUOTA MENSUAL</t>
  </si>
  <si>
    <t>CUOTA</t>
  </si>
  <si>
    <t>INTERESES</t>
  </si>
  <si>
    <t>CAPITAL DEVUELTO</t>
  </si>
  <si>
    <t>CAPITAL PENDIENTE</t>
  </si>
  <si>
    <t>EXPLICACIÓN: En esta página se muestra el resúmen de la financiación, la inversión, y el dinero que quedará en caja y bancos al abrir la empresa. Se pide que se elija el % de distribución del dinero entre caja y bancos</t>
  </si>
  <si>
    <t>FINANCIACIÓN TOTAL</t>
  </si>
  <si>
    <t>INVERSIÓN TOTAL</t>
  </si>
  <si>
    <t>DINERO SOBRANTE</t>
  </si>
  <si>
    <t>¿Cómo vas a repartir el dinero sobrante entre "Caja" y "Bancos"?</t>
  </si>
  <si>
    <t>CAJA</t>
  </si>
  <si>
    <t>(Introduce el porcentaje en que repartirás el dinero sobrante. Debe sumar 100%)</t>
  </si>
  <si>
    <t>BANCOS</t>
  </si>
  <si>
    <t>SALDO INICIAL DE CAJA</t>
  </si>
  <si>
    <t>SALDO INICIAL DE BANCO</t>
  </si>
  <si>
    <t>Explicación: En esta hoja se van a calcular los ingresos por ventas de los productos, teniendo en cuenta las ventas que estimaste anteriormente. También se debe tener en cuenta otros ingresos, como la obtenida por publicidad. Y las condiciones de cobro a los clientes (al contado, a 30 días, a 60 días...)</t>
  </si>
  <si>
    <t>INGRESOS POR VENTAS</t>
  </si>
  <si>
    <t>PRECIO VENTA</t>
  </si>
  <si>
    <t>OTROS INGRESOS</t>
  </si>
  <si>
    <t>(Inserta otros ingresos, que no son extrictamente venta de bienes o servicios. Por ejemplo, ingresos por publicidad.)</t>
  </si>
  <si>
    <t>OTROS INGRESOS 1</t>
  </si>
  <si>
    <t>OTROS INGRESOS 2</t>
  </si>
  <si>
    <t>FORMA DE COBRO</t>
  </si>
  <si>
    <t>¿Cómo vas a cobrar a tus clientes?</t>
  </si>
  <si>
    <t>Al contado</t>
  </si>
  <si>
    <t>(Inserta el % de las ventas y de otros ingresos que vas a cobrar al contado, a 30 días o a 60 días)</t>
  </si>
  <si>
    <t>A 30 días</t>
  </si>
  <si>
    <t>¿Vas a hacer un descuento por pronto pago a los clientes que paguen al contado?</t>
  </si>
  <si>
    <t>A 60 días</t>
  </si>
  <si>
    <t>Descuento</t>
  </si>
  <si>
    <t>(introduce el descuento, sin %)</t>
  </si>
  <si>
    <t>INGRESOS Y CLIENTES</t>
  </si>
  <si>
    <t>BANCOS (dinero que entra)</t>
  </si>
  <si>
    <t>A 30 DÍAS</t>
  </si>
  <si>
    <t>A 60 DÍAS</t>
  </si>
  <si>
    <t>CLIENTES (dinero pendiente de cobro)</t>
  </si>
  <si>
    <t>Descuento por pronto pago</t>
  </si>
  <si>
    <t>EXPLICACIÓN: En esta hoja tendremos en cuenta los costes variables totales, así como si vamos a pagar a los proveedores al contado o a plazos.</t>
  </si>
  <si>
    <t>GASTOS POR COMPRA DE MATERIAS PRIMAS</t>
  </si>
  <si>
    <t>COSTE UNITARIO</t>
  </si>
  <si>
    <t>GASTOS POR COMPRA DE MERCADERÍAS</t>
  </si>
  <si>
    <t>OTROS GASTOS VARIABLES</t>
  </si>
  <si>
    <t>PAGO A PROVEEDORES</t>
  </si>
  <si>
    <t>¿Cómo vas a pagar a los proveedores?</t>
  </si>
  <si>
    <t>(Inserta el % de las compras que vas a cobrar al contado, a 30 días o a 60 días)</t>
  </si>
  <si>
    <t>¿Te van a hacer los proveedores descuento por pronto pago?</t>
  </si>
  <si>
    <t>%</t>
  </si>
  <si>
    <t>(indica el procentaje de descuento que te hacen tus proveedores por pronto pago)</t>
  </si>
  <si>
    <t>SALIDAS DE DINERO Y PROVEEDORES</t>
  </si>
  <si>
    <t>Salida por MATERIAS PRIMAS</t>
  </si>
  <si>
    <t>A 30 días por MATERIAS PRIMAS</t>
  </si>
  <si>
    <t>A 60 días por MATERIAS PRIMAS</t>
  </si>
  <si>
    <t>Salida por MERCADERÍAS</t>
  </si>
  <si>
    <t>A 30 días por MERCADERÍAS</t>
  </si>
  <si>
    <t>A 60 días por MERCADERíAS</t>
  </si>
  <si>
    <t>Salida por OTROS GASTOS VARIABLES</t>
  </si>
  <si>
    <t>A 30 días por OTROS GASTOS VARIABLES</t>
  </si>
  <si>
    <t>A 60 días por OTROS GASTOS VARIABLES</t>
  </si>
  <si>
    <t>PROVEEDORES (dinero pendiente de pago)</t>
  </si>
  <si>
    <t>Descuento proveedores materias primas</t>
  </si>
  <si>
    <t>Descuento proveedores mercaderías</t>
  </si>
  <si>
    <t>Descuento proveedores otros gastos variables</t>
  </si>
  <si>
    <t>SALDO INICIAL</t>
  </si>
  <si>
    <t>ENTRADAS TOTALES</t>
  </si>
  <si>
    <t>Ingresos por ventas</t>
  </si>
  <si>
    <t>SALIDAS TOTALES</t>
  </si>
  <si>
    <t>Compra de materias primas</t>
  </si>
  <si>
    <t>Compra de mercaderías</t>
  </si>
  <si>
    <t>Otros gastos variables</t>
  </si>
  <si>
    <t>Adelanto de beneficios</t>
  </si>
  <si>
    <t>Otros 1</t>
  </si>
  <si>
    <t>Otros 2</t>
  </si>
  <si>
    <t>Cuota de préstamo</t>
  </si>
  <si>
    <t>Comisión</t>
  </si>
  <si>
    <t>Leasing/Renting</t>
  </si>
  <si>
    <t>SALDO FINAL</t>
  </si>
  <si>
    <t>Aquí encontrarás el Balance de Situación de tu empresa en el momento de su creación. Así, podrás analizar la situación de liquidez y de endeudamiento inicial de tu empresa.</t>
  </si>
  <si>
    <t>ACTIVO NO CORRIENTE</t>
  </si>
  <si>
    <t>PATRIMONIO NETO</t>
  </si>
  <si>
    <t>Capital social</t>
  </si>
  <si>
    <t>Reservas</t>
  </si>
  <si>
    <t>Resultado del ejercicio</t>
  </si>
  <si>
    <t>Fondo de maniobra</t>
  </si>
  <si>
    <t>Subvenciones y donaciones</t>
  </si>
  <si>
    <t>Ratio liquidez</t>
  </si>
  <si>
    <t>PASIVO NO CORRIENTE</t>
  </si>
  <si>
    <t>Ratio endeudamiento</t>
  </si>
  <si>
    <t>Préstamos a largo plazo</t>
  </si>
  <si>
    <t>Aplicaciones y programas inform</t>
  </si>
  <si>
    <t>ACTIVO CORRIENTE</t>
  </si>
  <si>
    <t>PASIVO CORRIENTE</t>
  </si>
  <si>
    <t>EXISTENCIAS</t>
  </si>
  <si>
    <t>Préstamos a corto plazo</t>
  </si>
  <si>
    <t>Proveedores</t>
  </si>
  <si>
    <t>REALIZABLE</t>
  </si>
  <si>
    <t>Clientes</t>
  </si>
  <si>
    <t>TESORERÍA</t>
  </si>
  <si>
    <t>Caja</t>
  </si>
  <si>
    <t>Bancos</t>
  </si>
  <si>
    <t>EXPLICACIÓN: En esta hoja se calcula la cuenta de resultados, teniendo en cuenta los ingresos y gastos de explotación, y los ingresos y gastos financieros. Además, dado que los socios han cobrado por adelantado beneficios, habrá que tener esto en cuenta para ver el resultado final.</t>
  </si>
  <si>
    <t>INGRESOS DE EXPLOTACIÓN</t>
  </si>
  <si>
    <t>Otros ingresos</t>
  </si>
  <si>
    <t>GASTOS DE EXPLOTACION</t>
  </si>
  <si>
    <t>RESERVAS</t>
  </si>
  <si>
    <t>Variación de materias primas</t>
  </si>
  <si>
    <t>RESULTADO DEL EJERCICIO</t>
  </si>
  <si>
    <t>Variación de mercaderías</t>
  </si>
  <si>
    <t>Internet</t>
  </si>
  <si>
    <t>RESULTADO DE EXPLOTACIÓN</t>
  </si>
  <si>
    <t>INGRESOS FINANCIEROS</t>
  </si>
  <si>
    <t>Ingresos por intereses</t>
  </si>
  <si>
    <t>GASTOS FINANCIEROS</t>
  </si>
  <si>
    <t>Intereses de préstamos</t>
  </si>
  <si>
    <t>Comisiones bancarias</t>
  </si>
  <si>
    <t>RESULTADO FINANCIERO</t>
  </si>
  <si>
    <t>RESULTADO ANTES DE IMPUESTOS</t>
  </si>
  <si>
    <t>Impuesto de Sociedades (15%)</t>
  </si>
  <si>
    <t>Aquí aparece el Balance de Situación Previsional al finalizar el primer año de actividad de tu empresa. También puedes encontrar los diferentes ratios financieros para analizar la situación de la empresa</t>
  </si>
  <si>
    <t>Rentabilidad económica</t>
  </si>
  <si>
    <t>Rentabilidad financiera</t>
  </si>
  <si>
    <t>Amortización Acumulada</t>
  </si>
  <si>
    <t>HP Acreedora por IS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</si>
</sst>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quot; €&quot;"/>
    <numFmt numFmtId="165" formatCode="0\ %"/>
    <numFmt numFmtId="166" formatCode="0.0%"/>
    <numFmt numFmtId="167" formatCode="0.00\ %"/>
    <numFmt numFmtId="168" formatCode="_-* #,##0.00&quot; €&quot;_-;\-* #,##0.00&quot; €&quot;_-;_-* \-??&quot; €&quot;_-;_-@"/>
  </numFmts>
  <fonts count="14">
    <font>
      <sz val="11.0"/>
      <color rgb="FF000000"/>
      <name val="Calibri"/>
      <scheme val="minor"/>
    </font>
    <font>
      <b/>
      <sz val="22.0"/>
      <color rgb="FF000000"/>
      <name val="Calibri"/>
    </font>
    <font>
      <sz val="11.0"/>
      <color rgb="FF000000"/>
      <name val="Calibri"/>
    </font>
    <font/>
    <font>
      <b/>
      <sz val="14.0"/>
      <color rgb="FF000000"/>
      <name val="Calibri"/>
    </font>
    <font>
      <b/>
      <sz val="11.0"/>
      <color rgb="FF000000"/>
      <name val="Calibri"/>
    </font>
    <font>
      <b/>
      <i/>
      <sz val="11.0"/>
      <color rgb="FF000000"/>
      <name val="Calibri"/>
    </font>
    <font>
      <color theme="1"/>
      <name val="Calibri"/>
      <scheme val="minor"/>
    </font>
    <font>
      <sz val="22.0"/>
      <color rgb="FF000000"/>
      <name val="Calibri"/>
    </font>
    <font>
      <b/>
      <sz val="12.0"/>
      <color rgb="FF000000"/>
      <name val="Calibri"/>
    </font>
    <font>
      <color rgb="FF000000"/>
      <name val="Docs-Calibri"/>
    </font>
    <font>
      <sz val="11.0"/>
      <color rgb="FF0D0D0D"/>
      <name val="&quot;Söhne Mono&quot;"/>
    </font>
    <font>
      <sz val="12.0"/>
      <color rgb="FF000000"/>
      <name val="Calibri"/>
    </font>
    <font>
      <b/>
      <sz val="16.0"/>
      <color rgb="FF000000"/>
      <name val="Calibri"/>
    </font>
  </fonts>
  <fills count="19">
    <fill>
      <patternFill patternType="none"/>
    </fill>
    <fill>
      <patternFill patternType="lightGray"/>
    </fill>
    <fill>
      <patternFill patternType="solid">
        <fgColor rgb="FFE6E0EC"/>
        <bgColor rgb="FFE6E0EC"/>
      </patternFill>
    </fill>
    <fill>
      <patternFill patternType="solid">
        <fgColor rgb="FFFFFF00"/>
        <bgColor rgb="FFFFFF00"/>
      </patternFill>
    </fill>
    <fill>
      <patternFill patternType="solid">
        <fgColor rgb="FFEBF1DE"/>
        <bgColor rgb="FFEBF1DE"/>
      </patternFill>
    </fill>
    <fill>
      <patternFill patternType="solid">
        <fgColor rgb="FFFFC000"/>
        <bgColor rgb="FFFFC000"/>
      </patternFill>
    </fill>
    <fill>
      <patternFill patternType="solid">
        <fgColor rgb="FFE46C0A"/>
        <bgColor rgb="FFE46C0A"/>
      </patternFill>
    </fill>
    <fill>
      <patternFill patternType="solid">
        <fgColor rgb="FF92D050"/>
        <bgColor rgb="FF92D050"/>
      </patternFill>
    </fill>
    <fill>
      <patternFill patternType="solid">
        <fgColor rgb="FFFDEADA"/>
        <bgColor rgb="FFFDEADA"/>
      </patternFill>
    </fill>
    <fill>
      <patternFill patternType="solid">
        <fgColor rgb="FFB7DEE8"/>
        <bgColor rgb="FFB7DEE8"/>
      </patternFill>
    </fill>
    <fill>
      <patternFill patternType="solid">
        <fgColor rgb="FFFFFFFF"/>
        <bgColor rgb="FFFFFFFF"/>
      </patternFill>
    </fill>
    <fill>
      <patternFill patternType="solid">
        <fgColor rgb="FFD7E4BD"/>
        <bgColor rgb="FFD7E4BD"/>
      </patternFill>
    </fill>
    <fill>
      <patternFill patternType="solid">
        <fgColor rgb="FF00B0F0"/>
        <bgColor rgb="FF00B0F0"/>
      </patternFill>
    </fill>
    <fill>
      <patternFill patternType="solid">
        <fgColor rgb="FFB3A2C7"/>
        <bgColor rgb="FFB3A2C7"/>
      </patternFill>
    </fill>
    <fill>
      <patternFill patternType="solid">
        <fgColor rgb="FFE6B9B8"/>
        <bgColor rgb="FFE6B9B8"/>
      </patternFill>
    </fill>
    <fill>
      <patternFill patternType="solid">
        <fgColor rgb="FFC6D9F1"/>
        <bgColor rgb="FFC6D9F1"/>
      </patternFill>
    </fill>
    <fill>
      <patternFill patternType="solid">
        <fgColor rgb="FFF2DCDB"/>
        <bgColor rgb="FFF2DCDB"/>
      </patternFill>
    </fill>
    <fill>
      <patternFill patternType="solid">
        <fgColor rgb="FFB9CDE5"/>
        <bgColor rgb="FFB9CDE5"/>
      </patternFill>
    </fill>
    <fill>
      <patternFill patternType="solid">
        <fgColor rgb="FFFAC090"/>
        <bgColor rgb="FFFAC090"/>
      </patternFill>
    </fill>
  </fills>
  <borders count="32">
    <border/>
    <border>
      <left/>
      <top/>
    </border>
    <border>
      <top/>
    </border>
    <border>
      <right/>
      <top/>
    </border>
    <border>
      <left/>
    </border>
    <border>
      <right/>
    </border>
    <border>
      <left/>
      <bottom/>
    </border>
    <border>
      <bottom/>
    </border>
    <border>
      <right/>
      <bottom/>
    </border>
    <border>
      <left/>
      <top/>
      <bottom/>
    </border>
    <border>
      <top/>
      <bottom/>
    </border>
    <border>
      <right/>
      <top/>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right/>
      <top/>
      <bottom/>
    </border>
    <border>
      <left style="double">
        <color rgb="FF000000"/>
      </left>
      <bottom style="double">
        <color rgb="FF000000"/>
      </bottom>
    </border>
    <border>
      <left/>
      <right/>
      <top/>
      <bottom style="double">
        <color rgb="FF000000"/>
      </bottom>
    </border>
    <border>
      <right style="double">
        <color rgb="FF000000"/>
      </right>
      <bottom style="double">
        <color rgb="FF000000"/>
      </bottom>
    </border>
    <border>
      <bottom style="double">
        <color rgb="FF000000"/>
      </bottom>
    </border>
    <border>
      <left/>
      <right style="double">
        <color rgb="FF000000"/>
      </right>
      <top style="double">
        <color rgb="FF000000"/>
      </top>
      <bottom/>
    </border>
    <border>
      <left/>
      <right style="double">
        <color rgb="FF000000"/>
      </right>
      <top/>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top style="double">
        <color rgb="FF000000"/>
      </top>
      <bottom/>
    </border>
    <border>
      <left style="double">
        <color rgb="FF000000"/>
      </left>
      <right/>
      <top/>
      <bottom/>
    </border>
    <border>
      <left style="double">
        <color rgb="FF000000"/>
      </left>
      <right/>
      <top/>
      <bottom style="double">
        <color rgb="FF000000"/>
      </bottom>
    </border>
    <border>
      <left/>
      <right style="double">
        <color rgb="FF000000"/>
      </right>
      <top/>
      <bottom style="double">
        <color rgb="FF000000"/>
      </bottom>
    </border>
    <border>
      <left style="double">
        <color rgb="FF000000"/>
      </left>
      <right/>
      <top style="double">
        <color rgb="FF000000"/>
      </top>
      <bottom style="double">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wrapText="1"/>
    </xf>
    <xf borderId="0" fillId="0" fontId="2" numFmtId="0" xfId="0" applyAlignment="1" applyFont="1">
      <alignment horizontal="center"/>
    </xf>
    <xf borderId="1" fillId="2" fontId="2" numFmtId="0" xfId="0" applyAlignment="1" applyBorder="1" applyFill="1" applyFont="1">
      <alignment horizontal="center" shrinkToFit="0"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2" fontId="2" numFmtId="0" xfId="0" applyAlignment="1" applyBorder="1" applyFont="1">
      <alignment horizontal="center" shrinkToFit="0" wrapText="1"/>
    </xf>
    <xf borderId="10" fillId="0" fontId="3" numFmtId="0" xfId="0" applyBorder="1" applyFont="1"/>
    <xf borderId="11" fillId="0" fontId="3" numFmtId="0" xfId="0" applyBorder="1" applyFont="1"/>
    <xf borderId="12" fillId="0" fontId="4" numFmtId="0" xfId="0" applyAlignment="1" applyBorder="1" applyFont="1">
      <alignment horizontal="center"/>
    </xf>
    <xf borderId="13" fillId="0" fontId="2" numFmtId="0" xfId="0" applyBorder="1" applyFont="1"/>
    <xf borderId="14" fillId="0" fontId="2" numFmtId="0" xfId="0" applyBorder="1" applyFont="1"/>
    <xf borderId="15" fillId="0" fontId="5" numFmtId="0" xfId="0" applyBorder="1" applyFont="1"/>
    <xf borderId="0" fillId="0" fontId="5" numFmtId="0" xfId="0" applyAlignment="1" applyFont="1">
      <alignment horizontal="center"/>
    </xf>
    <xf borderId="16" fillId="0" fontId="5" numFmtId="0" xfId="0" applyBorder="1" applyFont="1"/>
    <xf borderId="15" fillId="0" fontId="6" numFmtId="0" xfId="0" applyBorder="1" applyFont="1"/>
    <xf borderId="17" fillId="3" fontId="2" numFmtId="0" xfId="0" applyAlignment="1" applyBorder="1" applyFill="1" applyFont="1">
      <alignment readingOrder="0"/>
    </xf>
    <xf borderId="17" fillId="4" fontId="2" numFmtId="0" xfId="0" applyAlignment="1" applyBorder="1" applyFill="1" applyFont="1">
      <alignment readingOrder="0"/>
    </xf>
    <xf borderId="17" fillId="3" fontId="2" numFmtId="0" xfId="0" applyBorder="1" applyFont="1"/>
    <xf borderId="17" fillId="4" fontId="2" numFmtId="0" xfId="0" applyBorder="1" applyFont="1"/>
    <xf borderId="18" fillId="0" fontId="6" numFmtId="0" xfId="0" applyBorder="1" applyFont="1"/>
    <xf borderId="19" fillId="4" fontId="2" numFmtId="0" xfId="0" applyBorder="1" applyFont="1"/>
    <xf borderId="20" fillId="0" fontId="5" numFmtId="0" xfId="0" applyBorder="1" applyFont="1"/>
    <xf borderId="0" fillId="0" fontId="7" numFmtId="0" xfId="0" applyFont="1"/>
    <xf borderId="0" fillId="0" fontId="8" numFmtId="0" xfId="0" applyFont="1"/>
    <xf borderId="0" fillId="0" fontId="4" numFmtId="0" xfId="0" applyFont="1"/>
    <xf borderId="17" fillId="5" fontId="2" numFmtId="0" xfId="0" applyAlignment="1" applyBorder="1" applyFill="1" applyFont="1">
      <alignment readingOrder="0"/>
    </xf>
    <xf borderId="17" fillId="5" fontId="2" numFmtId="0" xfId="0" applyBorder="1" applyFont="1"/>
    <xf borderId="17" fillId="6" fontId="2" numFmtId="0" xfId="0" applyAlignment="1" applyBorder="1" applyFill="1" applyFont="1">
      <alignment readingOrder="0"/>
    </xf>
    <xf borderId="17" fillId="7" fontId="2" numFmtId="0" xfId="0" applyBorder="1" applyFill="1" applyFont="1"/>
    <xf borderId="0" fillId="0" fontId="2" numFmtId="2" xfId="0" applyFont="1" applyNumberFormat="1"/>
    <xf borderId="17" fillId="6" fontId="2" numFmtId="0" xfId="0" applyBorder="1" applyFont="1"/>
    <xf borderId="12" fillId="0" fontId="4" numFmtId="0" xfId="0" applyBorder="1" applyFont="1"/>
    <xf borderId="15" fillId="0" fontId="2" numFmtId="0" xfId="0" applyBorder="1" applyFont="1"/>
    <xf borderId="0" fillId="0" fontId="5" numFmtId="0" xfId="0" applyFont="1"/>
    <xf borderId="16" fillId="0" fontId="2" numFmtId="2" xfId="0" applyBorder="1" applyFont="1" applyNumberFormat="1"/>
    <xf borderId="18" fillId="0" fontId="5" numFmtId="0" xfId="0" applyBorder="1" applyFont="1"/>
    <xf borderId="21" fillId="0" fontId="2" numFmtId="0" xfId="0" applyBorder="1" applyFont="1"/>
    <xf borderId="20" fillId="0" fontId="2" numFmtId="2" xfId="0" applyBorder="1" applyFont="1" applyNumberFormat="1"/>
    <xf borderId="1" fillId="8" fontId="9" numFmtId="0" xfId="0" applyAlignment="1" applyBorder="1" applyFill="1" applyFont="1">
      <alignment horizontal="center" shrinkToFit="0" wrapText="1"/>
    </xf>
    <xf borderId="12" fillId="0" fontId="9" numFmtId="0" xfId="0" applyBorder="1" applyFont="1"/>
    <xf borderId="22" fillId="9" fontId="5" numFmtId="0" xfId="0" applyBorder="1" applyFill="1" applyFont="1"/>
    <xf borderId="17" fillId="3" fontId="2" numFmtId="164" xfId="0" applyAlignment="1" applyBorder="1" applyFont="1" applyNumberFormat="1">
      <alignment readingOrder="0"/>
    </xf>
    <xf borderId="23" fillId="3" fontId="2" numFmtId="164" xfId="0" applyBorder="1" applyFont="1" applyNumberFormat="1"/>
    <xf borderId="17" fillId="10" fontId="2" numFmtId="164" xfId="0" applyBorder="1" applyFill="1" applyFont="1" applyNumberFormat="1"/>
    <xf borderId="18" fillId="0" fontId="9" numFmtId="0" xfId="0" applyBorder="1" applyFont="1"/>
    <xf borderId="18" fillId="0" fontId="9" numFmtId="164" xfId="0" applyBorder="1" applyFont="1" applyNumberFormat="1"/>
    <xf borderId="0" fillId="0" fontId="2" numFmtId="164" xfId="0" applyFont="1" applyNumberFormat="1"/>
    <xf borderId="0" fillId="0" fontId="7" numFmtId="0" xfId="0" applyAlignment="1" applyFont="1">
      <alignment readingOrder="0"/>
    </xf>
    <xf borderId="0" fillId="10" fontId="10" numFmtId="0" xfId="0" applyAlignment="1" applyFont="1">
      <alignment horizontal="left" readingOrder="0"/>
    </xf>
    <xf borderId="17" fillId="3" fontId="2" numFmtId="164" xfId="0" applyBorder="1" applyFont="1" applyNumberFormat="1"/>
    <xf borderId="15" fillId="0" fontId="9" numFmtId="0" xfId="0" applyBorder="1" applyFont="1"/>
    <xf borderId="23" fillId="9" fontId="2" numFmtId="0" xfId="0" applyBorder="1" applyFont="1"/>
    <xf borderId="0" fillId="0" fontId="4" numFmtId="164" xfId="0" applyFont="1" applyNumberFormat="1"/>
    <xf borderId="0" fillId="0" fontId="9" numFmtId="0" xfId="0" applyFont="1"/>
    <xf borderId="0" fillId="0" fontId="9" numFmtId="164" xfId="0" applyFont="1" applyNumberFormat="1"/>
    <xf borderId="20" fillId="0" fontId="9" numFmtId="164" xfId="0" applyBorder="1" applyFont="1" applyNumberFormat="1"/>
    <xf borderId="0" fillId="0" fontId="7" numFmtId="164" xfId="0" applyFont="1" applyNumberFormat="1"/>
    <xf borderId="0" fillId="0" fontId="2" numFmtId="0" xfId="0" applyAlignment="1" applyFont="1">
      <alignment shrinkToFit="0" wrapText="1"/>
    </xf>
    <xf borderId="17" fillId="3" fontId="2" numFmtId="165" xfId="0" applyAlignment="1" applyBorder="1" applyFont="1" applyNumberFormat="1">
      <alignment readingOrder="0"/>
    </xf>
    <xf borderId="17" fillId="3" fontId="2" numFmtId="165" xfId="0" applyBorder="1" applyFont="1" applyNumberFormat="1"/>
    <xf borderId="0" fillId="0" fontId="2" numFmtId="165" xfId="0" applyFont="1" applyNumberFormat="1"/>
    <xf borderId="17" fillId="10" fontId="2" numFmtId="165" xfId="0" applyBorder="1" applyFont="1" applyNumberFormat="1"/>
    <xf borderId="9" fillId="8" fontId="4" numFmtId="0" xfId="0" applyAlignment="1" applyBorder="1" applyFont="1">
      <alignment horizontal="center"/>
    </xf>
    <xf borderId="17" fillId="8" fontId="2" numFmtId="0" xfId="0" applyBorder="1" applyFont="1"/>
    <xf borderId="1" fillId="8" fontId="2" numFmtId="0" xfId="0" applyAlignment="1" applyBorder="1" applyFont="1">
      <alignment horizontal="center" shrinkToFit="0" wrapText="1"/>
    </xf>
    <xf borderId="0" fillId="0" fontId="9" numFmtId="0" xfId="0" applyAlignment="1" applyFont="1">
      <alignment horizontal="center" shrinkToFit="0" wrapText="1"/>
    </xf>
    <xf borderId="17" fillId="3" fontId="2" numFmtId="0" xfId="0" applyAlignment="1" applyBorder="1" applyFont="1">
      <alignment horizontal="center" readingOrder="0" shrinkToFit="0" wrapText="1"/>
    </xf>
    <xf borderId="0" fillId="0" fontId="2" numFmtId="0" xfId="0" applyAlignment="1" applyFont="1">
      <alignment horizontal="center" readingOrder="0" shrinkToFit="0" wrapText="1"/>
    </xf>
    <xf borderId="17" fillId="9" fontId="2" numFmtId="164" xfId="0" applyAlignment="1" applyBorder="1" applyFont="1" applyNumberFormat="1">
      <alignment readingOrder="0"/>
    </xf>
    <xf borderId="17" fillId="11" fontId="2" numFmtId="0" xfId="0" applyAlignment="1" applyBorder="1" applyFill="1" applyFont="1">
      <alignment readingOrder="0"/>
    </xf>
    <xf borderId="17" fillId="10" fontId="2" numFmtId="0" xfId="0" applyBorder="1" applyFont="1"/>
    <xf borderId="17" fillId="10" fontId="2" numFmtId="2" xfId="0" applyBorder="1" applyFont="1" applyNumberFormat="1"/>
    <xf borderId="17" fillId="9" fontId="2" numFmtId="164" xfId="0" applyBorder="1" applyFont="1" applyNumberFormat="1"/>
    <xf borderId="0" fillId="0" fontId="4" numFmtId="0" xfId="0" applyAlignment="1" applyFont="1">
      <alignment horizontal="center" shrinkToFit="0" wrapText="1"/>
    </xf>
    <xf borderId="0" fillId="10" fontId="11" numFmtId="0" xfId="0" applyAlignment="1" applyFont="1">
      <alignment horizontal="left"/>
    </xf>
    <xf borderId="1" fillId="8" fontId="12" numFmtId="0" xfId="0" applyAlignment="1" applyBorder="1" applyFont="1">
      <alignment horizontal="center" shrinkToFit="0" wrapText="1"/>
    </xf>
    <xf borderId="14" fillId="0" fontId="9" numFmtId="0" xfId="0" applyBorder="1" applyFont="1"/>
    <xf borderId="23" fillId="3" fontId="2" numFmtId="164" xfId="0" applyAlignment="1" applyBorder="1" applyFont="1" applyNumberFormat="1">
      <alignment readingOrder="0"/>
    </xf>
    <xf borderId="16" fillId="0" fontId="2" numFmtId="164" xfId="0" applyBorder="1" applyFont="1" applyNumberFormat="1"/>
    <xf borderId="17" fillId="12" fontId="2" numFmtId="0" xfId="0" applyBorder="1" applyFill="1" applyFont="1"/>
    <xf borderId="17" fillId="7" fontId="2" numFmtId="165" xfId="0" applyBorder="1" applyFont="1" applyNumberFormat="1"/>
    <xf borderId="18" fillId="0" fontId="4" numFmtId="0" xfId="0" applyBorder="1" applyFont="1"/>
    <xf borderId="20" fillId="0" fontId="4" numFmtId="2" xfId="0" applyBorder="1" applyFont="1" applyNumberFormat="1"/>
    <xf borderId="24" fillId="0" fontId="9" numFmtId="0" xfId="0" applyBorder="1" applyFont="1"/>
    <xf borderId="25" fillId="0" fontId="9" numFmtId="164" xfId="0" applyBorder="1" applyFont="1" applyNumberFormat="1"/>
    <xf borderId="26" fillId="0" fontId="2" numFmtId="0" xfId="0" applyBorder="1" applyFont="1"/>
    <xf borderId="17" fillId="13" fontId="2" numFmtId="0" xfId="0" applyAlignment="1" applyBorder="1" applyFill="1" applyFont="1">
      <alignment readingOrder="0"/>
    </xf>
    <xf borderId="17" fillId="14" fontId="2" numFmtId="164" xfId="0" applyAlignment="1" applyBorder="1" applyFill="1" applyFont="1" applyNumberFormat="1">
      <alignment readingOrder="0"/>
    </xf>
    <xf borderId="17" fillId="14" fontId="2" numFmtId="0" xfId="0" applyBorder="1" applyFont="1"/>
    <xf borderId="17" fillId="14" fontId="2" numFmtId="0" xfId="0" applyAlignment="1" applyBorder="1" applyFont="1">
      <alignment readingOrder="0"/>
    </xf>
    <xf borderId="17" fillId="14" fontId="2" numFmtId="166" xfId="0" applyAlignment="1" applyBorder="1" applyFont="1" applyNumberFormat="1">
      <alignment readingOrder="0"/>
    </xf>
    <xf borderId="17" fillId="14" fontId="2" numFmtId="165" xfId="0" applyBorder="1" applyFont="1" applyNumberFormat="1"/>
    <xf borderId="17" fillId="10" fontId="2" numFmtId="167" xfId="0" applyBorder="1" applyFont="1" applyNumberFormat="1"/>
    <xf borderId="17" fillId="14" fontId="2" numFmtId="167" xfId="0" applyBorder="1" applyFont="1" applyNumberFormat="1"/>
    <xf borderId="17" fillId="14" fontId="2" numFmtId="166" xfId="0" applyBorder="1" applyFont="1" applyNumberFormat="1"/>
    <xf borderId="0" fillId="0" fontId="9" numFmtId="2" xfId="0" applyFont="1" applyNumberFormat="1"/>
    <xf borderId="0" fillId="0" fontId="2" numFmtId="168" xfId="0" applyFont="1" applyNumberFormat="1"/>
    <xf borderId="1" fillId="8" fontId="5" numFmtId="0" xfId="0" applyAlignment="1" applyBorder="1" applyFont="1">
      <alignment horizontal="center" shrinkToFit="0" wrapText="1"/>
    </xf>
    <xf borderId="19" fillId="10" fontId="2" numFmtId="0" xfId="0" applyBorder="1" applyFont="1"/>
    <xf borderId="18" fillId="0" fontId="2" numFmtId="0" xfId="0" applyBorder="1" applyFont="1"/>
    <xf borderId="21" fillId="0" fontId="4" numFmtId="0" xfId="0" applyAlignment="1" applyBorder="1" applyFont="1">
      <alignment horizontal="center"/>
    </xf>
    <xf borderId="21" fillId="0" fontId="3" numFmtId="0" xfId="0" applyBorder="1" applyFont="1"/>
    <xf borderId="21" fillId="0" fontId="9" numFmtId="164" xfId="0" applyBorder="1" applyFont="1" applyNumberFormat="1"/>
    <xf borderId="0" fillId="0" fontId="4" numFmtId="0" xfId="0" applyAlignment="1" applyFont="1">
      <alignment horizontal="center"/>
    </xf>
    <xf borderId="17" fillId="14" fontId="2" numFmtId="164" xfId="0" applyBorder="1" applyFont="1" applyNumberFormat="1"/>
    <xf borderId="16" fillId="0" fontId="9" numFmtId="164" xfId="0" applyBorder="1" applyFont="1" applyNumberFormat="1"/>
    <xf borderId="17" fillId="9" fontId="2" numFmtId="165" xfId="0" applyBorder="1" applyFont="1" applyNumberFormat="1"/>
    <xf borderId="17" fillId="13" fontId="2" numFmtId="165" xfId="0" applyBorder="1" applyFont="1" applyNumberFormat="1"/>
    <xf borderId="0" fillId="0" fontId="5" numFmtId="168" xfId="0" applyFont="1" applyNumberFormat="1"/>
    <xf borderId="16" fillId="0" fontId="2" numFmtId="0" xfId="0" applyBorder="1" applyFont="1"/>
    <xf borderId="21" fillId="0" fontId="9" numFmtId="0" xfId="0" applyAlignment="1" applyBorder="1" applyFont="1">
      <alignment horizontal="center"/>
    </xf>
    <xf borderId="21" fillId="0" fontId="9" numFmtId="0" xfId="0" applyBorder="1" applyFont="1"/>
    <xf borderId="20" fillId="0" fontId="9" numFmtId="0" xfId="0" applyBorder="1" applyFont="1"/>
    <xf borderId="0" fillId="0" fontId="9" numFmtId="0" xfId="0" applyAlignment="1" applyFont="1">
      <alignment horizontal="center"/>
    </xf>
    <xf borderId="17" fillId="13" fontId="2" numFmtId="0" xfId="0" applyBorder="1" applyFont="1"/>
    <xf borderId="0" fillId="0" fontId="12" numFmtId="0" xfId="0" applyFont="1"/>
    <xf borderId="0" fillId="0" fontId="9" numFmtId="168" xfId="0" applyFont="1" applyNumberFormat="1"/>
    <xf borderId="16" fillId="0" fontId="9" numFmtId="168" xfId="0" applyBorder="1" applyFont="1" applyNumberFormat="1"/>
    <xf borderId="16" fillId="0" fontId="5" numFmtId="168" xfId="0" applyBorder="1" applyFont="1" applyNumberFormat="1"/>
    <xf borderId="21" fillId="0" fontId="12" numFmtId="0" xfId="0" applyBorder="1" applyFont="1"/>
    <xf borderId="21" fillId="0" fontId="9" numFmtId="168" xfId="0" applyBorder="1" applyFont="1" applyNumberFormat="1"/>
    <xf borderId="20" fillId="0" fontId="12" numFmtId="168" xfId="0" applyBorder="1" applyFont="1" applyNumberFormat="1"/>
    <xf borderId="17" fillId="15" fontId="9" numFmtId="0" xfId="0" applyBorder="1" applyFill="1" applyFont="1"/>
    <xf borderId="17" fillId="15" fontId="9" numFmtId="168" xfId="0" applyBorder="1" applyFont="1" applyNumberFormat="1"/>
    <xf borderId="17" fillId="4" fontId="9" numFmtId="0" xfId="0" applyBorder="1" applyFont="1"/>
    <xf borderId="17" fillId="4" fontId="9" numFmtId="168" xfId="0" applyBorder="1" applyFont="1" applyNumberFormat="1"/>
    <xf borderId="17" fillId="4" fontId="2" numFmtId="168" xfId="0" applyBorder="1" applyFont="1" applyNumberFormat="1"/>
    <xf borderId="17" fillId="16" fontId="9" numFmtId="0" xfId="0" applyBorder="1" applyFill="1" applyFont="1"/>
    <xf borderId="17" fillId="16" fontId="9" numFmtId="168" xfId="0" applyBorder="1" applyFont="1" applyNumberFormat="1"/>
    <xf borderId="17" fillId="16" fontId="2" numFmtId="0" xfId="0" applyBorder="1" applyFont="1"/>
    <xf borderId="17" fillId="16" fontId="2" numFmtId="168" xfId="0" applyBorder="1" applyFont="1" applyNumberFormat="1"/>
    <xf borderId="17" fillId="2" fontId="9" numFmtId="0" xfId="0" applyBorder="1" applyFont="1"/>
    <xf borderId="17" fillId="2" fontId="9" numFmtId="168" xfId="0" applyBorder="1" applyFont="1" applyNumberFormat="1"/>
    <xf borderId="27" fillId="9" fontId="4" numFmtId="0" xfId="0" applyBorder="1" applyFont="1"/>
    <xf borderId="22" fillId="9" fontId="4" numFmtId="168" xfId="0" applyBorder="1" applyFont="1" applyNumberFormat="1"/>
    <xf borderId="27" fillId="11" fontId="4" numFmtId="0" xfId="0" applyBorder="1" applyFont="1"/>
    <xf borderId="22" fillId="11" fontId="4" numFmtId="168" xfId="0" applyBorder="1" applyFont="1" applyNumberFormat="1"/>
    <xf borderId="28" fillId="9" fontId="2" numFmtId="0" xfId="0" applyBorder="1" applyFont="1"/>
    <xf borderId="23" fillId="9" fontId="2" numFmtId="168" xfId="0" applyBorder="1" applyFont="1" applyNumberFormat="1"/>
    <xf borderId="28" fillId="11" fontId="2" numFmtId="0" xfId="0" applyBorder="1" applyFont="1"/>
    <xf borderId="23" fillId="11" fontId="2" numFmtId="168" xfId="0" applyBorder="1" applyFont="1" applyNumberFormat="1"/>
    <xf borderId="14" fillId="0" fontId="2" numFmtId="168" xfId="0" applyBorder="1" applyFont="1" applyNumberFormat="1"/>
    <xf borderId="27" fillId="14" fontId="4" numFmtId="0" xfId="0" applyBorder="1" applyFont="1"/>
    <xf borderId="22" fillId="14" fontId="4" numFmtId="168" xfId="0" applyBorder="1" applyFont="1" applyNumberFormat="1"/>
    <xf borderId="20" fillId="0" fontId="2" numFmtId="0" xfId="0" applyBorder="1" applyFont="1"/>
    <xf borderId="28" fillId="14" fontId="2" numFmtId="0" xfId="0" applyBorder="1" applyFont="1"/>
    <xf borderId="23" fillId="14" fontId="2" numFmtId="168" xfId="0" applyBorder="1" applyFont="1" applyNumberFormat="1"/>
    <xf borderId="28" fillId="14" fontId="4" numFmtId="0" xfId="0" applyBorder="1" applyFont="1"/>
    <xf borderId="23" fillId="14" fontId="4" numFmtId="168" xfId="0" applyBorder="1" applyFont="1" applyNumberFormat="1"/>
    <xf borderId="28" fillId="9" fontId="9" numFmtId="0" xfId="0" applyBorder="1" applyFont="1"/>
    <xf borderId="17" fillId="9" fontId="9" numFmtId="168" xfId="0" applyBorder="1" applyFont="1" applyNumberFormat="1"/>
    <xf borderId="23" fillId="9" fontId="9" numFmtId="168" xfId="0" applyBorder="1" applyFont="1" applyNumberFormat="1"/>
    <xf borderId="29" fillId="9" fontId="2" numFmtId="0" xfId="0" applyBorder="1" applyFont="1"/>
    <xf borderId="30" fillId="9" fontId="2" numFmtId="168" xfId="0" applyBorder="1" applyFont="1" applyNumberFormat="1"/>
    <xf borderId="29" fillId="14" fontId="2" numFmtId="0" xfId="0" applyBorder="1" applyFont="1"/>
    <xf borderId="30" fillId="14" fontId="2" numFmtId="168" xfId="0" applyBorder="1" applyFont="1" applyNumberFormat="1"/>
    <xf borderId="16" fillId="0" fontId="2" numFmtId="168" xfId="0" applyBorder="1" applyFont="1" applyNumberFormat="1"/>
    <xf borderId="18" fillId="0" fontId="13" numFmtId="0" xfId="0" applyBorder="1" applyFont="1"/>
    <xf borderId="18" fillId="0" fontId="13" numFmtId="168" xfId="0" applyBorder="1" applyFont="1" applyNumberFormat="1"/>
    <xf borderId="0" fillId="0" fontId="5" numFmtId="0" xfId="0" applyAlignment="1" applyFont="1">
      <alignment horizontal="center" shrinkToFit="0" wrapText="1"/>
    </xf>
    <xf borderId="17" fillId="2" fontId="4" numFmtId="0" xfId="0" applyBorder="1" applyFont="1"/>
    <xf borderId="17" fillId="2" fontId="4" numFmtId="168" xfId="0" applyBorder="1" applyFont="1" applyNumberFormat="1"/>
    <xf borderId="17" fillId="2" fontId="2" numFmtId="0" xfId="0" applyBorder="1" applyFont="1"/>
    <xf borderId="17" fillId="2" fontId="2" numFmtId="168" xfId="0" applyBorder="1" applyFont="1" applyNumberFormat="1"/>
    <xf borderId="13" fillId="0" fontId="2" numFmtId="165" xfId="0" applyBorder="1" applyFont="1" applyNumberFormat="1"/>
    <xf borderId="13" fillId="0" fontId="2" numFmtId="168" xfId="0" applyBorder="1" applyFont="1" applyNumberFormat="1"/>
    <xf borderId="21" fillId="0" fontId="2" numFmtId="168" xfId="0" applyBorder="1" applyFont="1" applyNumberFormat="1"/>
    <xf borderId="17" fillId="17" fontId="4" numFmtId="0" xfId="0" applyBorder="1" applyFill="1" applyFont="1"/>
    <xf borderId="17" fillId="17" fontId="4" numFmtId="168" xfId="0" applyBorder="1" applyFont="1" applyNumberFormat="1"/>
    <xf borderId="17" fillId="17" fontId="2" numFmtId="0" xfId="0" applyBorder="1" applyFont="1"/>
    <xf borderId="17" fillId="17" fontId="2" numFmtId="168" xfId="0" applyBorder="1" applyFont="1" applyNumberFormat="1"/>
    <xf borderId="17" fillId="11" fontId="4" numFmtId="0" xfId="0" applyBorder="1" applyFont="1"/>
    <xf borderId="17" fillId="11" fontId="4" numFmtId="168" xfId="0" applyBorder="1" applyFont="1" applyNumberFormat="1"/>
    <xf borderId="17" fillId="18" fontId="2" numFmtId="0" xfId="0" applyBorder="1" applyFill="1" applyFont="1"/>
    <xf borderId="17" fillId="18" fontId="2" numFmtId="168" xfId="0" applyBorder="1" applyFont="1" applyNumberFormat="1"/>
    <xf borderId="17" fillId="18" fontId="4" numFmtId="0" xfId="0" applyBorder="1" applyFont="1"/>
    <xf borderId="17" fillId="18" fontId="4" numFmtId="168" xfId="0" applyBorder="1" applyFont="1" applyNumberFormat="1"/>
    <xf borderId="0" fillId="0" fontId="4" numFmtId="2" xfId="0" applyFont="1" applyNumberFormat="1"/>
    <xf borderId="27" fillId="15" fontId="4" numFmtId="0" xfId="0" applyBorder="1" applyFont="1"/>
    <xf borderId="22" fillId="15" fontId="4" numFmtId="168" xfId="0" applyBorder="1" applyFont="1" applyNumberFormat="1"/>
    <xf borderId="28" fillId="15" fontId="2" numFmtId="0" xfId="0" applyBorder="1" applyFont="1"/>
    <xf borderId="23" fillId="15" fontId="2" numFmtId="168" xfId="0" applyBorder="1" applyFont="1" applyNumberFormat="1"/>
    <xf borderId="29" fillId="11" fontId="2" numFmtId="0" xfId="0" applyBorder="1" applyFont="1"/>
    <xf borderId="30" fillId="11" fontId="2" numFmtId="168" xfId="0" applyBorder="1" applyFont="1" applyNumberFormat="1"/>
    <xf borderId="27" fillId="14" fontId="9" numFmtId="0" xfId="0" applyBorder="1" applyFont="1"/>
    <xf borderId="29" fillId="15" fontId="2" numFmtId="0" xfId="0" applyBorder="1" applyFont="1"/>
    <xf borderId="30" fillId="15" fontId="2" numFmtId="168" xfId="0" applyBorder="1" applyFont="1" applyNumberFormat="1"/>
    <xf borderId="17" fillId="14" fontId="9" numFmtId="0" xfId="0" applyBorder="1" applyFont="1"/>
    <xf borderId="28" fillId="15" fontId="9" numFmtId="0" xfId="0" applyBorder="1" applyFont="1"/>
    <xf borderId="23" fillId="15" fontId="9" numFmtId="168" xfId="0" applyBorder="1" applyFont="1" applyNumberFormat="1"/>
    <xf borderId="31" fillId="10" fontId="4" numFmtId="0" xfId="0" applyBorder="1" applyFont="1"/>
    <xf borderId="31" fillId="10" fontId="4" numFmtId="168" xfId="0" applyBorder="1" applyFont="1" applyNumberFormat="1"/>
    <xf borderId="25" fillId="0" fontId="4" numFmtId="0" xfId="0" applyBorder="1" applyFont="1"/>
    <xf borderId="17" fillId="1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0.71"/>
    <col customWidth="1" min="10" max="26" width="9.14"/>
  </cols>
  <sheetData>
    <row r="1" ht="14.25" customHeight="1"/>
    <row r="2" ht="14.25" customHeight="1">
      <c r="A2" s="1" t="s">
        <v>0</v>
      </c>
    </row>
    <row r="3" ht="14.25" customHeight="1"/>
    <row r="4" ht="14.25" customHeight="1"/>
    <row r="5" ht="72.75" customHeight="1">
      <c r="A5" s="2" t="s">
        <v>1</v>
      </c>
    </row>
    <row r="6" ht="51.75" customHeight="1">
      <c r="A6" s="2" t="s">
        <v>2</v>
      </c>
    </row>
    <row r="7" ht="51.75" customHeight="1">
      <c r="A7" s="2" t="s">
        <v>3</v>
      </c>
    </row>
    <row r="8" ht="54.75" customHeight="1">
      <c r="A8" s="2" t="s">
        <v>4</v>
      </c>
    </row>
    <row r="9" ht="14.25" customHeight="1">
      <c r="A9" s="3"/>
      <c r="B9" s="3"/>
      <c r="C9" s="3"/>
      <c r="D9" s="3"/>
      <c r="E9" s="3"/>
      <c r="F9" s="3"/>
      <c r="G9" s="3"/>
      <c r="H9" s="3"/>
      <c r="I9" s="3"/>
    </row>
    <row r="10" ht="14.25" customHeight="1">
      <c r="A10" s="3"/>
      <c r="B10" s="3"/>
      <c r="C10" s="3"/>
      <c r="D10" s="3"/>
      <c r="E10" s="3"/>
      <c r="F10" s="3"/>
      <c r="G10" s="3"/>
      <c r="H10" s="3"/>
      <c r="I10" s="3"/>
    </row>
    <row r="11" ht="14.25" customHeight="1">
      <c r="A11" s="3"/>
      <c r="B11" s="3"/>
      <c r="C11" s="3"/>
      <c r="D11" s="3"/>
      <c r="E11" s="3"/>
      <c r="F11" s="3"/>
      <c r="G11" s="3"/>
      <c r="H11" s="3"/>
      <c r="I11" s="3"/>
    </row>
    <row r="12" ht="14.25" customHeight="1">
      <c r="A12" s="3"/>
      <c r="B12" s="3"/>
      <c r="C12" s="3"/>
      <c r="D12" s="3"/>
      <c r="E12" s="3"/>
      <c r="F12" s="3"/>
      <c r="G12" s="3"/>
      <c r="H12" s="3"/>
      <c r="I12" s="3"/>
    </row>
    <row r="13" ht="14.25" customHeight="1">
      <c r="A13" s="3"/>
      <c r="B13" s="3"/>
      <c r="C13" s="3"/>
      <c r="D13" s="3"/>
      <c r="E13" s="3"/>
      <c r="F13" s="3"/>
      <c r="G13" s="3"/>
      <c r="H13" s="3"/>
      <c r="I13" s="3"/>
    </row>
    <row r="14" ht="14.25" customHeight="1">
      <c r="A14" s="3"/>
      <c r="B14" s="3"/>
      <c r="C14" s="3"/>
      <c r="D14" s="3"/>
      <c r="E14" s="3"/>
      <c r="F14" s="3"/>
      <c r="G14" s="3"/>
      <c r="H14" s="3"/>
      <c r="I14" s="3"/>
    </row>
    <row r="15" ht="14.25" customHeight="1">
      <c r="A15" s="3"/>
      <c r="B15" s="3"/>
      <c r="C15" s="3"/>
      <c r="D15" s="3"/>
      <c r="E15" s="3"/>
      <c r="F15" s="3"/>
      <c r="G15" s="3"/>
      <c r="H15" s="3"/>
      <c r="I15" s="3"/>
    </row>
    <row r="16" ht="14.25" customHeight="1">
      <c r="A16" s="3"/>
      <c r="B16" s="3"/>
      <c r="C16" s="3"/>
      <c r="D16" s="3"/>
      <c r="E16" s="3"/>
      <c r="F16" s="3"/>
      <c r="G16" s="3"/>
      <c r="H16" s="3"/>
      <c r="I16" s="3"/>
    </row>
    <row r="17" ht="14.25" customHeight="1">
      <c r="A17" s="3"/>
      <c r="B17" s="3"/>
      <c r="C17" s="3"/>
      <c r="D17" s="3"/>
      <c r="E17" s="3"/>
      <c r="F17" s="3"/>
      <c r="G17" s="3"/>
      <c r="H17" s="3"/>
      <c r="I17" s="3"/>
    </row>
    <row r="18" ht="14.25" customHeight="1">
      <c r="A18" s="3"/>
      <c r="B18" s="3"/>
      <c r="C18" s="3"/>
      <c r="D18" s="3"/>
      <c r="E18" s="3"/>
      <c r="F18" s="3"/>
      <c r="G18" s="3"/>
      <c r="H18" s="3"/>
      <c r="I18" s="3"/>
    </row>
    <row r="19" ht="14.25" customHeight="1">
      <c r="A19" s="3"/>
      <c r="B19" s="3"/>
      <c r="C19" s="3"/>
      <c r="D19" s="3"/>
      <c r="E19" s="3"/>
      <c r="F19" s="3"/>
      <c r="G19" s="3"/>
      <c r="H19" s="3"/>
      <c r="I19" s="3"/>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5:I5"/>
    <mergeCell ref="A6:I6"/>
    <mergeCell ref="A7:I7"/>
    <mergeCell ref="A8:I8"/>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10.71"/>
    <col customWidth="1" min="3" max="3" width="14.43"/>
    <col customWidth="1" min="4" max="4" width="18.86"/>
    <col customWidth="1" min="5" max="8" width="10.71"/>
    <col customWidth="1" min="9" max="9" width="22.43"/>
    <col customWidth="1" min="10" max="11" width="11.71"/>
    <col customWidth="1" min="12" max="12" width="16.0"/>
    <col customWidth="1" min="13" max="14" width="10.71"/>
    <col customWidth="1" min="15" max="26" width="9.14"/>
  </cols>
  <sheetData>
    <row r="1" ht="15.0" customHeight="1">
      <c r="A1" s="45" t="s">
        <v>196</v>
      </c>
      <c r="B1" s="5"/>
      <c r="C1" s="5"/>
      <c r="D1" s="5"/>
      <c r="E1" s="5"/>
      <c r="F1" s="6"/>
    </row>
    <row r="2" ht="14.25" customHeight="1">
      <c r="A2" s="7"/>
      <c r="F2" s="8"/>
    </row>
    <row r="3" ht="14.25" customHeight="1">
      <c r="A3" s="7"/>
      <c r="F3" s="8"/>
    </row>
    <row r="4" ht="14.25" customHeight="1">
      <c r="A4" s="9"/>
      <c r="B4" s="10"/>
      <c r="C4" s="10"/>
      <c r="D4" s="10"/>
      <c r="E4" s="10"/>
      <c r="F4" s="11"/>
      <c r="K4" s="29" t="s">
        <v>197</v>
      </c>
      <c r="M4" s="36">
        <f>SUM(D24:D35)+SUM(K24:K35)</f>
        <v>2512.878502</v>
      </c>
      <c r="N4" s="29" t="s">
        <v>158</v>
      </c>
    </row>
    <row r="5" ht="14.25" customHeight="1">
      <c r="K5" s="29" t="s">
        <v>198</v>
      </c>
      <c r="M5" s="36">
        <f>(E23-SUM(D24:D35))+(L23-SUM(K24:K35))</f>
        <v>5487.121498</v>
      </c>
      <c r="N5" s="29" t="s">
        <v>158</v>
      </c>
    </row>
    <row r="6" ht="14.25" customHeight="1">
      <c r="A6" s="60" t="s">
        <v>195</v>
      </c>
      <c r="D6" s="59">
        <f>'8.FINANCIACIÓN PROPIA'!B16</f>
        <v>1412.295598</v>
      </c>
      <c r="E6" s="29" t="s">
        <v>158</v>
      </c>
      <c r="K6" s="29" t="s">
        <v>199</v>
      </c>
      <c r="M6" s="36">
        <f>SUM(D36:D47)+SUM(K36:K47)</f>
        <v>2663.651212</v>
      </c>
      <c r="N6" s="29" t="s">
        <v>158</v>
      </c>
    </row>
    <row r="7" ht="14.25" customHeight="1">
      <c r="K7" s="29" t="s">
        <v>200</v>
      </c>
      <c r="M7" s="36">
        <f>E47+L47</f>
        <v>2823.470285</v>
      </c>
      <c r="N7" s="29" t="s">
        <v>158</v>
      </c>
    </row>
    <row r="8" ht="14.25" customHeight="1">
      <c r="A8" s="40" t="s">
        <v>201</v>
      </c>
      <c r="B8" s="75">
        <v>5000.0</v>
      </c>
      <c r="C8" s="29" t="s">
        <v>158</v>
      </c>
      <c r="D8" s="29" t="s">
        <v>202</v>
      </c>
    </row>
    <row r="9" ht="14.25" customHeight="1">
      <c r="A9" s="40" t="s">
        <v>203</v>
      </c>
      <c r="B9" s="79"/>
      <c r="C9" s="29" t="s">
        <v>158</v>
      </c>
    </row>
    <row r="10" ht="14.25" customHeight="1">
      <c r="A10" s="40" t="s">
        <v>204</v>
      </c>
      <c r="B10" s="79"/>
      <c r="C10" s="29" t="s">
        <v>44</v>
      </c>
      <c r="D10" s="29" t="s">
        <v>205</v>
      </c>
    </row>
    <row r="11" ht="14.25" customHeight="1"/>
    <row r="12" ht="14.25" customHeight="1">
      <c r="A12" s="31" t="s">
        <v>206</v>
      </c>
      <c r="I12" s="31" t="s">
        <v>207</v>
      </c>
    </row>
    <row r="13" ht="14.25" customHeight="1">
      <c r="A13" s="60" t="s">
        <v>208</v>
      </c>
      <c r="B13" s="94">
        <v>8000.0</v>
      </c>
      <c r="C13" s="29" t="s">
        <v>158</v>
      </c>
      <c r="D13" s="29" t="s">
        <v>209</v>
      </c>
      <c r="I13" s="60" t="s">
        <v>208</v>
      </c>
      <c r="J13" s="95"/>
      <c r="K13" s="29" t="s">
        <v>158</v>
      </c>
      <c r="L13" s="29" t="s">
        <v>209</v>
      </c>
    </row>
    <row r="14" ht="14.25" customHeight="1">
      <c r="A14" s="60" t="s">
        <v>210</v>
      </c>
      <c r="B14" s="96">
        <v>3.0</v>
      </c>
      <c r="C14" s="29" t="s">
        <v>211</v>
      </c>
      <c r="D14" s="29" t="s">
        <v>212</v>
      </c>
      <c r="I14" s="60" t="s">
        <v>210</v>
      </c>
      <c r="J14" s="95"/>
      <c r="K14" s="29" t="s">
        <v>211</v>
      </c>
      <c r="L14" s="29" t="s">
        <v>212</v>
      </c>
    </row>
    <row r="15" ht="14.25" customHeight="1">
      <c r="A15" s="60" t="s">
        <v>213</v>
      </c>
      <c r="B15" s="29">
        <f>B14*12</f>
        <v>36</v>
      </c>
      <c r="C15" s="29" t="s">
        <v>214</v>
      </c>
      <c r="I15" s="60" t="s">
        <v>213</v>
      </c>
      <c r="J15" s="29">
        <f>J14*12</f>
        <v>0</v>
      </c>
      <c r="K15" s="29" t="s">
        <v>214</v>
      </c>
    </row>
    <row r="16" ht="14.25" customHeight="1">
      <c r="A16" s="60" t="s">
        <v>215</v>
      </c>
      <c r="B16" s="97">
        <v>0.06</v>
      </c>
      <c r="D16" s="29" t="s">
        <v>216</v>
      </c>
      <c r="I16" s="60" t="s">
        <v>215</v>
      </c>
      <c r="J16" s="98"/>
      <c r="L16" s="29" t="s">
        <v>216</v>
      </c>
    </row>
    <row r="17" ht="14.25" customHeight="1">
      <c r="A17" s="60" t="s">
        <v>217</v>
      </c>
      <c r="B17" s="99">
        <f>((1+B16)^(1/12))-1</f>
        <v>0.004867550565</v>
      </c>
      <c r="I17" s="60" t="s">
        <v>217</v>
      </c>
      <c r="J17" s="99">
        <f>((1+J16)^(1/12))-1</f>
        <v>0</v>
      </c>
    </row>
    <row r="18" ht="14.25" customHeight="1">
      <c r="A18" s="60" t="s">
        <v>218</v>
      </c>
      <c r="B18" s="100"/>
      <c r="D18" s="29" t="s">
        <v>219</v>
      </c>
      <c r="I18" s="60" t="s">
        <v>218</v>
      </c>
      <c r="J18" s="101"/>
      <c r="L18" s="29" t="s">
        <v>219</v>
      </c>
    </row>
    <row r="19" ht="14.25" customHeight="1">
      <c r="A19" s="60" t="s">
        <v>220</v>
      </c>
      <c r="B19" s="77">
        <f>B13*B18</f>
        <v>0</v>
      </c>
      <c r="C19" s="29" t="s">
        <v>158</v>
      </c>
      <c r="I19" s="60" t="s">
        <v>220</v>
      </c>
      <c r="J19" s="77">
        <f>J13*J18</f>
        <v>0</v>
      </c>
      <c r="K19" s="29" t="s">
        <v>158</v>
      </c>
    </row>
    <row r="20" ht="14.25" customHeight="1">
      <c r="A20" s="60" t="s">
        <v>221</v>
      </c>
      <c r="B20" s="102">
        <f>(B13*B17*(100%+B17)^B15)/(((100%+B17)^B15)-1)</f>
        <v>242.7997908</v>
      </c>
      <c r="C20" s="29" t="s">
        <v>44</v>
      </c>
      <c r="I20" s="60" t="s">
        <v>221</v>
      </c>
      <c r="J20" s="102" t="str">
        <f>(J13*J17*(100%+J17)^J15)/(((100%+J17)^J15)-1)</f>
        <v>#DIV/0!</v>
      </c>
      <c r="K20" s="29" t="s">
        <v>44</v>
      </c>
    </row>
    <row r="21" ht="14.25" customHeight="1"/>
    <row r="22" ht="14.25" customHeight="1">
      <c r="B22" s="40" t="s">
        <v>222</v>
      </c>
      <c r="C22" s="40" t="s">
        <v>223</v>
      </c>
      <c r="D22" s="40" t="s">
        <v>224</v>
      </c>
      <c r="E22" s="40" t="s">
        <v>225</v>
      </c>
      <c r="I22" s="40" t="s">
        <v>222</v>
      </c>
      <c r="J22" s="40" t="s">
        <v>223</v>
      </c>
      <c r="K22" s="40" t="s">
        <v>224</v>
      </c>
      <c r="L22" s="40" t="s">
        <v>225</v>
      </c>
    </row>
    <row r="23" ht="14.25" customHeight="1">
      <c r="A23" s="60">
        <v>0.0</v>
      </c>
      <c r="B23" s="103">
        <v>0.0</v>
      </c>
      <c r="C23" s="103">
        <v>0.0</v>
      </c>
      <c r="D23" s="103">
        <v>0.0</v>
      </c>
      <c r="E23" s="103">
        <f>B13</f>
        <v>8000</v>
      </c>
      <c r="H23" s="29">
        <v>0.0</v>
      </c>
      <c r="I23" s="103">
        <v>0.0</v>
      </c>
      <c r="J23" s="103">
        <v>0.0</v>
      </c>
      <c r="K23" s="103">
        <v>0.0</v>
      </c>
      <c r="L23" s="103" t="str">
        <f>J13</f>
        <v/>
      </c>
    </row>
    <row r="24" ht="14.25" customHeight="1">
      <c r="A24" s="29">
        <v>1.0</v>
      </c>
      <c r="B24" s="103">
        <f t="shared" ref="B24:B113" si="1">IF(A24&lt;=$B$15,$B$20,0)</f>
        <v>242.7997908</v>
      </c>
      <c r="C24" s="103">
        <f t="shared" ref="C24:C113" si="2">$B$17*E23</f>
        <v>38.94040452</v>
      </c>
      <c r="D24" s="103">
        <f t="shared" ref="D24:D113" si="3">B24-C24</f>
        <v>203.8593862</v>
      </c>
      <c r="E24" s="103">
        <f t="shared" ref="E24:E113" si="4">E23-D24</f>
        <v>7796.140614</v>
      </c>
      <c r="H24" s="29">
        <v>1.0</v>
      </c>
      <c r="I24" s="103">
        <f t="shared" ref="I24:I113" si="5">IF(H24&lt;=$J$15,$J$20,0)</f>
        <v>0</v>
      </c>
      <c r="J24" s="103">
        <f t="shared" ref="J24:J113" si="6">$J$17*L23</f>
        <v>0</v>
      </c>
      <c r="K24" s="103">
        <f t="shared" ref="K24:K113" si="7">I24-J24</f>
        <v>0</v>
      </c>
      <c r="L24" s="103">
        <f t="shared" ref="L24:L113" si="8">L23-K24</f>
        <v>0</v>
      </c>
    </row>
    <row r="25" ht="14.25" customHeight="1">
      <c r="A25" s="29">
        <v>2.0</v>
      </c>
      <c r="B25" s="103">
        <f t="shared" si="1"/>
        <v>242.7997908</v>
      </c>
      <c r="C25" s="103">
        <f t="shared" si="2"/>
        <v>37.94810865</v>
      </c>
      <c r="D25" s="103">
        <f t="shared" si="3"/>
        <v>204.8516821</v>
      </c>
      <c r="E25" s="103">
        <f t="shared" si="4"/>
        <v>7591.288932</v>
      </c>
      <c r="H25" s="29">
        <v>2.0</v>
      </c>
      <c r="I25" s="103">
        <f t="shared" si="5"/>
        <v>0</v>
      </c>
      <c r="J25" s="103">
        <f t="shared" si="6"/>
        <v>0</v>
      </c>
      <c r="K25" s="103">
        <f t="shared" si="7"/>
        <v>0</v>
      </c>
      <c r="L25" s="103">
        <f t="shared" si="8"/>
        <v>0</v>
      </c>
    </row>
    <row r="26" ht="14.25" customHeight="1">
      <c r="A26" s="29">
        <v>3.0</v>
      </c>
      <c r="B26" s="103">
        <f t="shared" si="1"/>
        <v>242.7997908</v>
      </c>
      <c r="C26" s="103">
        <f t="shared" si="2"/>
        <v>36.95098273</v>
      </c>
      <c r="D26" s="103">
        <f t="shared" si="3"/>
        <v>205.848808</v>
      </c>
      <c r="E26" s="103">
        <f t="shared" si="4"/>
        <v>7385.440124</v>
      </c>
      <c r="H26" s="29">
        <v>3.0</v>
      </c>
      <c r="I26" s="103">
        <f t="shared" si="5"/>
        <v>0</v>
      </c>
      <c r="J26" s="103">
        <f t="shared" si="6"/>
        <v>0</v>
      </c>
      <c r="K26" s="103">
        <f t="shared" si="7"/>
        <v>0</v>
      </c>
      <c r="L26" s="103">
        <f t="shared" si="8"/>
        <v>0</v>
      </c>
    </row>
    <row r="27" ht="14.25" customHeight="1">
      <c r="A27" s="29">
        <v>4.0</v>
      </c>
      <c r="B27" s="103">
        <f t="shared" si="1"/>
        <v>242.7997908</v>
      </c>
      <c r="C27" s="103">
        <f t="shared" si="2"/>
        <v>35.94900325</v>
      </c>
      <c r="D27" s="103">
        <f t="shared" si="3"/>
        <v>206.8507875</v>
      </c>
      <c r="E27" s="103">
        <f t="shared" si="4"/>
        <v>7178.589336</v>
      </c>
      <c r="H27" s="29">
        <v>4.0</v>
      </c>
      <c r="I27" s="103">
        <f t="shared" si="5"/>
        <v>0</v>
      </c>
      <c r="J27" s="103">
        <f t="shared" si="6"/>
        <v>0</v>
      </c>
      <c r="K27" s="103">
        <f t="shared" si="7"/>
        <v>0</v>
      </c>
      <c r="L27" s="103">
        <f t="shared" si="8"/>
        <v>0</v>
      </c>
    </row>
    <row r="28" ht="14.25" customHeight="1">
      <c r="A28" s="60">
        <v>5.0</v>
      </c>
      <c r="B28" s="103">
        <f t="shared" si="1"/>
        <v>242.7997908</v>
      </c>
      <c r="C28" s="103">
        <f t="shared" si="2"/>
        <v>34.94214658</v>
      </c>
      <c r="D28" s="103">
        <f t="shared" si="3"/>
        <v>207.8576442</v>
      </c>
      <c r="E28" s="103">
        <f t="shared" si="4"/>
        <v>6970.731692</v>
      </c>
      <c r="H28" s="29">
        <v>5.0</v>
      </c>
      <c r="I28" s="103">
        <f t="shared" si="5"/>
        <v>0</v>
      </c>
      <c r="J28" s="103">
        <f t="shared" si="6"/>
        <v>0</v>
      </c>
      <c r="K28" s="103">
        <f t="shared" si="7"/>
        <v>0</v>
      </c>
      <c r="L28" s="103">
        <f t="shared" si="8"/>
        <v>0</v>
      </c>
    </row>
    <row r="29" ht="14.25" customHeight="1">
      <c r="A29" s="29">
        <v>6.0</v>
      </c>
      <c r="B29" s="103">
        <f t="shared" si="1"/>
        <v>242.7997908</v>
      </c>
      <c r="C29" s="103">
        <f t="shared" si="2"/>
        <v>33.93038899</v>
      </c>
      <c r="D29" s="103">
        <f t="shared" si="3"/>
        <v>208.8694018</v>
      </c>
      <c r="E29" s="103">
        <f t="shared" si="4"/>
        <v>6761.86229</v>
      </c>
      <c r="H29" s="29">
        <v>6.0</v>
      </c>
      <c r="I29" s="103">
        <f t="shared" si="5"/>
        <v>0</v>
      </c>
      <c r="J29" s="103">
        <f t="shared" si="6"/>
        <v>0</v>
      </c>
      <c r="K29" s="103">
        <f t="shared" si="7"/>
        <v>0</v>
      </c>
      <c r="L29" s="103">
        <f t="shared" si="8"/>
        <v>0</v>
      </c>
    </row>
    <row r="30" ht="14.25" customHeight="1">
      <c r="A30" s="29">
        <v>7.0</v>
      </c>
      <c r="B30" s="103">
        <f t="shared" si="1"/>
        <v>242.7997908</v>
      </c>
      <c r="C30" s="103">
        <f t="shared" si="2"/>
        <v>32.91370661</v>
      </c>
      <c r="D30" s="103">
        <f t="shared" si="3"/>
        <v>209.8860842</v>
      </c>
      <c r="E30" s="103">
        <f t="shared" si="4"/>
        <v>6551.976206</v>
      </c>
      <c r="H30" s="29">
        <v>7.0</v>
      </c>
      <c r="I30" s="103">
        <f t="shared" si="5"/>
        <v>0</v>
      </c>
      <c r="J30" s="103">
        <f t="shared" si="6"/>
        <v>0</v>
      </c>
      <c r="K30" s="103">
        <f t="shared" si="7"/>
        <v>0</v>
      </c>
      <c r="L30" s="103">
        <f t="shared" si="8"/>
        <v>0</v>
      </c>
    </row>
    <row r="31" ht="14.25" customHeight="1">
      <c r="A31" s="29">
        <v>8.0</v>
      </c>
      <c r="B31" s="103">
        <f t="shared" si="1"/>
        <v>242.7997908</v>
      </c>
      <c r="C31" s="103">
        <f t="shared" si="2"/>
        <v>31.89207549</v>
      </c>
      <c r="D31" s="103">
        <f t="shared" si="3"/>
        <v>210.9077153</v>
      </c>
      <c r="E31" s="103">
        <f t="shared" si="4"/>
        <v>6341.068491</v>
      </c>
      <c r="H31" s="29">
        <v>8.0</v>
      </c>
      <c r="I31" s="103">
        <f t="shared" si="5"/>
        <v>0</v>
      </c>
      <c r="J31" s="103">
        <f t="shared" si="6"/>
        <v>0</v>
      </c>
      <c r="K31" s="103">
        <f t="shared" si="7"/>
        <v>0</v>
      </c>
      <c r="L31" s="103">
        <f t="shared" si="8"/>
        <v>0</v>
      </c>
    </row>
    <row r="32" ht="14.25" customHeight="1">
      <c r="A32" s="29">
        <v>9.0</v>
      </c>
      <c r="B32" s="103">
        <f t="shared" si="1"/>
        <v>242.7997908</v>
      </c>
      <c r="C32" s="103">
        <f t="shared" si="2"/>
        <v>30.86547152</v>
      </c>
      <c r="D32" s="103">
        <f t="shared" si="3"/>
        <v>211.9343192</v>
      </c>
      <c r="E32" s="103">
        <f t="shared" si="4"/>
        <v>6129.134171</v>
      </c>
      <c r="H32" s="29">
        <v>9.0</v>
      </c>
      <c r="I32" s="103">
        <f t="shared" si="5"/>
        <v>0</v>
      </c>
      <c r="J32" s="103">
        <f t="shared" si="6"/>
        <v>0</v>
      </c>
      <c r="K32" s="103">
        <f t="shared" si="7"/>
        <v>0</v>
      </c>
      <c r="L32" s="103">
        <f t="shared" si="8"/>
        <v>0</v>
      </c>
    </row>
    <row r="33" ht="14.25" customHeight="1">
      <c r="A33" s="60">
        <v>10.0</v>
      </c>
      <c r="B33" s="103">
        <f t="shared" si="1"/>
        <v>242.7997908</v>
      </c>
      <c r="C33" s="103">
        <f t="shared" si="2"/>
        <v>29.8338705</v>
      </c>
      <c r="D33" s="103">
        <f t="shared" si="3"/>
        <v>212.9659203</v>
      </c>
      <c r="E33" s="103">
        <f t="shared" si="4"/>
        <v>5916.168251</v>
      </c>
      <c r="H33" s="29">
        <v>10.0</v>
      </c>
      <c r="I33" s="103">
        <f t="shared" si="5"/>
        <v>0</v>
      </c>
      <c r="J33" s="103">
        <f t="shared" si="6"/>
        <v>0</v>
      </c>
      <c r="K33" s="103">
        <f t="shared" si="7"/>
        <v>0</v>
      </c>
      <c r="L33" s="103">
        <f t="shared" si="8"/>
        <v>0</v>
      </c>
    </row>
    <row r="34" ht="14.25" customHeight="1">
      <c r="A34" s="29">
        <v>11.0</v>
      </c>
      <c r="B34" s="103">
        <f t="shared" si="1"/>
        <v>242.7997908</v>
      </c>
      <c r="C34" s="103">
        <f t="shared" si="2"/>
        <v>28.79724812</v>
      </c>
      <c r="D34" s="103">
        <f t="shared" si="3"/>
        <v>214.0025427</v>
      </c>
      <c r="E34" s="103">
        <f t="shared" si="4"/>
        <v>5702.165709</v>
      </c>
      <c r="H34" s="29">
        <v>11.0</v>
      </c>
      <c r="I34" s="103">
        <f t="shared" si="5"/>
        <v>0</v>
      </c>
      <c r="J34" s="103">
        <f t="shared" si="6"/>
        <v>0</v>
      </c>
      <c r="K34" s="103">
        <f t="shared" si="7"/>
        <v>0</v>
      </c>
      <c r="L34" s="103">
        <f t="shared" si="8"/>
        <v>0</v>
      </c>
    </row>
    <row r="35" ht="14.25" customHeight="1">
      <c r="A35" s="29">
        <v>12.0</v>
      </c>
      <c r="B35" s="103">
        <f t="shared" si="1"/>
        <v>242.7997908</v>
      </c>
      <c r="C35" s="103">
        <f t="shared" si="2"/>
        <v>27.75557992</v>
      </c>
      <c r="D35" s="103">
        <f t="shared" si="3"/>
        <v>215.0442108</v>
      </c>
      <c r="E35" s="103">
        <f t="shared" si="4"/>
        <v>5487.121498</v>
      </c>
      <c r="G35" s="60"/>
      <c r="H35" s="29">
        <v>12.0</v>
      </c>
      <c r="I35" s="103">
        <f t="shared" si="5"/>
        <v>0</v>
      </c>
      <c r="J35" s="103">
        <f t="shared" si="6"/>
        <v>0</v>
      </c>
      <c r="K35" s="103">
        <f t="shared" si="7"/>
        <v>0</v>
      </c>
      <c r="L35" s="103">
        <f t="shared" si="8"/>
        <v>0</v>
      </c>
    </row>
    <row r="36" ht="14.25" customHeight="1">
      <c r="A36" s="29">
        <v>13.0</v>
      </c>
      <c r="B36" s="103">
        <f t="shared" si="1"/>
        <v>242.7997908</v>
      </c>
      <c r="C36" s="103">
        <f t="shared" si="2"/>
        <v>26.70884135</v>
      </c>
      <c r="D36" s="103">
        <f t="shared" si="3"/>
        <v>216.0909494</v>
      </c>
      <c r="E36" s="103">
        <f t="shared" si="4"/>
        <v>5271.030548</v>
      </c>
      <c r="G36" s="60"/>
      <c r="H36" s="29">
        <v>13.0</v>
      </c>
      <c r="I36" s="103">
        <f t="shared" si="5"/>
        <v>0</v>
      </c>
      <c r="J36" s="103">
        <f t="shared" si="6"/>
        <v>0</v>
      </c>
      <c r="K36" s="103">
        <f t="shared" si="7"/>
        <v>0</v>
      </c>
      <c r="L36" s="103">
        <f t="shared" si="8"/>
        <v>0</v>
      </c>
    </row>
    <row r="37" ht="14.25" customHeight="1">
      <c r="A37" s="29">
        <v>14.0</v>
      </c>
      <c r="B37" s="103">
        <f t="shared" si="1"/>
        <v>242.7997908</v>
      </c>
      <c r="C37" s="103">
        <f t="shared" si="2"/>
        <v>25.65700773</v>
      </c>
      <c r="D37" s="103">
        <f t="shared" si="3"/>
        <v>217.142783</v>
      </c>
      <c r="E37" s="103">
        <f t="shared" si="4"/>
        <v>5053.887765</v>
      </c>
      <c r="H37" s="29">
        <v>14.0</v>
      </c>
      <c r="I37" s="103">
        <f t="shared" si="5"/>
        <v>0</v>
      </c>
      <c r="J37" s="103">
        <f t="shared" si="6"/>
        <v>0</v>
      </c>
      <c r="K37" s="103">
        <f t="shared" si="7"/>
        <v>0</v>
      </c>
      <c r="L37" s="103">
        <f t="shared" si="8"/>
        <v>0</v>
      </c>
    </row>
    <row r="38" ht="14.25" customHeight="1">
      <c r="A38" s="60">
        <v>15.0</v>
      </c>
      <c r="B38" s="103">
        <f t="shared" si="1"/>
        <v>242.7997908</v>
      </c>
      <c r="C38" s="103">
        <f t="shared" si="2"/>
        <v>24.60005425</v>
      </c>
      <c r="D38" s="103">
        <f t="shared" si="3"/>
        <v>218.1997365</v>
      </c>
      <c r="E38" s="103">
        <f t="shared" si="4"/>
        <v>4835.688029</v>
      </c>
      <c r="H38" s="29">
        <v>15.0</v>
      </c>
      <c r="I38" s="103">
        <f t="shared" si="5"/>
        <v>0</v>
      </c>
      <c r="J38" s="103">
        <f t="shared" si="6"/>
        <v>0</v>
      </c>
      <c r="K38" s="103">
        <f t="shared" si="7"/>
        <v>0</v>
      </c>
      <c r="L38" s="103">
        <f t="shared" si="8"/>
        <v>0</v>
      </c>
    </row>
    <row r="39" ht="14.25" customHeight="1">
      <c r="A39" s="29">
        <v>16.0</v>
      </c>
      <c r="B39" s="103">
        <f t="shared" si="1"/>
        <v>242.7997908</v>
      </c>
      <c r="C39" s="103">
        <f t="shared" si="2"/>
        <v>23.537956</v>
      </c>
      <c r="D39" s="103">
        <f t="shared" si="3"/>
        <v>219.2618348</v>
      </c>
      <c r="E39" s="103">
        <f t="shared" si="4"/>
        <v>4616.426194</v>
      </c>
      <c r="H39" s="29">
        <v>16.0</v>
      </c>
      <c r="I39" s="103">
        <f t="shared" si="5"/>
        <v>0</v>
      </c>
      <c r="J39" s="103">
        <f t="shared" si="6"/>
        <v>0</v>
      </c>
      <c r="K39" s="103">
        <f t="shared" si="7"/>
        <v>0</v>
      </c>
      <c r="L39" s="103">
        <f t="shared" si="8"/>
        <v>0</v>
      </c>
    </row>
    <row r="40" ht="14.25" customHeight="1">
      <c r="A40" s="29">
        <v>17.0</v>
      </c>
      <c r="B40" s="103">
        <f t="shared" si="1"/>
        <v>242.7997908</v>
      </c>
      <c r="C40" s="103">
        <f t="shared" si="2"/>
        <v>22.47068793</v>
      </c>
      <c r="D40" s="103">
        <f t="shared" si="3"/>
        <v>220.3291028</v>
      </c>
      <c r="E40" s="103">
        <f t="shared" si="4"/>
        <v>4396.097091</v>
      </c>
      <c r="H40" s="29">
        <v>17.0</v>
      </c>
      <c r="I40" s="103">
        <f t="shared" si="5"/>
        <v>0</v>
      </c>
      <c r="J40" s="103">
        <f t="shared" si="6"/>
        <v>0</v>
      </c>
      <c r="K40" s="103">
        <f t="shared" si="7"/>
        <v>0</v>
      </c>
      <c r="L40" s="103">
        <f t="shared" si="8"/>
        <v>0</v>
      </c>
    </row>
    <row r="41" ht="14.25" customHeight="1">
      <c r="A41" s="29">
        <v>18.0</v>
      </c>
      <c r="B41" s="103">
        <f t="shared" si="1"/>
        <v>242.7997908</v>
      </c>
      <c r="C41" s="103">
        <f t="shared" si="2"/>
        <v>21.39822488</v>
      </c>
      <c r="D41" s="103">
        <f t="shared" si="3"/>
        <v>221.4015659</v>
      </c>
      <c r="E41" s="103">
        <f t="shared" si="4"/>
        <v>4174.695525</v>
      </c>
      <c r="H41" s="29">
        <v>18.0</v>
      </c>
      <c r="I41" s="103">
        <f t="shared" si="5"/>
        <v>0</v>
      </c>
      <c r="J41" s="103">
        <f t="shared" si="6"/>
        <v>0</v>
      </c>
      <c r="K41" s="103">
        <f t="shared" si="7"/>
        <v>0</v>
      </c>
      <c r="L41" s="103">
        <f t="shared" si="8"/>
        <v>0</v>
      </c>
    </row>
    <row r="42" ht="14.25" customHeight="1">
      <c r="A42" s="29">
        <v>19.0</v>
      </c>
      <c r="B42" s="103">
        <f t="shared" si="1"/>
        <v>242.7997908</v>
      </c>
      <c r="C42" s="103">
        <f t="shared" si="2"/>
        <v>20.32054156</v>
      </c>
      <c r="D42" s="103">
        <f t="shared" si="3"/>
        <v>222.4792492</v>
      </c>
      <c r="E42" s="103">
        <f t="shared" si="4"/>
        <v>3952.216276</v>
      </c>
      <c r="H42" s="29">
        <v>19.0</v>
      </c>
      <c r="I42" s="103">
        <f t="shared" si="5"/>
        <v>0</v>
      </c>
      <c r="J42" s="103">
        <f t="shared" si="6"/>
        <v>0</v>
      </c>
      <c r="K42" s="103">
        <f t="shared" si="7"/>
        <v>0</v>
      </c>
      <c r="L42" s="103">
        <f t="shared" si="8"/>
        <v>0</v>
      </c>
    </row>
    <row r="43" ht="14.25" customHeight="1">
      <c r="A43" s="60">
        <v>20.0</v>
      </c>
      <c r="B43" s="103">
        <f t="shared" si="1"/>
        <v>242.7997908</v>
      </c>
      <c r="C43" s="103">
        <f t="shared" si="2"/>
        <v>19.23761257</v>
      </c>
      <c r="D43" s="103">
        <f t="shared" si="3"/>
        <v>223.5621782</v>
      </c>
      <c r="E43" s="103">
        <f t="shared" si="4"/>
        <v>3728.654098</v>
      </c>
      <c r="H43" s="29">
        <v>20.0</v>
      </c>
      <c r="I43" s="103">
        <f t="shared" si="5"/>
        <v>0</v>
      </c>
      <c r="J43" s="103">
        <f t="shared" si="6"/>
        <v>0</v>
      </c>
      <c r="K43" s="103">
        <f t="shared" si="7"/>
        <v>0</v>
      </c>
      <c r="L43" s="103">
        <f t="shared" si="8"/>
        <v>0</v>
      </c>
    </row>
    <row r="44" ht="14.25" customHeight="1">
      <c r="A44" s="29">
        <v>21.0</v>
      </c>
      <c r="B44" s="103">
        <f t="shared" si="1"/>
        <v>242.7997908</v>
      </c>
      <c r="C44" s="103">
        <f t="shared" si="2"/>
        <v>18.14941236</v>
      </c>
      <c r="D44" s="103">
        <f t="shared" si="3"/>
        <v>224.6503784</v>
      </c>
      <c r="E44" s="103">
        <f t="shared" si="4"/>
        <v>3504.003719</v>
      </c>
      <c r="H44" s="29">
        <v>21.0</v>
      </c>
      <c r="I44" s="103">
        <f t="shared" si="5"/>
        <v>0</v>
      </c>
      <c r="J44" s="103">
        <f t="shared" si="6"/>
        <v>0</v>
      </c>
      <c r="K44" s="103">
        <f t="shared" si="7"/>
        <v>0</v>
      </c>
      <c r="L44" s="103">
        <f t="shared" si="8"/>
        <v>0</v>
      </c>
    </row>
    <row r="45" ht="14.25" customHeight="1">
      <c r="A45" s="29">
        <v>22.0</v>
      </c>
      <c r="B45" s="103">
        <f t="shared" si="1"/>
        <v>242.7997908</v>
      </c>
      <c r="C45" s="103">
        <f t="shared" si="2"/>
        <v>17.05591529</v>
      </c>
      <c r="D45" s="103">
        <f t="shared" si="3"/>
        <v>225.7438755</v>
      </c>
      <c r="E45" s="103">
        <f t="shared" si="4"/>
        <v>3278.259844</v>
      </c>
      <c r="H45" s="29">
        <v>22.0</v>
      </c>
      <c r="I45" s="103">
        <f t="shared" si="5"/>
        <v>0</v>
      </c>
      <c r="J45" s="103">
        <f t="shared" si="6"/>
        <v>0</v>
      </c>
      <c r="K45" s="103">
        <f t="shared" si="7"/>
        <v>0</v>
      </c>
      <c r="L45" s="103">
        <f t="shared" si="8"/>
        <v>0</v>
      </c>
    </row>
    <row r="46" ht="14.25" customHeight="1">
      <c r="A46" s="29">
        <v>23.0</v>
      </c>
      <c r="B46" s="103">
        <f t="shared" si="1"/>
        <v>242.7997908</v>
      </c>
      <c r="C46" s="103">
        <f t="shared" si="2"/>
        <v>15.95709556</v>
      </c>
      <c r="D46" s="103">
        <f t="shared" si="3"/>
        <v>226.8426952</v>
      </c>
      <c r="E46" s="103">
        <f t="shared" si="4"/>
        <v>3051.417149</v>
      </c>
      <c r="H46" s="29">
        <v>23.0</v>
      </c>
      <c r="I46" s="103">
        <f t="shared" si="5"/>
        <v>0</v>
      </c>
      <c r="J46" s="103">
        <f t="shared" si="6"/>
        <v>0</v>
      </c>
      <c r="K46" s="103">
        <f t="shared" si="7"/>
        <v>0</v>
      </c>
      <c r="L46" s="103">
        <f t="shared" si="8"/>
        <v>0</v>
      </c>
    </row>
    <row r="47" ht="14.25" customHeight="1">
      <c r="A47" s="29">
        <v>24.0</v>
      </c>
      <c r="B47" s="103">
        <f t="shared" si="1"/>
        <v>242.7997908</v>
      </c>
      <c r="C47" s="103">
        <f t="shared" si="2"/>
        <v>14.85292727</v>
      </c>
      <c r="D47" s="103">
        <f t="shared" si="3"/>
        <v>227.9468635</v>
      </c>
      <c r="E47" s="103">
        <f t="shared" si="4"/>
        <v>2823.470285</v>
      </c>
      <c r="H47" s="29">
        <v>24.0</v>
      </c>
      <c r="I47" s="103">
        <f t="shared" si="5"/>
        <v>0</v>
      </c>
      <c r="J47" s="103">
        <f t="shared" si="6"/>
        <v>0</v>
      </c>
      <c r="K47" s="103">
        <f t="shared" si="7"/>
        <v>0</v>
      </c>
      <c r="L47" s="103">
        <f t="shared" si="8"/>
        <v>0</v>
      </c>
    </row>
    <row r="48" ht="14.25" customHeight="1">
      <c r="A48" s="60">
        <v>25.0</v>
      </c>
      <c r="B48" s="103">
        <f t="shared" si="1"/>
        <v>242.7997908</v>
      </c>
      <c r="C48" s="103">
        <f t="shared" si="2"/>
        <v>13.74338438</v>
      </c>
      <c r="D48" s="103">
        <f t="shared" si="3"/>
        <v>229.0564064</v>
      </c>
      <c r="E48" s="103">
        <f t="shared" si="4"/>
        <v>2594.413879</v>
      </c>
      <c r="H48" s="29">
        <v>25.0</v>
      </c>
      <c r="I48" s="103">
        <f t="shared" si="5"/>
        <v>0</v>
      </c>
      <c r="J48" s="103">
        <f t="shared" si="6"/>
        <v>0</v>
      </c>
      <c r="K48" s="103">
        <f t="shared" si="7"/>
        <v>0</v>
      </c>
      <c r="L48" s="103">
        <f t="shared" si="8"/>
        <v>0</v>
      </c>
    </row>
    <row r="49" ht="14.25" customHeight="1">
      <c r="A49" s="29">
        <v>26.0</v>
      </c>
      <c r="B49" s="103">
        <f t="shared" si="1"/>
        <v>242.7997908</v>
      </c>
      <c r="C49" s="103">
        <f t="shared" si="2"/>
        <v>12.62844074</v>
      </c>
      <c r="D49" s="103">
        <f t="shared" si="3"/>
        <v>230.17135</v>
      </c>
      <c r="E49" s="103">
        <f t="shared" si="4"/>
        <v>2364.242529</v>
      </c>
      <c r="H49" s="29">
        <v>26.0</v>
      </c>
      <c r="I49" s="103">
        <f t="shared" si="5"/>
        <v>0</v>
      </c>
      <c r="J49" s="103">
        <f t="shared" si="6"/>
        <v>0</v>
      </c>
      <c r="K49" s="103">
        <f t="shared" si="7"/>
        <v>0</v>
      </c>
      <c r="L49" s="103">
        <f t="shared" si="8"/>
        <v>0</v>
      </c>
    </row>
    <row r="50" ht="14.25" customHeight="1">
      <c r="A50" s="29">
        <v>27.0</v>
      </c>
      <c r="B50" s="103">
        <f t="shared" si="1"/>
        <v>242.7997908</v>
      </c>
      <c r="C50" s="103">
        <f t="shared" si="2"/>
        <v>11.50807006</v>
      </c>
      <c r="D50" s="103">
        <f t="shared" si="3"/>
        <v>231.2917207</v>
      </c>
      <c r="E50" s="103">
        <f t="shared" si="4"/>
        <v>2132.950808</v>
      </c>
      <c r="H50" s="29">
        <v>27.0</v>
      </c>
      <c r="I50" s="103">
        <f t="shared" si="5"/>
        <v>0</v>
      </c>
      <c r="J50" s="103">
        <f t="shared" si="6"/>
        <v>0</v>
      </c>
      <c r="K50" s="103">
        <f t="shared" si="7"/>
        <v>0</v>
      </c>
      <c r="L50" s="103">
        <f t="shared" si="8"/>
        <v>0</v>
      </c>
    </row>
    <row r="51" ht="14.25" customHeight="1">
      <c r="A51" s="29">
        <v>28.0</v>
      </c>
      <c r="B51" s="103">
        <f t="shared" si="1"/>
        <v>242.7997908</v>
      </c>
      <c r="C51" s="103">
        <f t="shared" si="2"/>
        <v>10.38224591</v>
      </c>
      <c r="D51" s="103">
        <f t="shared" si="3"/>
        <v>232.4175449</v>
      </c>
      <c r="E51" s="103">
        <f t="shared" si="4"/>
        <v>1900.533263</v>
      </c>
      <c r="H51" s="29">
        <v>28.0</v>
      </c>
      <c r="I51" s="103">
        <f t="shared" si="5"/>
        <v>0</v>
      </c>
      <c r="J51" s="103">
        <f t="shared" si="6"/>
        <v>0</v>
      </c>
      <c r="K51" s="103">
        <f t="shared" si="7"/>
        <v>0</v>
      </c>
      <c r="L51" s="103">
        <f t="shared" si="8"/>
        <v>0</v>
      </c>
    </row>
    <row r="52" ht="14.25" customHeight="1">
      <c r="A52" s="29">
        <v>29.0</v>
      </c>
      <c r="B52" s="103">
        <f t="shared" si="1"/>
        <v>242.7997908</v>
      </c>
      <c r="C52" s="103">
        <f t="shared" si="2"/>
        <v>9.25094176</v>
      </c>
      <c r="D52" s="103">
        <f t="shared" si="3"/>
        <v>233.548849</v>
      </c>
      <c r="E52" s="103">
        <f t="shared" si="4"/>
        <v>1666.984414</v>
      </c>
      <c r="H52" s="29">
        <v>29.0</v>
      </c>
      <c r="I52" s="103">
        <f t="shared" si="5"/>
        <v>0</v>
      </c>
      <c r="J52" s="103">
        <f t="shared" si="6"/>
        <v>0</v>
      </c>
      <c r="K52" s="103">
        <f t="shared" si="7"/>
        <v>0</v>
      </c>
      <c r="L52" s="103">
        <f t="shared" si="8"/>
        <v>0</v>
      </c>
    </row>
    <row r="53" ht="14.25" customHeight="1">
      <c r="A53" s="60">
        <v>30.0</v>
      </c>
      <c r="B53" s="103">
        <f t="shared" si="1"/>
        <v>242.7997908</v>
      </c>
      <c r="C53" s="103">
        <f t="shared" si="2"/>
        <v>8.114130928</v>
      </c>
      <c r="D53" s="103">
        <f t="shared" si="3"/>
        <v>234.6856598</v>
      </c>
      <c r="E53" s="103">
        <f t="shared" si="4"/>
        <v>1432.298754</v>
      </c>
      <c r="H53" s="29">
        <v>30.0</v>
      </c>
      <c r="I53" s="103">
        <f t="shared" si="5"/>
        <v>0</v>
      </c>
      <c r="J53" s="103">
        <f t="shared" si="6"/>
        <v>0</v>
      </c>
      <c r="K53" s="103">
        <f t="shared" si="7"/>
        <v>0</v>
      </c>
      <c r="L53" s="103">
        <f t="shared" si="8"/>
        <v>0</v>
      </c>
    </row>
    <row r="54" ht="14.25" customHeight="1">
      <c r="A54" s="29">
        <v>31.0</v>
      </c>
      <c r="B54" s="103">
        <f t="shared" si="1"/>
        <v>242.7997908</v>
      </c>
      <c r="C54" s="103">
        <f t="shared" si="2"/>
        <v>6.971786612</v>
      </c>
      <c r="D54" s="103">
        <f t="shared" si="3"/>
        <v>235.8280042</v>
      </c>
      <c r="E54" s="103">
        <f t="shared" si="4"/>
        <v>1196.47075</v>
      </c>
      <c r="H54" s="29">
        <v>31.0</v>
      </c>
      <c r="I54" s="103">
        <f t="shared" si="5"/>
        <v>0</v>
      </c>
      <c r="J54" s="103">
        <f t="shared" si="6"/>
        <v>0</v>
      </c>
      <c r="K54" s="103">
        <f t="shared" si="7"/>
        <v>0</v>
      </c>
      <c r="L54" s="103">
        <f t="shared" si="8"/>
        <v>0</v>
      </c>
    </row>
    <row r="55" ht="14.25" customHeight="1">
      <c r="A55" s="29">
        <v>32.0</v>
      </c>
      <c r="B55" s="103">
        <f t="shared" si="1"/>
        <v>242.7997908</v>
      </c>
      <c r="C55" s="103">
        <f t="shared" si="2"/>
        <v>5.823881877</v>
      </c>
      <c r="D55" s="103">
        <f t="shared" si="3"/>
        <v>236.9759089</v>
      </c>
      <c r="E55" s="103">
        <f t="shared" si="4"/>
        <v>959.4948414</v>
      </c>
      <c r="H55" s="29">
        <v>32.0</v>
      </c>
      <c r="I55" s="103">
        <f t="shared" si="5"/>
        <v>0</v>
      </c>
      <c r="J55" s="103">
        <f t="shared" si="6"/>
        <v>0</v>
      </c>
      <c r="K55" s="103">
        <f t="shared" si="7"/>
        <v>0</v>
      </c>
      <c r="L55" s="103">
        <f t="shared" si="8"/>
        <v>0</v>
      </c>
    </row>
    <row r="56" ht="14.25" customHeight="1">
      <c r="A56" s="29">
        <v>33.0</v>
      </c>
      <c r="B56" s="103">
        <f t="shared" si="1"/>
        <v>242.7997908</v>
      </c>
      <c r="C56" s="103">
        <f t="shared" si="2"/>
        <v>4.670389657</v>
      </c>
      <c r="D56" s="103">
        <f t="shared" si="3"/>
        <v>238.1294011</v>
      </c>
      <c r="E56" s="103">
        <f t="shared" si="4"/>
        <v>721.3654402</v>
      </c>
      <c r="H56" s="29">
        <v>33.0</v>
      </c>
      <c r="I56" s="103">
        <f t="shared" si="5"/>
        <v>0</v>
      </c>
      <c r="J56" s="103">
        <f t="shared" si="6"/>
        <v>0</v>
      </c>
      <c r="K56" s="103">
        <f t="shared" si="7"/>
        <v>0</v>
      </c>
      <c r="L56" s="103">
        <f t="shared" si="8"/>
        <v>0</v>
      </c>
    </row>
    <row r="57" ht="14.25" customHeight="1">
      <c r="A57" s="29">
        <v>34.0</v>
      </c>
      <c r="B57" s="103">
        <f t="shared" si="1"/>
        <v>242.7997908</v>
      </c>
      <c r="C57" s="103">
        <f t="shared" si="2"/>
        <v>3.511282756</v>
      </c>
      <c r="D57" s="103">
        <f t="shared" si="3"/>
        <v>239.288508</v>
      </c>
      <c r="E57" s="103">
        <f t="shared" si="4"/>
        <v>482.0769322</v>
      </c>
      <c r="H57" s="29">
        <v>34.0</v>
      </c>
      <c r="I57" s="103">
        <f t="shared" si="5"/>
        <v>0</v>
      </c>
      <c r="J57" s="103">
        <f t="shared" si="6"/>
        <v>0</v>
      </c>
      <c r="K57" s="103">
        <f t="shared" si="7"/>
        <v>0</v>
      </c>
      <c r="L57" s="103">
        <f t="shared" si="8"/>
        <v>0</v>
      </c>
    </row>
    <row r="58" ht="14.25" customHeight="1">
      <c r="A58" s="60">
        <v>35.0</v>
      </c>
      <c r="B58" s="103">
        <f t="shared" si="1"/>
        <v>242.7997908</v>
      </c>
      <c r="C58" s="103">
        <f t="shared" si="2"/>
        <v>2.346533844</v>
      </c>
      <c r="D58" s="103">
        <f t="shared" si="3"/>
        <v>240.4532569</v>
      </c>
      <c r="E58" s="103">
        <f t="shared" si="4"/>
        <v>241.6236753</v>
      </c>
      <c r="H58" s="29">
        <v>35.0</v>
      </c>
      <c r="I58" s="103">
        <f t="shared" si="5"/>
        <v>0</v>
      </c>
      <c r="J58" s="103">
        <f t="shared" si="6"/>
        <v>0</v>
      </c>
      <c r="K58" s="103">
        <f t="shared" si="7"/>
        <v>0</v>
      </c>
      <c r="L58" s="103">
        <f t="shared" si="8"/>
        <v>0</v>
      </c>
    </row>
    <row r="59" ht="14.25" customHeight="1">
      <c r="A59" s="29">
        <v>36.0</v>
      </c>
      <c r="B59" s="103">
        <f t="shared" si="1"/>
        <v>242.7997908</v>
      </c>
      <c r="C59" s="103">
        <f t="shared" si="2"/>
        <v>1.176115457</v>
      </c>
      <c r="D59" s="103">
        <f t="shared" si="3"/>
        <v>241.6236753</v>
      </c>
      <c r="E59" s="103">
        <f t="shared" si="4"/>
        <v>0</v>
      </c>
      <c r="H59" s="29">
        <v>36.0</v>
      </c>
      <c r="I59" s="103">
        <f t="shared" si="5"/>
        <v>0</v>
      </c>
      <c r="J59" s="103">
        <f t="shared" si="6"/>
        <v>0</v>
      </c>
      <c r="K59" s="103">
        <f t="shared" si="7"/>
        <v>0</v>
      </c>
      <c r="L59" s="103">
        <f t="shared" si="8"/>
        <v>0</v>
      </c>
    </row>
    <row r="60" ht="14.25" customHeight="1">
      <c r="A60" s="29">
        <v>37.0</v>
      </c>
      <c r="B60" s="103">
        <f t="shared" si="1"/>
        <v>0</v>
      </c>
      <c r="C60" s="103">
        <f t="shared" si="2"/>
        <v>0</v>
      </c>
      <c r="D60" s="103">
        <f t="shared" si="3"/>
        <v>0</v>
      </c>
      <c r="E60" s="103">
        <f t="shared" si="4"/>
        <v>0</v>
      </c>
      <c r="H60" s="29">
        <v>37.0</v>
      </c>
      <c r="I60" s="103">
        <f t="shared" si="5"/>
        <v>0</v>
      </c>
      <c r="J60" s="103">
        <f t="shared" si="6"/>
        <v>0</v>
      </c>
      <c r="K60" s="103">
        <f t="shared" si="7"/>
        <v>0</v>
      </c>
      <c r="L60" s="103">
        <f t="shared" si="8"/>
        <v>0</v>
      </c>
    </row>
    <row r="61" ht="14.25" customHeight="1">
      <c r="A61" s="29">
        <v>38.0</v>
      </c>
      <c r="B61" s="103">
        <f t="shared" si="1"/>
        <v>0</v>
      </c>
      <c r="C61" s="103">
        <f t="shared" si="2"/>
        <v>0</v>
      </c>
      <c r="D61" s="103">
        <f t="shared" si="3"/>
        <v>0</v>
      </c>
      <c r="E61" s="103">
        <f t="shared" si="4"/>
        <v>0</v>
      </c>
      <c r="H61" s="29">
        <v>38.0</v>
      </c>
      <c r="I61" s="103">
        <f t="shared" si="5"/>
        <v>0</v>
      </c>
      <c r="J61" s="103">
        <f t="shared" si="6"/>
        <v>0</v>
      </c>
      <c r="K61" s="103">
        <f t="shared" si="7"/>
        <v>0</v>
      </c>
      <c r="L61" s="103">
        <f t="shared" si="8"/>
        <v>0</v>
      </c>
    </row>
    <row r="62" ht="14.25" customHeight="1">
      <c r="A62" s="29">
        <v>39.0</v>
      </c>
      <c r="B62" s="103">
        <f t="shared" si="1"/>
        <v>0</v>
      </c>
      <c r="C62" s="103">
        <f t="shared" si="2"/>
        <v>0</v>
      </c>
      <c r="D62" s="103">
        <f t="shared" si="3"/>
        <v>0</v>
      </c>
      <c r="E62" s="103">
        <f t="shared" si="4"/>
        <v>0</v>
      </c>
      <c r="H62" s="29">
        <v>39.0</v>
      </c>
      <c r="I62" s="103">
        <f t="shared" si="5"/>
        <v>0</v>
      </c>
      <c r="J62" s="103">
        <f t="shared" si="6"/>
        <v>0</v>
      </c>
      <c r="K62" s="103">
        <f t="shared" si="7"/>
        <v>0</v>
      </c>
      <c r="L62" s="103">
        <f t="shared" si="8"/>
        <v>0</v>
      </c>
    </row>
    <row r="63" ht="14.25" customHeight="1">
      <c r="A63" s="60">
        <v>40.0</v>
      </c>
      <c r="B63" s="103">
        <f t="shared" si="1"/>
        <v>0</v>
      </c>
      <c r="C63" s="103">
        <f t="shared" si="2"/>
        <v>0</v>
      </c>
      <c r="D63" s="103">
        <f t="shared" si="3"/>
        <v>0</v>
      </c>
      <c r="E63" s="103">
        <f t="shared" si="4"/>
        <v>0</v>
      </c>
      <c r="H63" s="29">
        <v>40.0</v>
      </c>
      <c r="I63" s="103">
        <f t="shared" si="5"/>
        <v>0</v>
      </c>
      <c r="J63" s="103">
        <f t="shared" si="6"/>
        <v>0</v>
      </c>
      <c r="K63" s="103">
        <f t="shared" si="7"/>
        <v>0</v>
      </c>
      <c r="L63" s="103">
        <f t="shared" si="8"/>
        <v>0</v>
      </c>
    </row>
    <row r="64" ht="14.25" customHeight="1">
      <c r="A64" s="29">
        <v>41.0</v>
      </c>
      <c r="B64" s="103">
        <f t="shared" si="1"/>
        <v>0</v>
      </c>
      <c r="C64" s="103">
        <f t="shared" si="2"/>
        <v>0</v>
      </c>
      <c r="D64" s="103">
        <f t="shared" si="3"/>
        <v>0</v>
      </c>
      <c r="E64" s="103">
        <f t="shared" si="4"/>
        <v>0</v>
      </c>
      <c r="H64" s="29">
        <v>41.0</v>
      </c>
      <c r="I64" s="103">
        <f t="shared" si="5"/>
        <v>0</v>
      </c>
      <c r="J64" s="103">
        <f t="shared" si="6"/>
        <v>0</v>
      </c>
      <c r="K64" s="103">
        <f t="shared" si="7"/>
        <v>0</v>
      </c>
      <c r="L64" s="103">
        <f t="shared" si="8"/>
        <v>0</v>
      </c>
    </row>
    <row r="65" ht="14.25" customHeight="1">
      <c r="A65" s="29">
        <v>42.0</v>
      </c>
      <c r="B65" s="103">
        <f t="shared" si="1"/>
        <v>0</v>
      </c>
      <c r="C65" s="103">
        <f t="shared" si="2"/>
        <v>0</v>
      </c>
      <c r="D65" s="103">
        <f t="shared" si="3"/>
        <v>0</v>
      </c>
      <c r="E65" s="103">
        <f t="shared" si="4"/>
        <v>0</v>
      </c>
      <c r="H65" s="29">
        <v>42.0</v>
      </c>
      <c r="I65" s="103">
        <f t="shared" si="5"/>
        <v>0</v>
      </c>
      <c r="J65" s="103">
        <f t="shared" si="6"/>
        <v>0</v>
      </c>
      <c r="K65" s="103">
        <f t="shared" si="7"/>
        <v>0</v>
      </c>
      <c r="L65" s="103">
        <f t="shared" si="8"/>
        <v>0</v>
      </c>
    </row>
    <row r="66" ht="14.25" customHeight="1">
      <c r="A66" s="29">
        <v>43.0</v>
      </c>
      <c r="B66" s="103">
        <f t="shared" si="1"/>
        <v>0</v>
      </c>
      <c r="C66" s="103">
        <f t="shared" si="2"/>
        <v>0</v>
      </c>
      <c r="D66" s="103">
        <f t="shared" si="3"/>
        <v>0</v>
      </c>
      <c r="E66" s="103">
        <f t="shared" si="4"/>
        <v>0</v>
      </c>
      <c r="H66" s="29">
        <v>43.0</v>
      </c>
      <c r="I66" s="103">
        <f t="shared" si="5"/>
        <v>0</v>
      </c>
      <c r="J66" s="103">
        <f t="shared" si="6"/>
        <v>0</v>
      </c>
      <c r="K66" s="103">
        <f t="shared" si="7"/>
        <v>0</v>
      </c>
      <c r="L66" s="103">
        <f t="shared" si="8"/>
        <v>0</v>
      </c>
    </row>
    <row r="67" ht="14.25" customHeight="1">
      <c r="A67" s="29">
        <v>44.0</v>
      </c>
      <c r="B67" s="103">
        <f t="shared" si="1"/>
        <v>0</v>
      </c>
      <c r="C67" s="103">
        <f t="shared" si="2"/>
        <v>0</v>
      </c>
      <c r="D67" s="103">
        <f t="shared" si="3"/>
        <v>0</v>
      </c>
      <c r="E67" s="103">
        <f t="shared" si="4"/>
        <v>0</v>
      </c>
      <c r="H67" s="29">
        <v>44.0</v>
      </c>
      <c r="I67" s="103">
        <f t="shared" si="5"/>
        <v>0</v>
      </c>
      <c r="J67" s="103">
        <f t="shared" si="6"/>
        <v>0</v>
      </c>
      <c r="K67" s="103">
        <f t="shared" si="7"/>
        <v>0</v>
      </c>
      <c r="L67" s="103">
        <f t="shared" si="8"/>
        <v>0</v>
      </c>
    </row>
    <row r="68" ht="14.25" customHeight="1">
      <c r="A68" s="60">
        <v>45.0</v>
      </c>
      <c r="B68" s="103">
        <f t="shared" si="1"/>
        <v>0</v>
      </c>
      <c r="C68" s="103">
        <f t="shared" si="2"/>
        <v>0</v>
      </c>
      <c r="D68" s="103">
        <f t="shared" si="3"/>
        <v>0</v>
      </c>
      <c r="E68" s="103">
        <f t="shared" si="4"/>
        <v>0</v>
      </c>
      <c r="H68" s="29">
        <v>45.0</v>
      </c>
      <c r="I68" s="103">
        <f t="shared" si="5"/>
        <v>0</v>
      </c>
      <c r="J68" s="103">
        <f t="shared" si="6"/>
        <v>0</v>
      </c>
      <c r="K68" s="103">
        <f t="shared" si="7"/>
        <v>0</v>
      </c>
      <c r="L68" s="103">
        <f t="shared" si="8"/>
        <v>0</v>
      </c>
    </row>
    <row r="69" ht="14.25" customHeight="1">
      <c r="A69" s="29">
        <v>46.0</v>
      </c>
      <c r="B69" s="103">
        <f t="shared" si="1"/>
        <v>0</v>
      </c>
      <c r="C69" s="103">
        <f t="shared" si="2"/>
        <v>0</v>
      </c>
      <c r="D69" s="103">
        <f t="shared" si="3"/>
        <v>0</v>
      </c>
      <c r="E69" s="103">
        <f t="shared" si="4"/>
        <v>0</v>
      </c>
      <c r="H69" s="29">
        <v>46.0</v>
      </c>
      <c r="I69" s="103">
        <f t="shared" si="5"/>
        <v>0</v>
      </c>
      <c r="J69" s="103">
        <f t="shared" si="6"/>
        <v>0</v>
      </c>
      <c r="K69" s="103">
        <f t="shared" si="7"/>
        <v>0</v>
      </c>
      <c r="L69" s="103">
        <f t="shared" si="8"/>
        <v>0</v>
      </c>
    </row>
    <row r="70" ht="14.25" customHeight="1">
      <c r="A70" s="29">
        <v>47.0</v>
      </c>
      <c r="B70" s="103">
        <f t="shared" si="1"/>
        <v>0</v>
      </c>
      <c r="C70" s="103">
        <f t="shared" si="2"/>
        <v>0</v>
      </c>
      <c r="D70" s="103">
        <f t="shared" si="3"/>
        <v>0</v>
      </c>
      <c r="E70" s="103">
        <f t="shared" si="4"/>
        <v>0</v>
      </c>
      <c r="H70" s="29">
        <v>47.0</v>
      </c>
      <c r="I70" s="103">
        <f t="shared" si="5"/>
        <v>0</v>
      </c>
      <c r="J70" s="103">
        <f t="shared" si="6"/>
        <v>0</v>
      </c>
      <c r="K70" s="103">
        <f t="shared" si="7"/>
        <v>0</v>
      </c>
      <c r="L70" s="103">
        <f t="shared" si="8"/>
        <v>0</v>
      </c>
    </row>
    <row r="71" ht="14.25" customHeight="1">
      <c r="A71" s="29">
        <v>48.0</v>
      </c>
      <c r="B71" s="103">
        <f t="shared" si="1"/>
        <v>0</v>
      </c>
      <c r="C71" s="103">
        <f t="shared" si="2"/>
        <v>0</v>
      </c>
      <c r="D71" s="103">
        <f t="shared" si="3"/>
        <v>0</v>
      </c>
      <c r="E71" s="103">
        <f t="shared" si="4"/>
        <v>0</v>
      </c>
      <c r="H71" s="29">
        <v>48.0</v>
      </c>
      <c r="I71" s="103">
        <f t="shared" si="5"/>
        <v>0</v>
      </c>
      <c r="J71" s="103">
        <f t="shared" si="6"/>
        <v>0</v>
      </c>
      <c r="K71" s="103">
        <f t="shared" si="7"/>
        <v>0</v>
      </c>
      <c r="L71" s="103">
        <f t="shared" si="8"/>
        <v>0</v>
      </c>
    </row>
    <row r="72" ht="14.25" customHeight="1">
      <c r="A72" s="29">
        <v>49.0</v>
      </c>
      <c r="B72" s="103">
        <f t="shared" si="1"/>
        <v>0</v>
      </c>
      <c r="C72" s="103">
        <f t="shared" si="2"/>
        <v>0</v>
      </c>
      <c r="D72" s="103">
        <f t="shared" si="3"/>
        <v>0</v>
      </c>
      <c r="E72" s="103">
        <f t="shared" si="4"/>
        <v>0</v>
      </c>
      <c r="H72" s="29">
        <v>49.0</v>
      </c>
      <c r="I72" s="103">
        <f t="shared" si="5"/>
        <v>0</v>
      </c>
      <c r="J72" s="103">
        <f t="shared" si="6"/>
        <v>0</v>
      </c>
      <c r="K72" s="103">
        <f t="shared" si="7"/>
        <v>0</v>
      </c>
      <c r="L72" s="103">
        <f t="shared" si="8"/>
        <v>0</v>
      </c>
    </row>
    <row r="73" ht="14.25" customHeight="1">
      <c r="A73" s="60">
        <v>50.0</v>
      </c>
      <c r="B73" s="103">
        <f t="shared" si="1"/>
        <v>0</v>
      </c>
      <c r="C73" s="103">
        <f t="shared" si="2"/>
        <v>0</v>
      </c>
      <c r="D73" s="103">
        <f t="shared" si="3"/>
        <v>0</v>
      </c>
      <c r="E73" s="103">
        <f t="shared" si="4"/>
        <v>0</v>
      </c>
      <c r="H73" s="29">
        <v>50.0</v>
      </c>
      <c r="I73" s="103">
        <f t="shared" si="5"/>
        <v>0</v>
      </c>
      <c r="J73" s="103">
        <f t="shared" si="6"/>
        <v>0</v>
      </c>
      <c r="K73" s="103">
        <f t="shared" si="7"/>
        <v>0</v>
      </c>
      <c r="L73" s="103">
        <f t="shared" si="8"/>
        <v>0</v>
      </c>
    </row>
    <row r="74" ht="14.25" customHeight="1">
      <c r="A74" s="29">
        <v>51.0</v>
      </c>
      <c r="B74" s="103">
        <f t="shared" si="1"/>
        <v>0</v>
      </c>
      <c r="C74" s="103">
        <f t="shared" si="2"/>
        <v>0</v>
      </c>
      <c r="D74" s="103">
        <f t="shared" si="3"/>
        <v>0</v>
      </c>
      <c r="E74" s="103">
        <f t="shared" si="4"/>
        <v>0</v>
      </c>
      <c r="H74" s="29">
        <v>51.0</v>
      </c>
      <c r="I74" s="103">
        <f t="shared" si="5"/>
        <v>0</v>
      </c>
      <c r="J74" s="103">
        <f t="shared" si="6"/>
        <v>0</v>
      </c>
      <c r="K74" s="103">
        <f t="shared" si="7"/>
        <v>0</v>
      </c>
      <c r="L74" s="103">
        <f t="shared" si="8"/>
        <v>0</v>
      </c>
    </row>
    <row r="75" ht="14.25" customHeight="1">
      <c r="A75" s="29">
        <v>52.0</v>
      </c>
      <c r="B75" s="103">
        <f t="shared" si="1"/>
        <v>0</v>
      </c>
      <c r="C75" s="103">
        <f t="shared" si="2"/>
        <v>0</v>
      </c>
      <c r="D75" s="103">
        <f t="shared" si="3"/>
        <v>0</v>
      </c>
      <c r="E75" s="103">
        <f t="shared" si="4"/>
        <v>0</v>
      </c>
      <c r="H75" s="29">
        <v>52.0</v>
      </c>
      <c r="I75" s="103">
        <f t="shared" si="5"/>
        <v>0</v>
      </c>
      <c r="J75" s="103">
        <f t="shared" si="6"/>
        <v>0</v>
      </c>
      <c r="K75" s="103">
        <f t="shared" si="7"/>
        <v>0</v>
      </c>
      <c r="L75" s="103">
        <f t="shared" si="8"/>
        <v>0</v>
      </c>
    </row>
    <row r="76" ht="14.25" customHeight="1">
      <c r="A76" s="29">
        <v>53.0</v>
      </c>
      <c r="B76" s="103">
        <f t="shared" si="1"/>
        <v>0</v>
      </c>
      <c r="C76" s="103">
        <f t="shared" si="2"/>
        <v>0</v>
      </c>
      <c r="D76" s="103">
        <f t="shared" si="3"/>
        <v>0</v>
      </c>
      <c r="E76" s="103">
        <f t="shared" si="4"/>
        <v>0</v>
      </c>
      <c r="H76" s="29">
        <v>53.0</v>
      </c>
      <c r="I76" s="103">
        <f t="shared" si="5"/>
        <v>0</v>
      </c>
      <c r="J76" s="103">
        <f t="shared" si="6"/>
        <v>0</v>
      </c>
      <c r="K76" s="103">
        <f t="shared" si="7"/>
        <v>0</v>
      </c>
      <c r="L76" s="103">
        <f t="shared" si="8"/>
        <v>0</v>
      </c>
    </row>
    <row r="77" ht="14.25" customHeight="1">
      <c r="A77" s="29">
        <v>54.0</v>
      </c>
      <c r="B77" s="103">
        <f t="shared" si="1"/>
        <v>0</v>
      </c>
      <c r="C77" s="103">
        <f t="shared" si="2"/>
        <v>0</v>
      </c>
      <c r="D77" s="103">
        <f t="shared" si="3"/>
        <v>0</v>
      </c>
      <c r="E77" s="103">
        <f t="shared" si="4"/>
        <v>0</v>
      </c>
      <c r="H77" s="29">
        <v>54.0</v>
      </c>
      <c r="I77" s="103">
        <f t="shared" si="5"/>
        <v>0</v>
      </c>
      <c r="J77" s="103">
        <f t="shared" si="6"/>
        <v>0</v>
      </c>
      <c r="K77" s="103">
        <f t="shared" si="7"/>
        <v>0</v>
      </c>
      <c r="L77" s="103">
        <f t="shared" si="8"/>
        <v>0</v>
      </c>
    </row>
    <row r="78" ht="14.25" customHeight="1">
      <c r="A78" s="60">
        <v>55.0</v>
      </c>
      <c r="B78" s="103">
        <f t="shared" si="1"/>
        <v>0</v>
      </c>
      <c r="C78" s="103">
        <f t="shared" si="2"/>
        <v>0</v>
      </c>
      <c r="D78" s="103">
        <f t="shared" si="3"/>
        <v>0</v>
      </c>
      <c r="E78" s="103">
        <f t="shared" si="4"/>
        <v>0</v>
      </c>
      <c r="H78" s="29">
        <v>55.0</v>
      </c>
      <c r="I78" s="103">
        <f t="shared" si="5"/>
        <v>0</v>
      </c>
      <c r="J78" s="103">
        <f t="shared" si="6"/>
        <v>0</v>
      </c>
      <c r="K78" s="103">
        <f t="shared" si="7"/>
        <v>0</v>
      </c>
      <c r="L78" s="103">
        <f t="shared" si="8"/>
        <v>0</v>
      </c>
    </row>
    <row r="79" ht="14.25" customHeight="1">
      <c r="A79" s="60">
        <v>56.0</v>
      </c>
      <c r="B79" s="103">
        <f t="shared" si="1"/>
        <v>0</v>
      </c>
      <c r="C79" s="103">
        <f t="shared" si="2"/>
        <v>0</v>
      </c>
      <c r="D79" s="103">
        <f t="shared" si="3"/>
        <v>0</v>
      </c>
      <c r="E79" s="103">
        <f t="shared" si="4"/>
        <v>0</v>
      </c>
      <c r="H79" s="29">
        <v>56.0</v>
      </c>
      <c r="I79" s="103">
        <f t="shared" si="5"/>
        <v>0</v>
      </c>
      <c r="J79" s="103">
        <f t="shared" si="6"/>
        <v>0</v>
      </c>
      <c r="K79" s="103">
        <f t="shared" si="7"/>
        <v>0</v>
      </c>
      <c r="L79" s="103">
        <f t="shared" si="8"/>
        <v>0</v>
      </c>
    </row>
    <row r="80" ht="14.25" customHeight="1">
      <c r="A80" s="29">
        <v>57.0</v>
      </c>
      <c r="B80" s="103">
        <f t="shared" si="1"/>
        <v>0</v>
      </c>
      <c r="C80" s="103">
        <f t="shared" si="2"/>
        <v>0</v>
      </c>
      <c r="D80" s="103">
        <f t="shared" si="3"/>
        <v>0</v>
      </c>
      <c r="E80" s="103">
        <f t="shared" si="4"/>
        <v>0</v>
      </c>
      <c r="H80" s="29">
        <v>57.0</v>
      </c>
      <c r="I80" s="103">
        <f t="shared" si="5"/>
        <v>0</v>
      </c>
      <c r="J80" s="103">
        <f t="shared" si="6"/>
        <v>0</v>
      </c>
      <c r="K80" s="103">
        <f t="shared" si="7"/>
        <v>0</v>
      </c>
      <c r="L80" s="103">
        <f t="shared" si="8"/>
        <v>0</v>
      </c>
    </row>
    <row r="81" ht="14.25" customHeight="1">
      <c r="A81" s="29">
        <v>58.0</v>
      </c>
      <c r="B81" s="103">
        <f t="shared" si="1"/>
        <v>0</v>
      </c>
      <c r="C81" s="103">
        <f t="shared" si="2"/>
        <v>0</v>
      </c>
      <c r="D81" s="103">
        <f t="shared" si="3"/>
        <v>0</v>
      </c>
      <c r="E81" s="103">
        <f t="shared" si="4"/>
        <v>0</v>
      </c>
      <c r="H81" s="29">
        <v>58.0</v>
      </c>
      <c r="I81" s="103">
        <f t="shared" si="5"/>
        <v>0</v>
      </c>
      <c r="J81" s="103">
        <f t="shared" si="6"/>
        <v>0</v>
      </c>
      <c r="K81" s="103">
        <f t="shared" si="7"/>
        <v>0</v>
      </c>
      <c r="L81" s="103">
        <f t="shared" si="8"/>
        <v>0</v>
      </c>
    </row>
    <row r="82" ht="14.25" customHeight="1">
      <c r="A82" s="29">
        <v>59.0</v>
      </c>
      <c r="B82" s="103">
        <f t="shared" si="1"/>
        <v>0</v>
      </c>
      <c r="C82" s="103">
        <f t="shared" si="2"/>
        <v>0</v>
      </c>
      <c r="D82" s="103">
        <f t="shared" si="3"/>
        <v>0</v>
      </c>
      <c r="E82" s="103">
        <f t="shared" si="4"/>
        <v>0</v>
      </c>
      <c r="H82" s="29">
        <v>59.0</v>
      </c>
      <c r="I82" s="103">
        <f t="shared" si="5"/>
        <v>0</v>
      </c>
      <c r="J82" s="103">
        <f t="shared" si="6"/>
        <v>0</v>
      </c>
      <c r="K82" s="103">
        <f t="shared" si="7"/>
        <v>0</v>
      </c>
      <c r="L82" s="103">
        <f t="shared" si="8"/>
        <v>0</v>
      </c>
    </row>
    <row r="83" ht="14.25" customHeight="1">
      <c r="A83" s="29">
        <v>60.0</v>
      </c>
      <c r="B83" s="103">
        <f t="shared" si="1"/>
        <v>0</v>
      </c>
      <c r="C83" s="103">
        <f t="shared" si="2"/>
        <v>0</v>
      </c>
      <c r="D83" s="103">
        <f t="shared" si="3"/>
        <v>0</v>
      </c>
      <c r="E83" s="103">
        <f t="shared" si="4"/>
        <v>0</v>
      </c>
      <c r="H83" s="29">
        <v>60.0</v>
      </c>
      <c r="I83" s="103">
        <f t="shared" si="5"/>
        <v>0</v>
      </c>
      <c r="J83" s="103">
        <f t="shared" si="6"/>
        <v>0</v>
      </c>
      <c r="K83" s="103">
        <f t="shared" si="7"/>
        <v>0</v>
      </c>
      <c r="L83" s="103">
        <f t="shared" si="8"/>
        <v>0</v>
      </c>
    </row>
    <row r="84" ht="14.25" customHeight="1">
      <c r="A84" s="60">
        <v>61.0</v>
      </c>
      <c r="B84" s="103">
        <f t="shared" si="1"/>
        <v>0</v>
      </c>
      <c r="C84" s="103">
        <f t="shared" si="2"/>
        <v>0</v>
      </c>
      <c r="D84" s="103">
        <f t="shared" si="3"/>
        <v>0</v>
      </c>
      <c r="E84" s="103">
        <f t="shared" si="4"/>
        <v>0</v>
      </c>
      <c r="H84" s="29">
        <v>61.0</v>
      </c>
      <c r="I84" s="103">
        <f t="shared" si="5"/>
        <v>0</v>
      </c>
      <c r="J84" s="103">
        <f t="shared" si="6"/>
        <v>0</v>
      </c>
      <c r="K84" s="103">
        <f t="shared" si="7"/>
        <v>0</v>
      </c>
      <c r="L84" s="103">
        <f t="shared" si="8"/>
        <v>0</v>
      </c>
    </row>
    <row r="85" ht="14.25" customHeight="1">
      <c r="A85" s="60">
        <v>62.0</v>
      </c>
      <c r="B85" s="103">
        <f t="shared" si="1"/>
        <v>0</v>
      </c>
      <c r="C85" s="103">
        <f t="shared" si="2"/>
        <v>0</v>
      </c>
      <c r="D85" s="103">
        <f t="shared" si="3"/>
        <v>0</v>
      </c>
      <c r="E85" s="103">
        <f t="shared" si="4"/>
        <v>0</v>
      </c>
      <c r="H85" s="29">
        <v>62.0</v>
      </c>
      <c r="I85" s="103">
        <f t="shared" si="5"/>
        <v>0</v>
      </c>
      <c r="J85" s="103">
        <f t="shared" si="6"/>
        <v>0</v>
      </c>
      <c r="K85" s="103">
        <f t="shared" si="7"/>
        <v>0</v>
      </c>
      <c r="L85" s="103">
        <f t="shared" si="8"/>
        <v>0</v>
      </c>
    </row>
    <row r="86" ht="14.25" customHeight="1">
      <c r="A86" s="29">
        <v>63.0</v>
      </c>
      <c r="B86" s="103">
        <f t="shared" si="1"/>
        <v>0</v>
      </c>
      <c r="C86" s="103">
        <f t="shared" si="2"/>
        <v>0</v>
      </c>
      <c r="D86" s="103">
        <f t="shared" si="3"/>
        <v>0</v>
      </c>
      <c r="E86" s="103">
        <f t="shared" si="4"/>
        <v>0</v>
      </c>
      <c r="H86" s="29">
        <v>63.0</v>
      </c>
      <c r="I86" s="103">
        <f t="shared" si="5"/>
        <v>0</v>
      </c>
      <c r="J86" s="103">
        <f t="shared" si="6"/>
        <v>0</v>
      </c>
      <c r="K86" s="103">
        <f t="shared" si="7"/>
        <v>0</v>
      </c>
      <c r="L86" s="103">
        <f t="shared" si="8"/>
        <v>0</v>
      </c>
    </row>
    <row r="87" ht="14.25" customHeight="1">
      <c r="A87" s="29">
        <v>64.0</v>
      </c>
      <c r="B87" s="103">
        <f t="shared" si="1"/>
        <v>0</v>
      </c>
      <c r="C87" s="103">
        <f t="shared" si="2"/>
        <v>0</v>
      </c>
      <c r="D87" s="103">
        <f t="shared" si="3"/>
        <v>0</v>
      </c>
      <c r="E87" s="103">
        <f t="shared" si="4"/>
        <v>0</v>
      </c>
      <c r="H87" s="29">
        <v>64.0</v>
      </c>
      <c r="I87" s="103">
        <f t="shared" si="5"/>
        <v>0</v>
      </c>
      <c r="J87" s="103">
        <f t="shared" si="6"/>
        <v>0</v>
      </c>
      <c r="K87" s="103">
        <f t="shared" si="7"/>
        <v>0</v>
      </c>
      <c r="L87" s="103">
        <f t="shared" si="8"/>
        <v>0</v>
      </c>
    </row>
    <row r="88" ht="14.25" customHeight="1">
      <c r="A88" s="29">
        <v>65.0</v>
      </c>
      <c r="B88" s="103">
        <f t="shared" si="1"/>
        <v>0</v>
      </c>
      <c r="C88" s="103">
        <f t="shared" si="2"/>
        <v>0</v>
      </c>
      <c r="D88" s="103">
        <f t="shared" si="3"/>
        <v>0</v>
      </c>
      <c r="E88" s="103">
        <f t="shared" si="4"/>
        <v>0</v>
      </c>
      <c r="H88" s="29">
        <v>65.0</v>
      </c>
      <c r="I88" s="103">
        <f t="shared" si="5"/>
        <v>0</v>
      </c>
      <c r="J88" s="103">
        <f t="shared" si="6"/>
        <v>0</v>
      </c>
      <c r="K88" s="103">
        <f t="shared" si="7"/>
        <v>0</v>
      </c>
      <c r="L88" s="103">
        <f t="shared" si="8"/>
        <v>0</v>
      </c>
    </row>
    <row r="89" ht="14.25" customHeight="1">
      <c r="A89" s="29">
        <v>66.0</v>
      </c>
      <c r="B89" s="103">
        <f t="shared" si="1"/>
        <v>0</v>
      </c>
      <c r="C89" s="103">
        <f t="shared" si="2"/>
        <v>0</v>
      </c>
      <c r="D89" s="103">
        <f t="shared" si="3"/>
        <v>0</v>
      </c>
      <c r="E89" s="103">
        <f t="shared" si="4"/>
        <v>0</v>
      </c>
      <c r="H89" s="29">
        <v>66.0</v>
      </c>
      <c r="I89" s="103">
        <f t="shared" si="5"/>
        <v>0</v>
      </c>
      <c r="J89" s="103">
        <f t="shared" si="6"/>
        <v>0</v>
      </c>
      <c r="K89" s="103">
        <f t="shared" si="7"/>
        <v>0</v>
      </c>
      <c r="L89" s="103">
        <f t="shared" si="8"/>
        <v>0</v>
      </c>
    </row>
    <row r="90" ht="14.25" customHeight="1">
      <c r="A90" s="60">
        <v>67.0</v>
      </c>
      <c r="B90" s="103">
        <f t="shared" si="1"/>
        <v>0</v>
      </c>
      <c r="C90" s="103">
        <f t="shared" si="2"/>
        <v>0</v>
      </c>
      <c r="D90" s="103">
        <f t="shared" si="3"/>
        <v>0</v>
      </c>
      <c r="E90" s="103">
        <f t="shared" si="4"/>
        <v>0</v>
      </c>
      <c r="H90" s="29">
        <v>67.0</v>
      </c>
      <c r="I90" s="103">
        <f t="shared" si="5"/>
        <v>0</v>
      </c>
      <c r="J90" s="103">
        <f t="shared" si="6"/>
        <v>0</v>
      </c>
      <c r="K90" s="103">
        <f t="shared" si="7"/>
        <v>0</v>
      </c>
      <c r="L90" s="103">
        <f t="shared" si="8"/>
        <v>0</v>
      </c>
    </row>
    <row r="91" ht="14.25" customHeight="1">
      <c r="A91" s="60">
        <v>68.0</v>
      </c>
      <c r="B91" s="103">
        <f t="shared" si="1"/>
        <v>0</v>
      </c>
      <c r="C91" s="103">
        <f t="shared" si="2"/>
        <v>0</v>
      </c>
      <c r="D91" s="103">
        <f t="shared" si="3"/>
        <v>0</v>
      </c>
      <c r="E91" s="103">
        <f t="shared" si="4"/>
        <v>0</v>
      </c>
      <c r="H91" s="29">
        <v>68.0</v>
      </c>
      <c r="I91" s="103">
        <f t="shared" si="5"/>
        <v>0</v>
      </c>
      <c r="J91" s="103">
        <f t="shared" si="6"/>
        <v>0</v>
      </c>
      <c r="K91" s="103">
        <f t="shared" si="7"/>
        <v>0</v>
      </c>
      <c r="L91" s="103">
        <f t="shared" si="8"/>
        <v>0</v>
      </c>
    </row>
    <row r="92" ht="14.25" customHeight="1">
      <c r="A92" s="29">
        <v>69.0</v>
      </c>
      <c r="B92" s="103">
        <f t="shared" si="1"/>
        <v>0</v>
      </c>
      <c r="C92" s="103">
        <f t="shared" si="2"/>
        <v>0</v>
      </c>
      <c r="D92" s="103">
        <f t="shared" si="3"/>
        <v>0</v>
      </c>
      <c r="E92" s="103">
        <f t="shared" si="4"/>
        <v>0</v>
      </c>
      <c r="H92" s="29">
        <v>69.0</v>
      </c>
      <c r="I92" s="103">
        <f t="shared" si="5"/>
        <v>0</v>
      </c>
      <c r="J92" s="103">
        <f t="shared" si="6"/>
        <v>0</v>
      </c>
      <c r="K92" s="103">
        <f t="shared" si="7"/>
        <v>0</v>
      </c>
      <c r="L92" s="103">
        <f t="shared" si="8"/>
        <v>0</v>
      </c>
    </row>
    <row r="93" ht="14.25" customHeight="1">
      <c r="A93" s="29">
        <v>70.0</v>
      </c>
      <c r="B93" s="103">
        <f t="shared" si="1"/>
        <v>0</v>
      </c>
      <c r="C93" s="103">
        <f t="shared" si="2"/>
        <v>0</v>
      </c>
      <c r="D93" s="103">
        <f t="shared" si="3"/>
        <v>0</v>
      </c>
      <c r="E93" s="103">
        <f t="shared" si="4"/>
        <v>0</v>
      </c>
      <c r="H93" s="29">
        <v>70.0</v>
      </c>
      <c r="I93" s="103">
        <f t="shared" si="5"/>
        <v>0</v>
      </c>
      <c r="J93" s="103">
        <f t="shared" si="6"/>
        <v>0</v>
      </c>
      <c r="K93" s="103">
        <f t="shared" si="7"/>
        <v>0</v>
      </c>
      <c r="L93" s="103">
        <f t="shared" si="8"/>
        <v>0</v>
      </c>
    </row>
    <row r="94" ht="14.25" customHeight="1">
      <c r="A94" s="29">
        <v>71.0</v>
      </c>
      <c r="B94" s="103">
        <f t="shared" si="1"/>
        <v>0</v>
      </c>
      <c r="C94" s="103">
        <f t="shared" si="2"/>
        <v>0</v>
      </c>
      <c r="D94" s="103">
        <f t="shared" si="3"/>
        <v>0</v>
      </c>
      <c r="E94" s="103">
        <f t="shared" si="4"/>
        <v>0</v>
      </c>
      <c r="H94" s="29">
        <v>71.0</v>
      </c>
      <c r="I94" s="103">
        <f t="shared" si="5"/>
        <v>0</v>
      </c>
      <c r="J94" s="103">
        <f t="shared" si="6"/>
        <v>0</v>
      </c>
      <c r="K94" s="103">
        <f t="shared" si="7"/>
        <v>0</v>
      </c>
      <c r="L94" s="103">
        <f t="shared" si="8"/>
        <v>0</v>
      </c>
    </row>
    <row r="95" ht="14.25" customHeight="1">
      <c r="A95" s="29">
        <v>72.0</v>
      </c>
      <c r="B95" s="103">
        <f t="shared" si="1"/>
        <v>0</v>
      </c>
      <c r="C95" s="103">
        <f t="shared" si="2"/>
        <v>0</v>
      </c>
      <c r="D95" s="103">
        <f t="shared" si="3"/>
        <v>0</v>
      </c>
      <c r="E95" s="103">
        <f t="shared" si="4"/>
        <v>0</v>
      </c>
      <c r="H95" s="29">
        <v>72.0</v>
      </c>
      <c r="I95" s="103">
        <f t="shared" si="5"/>
        <v>0</v>
      </c>
      <c r="J95" s="103">
        <f t="shared" si="6"/>
        <v>0</v>
      </c>
      <c r="K95" s="103">
        <f t="shared" si="7"/>
        <v>0</v>
      </c>
      <c r="L95" s="103">
        <f t="shared" si="8"/>
        <v>0</v>
      </c>
    </row>
    <row r="96" ht="14.25" customHeight="1">
      <c r="A96" s="60">
        <v>73.0</v>
      </c>
      <c r="B96" s="103">
        <f t="shared" si="1"/>
        <v>0</v>
      </c>
      <c r="C96" s="103">
        <f t="shared" si="2"/>
        <v>0</v>
      </c>
      <c r="D96" s="103">
        <f t="shared" si="3"/>
        <v>0</v>
      </c>
      <c r="E96" s="103">
        <f t="shared" si="4"/>
        <v>0</v>
      </c>
      <c r="H96" s="29">
        <v>73.0</v>
      </c>
      <c r="I96" s="103">
        <f t="shared" si="5"/>
        <v>0</v>
      </c>
      <c r="J96" s="103">
        <f t="shared" si="6"/>
        <v>0</v>
      </c>
      <c r="K96" s="103">
        <f t="shared" si="7"/>
        <v>0</v>
      </c>
      <c r="L96" s="103">
        <f t="shared" si="8"/>
        <v>0</v>
      </c>
    </row>
    <row r="97" ht="14.25" customHeight="1">
      <c r="A97" s="60">
        <v>74.0</v>
      </c>
      <c r="B97" s="103">
        <f t="shared" si="1"/>
        <v>0</v>
      </c>
      <c r="C97" s="103">
        <f t="shared" si="2"/>
        <v>0</v>
      </c>
      <c r="D97" s="103">
        <f t="shared" si="3"/>
        <v>0</v>
      </c>
      <c r="E97" s="103">
        <f t="shared" si="4"/>
        <v>0</v>
      </c>
      <c r="H97" s="29">
        <v>74.0</v>
      </c>
      <c r="I97" s="103">
        <f t="shared" si="5"/>
        <v>0</v>
      </c>
      <c r="J97" s="103">
        <f t="shared" si="6"/>
        <v>0</v>
      </c>
      <c r="K97" s="103">
        <f t="shared" si="7"/>
        <v>0</v>
      </c>
      <c r="L97" s="103">
        <f t="shared" si="8"/>
        <v>0</v>
      </c>
    </row>
    <row r="98" ht="14.25" customHeight="1">
      <c r="A98" s="29">
        <v>75.0</v>
      </c>
      <c r="B98" s="103">
        <f t="shared" si="1"/>
        <v>0</v>
      </c>
      <c r="C98" s="103">
        <f t="shared" si="2"/>
        <v>0</v>
      </c>
      <c r="D98" s="103">
        <f t="shared" si="3"/>
        <v>0</v>
      </c>
      <c r="E98" s="103">
        <f t="shared" si="4"/>
        <v>0</v>
      </c>
      <c r="H98" s="29">
        <v>75.0</v>
      </c>
      <c r="I98" s="103">
        <f t="shared" si="5"/>
        <v>0</v>
      </c>
      <c r="J98" s="103">
        <f t="shared" si="6"/>
        <v>0</v>
      </c>
      <c r="K98" s="103">
        <f t="shared" si="7"/>
        <v>0</v>
      </c>
      <c r="L98" s="103">
        <f t="shared" si="8"/>
        <v>0</v>
      </c>
    </row>
    <row r="99" ht="14.25" customHeight="1">
      <c r="A99" s="29">
        <v>76.0</v>
      </c>
      <c r="B99" s="103">
        <f t="shared" si="1"/>
        <v>0</v>
      </c>
      <c r="C99" s="103">
        <f t="shared" si="2"/>
        <v>0</v>
      </c>
      <c r="D99" s="103">
        <f t="shared" si="3"/>
        <v>0</v>
      </c>
      <c r="E99" s="103">
        <f t="shared" si="4"/>
        <v>0</v>
      </c>
      <c r="H99" s="29">
        <v>76.0</v>
      </c>
      <c r="I99" s="103">
        <f t="shared" si="5"/>
        <v>0</v>
      </c>
      <c r="J99" s="103">
        <f t="shared" si="6"/>
        <v>0</v>
      </c>
      <c r="K99" s="103">
        <f t="shared" si="7"/>
        <v>0</v>
      </c>
      <c r="L99" s="103">
        <f t="shared" si="8"/>
        <v>0</v>
      </c>
    </row>
    <row r="100" ht="14.25" customHeight="1">
      <c r="A100" s="29">
        <v>77.0</v>
      </c>
      <c r="B100" s="103">
        <f t="shared" si="1"/>
        <v>0</v>
      </c>
      <c r="C100" s="103">
        <f t="shared" si="2"/>
        <v>0</v>
      </c>
      <c r="D100" s="103">
        <f t="shared" si="3"/>
        <v>0</v>
      </c>
      <c r="E100" s="103">
        <f t="shared" si="4"/>
        <v>0</v>
      </c>
      <c r="H100" s="29">
        <v>77.0</v>
      </c>
      <c r="I100" s="103">
        <f t="shared" si="5"/>
        <v>0</v>
      </c>
      <c r="J100" s="103">
        <f t="shared" si="6"/>
        <v>0</v>
      </c>
      <c r="K100" s="103">
        <f t="shared" si="7"/>
        <v>0</v>
      </c>
      <c r="L100" s="103">
        <f t="shared" si="8"/>
        <v>0</v>
      </c>
    </row>
    <row r="101" ht="14.25" customHeight="1">
      <c r="A101" s="29">
        <v>78.0</v>
      </c>
      <c r="B101" s="103">
        <f t="shared" si="1"/>
        <v>0</v>
      </c>
      <c r="C101" s="103">
        <f t="shared" si="2"/>
        <v>0</v>
      </c>
      <c r="D101" s="103">
        <f t="shared" si="3"/>
        <v>0</v>
      </c>
      <c r="E101" s="103">
        <f t="shared" si="4"/>
        <v>0</v>
      </c>
      <c r="H101" s="29">
        <v>78.0</v>
      </c>
      <c r="I101" s="103">
        <f t="shared" si="5"/>
        <v>0</v>
      </c>
      <c r="J101" s="103">
        <f t="shared" si="6"/>
        <v>0</v>
      </c>
      <c r="K101" s="103">
        <f t="shared" si="7"/>
        <v>0</v>
      </c>
      <c r="L101" s="103">
        <f t="shared" si="8"/>
        <v>0</v>
      </c>
    </row>
    <row r="102" ht="14.25" customHeight="1">
      <c r="A102" s="60">
        <v>79.0</v>
      </c>
      <c r="B102" s="103">
        <f t="shared" si="1"/>
        <v>0</v>
      </c>
      <c r="C102" s="103">
        <f t="shared" si="2"/>
        <v>0</v>
      </c>
      <c r="D102" s="103">
        <f t="shared" si="3"/>
        <v>0</v>
      </c>
      <c r="E102" s="103">
        <f t="shared" si="4"/>
        <v>0</v>
      </c>
      <c r="H102" s="29">
        <v>79.0</v>
      </c>
      <c r="I102" s="103">
        <f t="shared" si="5"/>
        <v>0</v>
      </c>
      <c r="J102" s="103">
        <f t="shared" si="6"/>
        <v>0</v>
      </c>
      <c r="K102" s="103">
        <f t="shared" si="7"/>
        <v>0</v>
      </c>
      <c r="L102" s="103">
        <f t="shared" si="8"/>
        <v>0</v>
      </c>
    </row>
    <row r="103" ht="14.25" customHeight="1">
      <c r="A103" s="60">
        <v>80.0</v>
      </c>
      <c r="B103" s="103">
        <f t="shared" si="1"/>
        <v>0</v>
      </c>
      <c r="C103" s="103">
        <f t="shared" si="2"/>
        <v>0</v>
      </c>
      <c r="D103" s="103">
        <f t="shared" si="3"/>
        <v>0</v>
      </c>
      <c r="E103" s="103">
        <f t="shared" si="4"/>
        <v>0</v>
      </c>
      <c r="H103" s="29">
        <v>80.0</v>
      </c>
      <c r="I103" s="103">
        <f t="shared" si="5"/>
        <v>0</v>
      </c>
      <c r="J103" s="103">
        <f t="shared" si="6"/>
        <v>0</v>
      </c>
      <c r="K103" s="103">
        <f t="shared" si="7"/>
        <v>0</v>
      </c>
      <c r="L103" s="103">
        <f t="shared" si="8"/>
        <v>0</v>
      </c>
    </row>
    <row r="104" ht="14.25" customHeight="1">
      <c r="A104" s="29">
        <v>81.0</v>
      </c>
      <c r="B104" s="103">
        <f t="shared" si="1"/>
        <v>0</v>
      </c>
      <c r="C104" s="103">
        <f t="shared" si="2"/>
        <v>0</v>
      </c>
      <c r="D104" s="103">
        <f t="shared" si="3"/>
        <v>0</v>
      </c>
      <c r="E104" s="103">
        <f t="shared" si="4"/>
        <v>0</v>
      </c>
      <c r="H104" s="29">
        <v>81.0</v>
      </c>
      <c r="I104" s="103">
        <f t="shared" si="5"/>
        <v>0</v>
      </c>
      <c r="J104" s="103">
        <f t="shared" si="6"/>
        <v>0</v>
      </c>
      <c r="K104" s="103">
        <f t="shared" si="7"/>
        <v>0</v>
      </c>
      <c r="L104" s="103">
        <f t="shared" si="8"/>
        <v>0</v>
      </c>
    </row>
    <row r="105" ht="14.25" customHeight="1">
      <c r="A105" s="60">
        <v>82.0</v>
      </c>
      <c r="B105" s="103">
        <f t="shared" si="1"/>
        <v>0</v>
      </c>
      <c r="C105" s="103">
        <f t="shared" si="2"/>
        <v>0</v>
      </c>
      <c r="D105" s="103">
        <f t="shared" si="3"/>
        <v>0</v>
      </c>
      <c r="E105" s="103">
        <f t="shared" si="4"/>
        <v>0</v>
      </c>
      <c r="H105" s="29">
        <v>82.0</v>
      </c>
      <c r="I105" s="103">
        <f t="shared" si="5"/>
        <v>0</v>
      </c>
      <c r="J105" s="103">
        <f t="shared" si="6"/>
        <v>0</v>
      </c>
      <c r="K105" s="103">
        <f t="shared" si="7"/>
        <v>0</v>
      </c>
      <c r="L105" s="103">
        <f t="shared" si="8"/>
        <v>0</v>
      </c>
    </row>
    <row r="106" ht="14.25" customHeight="1">
      <c r="A106" s="29">
        <v>83.0</v>
      </c>
      <c r="B106" s="103">
        <f t="shared" si="1"/>
        <v>0</v>
      </c>
      <c r="C106" s="103">
        <f t="shared" si="2"/>
        <v>0</v>
      </c>
      <c r="D106" s="103">
        <f t="shared" si="3"/>
        <v>0</v>
      </c>
      <c r="E106" s="103">
        <f t="shared" si="4"/>
        <v>0</v>
      </c>
      <c r="H106" s="29">
        <v>83.0</v>
      </c>
      <c r="I106" s="103">
        <f t="shared" si="5"/>
        <v>0</v>
      </c>
      <c r="J106" s="103">
        <f t="shared" si="6"/>
        <v>0</v>
      </c>
      <c r="K106" s="103">
        <f t="shared" si="7"/>
        <v>0</v>
      </c>
      <c r="L106" s="103">
        <f t="shared" si="8"/>
        <v>0</v>
      </c>
    </row>
    <row r="107" ht="14.25" customHeight="1">
      <c r="A107" s="29">
        <v>84.0</v>
      </c>
      <c r="B107" s="103">
        <f t="shared" si="1"/>
        <v>0</v>
      </c>
      <c r="C107" s="103">
        <f t="shared" si="2"/>
        <v>0</v>
      </c>
      <c r="D107" s="103">
        <f t="shared" si="3"/>
        <v>0</v>
      </c>
      <c r="E107" s="103">
        <f t="shared" si="4"/>
        <v>0</v>
      </c>
      <c r="H107" s="29">
        <v>84.0</v>
      </c>
      <c r="I107" s="103">
        <f t="shared" si="5"/>
        <v>0</v>
      </c>
      <c r="J107" s="103">
        <f t="shared" si="6"/>
        <v>0</v>
      </c>
      <c r="K107" s="103">
        <f t="shared" si="7"/>
        <v>0</v>
      </c>
      <c r="L107" s="103">
        <f t="shared" si="8"/>
        <v>0</v>
      </c>
    </row>
    <row r="108" ht="14.25" customHeight="1">
      <c r="A108" s="29">
        <v>85.0</v>
      </c>
      <c r="B108" s="103">
        <f t="shared" si="1"/>
        <v>0</v>
      </c>
      <c r="C108" s="103">
        <f t="shared" si="2"/>
        <v>0</v>
      </c>
      <c r="D108" s="103">
        <f t="shared" si="3"/>
        <v>0</v>
      </c>
      <c r="E108" s="103">
        <f t="shared" si="4"/>
        <v>0</v>
      </c>
      <c r="H108" s="29">
        <v>85.0</v>
      </c>
      <c r="I108" s="103">
        <f t="shared" si="5"/>
        <v>0</v>
      </c>
      <c r="J108" s="103">
        <f t="shared" si="6"/>
        <v>0</v>
      </c>
      <c r="K108" s="103">
        <f t="shared" si="7"/>
        <v>0</v>
      </c>
      <c r="L108" s="103">
        <f t="shared" si="8"/>
        <v>0</v>
      </c>
    </row>
    <row r="109" ht="14.25" customHeight="1">
      <c r="A109" s="29">
        <v>86.0</v>
      </c>
      <c r="B109" s="103">
        <f t="shared" si="1"/>
        <v>0</v>
      </c>
      <c r="C109" s="103">
        <f t="shared" si="2"/>
        <v>0</v>
      </c>
      <c r="D109" s="103">
        <f t="shared" si="3"/>
        <v>0</v>
      </c>
      <c r="E109" s="103">
        <f t="shared" si="4"/>
        <v>0</v>
      </c>
      <c r="H109" s="29">
        <v>86.0</v>
      </c>
      <c r="I109" s="103">
        <f t="shared" si="5"/>
        <v>0</v>
      </c>
      <c r="J109" s="103">
        <f t="shared" si="6"/>
        <v>0</v>
      </c>
      <c r="K109" s="103">
        <f t="shared" si="7"/>
        <v>0</v>
      </c>
      <c r="L109" s="103">
        <f t="shared" si="8"/>
        <v>0</v>
      </c>
    </row>
    <row r="110" ht="14.25" customHeight="1">
      <c r="A110" s="60">
        <v>87.0</v>
      </c>
      <c r="B110" s="103">
        <f t="shared" si="1"/>
        <v>0</v>
      </c>
      <c r="C110" s="103">
        <f t="shared" si="2"/>
        <v>0</v>
      </c>
      <c r="D110" s="103">
        <f t="shared" si="3"/>
        <v>0</v>
      </c>
      <c r="E110" s="103">
        <f t="shared" si="4"/>
        <v>0</v>
      </c>
      <c r="H110" s="29">
        <v>87.0</v>
      </c>
      <c r="I110" s="103">
        <f t="shared" si="5"/>
        <v>0</v>
      </c>
      <c r="J110" s="103">
        <f t="shared" si="6"/>
        <v>0</v>
      </c>
      <c r="K110" s="103">
        <f t="shared" si="7"/>
        <v>0</v>
      </c>
      <c r="L110" s="103">
        <f t="shared" si="8"/>
        <v>0</v>
      </c>
    </row>
    <row r="111" ht="14.25" customHeight="1">
      <c r="A111" s="60">
        <v>88.0</v>
      </c>
      <c r="B111" s="103">
        <f t="shared" si="1"/>
        <v>0</v>
      </c>
      <c r="C111" s="103">
        <f t="shared" si="2"/>
        <v>0</v>
      </c>
      <c r="D111" s="103">
        <f t="shared" si="3"/>
        <v>0</v>
      </c>
      <c r="E111" s="103">
        <f t="shared" si="4"/>
        <v>0</v>
      </c>
      <c r="H111" s="29">
        <v>88.0</v>
      </c>
      <c r="I111" s="103">
        <f t="shared" si="5"/>
        <v>0</v>
      </c>
      <c r="J111" s="103">
        <f t="shared" si="6"/>
        <v>0</v>
      </c>
      <c r="K111" s="103">
        <f t="shared" si="7"/>
        <v>0</v>
      </c>
      <c r="L111" s="103">
        <f t="shared" si="8"/>
        <v>0</v>
      </c>
    </row>
    <row r="112" ht="14.25" customHeight="1">
      <c r="A112" s="29">
        <v>89.0</v>
      </c>
      <c r="B112" s="103">
        <f t="shared" si="1"/>
        <v>0</v>
      </c>
      <c r="C112" s="103">
        <f t="shared" si="2"/>
        <v>0</v>
      </c>
      <c r="D112" s="103">
        <f t="shared" si="3"/>
        <v>0</v>
      </c>
      <c r="E112" s="103">
        <f t="shared" si="4"/>
        <v>0</v>
      </c>
      <c r="H112" s="29">
        <v>89.0</v>
      </c>
      <c r="I112" s="103">
        <f t="shared" si="5"/>
        <v>0</v>
      </c>
      <c r="J112" s="103">
        <f t="shared" si="6"/>
        <v>0</v>
      </c>
      <c r="K112" s="103">
        <f t="shared" si="7"/>
        <v>0</v>
      </c>
      <c r="L112" s="103">
        <f t="shared" si="8"/>
        <v>0</v>
      </c>
    </row>
    <row r="113" ht="14.25" customHeight="1">
      <c r="A113" s="29">
        <v>90.0</v>
      </c>
      <c r="B113" s="103">
        <f t="shared" si="1"/>
        <v>0</v>
      </c>
      <c r="C113" s="103">
        <f t="shared" si="2"/>
        <v>0</v>
      </c>
      <c r="D113" s="103">
        <f t="shared" si="3"/>
        <v>0</v>
      </c>
      <c r="E113" s="103">
        <f t="shared" si="4"/>
        <v>0</v>
      </c>
      <c r="H113" s="29">
        <v>90.0</v>
      </c>
      <c r="I113" s="103">
        <f t="shared" si="5"/>
        <v>0</v>
      </c>
      <c r="J113" s="103">
        <f t="shared" si="6"/>
        <v>0</v>
      </c>
      <c r="K113" s="103">
        <f t="shared" si="7"/>
        <v>0</v>
      </c>
      <c r="L113" s="103">
        <f t="shared" si="8"/>
        <v>0</v>
      </c>
    </row>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F4"/>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14"/>
    <col customWidth="1" min="2" max="6" width="10.71"/>
    <col customWidth="1" min="7" max="26" width="9.14"/>
  </cols>
  <sheetData>
    <row r="1" ht="15.0" customHeight="1">
      <c r="A1" s="45" t="s">
        <v>226</v>
      </c>
      <c r="B1" s="5"/>
      <c r="C1" s="5"/>
      <c r="D1" s="5"/>
      <c r="E1" s="5"/>
      <c r="F1" s="6"/>
    </row>
    <row r="2" ht="14.25" customHeight="1">
      <c r="A2" s="7"/>
      <c r="F2" s="8"/>
    </row>
    <row r="3" ht="14.25" customHeight="1">
      <c r="A3" s="7"/>
      <c r="F3" s="8"/>
    </row>
    <row r="4" ht="14.25" customHeight="1">
      <c r="A4" s="9"/>
      <c r="B4" s="10"/>
      <c r="C4" s="10"/>
      <c r="D4" s="10"/>
      <c r="E4" s="10"/>
      <c r="F4" s="11"/>
    </row>
    <row r="5" ht="14.25" customHeight="1"/>
    <row r="6" ht="14.25" customHeight="1">
      <c r="A6" s="60" t="s">
        <v>191</v>
      </c>
      <c r="B6" s="53">
        <f>'8.FINANCIACIÓN PROPIA'!B10</f>
        <v>8000</v>
      </c>
    </row>
    <row r="7" ht="14.25" customHeight="1">
      <c r="A7" s="60" t="s">
        <v>201</v>
      </c>
      <c r="B7" s="53">
        <f>'9.FINANCIACIÓN AJENA'!B8</f>
        <v>5000</v>
      </c>
    </row>
    <row r="8" ht="14.25" customHeight="1">
      <c r="A8" s="60" t="s">
        <v>203</v>
      </c>
      <c r="B8" s="53" t="str">
        <f>'9.FINANCIACIÓN AJENA'!B9</f>
        <v/>
      </c>
    </row>
    <row r="9" ht="14.25" customHeight="1">
      <c r="A9" s="60" t="s">
        <v>206</v>
      </c>
      <c r="B9" s="53">
        <f>'9.FINANCIACIÓN AJENA'!B13</f>
        <v>8000</v>
      </c>
    </row>
    <row r="10" ht="14.25" customHeight="1">
      <c r="A10" s="60" t="s">
        <v>207</v>
      </c>
      <c r="B10" s="53" t="str">
        <f>'9.FINANCIACIÓN AJENA'!J13</f>
        <v/>
      </c>
    </row>
    <row r="11" ht="14.25" customHeight="1"/>
    <row r="12" ht="14.25" customHeight="1">
      <c r="A12" s="60" t="s">
        <v>227</v>
      </c>
      <c r="B12" s="53">
        <f>SUM(B6:B10)</f>
        <v>21000</v>
      </c>
    </row>
    <row r="13" ht="14.25" customHeight="1">
      <c r="A13" s="60" t="s">
        <v>228</v>
      </c>
      <c r="B13" s="53">
        <f>'6.INVERSIONES + GASTOS'!B16</f>
        <v>6255.032991</v>
      </c>
    </row>
    <row r="14" ht="14.25" customHeight="1"/>
    <row r="15" ht="14.25" customHeight="1">
      <c r="A15" s="60" t="s">
        <v>229</v>
      </c>
      <c r="B15" s="53">
        <f>B12-B13</f>
        <v>14744.96701</v>
      </c>
    </row>
    <row r="16" ht="14.25" customHeight="1"/>
    <row r="17" ht="14.25" customHeight="1">
      <c r="A17" s="31" t="s">
        <v>230</v>
      </c>
    </row>
    <row r="18" ht="14.25" customHeight="1">
      <c r="A18" s="40" t="s">
        <v>231</v>
      </c>
      <c r="B18" s="65">
        <v>0.2</v>
      </c>
      <c r="D18" s="29" t="s">
        <v>232</v>
      </c>
    </row>
    <row r="19" ht="14.25" customHeight="1">
      <c r="A19" s="40" t="s">
        <v>233</v>
      </c>
      <c r="B19" s="65">
        <v>0.8</v>
      </c>
    </row>
    <row r="20" ht="14.25" customHeight="1"/>
    <row r="21" ht="14.25" customHeight="1">
      <c r="A21" s="60" t="s">
        <v>234</v>
      </c>
      <c r="B21" s="53">
        <f>B15*B18</f>
        <v>2948.993402</v>
      </c>
      <c r="C21" s="29" t="s">
        <v>158</v>
      </c>
    </row>
    <row r="22" ht="14.25" customHeight="1">
      <c r="A22" s="60" t="s">
        <v>235</v>
      </c>
      <c r="B22" s="53">
        <f>B15*B19</f>
        <v>11795.97361</v>
      </c>
      <c r="C22" s="29" t="s">
        <v>158</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16" width="10.71"/>
    <col customWidth="1" min="17" max="26" width="9.14"/>
  </cols>
  <sheetData>
    <row r="1" ht="15.0" customHeight="1">
      <c r="A1" s="104" t="s">
        <v>236</v>
      </c>
      <c r="B1" s="5"/>
      <c r="C1" s="5"/>
      <c r="D1" s="5"/>
      <c r="E1" s="5"/>
      <c r="F1" s="5"/>
      <c r="G1" s="5"/>
      <c r="H1" s="5"/>
      <c r="I1" s="6"/>
    </row>
    <row r="2" ht="14.25" customHeight="1">
      <c r="A2" s="7"/>
      <c r="I2" s="8"/>
    </row>
    <row r="3" ht="14.25" customHeight="1">
      <c r="A3" s="7"/>
      <c r="I3" s="8"/>
    </row>
    <row r="4" ht="14.25" customHeight="1">
      <c r="A4" s="9"/>
      <c r="B4" s="10"/>
      <c r="C4" s="10"/>
      <c r="D4" s="10"/>
      <c r="E4" s="10"/>
      <c r="F4" s="10"/>
      <c r="G4" s="10"/>
      <c r="H4" s="10"/>
      <c r="I4" s="11"/>
    </row>
    <row r="5" ht="14.25" customHeight="1"/>
    <row r="6" ht="14.25" customHeight="1"/>
    <row r="7" ht="14.25" customHeight="1">
      <c r="A7" s="38" t="s">
        <v>7</v>
      </c>
      <c r="B7" s="16"/>
      <c r="C7" s="16"/>
      <c r="D7" s="16"/>
      <c r="E7" s="16"/>
      <c r="F7" s="16"/>
      <c r="G7" s="16"/>
      <c r="H7" s="16"/>
      <c r="I7" s="16"/>
      <c r="J7" s="16"/>
      <c r="K7" s="16"/>
      <c r="L7" s="16"/>
      <c r="M7" s="16"/>
      <c r="N7" s="16"/>
      <c r="O7" s="16"/>
      <c r="P7" s="17"/>
    </row>
    <row r="8" ht="14.25" customHeight="1">
      <c r="A8" s="18" t="s">
        <v>9</v>
      </c>
      <c r="B8" s="19" t="s">
        <v>10</v>
      </c>
      <c r="C8" s="40"/>
      <c r="D8" s="19" t="s">
        <v>11</v>
      </c>
      <c r="E8" s="19" t="s">
        <v>12</v>
      </c>
      <c r="F8" s="19" t="s">
        <v>13</v>
      </c>
      <c r="G8" s="19" t="s">
        <v>14</v>
      </c>
      <c r="H8" s="19" t="s">
        <v>15</v>
      </c>
      <c r="I8" s="19" t="s">
        <v>16</v>
      </c>
      <c r="J8" s="19" t="s">
        <v>17</v>
      </c>
      <c r="K8" s="19" t="s">
        <v>18</v>
      </c>
      <c r="L8" s="19" t="s">
        <v>19</v>
      </c>
      <c r="M8" s="19" t="s">
        <v>20</v>
      </c>
      <c r="N8" s="19" t="s">
        <v>21</v>
      </c>
      <c r="O8" s="19" t="s">
        <v>22</v>
      </c>
      <c r="P8" s="20" t="s">
        <v>23</v>
      </c>
    </row>
    <row r="9" ht="14.25" customHeight="1">
      <c r="A9" s="21" t="str">
        <f>'4.PRECIOS'!A23</f>
        <v>PRODUCTO 1</v>
      </c>
      <c r="B9" s="29" t="str">
        <f>'4.PRECIOS'!B15</f>
        <v>Patrocinio</v>
      </c>
      <c r="D9" s="77">
        <f>'1.ESTIMACIÓN VENTAS'!C9</f>
        <v>5</v>
      </c>
      <c r="E9" s="77">
        <f>'1.ESTIMACIÓN VENTAS'!D9</f>
        <v>5</v>
      </c>
      <c r="F9" s="77">
        <f>'1.ESTIMACIÓN VENTAS'!E9</f>
        <v>4</v>
      </c>
      <c r="G9" s="77">
        <f>'1.ESTIMACIÓN VENTAS'!F9</f>
        <v>4</v>
      </c>
      <c r="H9" s="77">
        <f>'1.ESTIMACIÓN VENTAS'!G9</f>
        <v>6</v>
      </c>
      <c r="I9" s="77">
        <f>'1.ESTIMACIÓN VENTAS'!H9</f>
        <v>6</v>
      </c>
      <c r="J9" s="77">
        <f>'1.ESTIMACIÓN VENTAS'!I9</f>
        <v>10</v>
      </c>
      <c r="K9" s="77">
        <f>'1.ESTIMACIÓN VENTAS'!J9</f>
        <v>10</v>
      </c>
      <c r="L9" s="77">
        <f>'1.ESTIMACIÓN VENTAS'!K9</f>
        <v>10</v>
      </c>
      <c r="M9" s="77">
        <f>'1.ESTIMACIÓN VENTAS'!L9</f>
        <v>10</v>
      </c>
      <c r="N9" s="77">
        <f>'1.ESTIMACIÓN VENTAS'!M9</f>
        <v>14</v>
      </c>
      <c r="O9" s="77">
        <f>'1.ESTIMACIÓN VENTAS'!N9</f>
        <v>16</v>
      </c>
      <c r="P9" s="20">
        <f t="shared" ref="P9:P13" si="1">SUM(D9:O9)</f>
        <v>100</v>
      </c>
    </row>
    <row r="10" ht="14.25" customHeight="1">
      <c r="A10" s="21" t="str">
        <f>'4.PRECIOS'!A24</f>
        <v>PRODUCTO 2</v>
      </c>
      <c r="B10" s="29" t="str">
        <f>'4.PRECIOS'!B16</f>
        <v/>
      </c>
      <c r="D10" s="77" t="str">
        <f>'1.ESTIMACIÓN VENTAS'!C10</f>
        <v/>
      </c>
      <c r="E10" s="77" t="str">
        <f>'1.ESTIMACIÓN VENTAS'!D10</f>
        <v/>
      </c>
      <c r="F10" s="77" t="str">
        <f>'1.ESTIMACIÓN VENTAS'!E10</f>
        <v/>
      </c>
      <c r="G10" s="77" t="str">
        <f>'1.ESTIMACIÓN VENTAS'!F10</f>
        <v/>
      </c>
      <c r="H10" s="77" t="str">
        <f>'1.ESTIMACIÓN VENTAS'!G10</f>
        <v/>
      </c>
      <c r="I10" s="77" t="str">
        <f>'1.ESTIMACIÓN VENTAS'!H10</f>
        <v/>
      </c>
      <c r="J10" s="77" t="str">
        <f>'1.ESTIMACIÓN VENTAS'!I10</f>
        <v/>
      </c>
      <c r="K10" s="77" t="str">
        <f>'1.ESTIMACIÓN VENTAS'!J10</f>
        <v/>
      </c>
      <c r="L10" s="77" t="str">
        <f>'1.ESTIMACIÓN VENTAS'!K10</f>
        <v/>
      </c>
      <c r="M10" s="77" t="str">
        <f>'1.ESTIMACIÓN VENTAS'!L10</f>
        <v/>
      </c>
      <c r="N10" s="77" t="str">
        <f>'1.ESTIMACIÓN VENTAS'!M10</f>
        <v/>
      </c>
      <c r="O10" s="77" t="str">
        <f>'1.ESTIMACIÓN VENTAS'!N10</f>
        <v/>
      </c>
      <c r="P10" s="20">
        <f t="shared" si="1"/>
        <v>0</v>
      </c>
    </row>
    <row r="11" ht="14.25" customHeight="1">
      <c r="A11" s="21" t="str">
        <f>'4.PRECIOS'!A25</f>
        <v>PRODUCTO 3</v>
      </c>
      <c r="B11" s="29" t="str">
        <f>'4.PRECIOS'!B17</f>
        <v/>
      </c>
      <c r="D11" s="77" t="str">
        <f>'1.ESTIMACIÓN VENTAS'!C11</f>
        <v/>
      </c>
      <c r="E11" s="77" t="str">
        <f>'1.ESTIMACIÓN VENTAS'!D11</f>
        <v/>
      </c>
      <c r="F11" s="77" t="str">
        <f>'1.ESTIMACIÓN VENTAS'!E11</f>
        <v/>
      </c>
      <c r="G11" s="77" t="str">
        <f>'1.ESTIMACIÓN VENTAS'!F11</f>
        <v/>
      </c>
      <c r="H11" s="77" t="str">
        <f>'1.ESTIMACIÓN VENTAS'!G11</f>
        <v/>
      </c>
      <c r="I11" s="77" t="str">
        <f>'1.ESTIMACIÓN VENTAS'!H11</f>
        <v/>
      </c>
      <c r="J11" s="77" t="str">
        <f>'1.ESTIMACIÓN VENTAS'!I11</f>
        <v/>
      </c>
      <c r="K11" s="77" t="str">
        <f>'1.ESTIMACIÓN VENTAS'!J11</f>
        <v/>
      </c>
      <c r="L11" s="77" t="str">
        <f>'1.ESTIMACIÓN VENTAS'!K11</f>
        <v/>
      </c>
      <c r="M11" s="77" t="str">
        <f>'1.ESTIMACIÓN VENTAS'!L11</f>
        <v/>
      </c>
      <c r="N11" s="77" t="str">
        <f>'1.ESTIMACIÓN VENTAS'!M11</f>
        <v/>
      </c>
      <c r="O11" s="77" t="str">
        <f>'1.ESTIMACIÓN VENTAS'!N11</f>
        <v/>
      </c>
      <c r="P11" s="20">
        <f t="shared" si="1"/>
        <v>0</v>
      </c>
    </row>
    <row r="12" ht="14.25" customHeight="1">
      <c r="A12" s="21" t="str">
        <f>'4.PRECIOS'!A26</f>
        <v>PRODUCTO 4</v>
      </c>
      <c r="B12" s="29" t="str">
        <f>'4.PRECIOS'!B18</f>
        <v/>
      </c>
      <c r="D12" s="77" t="str">
        <f>'1.ESTIMACIÓN VENTAS'!C12</f>
        <v/>
      </c>
      <c r="E12" s="77" t="str">
        <f>'1.ESTIMACIÓN VENTAS'!D12</f>
        <v/>
      </c>
      <c r="F12" s="77" t="str">
        <f>'1.ESTIMACIÓN VENTAS'!E12</f>
        <v/>
      </c>
      <c r="G12" s="77" t="str">
        <f>'1.ESTIMACIÓN VENTAS'!F12</f>
        <v/>
      </c>
      <c r="H12" s="77" t="str">
        <f>'1.ESTIMACIÓN VENTAS'!G12</f>
        <v/>
      </c>
      <c r="I12" s="77" t="str">
        <f>'1.ESTIMACIÓN VENTAS'!H12</f>
        <v/>
      </c>
      <c r="J12" s="77" t="str">
        <f>'1.ESTIMACIÓN VENTAS'!I12</f>
        <v/>
      </c>
      <c r="K12" s="77" t="str">
        <f>'1.ESTIMACIÓN VENTAS'!J12</f>
        <v/>
      </c>
      <c r="L12" s="77" t="str">
        <f>'1.ESTIMACIÓN VENTAS'!K12</f>
        <v/>
      </c>
      <c r="M12" s="77" t="str">
        <f>'1.ESTIMACIÓN VENTAS'!L12</f>
        <v/>
      </c>
      <c r="N12" s="77" t="str">
        <f>'1.ESTIMACIÓN VENTAS'!M12</f>
        <v/>
      </c>
      <c r="O12" s="77" t="str">
        <f>'1.ESTIMACIÓN VENTAS'!N12</f>
        <v/>
      </c>
      <c r="P12" s="20">
        <f t="shared" si="1"/>
        <v>0</v>
      </c>
    </row>
    <row r="13" ht="14.25" customHeight="1">
      <c r="A13" s="26" t="str">
        <f>'4.PRECIOS'!A27</f>
        <v>PRODUCTO 5</v>
      </c>
      <c r="B13" s="43" t="str">
        <f>'4.PRECIOS'!B19</f>
        <v/>
      </c>
      <c r="C13" s="43"/>
      <c r="D13" s="105" t="str">
        <f>'1.ESTIMACIÓN VENTAS'!C13</f>
        <v/>
      </c>
      <c r="E13" s="105" t="str">
        <f>'1.ESTIMACIÓN VENTAS'!D13</f>
        <v/>
      </c>
      <c r="F13" s="105" t="str">
        <f>'1.ESTIMACIÓN VENTAS'!E13</f>
        <v/>
      </c>
      <c r="G13" s="105" t="str">
        <f>'1.ESTIMACIÓN VENTAS'!F13</f>
        <v/>
      </c>
      <c r="H13" s="105" t="str">
        <f>'1.ESTIMACIÓN VENTAS'!G13</f>
        <v/>
      </c>
      <c r="I13" s="105" t="str">
        <f>'1.ESTIMACIÓN VENTAS'!H13</f>
        <v/>
      </c>
      <c r="J13" s="105" t="str">
        <f>'1.ESTIMACIÓN VENTAS'!I13</f>
        <v/>
      </c>
      <c r="K13" s="105" t="str">
        <f>'1.ESTIMACIÓN VENTAS'!J13</f>
        <v/>
      </c>
      <c r="L13" s="105" t="str">
        <f>'1.ESTIMACIÓN VENTAS'!K13</f>
        <v/>
      </c>
      <c r="M13" s="105" t="str">
        <f>'1.ESTIMACIÓN VENTAS'!L13</f>
        <v/>
      </c>
      <c r="N13" s="105" t="str">
        <f>'1.ESTIMACIÓN VENTAS'!M13</f>
        <v/>
      </c>
      <c r="O13" s="105" t="str">
        <f>'1.ESTIMACIÓN VENTAS'!N13</f>
        <v/>
      </c>
      <c r="P13" s="28">
        <f t="shared" si="1"/>
        <v>0</v>
      </c>
    </row>
    <row r="14" ht="14.25" customHeight="1"/>
    <row r="15" ht="14.25" customHeight="1"/>
    <row r="16" ht="14.25" customHeight="1">
      <c r="A16" s="38" t="s">
        <v>237</v>
      </c>
      <c r="B16" s="16"/>
      <c r="C16" s="16"/>
      <c r="D16" s="16"/>
      <c r="E16" s="16"/>
      <c r="F16" s="16"/>
      <c r="G16" s="16"/>
      <c r="H16" s="16"/>
      <c r="I16" s="16"/>
      <c r="J16" s="16"/>
      <c r="K16" s="16"/>
      <c r="L16" s="16"/>
      <c r="M16" s="16"/>
      <c r="N16" s="16"/>
      <c r="O16" s="16"/>
      <c r="P16" s="17"/>
    </row>
    <row r="17" ht="14.25" customHeight="1">
      <c r="A17" s="18" t="s">
        <v>9</v>
      </c>
      <c r="B17" s="19" t="s">
        <v>10</v>
      </c>
      <c r="C17" s="40" t="s">
        <v>238</v>
      </c>
      <c r="D17" s="19" t="s">
        <v>11</v>
      </c>
      <c r="E17" s="19" t="s">
        <v>12</v>
      </c>
      <c r="F17" s="19" t="s">
        <v>13</v>
      </c>
      <c r="G17" s="19" t="s">
        <v>14</v>
      </c>
      <c r="H17" s="19" t="s">
        <v>15</v>
      </c>
      <c r="I17" s="19" t="s">
        <v>16</v>
      </c>
      <c r="J17" s="19" t="s">
        <v>17</v>
      </c>
      <c r="K17" s="19" t="s">
        <v>18</v>
      </c>
      <c r="L17" s="19" t="s">
        <v>19</v>
      </c>
      <c r="M17" s="19" t="s">
        <v>20</v>
      </c>
      <c r="N17" s="19" t="s">
        <v>21</v>
      </c>
      <c r="O17" s="19" t="s">
        <v>22</v>
      </c>
      <c r="P17" s="20" t="s">
        <v>23</v>
      </c>
    </row>
    <row r="18" ht="14.25" customHeight="1">
      <c r="A18" s="21" t="str">
        <f>'4.PRECIOS'!A23</f>
        <v>PRODUCTO 1</v>
      </c>
      <c r="B18" s="29" t="str">
        <f>'4.PRECIOS'!B15</f>
        <v>Patrocinio</v>
      </c>
      <c r="C18" s="63">
        <f>'4.PRECIOS'!G39</f>
        <v>200</v>
      </c>
      <c r="D18" s="53">
        <f t="shared" ref="D18:O18" si="2">D9*$C$18</f>
        <v>1000</v>
      </c>
      <c r="E18" s="53">
        <f t="shared" si="2"/>
        <v>1000</v>
      </c>
      <c r="F18" s="53">
        <f t="shared" si="2"/>
        <v>800</v>
      </c>
      <c r="G18" s="53">
        <f t="shared" si="2"/>
        <v>800</v>
      </c>
      <c r="H18" s="53">
        <f t="shared" si="2"/>
        <v>1200</v>
      </c>
      <c r="I18" s="53">
        <f t="shared" si="2"/>
        <v>1200</v>
      </c>
      <c r="J18" s="53">
        <f t="shared" si="2"/>
        <v>2000</v>
      </c>
      <c r="K18" s="53">
        <f t="shared" si="2"/>
        <v>2000</v>
      </c>
      <c r="L18" s="53">
        <f t="shared" si="2"/>
        <v>2000</v>
      </c>
      <c r="M18" s="53">
        <f t="shared" si="2"/>
        <v>2000</v>
      </c>
      <c r="N18" s="53">
        <f t="shared" si="2"/>
        <v>2800</v>
      </c>
      <c r="O18" s="53">
        <f t="shared" si="2"/>
        <v>3200</v>
      </c>
      <c r="P18" s="85">
        <f t="shared" ref="P18:P23" si="4">SUM(D18:O18)</f>
        <v>20000</v>
      </c>
    </row>
    <row r="19" ht="14.25" customHeight="1">
      <c r="A19" s="21" t="str">
        <f>'4.PRECIOS'!A24</f>
        <v>PRODUCTO 2</v>
      </c>
      <c r="B19" s="29" t="str">
        <f>'4.PRECIOS'!B16</f>
        <v/>
      </c>
      <c r="C19" s="63" t="str">
        <f>'4.PRECIOS'!G40</f>
        <v/>
      </c>
      <c r="D19" s="53">
        <f t="shared" ref="D19:O19" si="3">D10*$C$19</f>
        <v>0</v>
      </c>
      <c r="E19" s="53">
        <f t="shared" si="3"/>
        <v>0</v>
      </c>
      <c r="F19" s="53">
        <f t="shared" si="3"/>
        <v>0</v>
      </c>
      <c r="G19" s="53">
        <f t="shared" si="3"/>
        <v>0</v>
      </c>
      <c r="H19" s="53">
        <f t="shared" si="3"/>
        <v>0</v>
      </c>
      <c r="I19" s="53">
        <f t="shared" si="3"/>
        <v>0</v>
      </c>
      <c r="J19" s="53">
        <f t="shared" si="3"/>
        <v>0</v>
      </c>
      <c r="K19" s="53">
        <f t="shared" si="3"/>
        <v>0</v>
      </c>
      <c r="L19" s="53">
        <f t="shared" si="3"/>
        <v>0</v>
      </c>
      <c r="M19" s="53">
        <f t="shared" si="3"/>
        <v>0</v>
      </c>
      <c r="N19" s="53">
        <f t="shared" si="3"/>
        <v>0</v>
      </c>
      <c r="O19" s="53">
        <f t="shared" si="3"/>
        <v>0</v>
      </c>
      <c r="P19" s="85">
        <f t="shared" si="4"/>
        <v>0</v>
      </c>
    </row>
    <row r="20" ht="14.25" customHeight="1">
      <c r="A20" s="21" t="str">
        <f>'4.PRECIOS'!A25</f>
        <v>PRODUCTO 3</v>
      </c>
      <c r="B20" s="29" t="str">
        <f>'4.PRECIOS'!B17</f>
        <v/>
      </c>
      <c r="C20" s="63" t="str">
        <f>'4.PRECIOS'!G41</f>
        <v/>
      </c>
      <c r="D20" s="53">
        <f t="shared" ref="D20:O20" si="5">D11*$C$20</f>
        <v>0</v>
      </c>
      <c r="E20" s="53">
        <f t="shared" si="5"/>
        <v>0</v>
      </c>
      <c r="F20" s="53">
        <f t="shared" si="5"/>
        <v>0</v>
      </c>
      <c r="G20" s="53">
        <f t="shared" si="5"/>
        <v>0</v>
      </c>
      <c r="H20" s="53">
        <f t="shared" si="5"/>
        <v>0</v>
      </c>
      <c r="I20" s="53">
        <f t="shared" si="5"/>
        <v>0</v>
      </c>
      <c r="J20" s="53">
        <f t="shared" si="5"/>
        <v>0</v>
      </c>
      <c r="K20" s="53">
        <f t="shared" si="5"/>
        <v>0</v>
      </c>
      <c r="L20" s="53">
        <f t="shared" si="5"/>
        <v>0</v>
      </c>
      <c r="M20" s="53">
        <f t="shared" si="5"/>
        <v>0</v>
      </c>
      <c r="N20" s="53">
        <f t="shared" si="5"/>
        <v>0</v>
      </c>
      <c r="O20" s="53">
        <f t="shared" si="5"/>
        <v>0</v>
      </c>
      <c r="P20" s="85">
        <f t="shared" si="4"/>
        <v>0</v>
      </c>
    </row>
    <row r="21" ht="14.25" customHeight="1">
      <c r="A21" s="21" t="str">
        <f>'4.PRECIOS'!A26</f>
        <v>PRODUCTO 4</v>
      </c>
      <c r="B21" s="29" t="str">
        <f>'4.PRECIOS'!B18</f>
        <v/>
      </c>
      <c r="C21" s="63" t="str">
        <f>'4.PRECIOS'!G42</f>
        <v/>
      </c>
      <c r="D21" s="53">
        <f t="shared" ref="D21:O21" si="6">D12*$C$21</f>
        <v>0</v>
      </c>
      <c r="E21" s="53">
        <f t="shared" si="6"/>
        <v>0</v>
      </c>
      <c r="F21" s="53">
        <f t="shared" si="6"/>
        <v>0</v>
      </c>
      <c r="G21" s="53">
        <f t="shared" si="6"/>
        <v>0</v>
      </c>
      <c r="H21" s="53">
        <f t="shared" si="6"/>
        <v>0</v>
      </c>
      <c r="I21" s="53">
        <f t="shared" si="6"/>
        <v>0</v>
      </c>
      <c r="J21" s="53">
        <f t="shared" si="6"/>
        <v>0</v>
      </c>
      <c r="K21" s="53">
        <f t="shared" si="6"/>
        <v>0</v>
      </c>
      <c r="L21" s="53">
        <f t="shared" si="6"/>
        <v>0</v>
      </c>
      <c r="M21" s="53">
        <f t="shared" si="6"/>
        <v>0</v>
      </c>
      <c r="N21" s="53">
        <f t="shared" si="6"/>
        <v>0</v>
      </c>
      <c r="O21" s="53">
        <f t="shared" si="6"/>
        <v>0</v>
      </c>
      <c r="P21" s="85">
        <f t="shared" si="4"/>
        <v>0</v>
      </c>
    </row>
    <row r="22" ht="14.25" customHeight="1">
      <c r="A22" s="21" t="str">
        <f>'4.PRECIOS'!A27</f>
        <v>PRODUCTO 5</v>
      </c>
      <c r="B22" s="29" t="str">
        <f>'4.PRECIOS'!B19</f>
        <v/>
      </c>
      <c r="C22" s="63" t="str">
        <f>'4.PRECIOS'!G43</f>
        <v/>
      </c>
      <c r="D22" s="53">
        <f t="shared" ref="D22:O22" si="7">D13*$C$22</f>
        <v>0</v>
      </c>
      <c r="E22" s="53">
        <f t="shared" si="7"/>
        <v>0</v>
      </c>
      <c r="F22" s="53">
        <f t="shared" si="7"/>
        <v>0</v>
      </c>
      <c r="G22" s="53">
        <f t="shared" si="7"/>
        <v>0</v>
      </c>
      <c r="H22" s="53">
        <f t="shared" si="7"/>
        <v>0</v>
      </c>
      <c r="I22" s="53">
        <f t="shared" si="7"/>
        <v>0</v>
      </c>
      <c r="J22" s="53">
        <f t="shared" si="7"/>
        <v>0</v>
      </c>
      <c r="K22" s="53">
        <f t="shared" si="7"/>
        <v>0</v>
      </c>
      <c r="L22" s="53">
        <f t="shared" si="7"/>
        <v>0</v>
      </c>
      <c r="M22" s="53">
        <f t="shared" si="7"/>
        <v>0</v>
      </c>
      <c r="N22" s="53">
        <f t="shared" si="7"/>
        <v>0</v>
      </c>
      <c r="O22" s="53">
        <f t="shared" si="7"/>
        <v>0</v>
      </c>
      <c r="P22" s="85">
        <f t="shared" si="4"/>
        <v>0</v>
      </c>
    </row>
    <row r="23" ht="14.25" customHeight="1">
      <c r="A23" s="106"/>
      <c r="B23" s="107" t="s">
        <v>23</v>
      </c>
      <c r="C23" s="108"/>
      <c r="D23" s="109">
        <f t="shared" ref="D23:O23" si="8">SUM(D18:D22)</f>
        <v>1000</v>
      </c>
      <c r="E23" s="109">
        <f t="shared" si="8"/>
        <v>1000</v>
      </c>
      <c r="F23" s="109">
        <f t="shared" si="8"/>
        <v>800</v>
      </c>
      <c r="G23" s="109">
        <f t="shared" si="8"/>
        <v>800</v>
      </c>
      <c r="H23" s="109">
        <f t="shared" si="8"/>
        <v>1200</v>
      </c>
      <c r="I23" s="109">
        <f t="shared" si="8"/>
        <v>1200</v>
      </c>
      <c r="J23" s="109">
        <f t="shared" si="8"/>
        <v>2000</v>
      </c>
      <c r="K23" s="109">
        <f t="shared" si="8"/>
        <v>2000</v>
      </c>
      <c r="L23" s="109">
        <f t="shared" si="8"/>
        <v>2000</v>
      </c>
      <c r="M23" s="109">
        <f t="shared" si="8"/>
        <v>2000</v>
      </c>
      <c r="N23" s="109">
        <f t="shared" si="8"/>
        <v>2800</v>
      </c>
      <c r="O23" s="109">
        <f t="shared" si="8"/>
        <v>3200</v>
      </c>
      <c r="P23" s="62">
        <f t="shared" si="4"/>
        <v>20000</v>
      </c>
    </row>
    <row r="24" ht="14.25" customHeight="1">
      <c r="B24" s="110"/>
      <c r="C24" s="110"/>
      <c r="D24" s="60"/>
      <c r="E24" s="60"/>
      <c r="F24" s="60"/>
      <c r="G24" s="60"/>
      <c r="H24" s="60"/>
      <c r="I24" s="60"/>
      <c r="J24" s="60"/>
      <c r="K24" s="60"/>
      <c r="L24" s="60"/>
      <c r="M24" s="60"/>
      <c r="N24" s="60"/>
      <c r="O24" s="60"/>
      <c r="P24" s="60"/>
    </row>
    <row r="25" ht="14.25" customHeight="1"/>
    <row r="26" ht="14.25" customHeight="1">
      <c r="A26" s="38" t="s">
        <v>239</v>
      </c>
      <c r="B26" s="16"/>
      <c r="C26" s="16"/>
      <c r="D26" s="16" t="s">
        <v>240</v>
      </c>
      <c r="E26" s="16"/>
      <c r="F26" s="16"/>
      <c r="G26" s="16"/>
      <c r="H26" s="16"/>
      <c r="I26" s="16"/>
      <c r="J26" s="16"/>
      <c r="K26" s="16"/>
      <c r="L26" s="16"/>
      <c r="M26" s="16"/>
      <c r="N26" s="16"/>
      <c r="O26" s="16"/>
      <c r="P26" s="17"/>
    </row>
    <row r="27" ht="14.25" customHeight="1">
      <c r="A27" s="39"/>
      <c r="D27" s="19" t="s">
        <v>11</v>
      </c>
      <c r="E27" s="19" t="s">
        <v>12</v>
      </c>
      <c r="F27" s="19" t="s">
        <v>13</v>
      </c>
      <c r="G27" s="19" t="s">
        <v>14</v>
      </c>
      <c r="H27" s="19" t="s">
        <v>15</v>
      </c>
      <c r="I27" s="19" t="s">
        <v>16</v>
      </c>
      <c r="J27" s="19" t="s">
        <v>17</v>
      </c>
      <c r="K27" s="19" t="s">
        <v>18</v>
      </c>
      <c r="L27" s="19" t="s">
        <v>19</v>
      </c>
      <c r="M27" s="19" t="s">
        <v>20</v>
      </c>
      <c r="N27" s="19" t="s">
        <v>21</v>
      </c>
      <c r="O27" s="19" t="s">
        <v>22</v>
      </c>
      <c r="P27" s="20" t="s">
        <v>23</v>
      </c>
    </row>
    <row r="28" ht="14.25" customHeight="1">
      <c r="A28" s="18" t="s">
        <v>241</v>
      </c>
      <c r="D28" s="111"/>
      <c r="E28" s="111"/>
      <c r="F28" s="111"/>
      <c r="G28" s="111"/>
      <c r="H28" s="111"/>
      <c r="I28" s="111"/>
      <c r="J28" s="111"/>
      <c r="K28" s="111"/>
      <c r="L28" s="111"/>
      <c r="M28" s="111"/>
      <c r="N28" s="111"/>
      <c r="O28" s="111"/>
      <c r="P28" s="112">
        <f t="shared" ref="P28:P29" si="9">SUM(D28:O28)</f>
        <v>0</v>
      </c>
    </row>
    <row r="29" ht="14.25" customHeight="1">
      <c r="A29" s="18" t="s">
        <v>242</v>
      </c>
      <c r="D29" s="111"/>
      <c r="E29" s="111"/>
      <c r="F29" s="111"/>
      <c r="G29" s="111"/>
      <c r="H29" s="111"/>
      <c r="I29" s="111"/>
      <c r="J29" s="111"/>
      <c r="K29" s="111"/>
      <c r="L29" s="111"/>
      <c r="M29" s="111"/>
      <c r="N29" s="111"/>
      <c r="O29" s="111"/>
      <c r="P29" s="112">
        <f t="shared" si="9"/>
        <v>0</v>
      </c>
    </row>
    <row r="30" ht="14.25" customHeight="1">
      <c r="A30" s="106"/>
      <c r="B30" s="107" t="s">
        <v>23</v>
      </c>
      <c r="C30" s="108"/>
      <c r="D30" s="109">
        <f t="shared" ref="D30:P30" si="10">SUM(D28:D29)</f>
        <v>0</v>
      </c>
      <c r="E30" s="109">
        <f t="shared" si="10"/>
        <v>0</v>
      </c>
      <c r="F30" s="109">
        <f t="shared" si="10"/>
        <v>0</v>
      </c>
      <c r="G30" s="109">
        <f t="shared" si="10"/>
        <v>0</v>
      </c>
      <c r="H30" s="109">
        <f t="shared" si="10"/>
        <v>0</v>
      </c>
      <c r="I30" s="109">
        <f t="shared" si="10"/>
        <v>0</v>
      </c>
      <c r="J30" s="109">
        <f t="shared" si="10"/>
        <v>0</v>
      </c>
      <c r="K30" s="109">
        <f t="shared" si="10"/>
        <v>0</v>
      </c>
      <c r="L30" s="109">
        <f t="shared" si="10"/>
        <v>0</v>
      </c>
      <c r="M30" s="109">
        <f t="shared" si="10"/>
        <v>0</v>
      </c>
      <c r="N30" s="109">
        <f t="shared" si="10"/>
        <v>0</v>
      </c>
      <c r="O30" s="109">
        <f t="shared" si="10"/>
        <v>0</v>
      </c>
      <c r="P30" s="62">
        <f t="shared" si="10"/>
        <v>0</v>
      </c>
    </row>
    <row r="31" ht="14.25" customHeight="1">
      <c r="B31" s="110"/>
      <c r="C31" s="110"/>
      <c r="D31" s="60"/>
      <c r="E31" s="60"/>
      <c r="F31" s="60"/>
      <c r="G31" s="60"/>
      <c r="H31" s="60"/>
      <c r="I31" s="60"/>
      <c r="J31" s="60"/>
      <c r="K31" s="60"/>
      <c r="L31" s="60"/>
      <c r="M31" s="60"/>
      <c r="N31" s="60"/>
      <c r="O31" s="60"/>
      <c r="P31" s="60"/>
    </row>
    <row r="32" ht="14.25" customHeight="1"/>
    <row r="33" ht="14.25" customHeight="1">
      <c r="A33" s="31" t="s">
        <v>243</v>
      </c>
    </row>
    <row r="34" ht="14.25" customHeight="1">
      <c r="A34" s="60" t="s">
        <v>244</v>
      </c>
      <c r="K34" s="60"/>
    </row>
    <row r="35" ht="14.25" customHeight="1">
      <c r="A35" s="40" t="s">
        <v>245</v>
      </c>
      <c r="B35" s="113">
        <v>1.0</v>
      </c>
      <c r="D35" s="29" t="s">
        <v>246</v>
      </c>
    </row>
    <row r="36" ht="14.25" customHeight="1">
      <c r="A36" s="40" t="s">
        <v>247</v>
      </c>
      <c r="B36" s="113"/>
      <c r="F36" s="40" t="s">
        <v>248</v>
      </c>
    </row>
    <row r="37" ht="14.25" customHeight="1">
      <c r="A37" s="40" t="s">
        <v>249</v>
      </c>
      <c r="B37" s="113"/>
      <c r="F37" s="40" t="s">
        <v>250</v>
      </c>
      <c r="G37" s="114"/>
      <c r="I37" s="29" t="s">
        <v>251</v>
      </c>
    </row>
    <row r="38" ht="14.25" customHeight="1"/>
    <row r="39" ht="14.25" customHeight="1"/>
    <row r="40" ht="14.25" customHeight="1">
      <c r="A40" s="31" t="s">
        <v>252</v>
      </c>
    </row>
    <row r="41" ht="14.25" customHeight="1">
      <c r="D41" s="19" t="s">
        <v>11</v>
      </c>
      <c r="E41" s="19" t="s">
        <v>12</v>
      </c>
      <c r="F41" s="19" t="s">
        <v>13</v>
      </c>
      <c r="G41" s="19" t="s">
        <v>14</v>
      </c>
      <c r="H41" s="19" t="s">
        <v>15</v>
      </c>
      <c r="I41" s="19" t="s">
        <v>16</v>
      </c>
      <c r="J41" s="19" t="s">
        <v>17</v>
      </c>
      <c r="K41" s="19" t="s">
        <v>18</v>
      </c>
      <c r="L41" s="19" t="s">
        <v>19</v>
      </c>
      <c r="M41" s="19" t="s">
        <v>20</v>
      </c>
      <c r="N41" s="19" t="s">
        <v>21</v>
      </c>
      <c r="O41" s="19" t="s">
        <v>22</v>
      </c>
      <c r="P41" s="20" t="s">
        <v>23</v>
      </c>
    </row>
    <row r="42" ht="14.25" customHeight="1">
      <c r="A42" s="40" t="s">
        <v>253</v>
      </c>
      <c r="D42" s="115">
        <f>((D23+D30)*$B$35)-D46</f>
        <v>1000</v>
      </c>
      <c r="E42" s="115">
        <f t="shared" ref="E42:O42" si="11">(((E23+E30)*$B$35)+D43)-E46</f>
        <v>1000</v>
      </c>
      <c r="F42" s="115">
        <f t="shared" si="11"/>
        <v>800</v>
      </c>
      <c r="G42" s="115">
        <f t="shared" si="11"/>
        <v>800</v>
      </c>
      <c r="H42" s="115">
        <f t="shared" si="11"/>
        <v>1200</v>
      </c>
      <c r="I42" s="115">
        <f t="shared" si="11"/>
        <v>1200</v>
      </c>
      <c r="J42" s="115">
        <f t="shared" si="11"/>
        <v>2000</v>
      </c>
      <c r="K42" s="115">
        <f t="shared" si="11"/>
        <v>2000</v>
      </c>
      <c r="L42" s="115">
        <f t="shared" si="11"/>
        <v>2000</v>
      </c>
      <c r="M42" s="115">
        <f t="shared" si="11"/>
        <v>2000</v>
      </c>
      <c r="N42" s="115">
        <f t="shared" si="11"/>
        <v>2800</v>
      </c>
      <c r="O42" s="115">
        <f t="shared" si="11"/>
        <v>3200</v>
      </c>
      <c r="P42" s="40"/>
    </row>
    <row r="43" ht="14.25" customHeight="1">
      <c r="A43" s="40" t="s">
        <v>254</v>
      </c>
      <c r="D43" s="103">
        <f>(D23+D30)*$B$36</f>
        <v>0</v>
      </c>
      <c r="E43" s="103">
        <f t="shared" ref="E43:O43" si="12">((E23+E30)*$B$36)+D44</f>
        <v>0</v>
      </c>
      <c r="F43" s="103">
        <f t="shared" si="12"/>
        <v>0</v>
      </c>
      <c r="G43" s="103">
        <f t="shared" si="12"/>
        <v>0</v>
      </c>
      <c r="H43" s="103">
        <f t="shared" si="12"/>
        <v>0</v>
      </c>
      <c r="I43" s="103">
        <f t="shared" si="12"/>
        <v>0</v>
      </c>
      <c r="J43" s="103">
        <f t="shared" si="12"/>
        <v>0</v>
      </c>
      <c r="K43" s="103">
        <f t="shared" si="12"/>
        <v>0</v>
      </c>
      <c r="L43" s="103">
        <f t="shared" si="12"/>
        <v>0</v>
      </c>
      <c r="M43" s="103">
        <f t="shared" si="12"/>
        <v>0</v>
      </c>
      <c r="N43" s="103">
        <f t="shared" si="12"/>
        <v>0</v>
      </c>
      <c r="O43" s="103">
        <f t="shared" si="12"/>
        <v>0</v>
      </c>
    </row>
    <row r="44" ht="14.25" customHeight="1">
      <c r="A44" s="40" t="s">
        <v>255</v>
      </c>
      <c r="D44" s="103">
        <f t="shared" ref="D44:O44" si="13">(D23+D30)*$B$37</f>
        <v>0</v>
      </c>
      <c r="E44" s="103">
        <f t="shared" si="13"/>
        <v>0</v>
      </c>
      <c r="F44" s="103">
        <f t="shared" si="13"/>
        <v>0</v>
      </c>
      <c r="G44" s="103">
        <f t="shared" si="13"/>
        <v>0</v>
      </c>
      <c r="H44" s="103">
        <f t="shared" si="13"/>
        <v>0</v>
      </c>
      <c r="I44" s="103">
        <f t="shared" si="13"/>
        <v>0</v>
      </c>
      <c r="J44" s="103">
        <f t="shared" si="13"/>
        <v>0</v>
      </c>
      <c r="K44" s="103">
        <f t="shared" si="13"/>
        <v>0</v>
      </c>
      <c r="L44" s="103">
        <f t="shared" si="13"/>
        <v>0</v>
      </c>
      <c r="M44" s="103">
        <f t="shared" si="13"/>
        <v>0</v>
      </c>
      <c r="N44" s="103">
        <f t="shared" si="13"/>
        <v>0</v>
      </c>
      <c r="O44" s="103">
        <f t="shared" si="13"/>
        <v>0</v>
      </c>
    </row>
    <row r="45" ht="14.25" customHeight="1">
      <c r="A45" s="40" t="s">
        <v>256</v>
      </c>
      <c r="D45" s="115">
        <f t="shared" ref="D45:O45" si="14">SUM(D43:D44)</f>
        <v>0</v>
      </c>
      <c r="E45" s="115">
        <f t="shared" si="14"/>
        <v>0</v>
      </c>
      <c r="F45" s="115">
        <f t="shared" si="14"/>
        <v>0</v>
      </c>
      <c r="G45" s="115">
        <f t="shared" si="14"/>
        <v>0</v>
      </c>
      <c r="H45" s="115">
        <f t="shared" si="14"/>
        <v>0</v>
      </c>
      <c r="I45" s="115">
        <f t="shared" si="14"/>
        <v>0</v>
      </c>
      <c r="J45" s="115">
        <f t="shared" si="14"/>
        <v>0</v>
      </c>
      <c r="K45" s="115">
        <f t="shared" si="14"/>
        <v>0</v>
      </c>
      <c r="L45" s="115">
        <f t="shared" si="14"/>
        <v>0</v>
      </c>
      <c r="M45" s="115">
        <f t="shared" si="14"/>
        <v>0</v>
      </c>
      <c r="N45" s="115">
        <f t="shared" si="14"/>
        <v>0</v>
      </c>
      <c r="O45" s="115">
        <f t="shared" si="14"/>
        <v>0</v>
      </c>
    </row>
    <row r="46" ht="14.25" customHeight="1">
      <c r="A46" s="18" t="s">
        <v>257</v>
      </c>
      <c r="D46" s="53">
        <f t="shared" ref="D46:O46" si="15">(D23+D30)*$B$35*$G$37</f>
        <v>0</v>
      </c>
      <c r="E46" s="53">
        <f t="shared" si="15"/>
        <v>0</v>
      </c>
      <c r="F46" s="53">
        <f t="shared" si="15"/>
        <v>0</v>
      </c>
      <c r="G46" s="53">
        <f t="shared" si="15"/>
        <v>0</v>
      </c>
      <c r="H46" s="53">
        <f t="shared" si="15"/>
        <v>0</v>
      </c>
      <c r="I46" s="53">
        <f t="shared" si="15"/>
        <v>0</v>
      </c>
      <c r="J46" s="53">
        <f t="shared" si="15"/>
        <v>0</v>
      </c>
      <c r="K46" s="53">
        <f t="shared" si="15"/>
        <v>0</v>
      </c>
      <c r="L46" s="53">
        <f t="shared" si="15"/>
        <v>0</v>
      </c>
      <c r="M46" s="53">
        <f t="shared" si="15"/>
        <v>0</v>
      </c>
      <c r="N46" s="53">
        <f t="shared" si="15"/>
        <v>0</v>
      </c>
      <c r="O46" s="53">
        <f t="shared" si="15"/>
        <v>0</v>
      </c>
      <c r="P46" s="53">
        <f>SUM(D46:O46)</f>
        <v>0</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I4"/>
    <mergeCell ref="B23:C23"/>
    <mergeCell ref="B30:C30"/>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0.71"/>
    <col customWidth="1" min="3" max="3" width="15.14"/>
    <col customWidth="1" min="4" max="16" width="10.71"/>
    <col customWidth="1" min="17" max="26" width="9.14"/>
  </cols>
  <sheetData>
    <row r="1" ht="15.0" customHeight="1">
      <c r="A1" s="45" t="s">
        <v>258</v>
      </c>
      <c r="B1" s="5"/>
      <c r="C1" s="5"/>
      <c r="D1" s="5"/>
      <c r="E1" s="5"/>
      <c r="F1" s="5"/>
      <c r="G1" s="6"/>
    </row>
    <row r="2" ht="14.25" customHeight="1">
      <c r="A2" s="7"/>
      <c r="G2" s="8"/>
    </row>
    <row r="3" ht="14.25" customHeight="1">
      <c r="A3" s="7"/>
      <c r="G3" s="8"/>
    </row>
    <row r="4" ht="14.25" customHeight="1">
      <c r="A4" s="7"/>
      <c r="G4" s="8"/>
    </row>
    <row r="5" ht="14.25" customHeight="1">
      <c r="A5" s="9"/>
      <c r="B5" s="10"/>
      <c r="C5" s="10"/>
      <c r="D5" s="10"/>
      <c r="E5" s="10"/>
      <c r="F5" s="10"/>
      <c r="G5" s="11"/>
    </row>
    <row r="6" ht="14.25" customHeight="1"/>
    <row r="7" ht="14.25" customHeight="1"/>
    <row r="8" ht="14.25" customHeight="1">
      <c r="A8" s="38" t="s">
        <v>259</v>
      </c>
      <c r="B8" s="16"/>
      <c r="C8" s="16"/>
      <c r="D8" s="16"/>
      <c r="E8" s="16"/>
      <c r="F8" s="16"/>
      <c r="G8" s="16"/>
      <c r="H8" s="16"/>
      <c r="I8" s="16"/>
      <c r="J8" s="16"/>
      <c r="K8" s="16"/>
      <c r="L8" s="16"/>
      <c r="M8" s="16"/>
      <c r="N8" s="16"/>
      <c r="O8" s="16"/>
      <c r="P8" s="17"/>
    </row>
    <row r="9" ht="14.25" customHeight="1">
      <c r="A9" s="18" t="s">
        <v>9</v>
      </c>
      <c r="B9" s="40" t="s">
        <v>10</v>
      </c>
      <c r="C9" s="40" t="s">
        <v>260</v>
      </c>
      <c r="D9" s="19" t="s">
        <v>11</v>
      </c>
      <c r="E9" s="19" t="s">
        <v>12</v>
      </c>
      <c r="F9" s="19" t="s">
        <v>13</v>
      </c>
      <c r="G9" s="19" t="s">
        <v>14</v>
      </c>
      <c r="H9" s="19" t="s">
        <v>15</v>
      </c>
      <c r="I9" s="19" t="s">
        <v>16</v>
      </c>
      <c r="J9" s="19" t="s">
        <v>17</v>
      </c>
      <c r="K9" s="19" t="s">
        <v>18</v>
      </c>
      <c r="L9" s="19" t="s">
        <v>19</v>
      </c>
      <c r="M9" s="19" t="s">
        <v>20</v>
      </c>
      <c r="N9" s="19" t="s">
        <v>21</v>
      </c>
      <c r="O9" s="19" t="s">
        <v>22</v>
      </c>
      <c r="P9" s="20" t="s">
        <v>23</v>
      </c>
    </row>
    <row r="10" ht="14.25" customHeight="1">
      <c r="A10" s="39" t="str">
        <f>'4.PRECIOS'!A23</f>
        <v>PRODUCTO 1</v>
      </c>
      <c r="B10" s="29" t="str">
        <f>'4.PRECIOS'!B23</f>
        <v>Patrocinio</v>
      </c>
      <c r="C10" s="63" t="str">
        <f>'3.COSTES'!J7</f>
        <v/>
      </c>
      <c r="D10" s="29">
        <f>$C$10*'11.INGRESOS'!D9</f>
        <v>0</v>
      </c>
      <c r="E10" s="29">
        <f>$C$10*'11.INGRESOS'!E9</f>
        <v>0</v>
      </c>
      <c r="F10" s="29">
        <f>$C$10*'11.INGRESOS'!F9</f>
        <v>0</v>
      </c>
      <c r="G10" s="29">
        <f>$C$10*'11.INGRESOS'!G9</f>
        <v>0</v>
      </c>
      <c r="H10" s="29">
        <f>$C$10*'11.INGRESOS'!H9</f>
        <v>0</v>
      </c>
      <c r="I10" s="29">
        <f>$C$10*'11.INGRESOS'!I9</f>
        <v>0</v>
      </c>
      <c r="J10" s="29">
        <f>$C$10*'11.INGRESOS'!J9</f>
        <v>0</v>
      </c>
      <c r="K10" s="29">
        <f>$C$10*'11.INGRESOS'!K9</f>
        <v>0</v>
      </c>
      <c r="L10" s="29">
        <f>$C$10*'11.INGRESOS'!L9</f>
        <v>0</v>
      </c>
      <c r="M10" s="29">
        <f>$C$10*'11.INGRESOS'!M9</f>
        <v>0</v>
      </c>
      <c r="N10" s="29">
        <f>$C$10*'11.INGRESOS'!N9</f>
        <v>0</v>
      </c>
      <c r="O10" s="29">
        <f>$C$10*'11.INGRESOS'!O9</f>
        <v>0</v>
      </c>
      <c r="P10" s="116">
        <f t="shared" ref="P10:P15" si="1">SUM(D10:O10)</f>
        <v>0</v>
      </c>
    </row>
    <row r="11" ht="14.25" customHeight="1">
      <c r="A11" s="39" t="str">
        <f>'4.PRECIOS'!A24</f>
        <v>PRODUCTO 2</v>
      </c>
      <c r="B11" s="29" t="str">
        <f>'4.PRECIOS'!B24</f>
        <v/>
      </c>
      <c r="C11" s="63" t="str">
        <f>'3.COSTES'!J14</f>
        <v/>
      </c>
      <c r="D11" s="29">
        <f>$C$11*'11.INGRESOS'!D10</f>
        <v>0</v>
      </c>
      <c r="E11" s="29">
        <f>$C$11*'11.INGRESOS'!E10</f>
        <v>0</v>
      </c>
      <c r="F11" s="29">
        <f>$C$11*'11.INGRESOS'!F10</f>
        <v>0</v>
      </c>
      <c r="G11" s="29">
        <f>$C$11*'11.INGRESOS'!G10</f>
        <v>0</v>
      </c>
      <c r="H11" s="29">
        <f>$C$11*'11.INGRESOS'!H10</f>
        <v>0</v>
      </c>
      <c r="I11" s="29">
        <f>$C$11*'11.INGRESOS'!I10</f>
        <v>0</v>
      </c>
      <c r="J11" s="29">
        <f>$C$11*'11.INGRESOS'!J10</f>
        <v>0</v>
      </c>
      <c r="K11" s="29">
        <f>$C$11*'11.INGRESOS'!K10</f>
        <v>0</v>
      </c>
      <c r="L11" s="29">
        <f>$C$11*'11.INGRESOS'!L10</f>
        <v>0</v>
      </c>
      <c r="M11" s="29">
        <f>$C$11*'11.INGRESOS'!M10</f>
        <v>0</v>
      </c>
      <c r="N11" s="29">
        <f>$C$11*'11.INGRESOS'!N10</f>
        <v>0</v>
      </c>
      <c r="O11" s="29">
        <f>$C$11*'11.INGRESOS'!O10</f>
        <v>0</v>
      </c>
      <c r="P11" s="116">
        <f t="shared" si="1"/>
        <v>0</v>
      </c>
    </row>
    <row r="12" ht="14.25" customHeight="1">
      <c r="A12" s="39" t="str">
        <f>'4.PRECIOS'!A25</f>
        <v>PRODUCTO 3</v>
      </c>
      <c r="B12" s="29" t="str">
        <f>'4.PRECIOS'!B25</f>
        <v/>
      </c>
      <c r="C12" s="63" t="str">
        <f>'3.COSTES'!J22</f>
        <v/>
      </c>
      <c r="D12" s="29">
        <f>$C$12*'11.INGRESOS'!D11</f>
        <v>0</v>
      </c>
      <c r="E12" s="29">
        <f>$C$12*'11.INGRESOS'!E11</f>
        <v>0</v>
      </c>
      <c r="F12" s="29">
        <f>$C$12*'11.INGRESOS'!F11</f>
        <v>0</v>
      </c>
      <c r="G12" s="29">
        <f>$C$12*'11.INGRESOS'!G11</f>
        <v>0</v>
      </c>
      <c r="H12" s="29">
        <f>$C$12*'11.INGRESOS'!H11</f>
        <v>0</v>
      </c>
      <c r="I12" s="29">
        <f>$C$12*'11.INGRESOS'!I11</f>
        <v>0</v>
      </c>
      <c r="J12" s="29">
        <f>$C$12*'11.INGRESOS'!J11</f>
        <v>0</v>
      </c>
      <c r="K12" s="29">
        <f>$C$12*'11.INGRESOS'!K11</f>
        <v>0</v>
      </c>
      <c r="L12" s="29">
        <f>$C$12*'11.INGRESOS'!L11</f>
        <v>0</v>
      </c>
      <c r="M12" s="29">
        <f>$C$12*'11.INGRESOS'!M11</f>
        <v>0</v>
      </c>
      <c r="N12" s="29">
        <f>$C$12*'11.INGRESOS'!N11</f>
        <v>0</v>
      </c>
      <c r="O12" s="29">
        <f>$C$12*'11.INGRESOS'!O11</f>
        <v>0</v>
      </c>
      <c r="P12" s="116">
        <f t="shared" si="1"/>
        <v>0</v>
      </c>
    </row>
    <row r="13" ht="14.25" customHeight="1">
      <c r="A13" s="39" t="str">
        <f>'4.PRECIOS'!A26</f>
        <v>PRODUCTO 4</v>
      </c>
      <c r="B13" s="29" t="str">
        <f>'4.PRECIOS'!B26</f>
        <v/>
      </c>
      <c r="C13" s="63" t="str">
        <f>'3.COSTES'!J29</f>
        <v/>
      </c>
      <c r="D13" s="29">
        <f>$C$13*'11.INGRESOS'!D12</f>
        <v>0</v>
      </c>
      <c r="E13" s="29">
        <f>$C$13*'11.INGRESOS'!E12</f>
        <v>0</v>
      </c>
      <c r="F13" s="29">
        <f>$C$13*'11.INGRESOS'!F12</f>
        <v>0</v>
      </c>
      <c r="G13" s="29">
        <f>$C$13*'11.INGRESOS'!G12</f>
        <v>0</v>
      </c>
      <c r="H13" s="29">
        <f>$C$13*'11.INGRESOS'!H12</f>
        <v>0</v>
      </c>
      <c r="I13" s="29">
        <f>$C$13*'11.INGRESOS'!I12</f>
        <v>0</v>
      </c>
      <c r="J13" s="29">
        <f>$C$13*'11.INGRESOS'!J12</f>
        <v>0</v>
      </c>
      <c r="K13" s="29">
        <f>$C$13*'11.INGRESOS'!K12</f>
        <v>0</v>
      </c>
      <c r="L13" s="29">
        <f>$C$13*'11.INGRESOS'!L12</f>
        <v>0</v>
      </c>
      <c r="M13" s="29">
        <f>$C$13*'11.INGRESOS'!M12</f>
        <v>0</v>
      </c>
      <c r="N13" s="29">
        <f>$C$13*'11.INGRESOS'!N12</f>
        <v>0</v>
      </c>
      <c r="O13" s="29">
        <f>$C$13*'11.INGRESOS'!O12</f>
        <v>0</v>
      </c>
      <c r="P13" s="116">
        <f t="shared" si="1"/>
        <v>0</v>
      </c>
    </row>
    <row r="14" ht="14.25" customHeight="1">
      <c r="A14" s="39" t="str">
        <f>'4.PRECIOS'!A27</f>
        <v>PRODUCTO 5</v>
      </c>
      <c r="B14" s="29" t="str">
        <f>'4.PRECIOS'!B27</f>
        <v/>
      </c>
      <c r="C14" s="63" t="str">
        <f>'3.COSTES'!J36</f>
        <v/>
      </c>
      <c r="D14" s="29">
        <f>$C$14*'11.INGRESOS'!D13</f>
        <v>0</v>
      </c>
      <c r="E14" s="29">
        <f>$C$14*'11.INGRESOS'!E13</f>
        <v>0</v>
      </c>
      <c r="F14" s="29">
        <f>$C$14*'11.INGRESOS'!F13</f>
        <v>0</v>
      </c>
      <c r="G14" s="29">
        <f>$C$14*'11.INGRESOS'!G13</f>
        <v>0</v>
      </c>
      <c r="H14" s="29">
        <f>$C$14*'11.INGRESOS'!H13</f>
        <v>0</v>
      </c>
      <c r="I14" s="29">
        <f>$C$14*'11.INGRESOS'!I13</f>
        <v>0</v>
      </c>
      <c r="J14" s="29">
        <f>$C$14*'11.INGRESOS'!J13</f>
        <v>0</v>
      </c>
      <c r="K14" s="29">
        <f>$C$14*'11.INGRESOS'!K13</f>
        <v>0</v>
      </c>
      <c r="L14" s="29">
        <f>$C$14*'11.INGRESOS'!L13</f>
        <v>0</v>
      </c>
      <c r="M14" s="29">
        <f>$C$14*'11.INGRESOS'!M13</f>
        <v>0</v>
      </c>
      <c r="N14" s="29">
        <f>$C$14*'11.INGRESOS'!N13</f>
        <v>0</v>
      </c>
      <c r="O14" s="29">
        <f>$C$14*'11.INGRESOS'!O13</f>
        <v>0</v>
      </c>
      <c r="P14" s="116">
        <f t="shared" si="1"/>
        <v>0</v>
      </c>
    </row>
    <row r="15" ht="14.25" customHeight="1">
      <c r="A15" s="106"/>
      <c r="B15" s="117" t="s">
        <v>23</v>
      </c>
      <c r="C15" s="108"/>
      <c r="D15" s="118">
        <f t="shared" ref="D15:O15" si="2">SUM(D10:D14)</f>
        <v>0</v>
      </c>
      <c r="E15" s="118">
        <f t="shared" si="2"/>
        <v>0</v>
      </c>
      <c r="F15" s="118">
        <f t="shared" si="2"/>
        <v>0</v>
      </c>
      <c r="G15" s="118">
        <f t="shared" si="2"/>
        <v>0</v>
      </c>
      <c r="H15" s="118">
        <f t="shared" si="2"/>
        <v>0</v>
      </c>
      <c r="I15" s="118">
        <f t="shared" si="2"/>
        <v>0</v>
      </c>
      <c r="J15" s="118">
        <f t="shared" si="2"/>
        <v>0</v>
      </c>
      <c r="K15" s="118">
        <f t="shared" si="2"/>
        <v>0</v>
      </c>
      <c r="L15" s="118">
        <f t="shared" si="2"/>
        <v>0</v>
      </c>
      <c r="M15" s="118">
        <f t="shared" si="2"/>
        <v>0</v>
      </c>
      <c r="N15" s="118">
        <f t="shared" si="2"/>
        <v>0</v>
      </c>
      <c r="O15" s="118">
        <f t="shared" si="2"/>
        <v>0</v>
      </c>
      <c r="P15" s="119">
        <f t="shared" si="1"/>
        <v>0</v>
      </c>
    </row>
    <row r="16" ht="14.25" customHeight="1"/>
    <row r="17" ht="14.25" customHeight="1"/>
    <row r="18" ht="14.25" customHeight="1">
      <c r="A18" s="38" t="s">
        <v>261</v>
      </c>
      <c r="B18" s="16"/>
      <c r="C18" s="16"/>
      <c r="D18" s="16"/>
      <c r="E18" s="16"/>
      <c r="F18" s="16"/>
      <c r="G18" s="16"/>
      <c r="H18" s="16"/>
      <c r="I18" s="16"/>
      <c r="J18" s="16"/>
      <c r="K18" s="16"/>
      <c r="L18" s="16"/>
      <c r="M18" s="16"/>
      <c r="N18" s="16"/>
      <c r="O18" s="16"/>
      <c r="P18" s="17"/>
    </row>
    <row r="19" ht="14.25" customHeight="1">
      <c r="A19" s="18" t="s">
        <v>9</v>
      </c>
      <c r="B19" s="40" t="s">
        <v>10</v>
      </c>
      <c r="C19" s="40" t="s">
        <v>260</v>
      </c>
      <c r="D19" s="19" t="s">
        <v>11</v>
      </c>
      <c r="E19" s="19" t="s">
        <v>12</v>
      </c>
      <c r="F19" s="19" t="s">
        <v>13</v>
      </c>
      <c r="G19" s="19" t="s">
        <v>14</v>
      </c>
      <c r="H19" s="19" t="s">
        <v>15</v>
      </c>
      <c r="I19" s="19" t="s">
        <v>16</v>
      </c>
      <c r="J19" s="19" t="s">
        <v>17</v>
      </c>
      <c r="K19" s="19" t="s">
        <v>18</v>
      </c>
      <c r="L19" s="19" t="s">
        <v>19</v>
      </c>
      <c r="M19" s="19" t="s">
        <v>20</v>
      </c>
      <c r="N19" s="19" t="s">
        <v>21</v>
      </c>
      <c r="O19" s="19" t="s">
        <v>22</v>
      </c>
      <c r="P19" s="20" t="s">
        <v>23</v>
      </c>
    </row>
    <row r="20" ht="14.25" customHeight="1">
      <c r="A20" s="39" t="str">
        <f>'4.PRECIOS'!A23</f>
        <v>PRODUCTO 1</v>
      </c>
      <c r="B20" s="29" t="str">
        <f>'4.PRECIOS'!B23</f>
        <v>Patrocinio</v>
      </c>
      <c r="C20" s="63" t="str">
        <f>'3.COSTES'!J8</f>
        <v/>
      </c>
      <c r="D20" s="29">
        <f>'12.GASTOS'!$C20*'11.INGRESOS'!D9</f>
        <v>0</v>
      </c>
      <c r="E20" s="29">
        <f>'12.GASTOS'!$C20*'11.INGRESOS'!E9</f>
        <v>0</v>
      </c>
      <c r="F20" s="29">
        <f>'12.GASTOS'!$C20*'11.INGRESOS'!F9</f>
        <v>0</v>
      </c>
      <c r="G20" s="29">
        <f>'12.GASTOS'!$C20*'11.INGRESOS'!G9</f>
        <v>0</v>
      </c>
      <c r="H20" s="29">
        <f>'12.GASTOS'!$C20*'11.INGRESOS'!H9</f>
        <v>0</v>
      </c>
      <c r="I20" s="29">
        <f>'12.GASTOS'!$C20*'11.INGRESOS'!I9</f>
        <v>0</v>
      </c>
      <c r="J20" s="29">
        <f>'12.GASTOS'!$C20*'11.INGRESOS'!J9</f>
        <v>0</v>
      </c>
      <c r="K20" s="29">
        <f>'12.GASTOS'!$C20*'11.INGRESOS'!K9</f>
        <v>0</v>
      </c>
      <c r="L20" s="29">
        <f>'12.GASTOS'!$C20*'11.INGRESOS'!L9</f>
        <v>0</v>
      </c>
      <c r="M20" s="29">
        <f>'12.GASTOS'!$C20*'11.INGRESOS'!M9</f>
        <v>0</v>
      </c>
      <c r="N20" s="29">
        <f>'12.GASTOS'!$C20*'11.INGRESOS'!N9</f>
        <v>0</v>
      </c>
      <c r="O20" s="29">
        <f>'12.GASTOS'!$C20*'11.INGRESOS'!O9</f>
        <v>0</v>
      </c>
      <c r="P20" s="116">
        <f t="shared" ref="P20:P25" si="3">SUM(D20:O20)</f>
        <v>0</v>
      </c>
    </row>
    <row r="21" ht="14.25" customHeight="1">
      <c r="A21" s="39" t="str">
        <f>'4.PRECIOS'!A24</f>
        <v>PRODUCTO 2</v>
      </c>
      <c r="B21" s="29" t="str">
        <f>'4.PRECIOS'!B24</f>
        <v/>
      </c>
      <c r="C21" s="63" t="str">
        <f>'3.COSTES'!J15</f>
        <v/>
      </c>
      <c r="D21" s="29">
        <f>'12.GASTOS'!$C21*'11.INGRESOS'!D10</f>
        <v>0</v>
      </c>
      <c r="E21" s="29">
        <f>'12.GASTOS'!$C21*'11.INGRESOS'!E10</f>
        <v>0</v>
      </c>
      <c r="F21" s="29">
        <f>'12.GASTOS'!$C21*'11.INGRESOS'!F10</f>
        <v>0</v>
      </c>
      <c r="G21" s="29">
        <f>'12.GASTOS'!$C21*'11.INGRESOS'!G10</f>
        <v>0</v>
      </c>
      <c r="H21" s="29">
        <f>'12.GASTOS'!$C21*'11.INGRESOS'!H10</f>
        <v>0</v>
      </c>
      <c r="I21" s="29">
        <f>'12.GASTOS'!$C21*'11.INGRESOS'!I10</f>
        <v>0</v>
      </c>
      <c r="J21" s="29">
        <f>'12.GASTOS'!$C21*'11.INGRESOS'!J10</f>
        <v>0</v>
      </c>
      <c r="K21" s="29">
        <f>'12.GASTOS'!$C21*'11.INGRESOS'!K10</f>
        <v>0</v>
      </c>
      <c r="L21" s="29">
        <f>'12.GASTOS'!$C21*'11.INGRESOS'!L10</f>
        <v>0</v>
      </c>
      <c r="M21" s="29">
        <f>'12.GASTOS'!$C21*'11.INGRESOS'!M10</f>
        <v>0</v>
      </c>
      <c r="N21" s="29">
        <f>'12.GASTOS'!$C21*'11.INGRESOS'!N10</f>
        <v>0</v>
      </c>
      <c r="O21" s="29">
        <f>'12.GASTOS'!$C21*'11.INGRESOS'!O10</f>
        <v>0</v>
      </c>
      <c r="P21" s="116">
        <f t="shared" si="3"/>
        <v>0</v>
      </c>
    </row>
    <row r="22" ht="14.25" customHeight="1">
      <c r="A22" s="39" t="str">
        <f>'4.PRECIOS'!A25</f>
        <v>PRODUCTO 3</v>
      </c>
      <c r="B22" s="29" t="str">
        <f>'4.PRECIOS'!B25</f>
        <v/>
      </c>
      <c r="C22" s="63" t="str">
        <f>'3.COSTES'!J23</f>
        <v/>
      </c>
      <c r="D22" s="29">
        <f>'12.GASTOS'!$C22*'11.INGRESOS'!D11</f>
        <v>0</v>
      </c>
      <c r="E22" s="29">
        <f>'12.GASTOS'!$C22*'11.INGRESOS'!E11</f>
        <v>0</v>
      </c>
      <c r="F22" s="29">
        <f>'12.GASTOS'!$C22*'11.INGRESOS'!F11</f>
        <v>0</v>
      </c>
      <c r="G22" s="29">
        <f>'12.GASTOS'!$C22*'11.INGRESOS'!G11</f>
        <v>0</v>
      </c>
      <c r="H22" s="29">
        <f>'12.GASTOS'!$C22*'11.INGRESOS'!H11</f>
        <v>0</v>
      </c>
      <c r="I22" s="29">
        <f>'12.GASTOS'!$C22*'11.INGRESOS'!I11</f>
        <v>0</v>
      </c>
      <c r="J22" s="29">
        <f>'12.GASTOS'!$C22*'11.INGRESOS'!J11</f>
        <v>0</v>
      </c>
      <c r="K22" s="29">
        <f>'12.GASTOS'!$C22*'11.INGRESOS'!K11</f>
        <v>0</v>
      </c>
      <c r="L22" s="29">
        <f>'12.GASTOS'!$C22*'11.INGRESOS'!L11</f>
        <v>0</v>
      </c>
      <c r="M22" s="29">
        <f>'12.GASTOS'!$C22*'11.INGRESOS'!M11</f>
        <v>0</v>
      </c>
      <c r="N22" s="29">
        <f>'12.GASTOS'!$C22*'11.INGRESOS'!N11</f>
        <v>0</v>
      </c>
      <c r="O22" s="29">
        <f>'12.GASTOS'!$C22*'11.INGRESOS'!O11</f>
        <v>0</v>
      </c>
      <c r="P22" s="116">
        <f t="shared" si="3"/>
        <v>0</v>
      </c>
    </row>
    <row r="23" ht="14.25" customHeight="1">
      <c r="A23" s="39" t="str">
        <f>'4.PRECIOS'!A26</f>
        <v>PRODUCTO 4</v>
      </c>
      <c r="B23" s="29" t="str">
        <f>'4.PRECIOS'!B26</f>
        <v/>
      </c>
      <c r="C23" s="63" t="str">
        <f>'3.COSTES'!J30</f>
        <v/>
      </c>
      <c r="D23" s="29">
        <f>'12.GASTOS'!$C23*'11.INGRESOS'!D12</f>
        <v>0</v>
      </c>
      <c r="E23" s="29">
        <f>'12.GASTOS'!$C23*'11.INGRESOS'!E12</f>
        <v>0</v>
      </c>
      <c r="F23" s="29">
        <f>'12.GASTOS'!$C23*'11.INGRESOS'!F12</f>
        <v>0</v>
      </c>
      <c r="G23" s="29">
        <f>'12.GASTOS'!$C23*'11.INGRESOS'!G12</f>
        <v>0</v>
      </c>
      <c r="H23" s="29">
        <f>'12.GASTOS'!$C23*'11.INGRESOS'!H12</f>
        <v>0</v>
      </c>
      <c r="I23" s="29">
        <f>'12.GASTOS'!$C23*'11.INGRESOS'!I12</f>
        <v>0</v>
      </c>
      <c r="J23" s="29">
        <f>'12.GASTOS'!$C23*'11.INGRESOS'!J12</f>
        <v>0</v>
      </c>
      <c r="K23" s="29">
        <f>'12.GASTOS'!$C23*'11.INGRESOS'!K12</f>
        <v>0</v>
      </c>
      <c r="L23" s="29">
        <f>'12.GASTOS'!$C23*'11.INGRESOS'!L12</f>
        <v>0</v>
      </c>
      <c r="M23" s="29">
        <f>'12.GASTOS'!$C23*'11.INGRESOS'!M12</f>
        <v>0</v>
      </c>
      <c r="N23" s="29">
        <f>'12.GASTOS'!$C23*'11.INGRESOS'!N12</f>
        <v>0</v>
      </c>
      <c r="O23" s="29">
        <f>'12.GASTOS'!$C23*'11.INGRESOS'!O12</f>
        <v>0</v>
      </c>
      <c r="P23" s="116">
        <f t="shared" si="3"/>
        <v>0</v>
      </c>
    </row>
    <row r="24" ht="14.25" customHeight="1">
      <c r="A24" s="39" t="str">
        <f>'4.PRECIOS'!A27</f>
        <v>PRODUCTO 5</v>
      </c>
      <c r="B24" s="29" t="str">
        <f>'4.PRECIOS'!B27</f>
        <v/>
      </c>
      <c r="C24" s="63" t="str">
        <f>'3.COSTES'!J37</f>
        <v/>
      </c>
      <c r="D24" s="29">
        <f>'12.GASTOS'!$C24*'11.INGRESOS'!D13</f>
        <v>0</v>
      </c>
      <c r="E24" s="29">
        <f>'12.GASTOS'!$C24*'11.INGRESOS'!E13</f>
        <v>0</v>
      </c>
      <c r="F24" s="29">
        <f>'12.GASTOS'!$C24*'11.INGRESOS'!F13</f>
        <v>0</v>
      </c>
      <c r="G24" s="29">
        <f>'12.GASTOS'!$C24*'11.INGRESOS'!G13</f>
        <v>0</v>
      </c>
      <c r="H24" s="29">
        <f>'12.GASTOS'!$C24*'11.INGRESOS'!H13</f>
        <v>0</v>
      </c>
      <c r="I24" s="29">
        <f>'12.GASTOS'!$C24*'11.INGRESOS'!I13</f>
        <v>0</v>
      </c>
      <c r="J24" s="29">
        <f>'12.GASTOS'!$C24*'11.INGRESOS'!J13</f>
        <v>0</v>
      </c>
      <c r="K24" s="29">
        <f>'12.GASTOS'!$C24*'11.INGRESOS'!K13</f>
        <v>0</v>
      </c>
      <c r="L24" s="29">
        <f>'12.GASTOS'!$C24*'11.INGRESOS'!L13</f>
        <v>0</v>
      </c>
      <c r="M24" s="29">
        <f>'12.GASTOS'!$C24*'11.INGRESOS'!M13</f>
        <v>0</v>
      </c>
      <c r="N24" s="29">
        <f>'12.GASTOS'!$C24*'11.INGRESOS'!N13</f>
        <v>0</v>
      </c>
      <c r="O24" s="29">
        <f>'12.GASTOS'!$C24*'11.INGRESOS'!O13</f>
        <v>0</v>
      </c>
      <c r="P24" s="116">
        <f t="shared" si="3"/>
        <v>0</v>
      </c>
    </row>
    <row r="25" ht="14.25" customHeight="1">
      <c r="A25" s="106"/>
      <c r="B25" s="117" t="s">
        <v>23</v>
      </c>
      <c r="C25" s="108"/>
      <c r="D25" s="118">
        <f t="shared" ref="D25:O25" si="4">SUM(D20:D24)</f>
        <v>0</v>
      </c>
      <c r="E25" s="118">
        <f t="shared" si="4"/>
        <v>0</v>
      </c>
      <c r="F25" s="118">
        <f t="shared" si="4"/>
        <v>0</v>
      </c>
      <c r="G25" s="118">
        <f t="shared" si="4"/>
        <v>0</v>
      </c>
      <c r="H25" s="118">
        <f t="shared" si="4"/>
        <v>0</v>
      </c>
      <c r="I25" s="118">
        <f t="shared" si="4"/>
        <v>0</v>
      </c>
      <c r="J25" s="118">
        <f t="shared" si="4"/>
        <v>0</v>
      </c>
      <c r="K25" s="118">
        <f t="shared" si="4"/>
        <v>0</v>
      </c>
      <c r="L25" s="118">
        <f t="shared" si="4"/>
        <v>0</v>
      </c>
      <c r="M25" s="118">
        <f t="shared" si="4"/>
        <v>0</v>
      </c>
      <c r="N25" s="118">
        <f t="shared" si="4"/>
        <v>0</v>
      </c>
      <c r="O25" s="118">
        <f t="shared" si="4"/>
        <v>0</v>
      </c>
      <c r="P25" s="119">
        <f t="shared" si="3"/>
        <v>0</v>
      </c>
    </row>
    <row r="26" ht="14.25" customHeight="1">
      <c r="C26" s="120"/>
    </row>
    <row r="27" ht="14.25" customHeight="1"/>
    <row r="28" ht="14.25" customHeight="1">
      <c r="A28" s="38" t="s">
        <v>262</v>
      </c>
      <c r="B28" s="16"/>
      <c r="C28" s="16"/>
      <c r="D28" s="16"/>
      <c r="E28" s="16"/>
      <c r="F28" s="16"/>
      <c r="G28" s="16"/>
      <c r="H28" s="16"/>
      <c r="I28" s="16"/>
      <c r="J28" s="16"/>
      <c r="K28" s="16"/>
      <c r="L28" s="16"/>
      <c r="M28" s="16"/>
      <c r="N28" s="16"/>
      <c r="O28" s="16"/>
      <c r="P28" s="17"/>
    </row>
    <row r="29" ht="14.25" customHeight="1">
      <c r="A29" s="18" t="s">
        <v>9</v>
      </c>
      <c r="B29" s="40" t="s">
        <v>10</v>
      </c>
      <c r="C29" s="40" t="s">
        <v>260</v>
      </c>
      <c r="D29" s="19" t="s">
        <v>11</v>
      </c>
      <c r="E29" s="19" t="s">
        <v>12</v>
      </c>
      <c r="F29" s="19" t="s">
        <v>13</v>
      </c>
      <c r="G29" s="19" t="s">
        <v>14</v>
      </c>
      <c r="H29" s="19" t="s">
        <v>15</v>
      </c>
      <c r="I29" s="19" t="s">
        <v>16</v>
      </c>
      <c r="J29" s="19" t="s">
        <v>17</v>
      </c>
      <c r="K29" s="19" t="s">
        <v>18</v>
      </c>
      <c r="L29" s="19" t="s">
        <v>19</v>
      </c>
      <c r="M29" s="19" t="s">
        <v>20</v>
      </c>
      <c r="N29" s="19" t="s">
        <v>21</v>
      </c>
      <c r="O29" s="19" t="s">
        <v>22</v>
      </c>
      <c r="P29" s="20" t="s">
        <v>23</v>
      </c>
    </row>
    <row r="30" ht="14.25" customHeight="1">
      <c r="A30" s="39" t="str">
        <f>'4.PRECIOS'!A23</f>
        <v>PRODUCTO 1</v>
      </c>
      <c r="B30" s="29" t="str">
        <f>'4.PRECIOS'!B23</f>
        <v>Patrocinio</v>
      </c>
      <c r="C30" s="63" t="str">
        <f>'3.COSTES'!J9</f>
        <v/>
      </c>
      <c r="D30" s="29">
        <f>$C30*'11.INGRESOS'!D9</f>
        <v>0</v>
      </c>
      <c r="E30" s="29">
        <f>$C30*'11.INGRESOS'!E9</f>
        <v>0</v>
      </c>
      <c r="F30" s="29">
        <f>$C30*'11.INGRESOS'!F9</f>
        <v>0</v>
      </c>
      <c r="G30" s="29">
        <f>$C30*'11.INGRESOS'!G9</f>
        <v>0</v>
      </c>
      <c r="H30" s="29">
        <f>$C30*'11.INGRESOS'!H9</f>
        <v>0</v>
      </c>
      <c r="I30" s="29">
        <f>$C30*'11.INGRESOS'!I9</f>
        <v>0</v>
      </c>
      <c r="J30" s="29">
        <f>$C30*'11.INGRESOS'!J9</f>
        <v>0</v>
      </c>
      <c r="K30" s="29">
        <f>$C30*'11.INGRESOS'!K9</f>
        <v>0</v>
      </c>
      <c r="L30" s="29">
        <f>$C30*'11.INGRESOS'!L9</f>
        <v>0</v>
      </c>
      <c r="M30" s="29">
        <f>$C30*'11.INGRESOS'!M9</f>
        <v>0</v>
      </c>
      <c r="N30" s="29">
        <f>$C30*'11.INGRESOS'!N9</f>
        <v>0</v>
      </c>
      <c r="O30" s="29">
        <f>$C30*'11.INGRESOS'!O9</f>
        <v>0</v>
      </c>
      <c r="P30" s="116">
        <f t="shared" ref="P30:P35" si="5">SUM(D30:O30)</f>
        <v>0</v>
      </c>
    </row>
    <row r="31" ht="14.25" customHeight="1">
      <c r="A31" s="39" t="str">
        <f>'4.PRECIOS'!A24</f>
        <v>PRODUCTO 2</v>
      </c>
      <c r="B31" s="29" t="str">
        <f>'4.PRECIOS'!B24</f>
        <v/>
      </c>
      <c r="C31" s="63" t="str">
        <f>'3.COSTES'!J16</f>
        <v/>
      </c>
      <c r="D31" s="29">
        <f>$C31*'11.INGRESOS'!D10</f>
        <v>0</v>
      </c>
      <c r="E31" s="29">
        <f>$C31*'11.INGRESOS'!E10</f>
        <v>0</v>
      </c>
      <c r="F31" s="29">
        <f>$C31*'11.INGRESOS'!F10</f>
        <v>0</v>
      </c>
      <c r="G31" s="29">
        <f>$C31*'11.INGRESOS'!G10</f>
        <v>0</v>
      </c>
      <c r="H31" s="29">
        <f>$C31*'11.INGRESOS'!H10</f>
        <v>0</v>
      </c>
      <c r="I31" s="29">
        <f>$C31*'11.INGRESOS'!I10</f>
        <v>0</v>
      </c>
      <c r="J31" s="29">
        <f>$C31*'11.INGRESOS'!J10</f>
        <v>0</v>
      </c>
      <c r="K31" s="29">
        <f>$C31*'11.INGRESOS'!K10</f>
        <v>0</v>
      </c>
      <c r="L31" s="29">
        <f>$C31*'11.INGRESOS'!L10</f>
        <v>0</v>
      </c>
      <c r="M31" s="29">
        <f>$C31*'11.INGRESOS'!M10</f>
        <v>0</v>
      </c>
      <c r="N31" s="29">
        <f>$C31*'11.INGRESOS'!N10</f>
        <v>0</v>
      </c>
      <c r="O31" s="29">
        <f>$C31*'11.INGRESOS'!O10</f>
        <v>0</v>
      </c>
      <c r="P31" s="116">
        <f t="shared" si="5"/>
        <v>0</v>
      </c>
    </row>
    <row r="32" ht="14.25" customHeight="1">
      <c r="A32" s="39" t="str">
        <f>'4.PRECIOS'!A25</f>
        <v>PRODUCTO 3</v>
      </c>
      <c r="B32" s="29" t="str">
        <f>'4.PRECIOS'!B25</f>
        <v/>
      </c>
      <c r="C32" s="63" t="str">
        <f>'3.COSTES'!J24</f>
        <v/>
      </c>
      <c r="D32" s="29">
        <f>$C32*'11.INGRESOS'!D11</f>
        <v>0</v>
      </c>
      <c r="E32" s="29">
        <f>$C32*'11.INGRESOS'!E11</f>
        <v>0</v>
      </c>
      <c r="F32" s="29">
        <f>$C32*'11.INGRESOS'!F11</f>
        <v>0</v>
      </c>
      <c r="G32" s="29">
        <f>$C32*'11.INGRESOS'!G11</f>
        <v>0</v>
      </c>
      <c r="H32" s="29">
        <f>$C32*'11.INGRESOS'!H11</f>
        <v>0</v>
      </c>
      <c r="I32" s="29">
        <f>$C32*'11.INGRESOS'!I11</f>
        <v>0</v>
      </c>
      <c r="J32" s="29">
        <f>$C32*'11.INGRESOS'!J11</f>
        <v>0</v>
      </c>
      <c r="K32" s="29">
        <f>$C32*'11.INGRESOS'!K11</f>
        <v>0</v>
      </c>
      <c r="L32" s="29">
        <f>$C32*'11.INGRESOS'!L11</f>
        <v>0</v>
      </c>
      <c r="M32" s="29">
        <f>$C32*'11.INGRESOS'!M11</f>
        <v>0</v>
      </c>
      <c r="N32" s="29">
        <f>$C32*'11.INGRESOS'!N11</f>
        <v>0</v>
      </c>
      <c r="O32" s="29">
        <f>$C32*'11.INGRESOS'!O11</f>
        <v>0</v>
      </c>
      <c r="P32" s="116">
        <f t="shared" si="5"/>
        <v>0</v>
      </c>
    </row>
    <row r="33" ht="14.25" customHeight="1">
      <c r="A33" s="39" t="str">
        <f>'4.PRECIOS'!A26</f>
        <v>PRODUCTO 4</v>
      </c>
      <c r="B33" s="29" t="str">
        <f>'4.PRECIOS'!B26</f>
        <v/>
      </c>
      <c r="C33" s="63" t="str">
        <f>'3.COSTES'!J31</f>
        <v/>
      </c>
      <c r="D33" s="29">
        <f>$C33*'11.INGRESOS'!D12</f>
        <v>0</v>
      </c>
      <c r="E33" s="29">
        <f>$C33*'11.INGRESOS'!E12</f>
        <v>0</v>
      </c>
      <c r="F33" s="29">
        <f>$C33*'11.INGRESOS'!F12</f>
        <v>0</v>
      </c>
      <c r="G33" s="29">
        <f>$C33*'11.INGRESOS'!G12</f>
        <v>0</v>
      </c>
      <c r="H33" s="29">
        <f>$C33*'11.INGRESOS'!H12</f>
        <v>0</v>
      </c>
      <c r="I33" s="29">
        <f>$C33*'11.INGRESOS'!I12</f>
        <v>0</v>
      </c>
      <c r="J33" s="29">
        <f>$C33*'11.INGRESOS'!J12</f>
        <v>0</v>
      </c>
      <c r="K33" s="29">
        <f>$C33*'11.INGRESOS'!K12</f>
        <v>0</v>
      </c>
      <c r="L33" s="29">
        <f>$C33*'11.INGRESOS'!L12</f>
        <v>0</v>
      </c>
      <c r="M33" s="29">
        <f>$C33*'11.INGRESOS'!M12</f>
        <v>0</v>
      </c>
      <c r="N33" s="29">
        <f>$C33*'11.INGRESOS'!N12</f>
        <v>0</v>
      </c>
      <c r="O33" s="29">
        <f>$C33*'11.INGRESOS'!O12</f>
        <v>0</v>
      </c>
      <c r="P33" s="116">
        <f t="shared" si="5"/>
        <v>0</v>
      </c>
    </row>
    <row r="34" ht="14.25" customHeight="1">
      <c r="A34" s="39" t="str">
        <f>'4.PRECIOS'!A27</f>
        <v>PRODUCTO 5</v>
      </c>
      <c r="B34" s="29" t="str">
        <f>'4.PRECIOS'!B27</f>
        <v/>
      </c>
      <c r="C34" s="63" t="str">
        <f>'3.COSTES'!J38</f>
        <v/>
      </c>
      <c r="D34" s="29">
        <f>$C34*'11.INGRESOS'!D13</f>
        <v>0</v>
      </c>
      <c r="E34" s="29">
        <f>$C34*'11.INGRESOS'!E13</f>
        <v>0</v>
      </c>
      <c r="F34" s="29">
        <f>$C34*'11.INGRESOS'!F13</f>
        <v>0</v>
      </c>
      <c r="G34" s="29">
        <f>$C34*'11.INGRESOS'!G13</f>
        <v>0</v>
      </c>
      <c r="H34" s="29">
        <f>$C34*'11.INGRESOS'!H13</f>
        <v>0</v>
      </c>
      <c r="I34" s="29">
        <f>$C34*'11.INGRESOS'!I13</f>
        <v>0</v>
      </c>
      <c r="J34" s="29">
        <f>$C34*'11.INGRESOS'!J13</f>
        <v>0</v>
      </c>
      <c r="K34" s="29">
        <f>$C34*'11.INGRESOS'!K13</f>
        <v>0</v>
      </c>
      <c r="L34" s="29">
        <f>$C34*'11.INGRESOS'!L13</f>
        <v>0</v>
      </c>
      <c r="M34" s="29">
        <f>$C34*'11.INGRESOS'!M13</f>
        <v>0</v>
      </c>
      <c r="N34" s="29">
        <f>$C34*'11.INGRESOS'!N13</f>
        <v>0</v>
      </c>
      <c r="O34" s="29">
        <f>$C34*'11.INGRESOS'!O13</f>
        <v>0</v>
      </c>
      <c r="P34" s="116">
        <f t="shared" si="5"/>
        <v>0</v>
      </c>
    </row>
    <row r="35" ht="14.25" customHeight="1">
      <c r="A35" s="106"/>
      <c r="B35" s="117" t="s">
        <v>23</v>
      </c>
      <c r="C35" s="108"/>
      <c r="D35" s="118">
        <f t="shared" ref="D35:O35" si="6">SUM(D30:D34)</f>
        <v>0</v>
      </c>
      <c r="E35" s="118">
        <f t="shared" si="6"/>
        <v>0</v>
      </c>
      <c r="F35" s="118">
        <f t="shared" si="6"/>
        <v>0</v>
      </c>
      <c r="G35" s="118">
        <f t="shared" si="6"/>
        <v>0</v>
      </c>
      <c r="H35" s="118">
        <f t="shared" si="6"/>
        <v>0</v>
      </c>
      <c r="I35" s="118">
        <f t="shared" si="6"/>
        <v>0</v>
      </c>
      <c r="J35" s="118">
        <f t="shared" si="6"/>
        <v>0</v>
      </c>
      <c r="K35" s="118">
        <f t="shared" si="6"/>
        <v>0</v>
      </c>
      <c r="L35" s="118">
        <f t="shared" si="6"/>
        <v>0</v>
      </c>
      <c r="M35" s="118">
        <f t="shared" si="6"/>
        <v>0</v>
      </c>
      <c r="N35" s="118">
        <f t="shared" si="6"/>
        <v>0</v>
      </c>
      <c r="O35" s="118">
        <f t="shared" si="6"/>
        <v>0</v>
      </c>
      <c r="P35" s="119">
        <f t="shared" si="5"/>
        <v>0</v>
      </c>
    </row>
    <row r="36" ht="14.25" customHeight="1"/>
    <row r="37" ht="14.25" customHeight="1"/>
    <row r="38" ht="14.25" customHeight="1">
      <c r="A38" s="31" t="s">
        <v>263</v>
      </c>
    </row>
    <row r="39" ht="14.25" customHeight="1">
      <c r="A39" s="60" t="s">
        <v>264</v>
      </c>
    </row>
    <row r="40" ht="14.25" customHeight="1">
      <c r="A40" s="40" t="s">
        <v>245</v>
      </c>
      <c r="B40" s="113">
        <v>1.0</v>
      </c>
      <c r="D40" s="29" t="s">
        <v>265</v>
      </c>
    </row>
    <row r="41" ht="14.25" customHeight="1">
      <c r="A41" s="40" t="s">
        <v>247</v>
      </c>
      <c r="B41" s="113"/>
      <c r="F41" s="40" t="s">
        <v>266</v>
      </c>
    </row>
    <row r="42" ht="14.25" customHeight="1">
      <c r="A42" s="40" t="s">
        <v>249</v>
      </c>
      <c r="B42" s="113"/>
      <c r="F42" s="40" t="s">
        <v>250</v>
      </c>
      <c r="G42" s="121"/>
      <c r="H42" s="29" t="s">
        <v>267</v>
      </c>
      <c r="I42" s="29" t="s">
        <v>268</v>
      </c>
    </row>
    <row r="43" ht="14.25" customHeight="1"/>
    <row r="44" ht="14.25" customHeight="1"/>
    <row r="45" ht="14.25" customHeight="1">
      <c r="A45" s="38" t="s">
        <v>269</v>
      </c>
      <c r="B45" s="16"/>
      <c r="C45" s="16"/>
      <c r="D45" s="16"/>
      <c r="E45" s="16"/>
      <c r="F45" s="16"/>
      <c r="G45" s="16"/>
      <c r="H45" s="16"/>
      <c r="I45" s="16"/>
      <c r="J45" s="16"/>
      <c r="K45" s="16"/>
      <c r="L45" s="16"/>
      <c r="M45" s="16"/>
      <c r="N45" s="16"/>
      <c r="O45" s="16"/>
      <c r="P45" s="17"/>
    </row>
    <row r="46" ht="14.25" customHeight="1">
      <c r="A46" s="18"/>
      <c r="D46" s="19" t="s">
        <v>11</v>
      </c>
      <c r="E46" s="19" t="s">
        <v>12</v>
      </c>
      <c r="F46" s="19" t="s">
        <v>13</v>
      </c>
      <c r="G46" s="19" t="s">
        <v>14</v>
      </c>
      <c r="H46" s="19" t="s">
        <v>15</v>
      </c>
      <c r="I46" s="19" t="s">
        <v>16</v>
      </c>
      <c r="J46" s="19" t="s">
        <v>17</v>
      </c>
      <c r="K46" s="19" t="s">
        <v>18</v>
      </c>
      <c r="L46" s="19" t="s">
        <v>19</v>
      </c>
      <c r="M46" s="19" t="s">
        <v>20</v>
      </c>
      <c r="N46" s="19" t="s">
        <v>21</v>
      </c>
      <c r="O46" s="19" t="s">
        <v>22</v>
      </c>
      <c r="P46" s="20" t="s">
        <v>23</v>
      </c>
    </row>
    <row r="47" ht="14.25" customHeight="1">
      <c r="A47" s="57" t="s">
        <v>270</v>
      </c>
      <c r="B47" s="122"/>
      <c r="C47" s="122"/>
      <c r="D47" s="123">
        <f>($B$40*D15)*(1-G42/100)</f>
        <v>0</v>
      </c>
      <c r="E47" s="123">
        <f t="shared" ref="E47:O47" si="7">($B$40*E15)*(1-$G$42/100)+D48</f>
        <v>0</v>
      </c>
      <c r="F47" s="123">
        <f t="shared" si="7"/>
        <v>0</v>
      </c>
      <c r="G47" s="123">
        <f t="shared" si="7"/>
        <v>0</v>
      </c>
      <c r="H47" s="123">
        <f t="shared" si="7"/>
        <v>0</v>
      </c>
      <c r="I47" s="123">
        <f t="shared" si="7"/>
        <v>0</v>
      </c>
      <c r="J47" s="123">
        <f t="shared" si="7"/>
        <v>0</v>
      </c>
      <c r="K47" s="123">
        <f t="shared" si="7"/>
        <v>0</v>
      </c>
      <c r="L47" s="123">
        <f t="shared" si="7"/>
        <v>0</v>
      </c>
      <c r="M47" s="123">
        <f t="shared" si="7"/>
        <v>0</v>
      </c>
      <c r="N47" s="123">
        <f t="shared" si="7"/>
        <v>0</v>
      </c>
      <c r="O47" s="123">
        <f t="shared" si="7"/>
        <v>0</v>
      </c>
      <c r="P47" s="124">
        <f t="shared" ref="P47:P55" si="9">SUM(D47:O47)</f>
        <v>0</v>
      </c>
    </row>
    <row r="48" ht="14.25" customHeight="1">
      <c r="A48" s="39" t="s">
        <v>271</v>
      </c>
      <c r="D48" s="103">
        <f>$B$41*D15</f>
        <v>0</v>
      </c>
      <c r="E48" s="103">
        <f t="shared" ref="E48:O48" si="8">$B$41*E15+D49</f>
        <v>0</v>
      </c>
      <c r="F48" s="103">
        <f t="shared" si="8"/>
        <v>0</v>
      </c>
      <c r="G48" s="103">
        <f t="shared" si="8"/>
        <v>0</v>
      </c>
      <c r="H48" s="103">
        <f t="shared" si="8"/>
        <v>0</v>
      </c>
      <c r="I48" s="103">
        <f t="shared" si="8"/>
        <v>0</v>
      </c>
      <c r="J48" s="103">
        <f t="shared" si="8"/>
        <v>0</v>
      </c>
      <c r="K48" s="103">
        <f t="shared" si="8"/>
        <v>0</v>
      </c>
      <c r="L48" s="103">
        <f t="shared" si="8"/>
        <v>0</v>
      </c>
      <c r="M48" s="103">
        <f t="shared" si="8"/>
        <v>0</v>
      </c>
      <c r="N48" s="103">
        <f t="shared" si="8"/>
        <v>0</v>
      </c>
      <c r="O48" s="103">
        <f t="shared" si="8"/>
        <v>0</v>
      </c>
      <c r="P48" s="125">
        <f t="shared" si="9"/>
        <v>0</v>
      </c>
    </row>
    <row r="49" ht="14.25" customHeight="1">
      <c r="A49" s="39" t="s">
        <v>272</v>
      </c>
      <c r="D49" s="103">
        <f t="shared" ref="D49:O49" si="10">$B$42*D15</f>
        <v>0</v>
      </c>
      <c r="E49" s="103">
        <f t="shared" si="10"/>
        <v>0</v>
      </c>
      <c r="F49" s="103">
        <f t="shared" si="10"/>
        <v>0</v>
      </c>
      <c r="G49" s="103">
        <f t="shared" si="10"/>
        <v>0</v>
      </c>
      <c r="H49" s="103">
        <f t="shared" si="10"/>
        <v>0</v>
      </c>
      <c r="I49" s="103">
        <f t="shared" si="10"/>
        <v>0</v>
      </c>
      <c r="J49" s="103">
        <f t="shared" si="10"/>
        <v>0</v>
      </c>
      <c r="K49" s="103">
        <f t="shared" si="10"/>
        <v>0</v>
      </c>
      <c r="L49" s="103">
        <f t="shared" si="10"/>
        <v>0</v>
      </c>
      <c r="M49" s="103">
        <f t="shared" si="10"/>
        <v>0</v>
      </c>
      <c r="N49" s="103">
        <f t="shared" si="10"/>
        <v>0</v>
      </c>
      <c r="O49" s="103">
        <f t="shared" si="10"/>
        <v>0</v>
      </c>
      <c r="P49" s="125">
        <f t="shared" si="9"/>
        <v>0</v>
      </c>
    </row>
    <row r="50" ht="14.25" customHeight="1">
      <c r="A50" s="57" t="s">
        <v>273</v>
      </c>
      <c r="B50" s="122"/>
      <c r="C50" s="122"/>
      <c r="D50" s="123">
        <f>($B$40*D25)*(1-G42/100)</f>
        <v>0</v>
      </c>
      <c r="E50" s="123">
        <f t="shared" ref="E50:O50" si="11">($B$40*E25)*(1-$G$42/100)+D51</f>
        <v>0</v>
      </c>
      <c r="F50" s="123">
        <f t="shared" si="11"/>
        <v>0</v>
      </c>
      <c r="G50" s="123">
        <f t="shared" si="11"/>
        <v>0</v>
      </c>
      <c r="H50" s="123">
        <f t="shared" si="11"/>
        <v>0</v>
      </c>
      <c r="I50" s="123">
        <f t="shared" si="11"/>
        <v>0</v>
      </c>
      <c r="J50" s="123">
        <f t="shared" si="11"/>
        <v>0</v>
      </c>
      <c r="K50" s="123">
        <f t="shared" si="11"/>
        <v>0</v>
      </c>
      <c r="L50" s="123">
        <f t="shared" si="11"/>
        <v>0</v>
      </c>
      <c r="M50" s="123">
        <f t="shared" si="11"/>
        <v>0</v>
      </c>
      <c r="N50" s="123">
        <f t="shared" si="11"/>
        <v>0</v>
      </c>
      <c r="O50" s="123">
        <f t="shared" si="11"/>
        <v>0</v>
      </c>
      <c r="P50" s="124">
        <f t="shared" si="9"/>
        <v>0</v>
      </c>
      <c r="Q50" s="122"/>
      <c r="R50" s="122"/>
      <c r="S50" s="122"/>
      <c r="T50" s="122"/>
      <c r="U50" s="122"/>
      <c r="V50" s="122"/>
      <c r="W50" s="122"/>
      <c r="X50" s="122"/>
      <c r="Y50" s="122"/>
      <c r="Z50" s="122"/>
    </row>
    <row r="51" ht="14.25" customHeight="1">
      <c r="A51" s="39" t="s">
        <v>274</v>
      </c>
      <c r="D51" s="103">
        <f>$B$41*D25</f>
        <v>0</v>
      </c>
      <c r="E51" s="103">
        <f t="shared" ref="E51:O51" si="12">$B$41*E25+D52</f>
        <v>0</v>
      </c>
      <c r="F51" s="103">
        <f t="shared" si="12"/>
        <v>0</v>
      </c>
      <c r="G51" s="103">
        <f t="shared" si="12"/>
        <v>0</v>
      </c>
      <c r="H51" s="103">
        <f t="shared" si="12"/>
        <v>0</v>
      </c>
      <c r="I51" s="103">
        <f t="shared" si="12"/>
        <v>0</v>
      </c>
      <c r="J51" s="103">
        <f t="shared" si="12"/>
        <v>0</v>
      </c>
      <c r="K51" s="103">
        <f t="shared" si="12"/>
        <v>0</v>
      </c>
      <c r="L51" s="103">
        <f t="shared" si="12"/>
        <v>0</v>
      </c>
      <c r="M51" s="103">
        <f t="shared" si="12"/>
        <v>0</v>
      </c>
      <c r="N51" s="103">
        <f t="shared" si="12"/>
        <v>0</v>
      </c>
      <c r="O51" s="103">
        <f t="shared" si="12"/>
        <v>0</v>
      </c>
      <c r="P51" s="125">
        <f t="shared" si="9"/>
        <v>0</v>
      </c>
    </row>
    <row r="52" ht="14.25" customHeight="1">
      <c r="A52" s="39" t="s">
        <v>275</v>
      </c>
      <c r="D52" s="103">
        <f t="shared" ref="D52:O52" si="13">$B$42*D25</f>
        <v>0</v>
      </c>
      <c r="E52" s="103">
        <f t="shared" si="13"/>
        <v>0</v>
      </c>
      <c r="F52" s="103">
        <f t="shared" si="13"/>
        <v>0</v>
      </c>
      <c r="G52" s="103">
        <f t="shared" si="13"/>
        <v>0</v>
      </c>
      <c r="H52" s="103">
        <f t="shared" si="13"/>
        <v>0</v>
      </c>
      <c r="I52" s="103">
        <f t="shared" si="13"/>
        <v>0</v>
      </c>
      <c r="J52" s="103">
        <f t="shared" si="13"/>
        <v>0</v>
      </c>
      <c r="K52" s="103">
        <f t="shared" si="13"/>
        <v>0</v>
      </c>
      <c r="L52" s="103">
        <f t="shared" si="13"/>
        <v>0</v>
      </c>
      <c r="M52" s="103">
        <f t="shared" si="13"/>
        <v>0</v>
      </c>
      <c r="N52" s="103">
        <f t="shared" si="13"/>
        <v>0</v>
      </c>
      <c r="O52" s="103">
        <f t="shared" si="13"/>
        <v>0</v>
      </c>
      <c r="P52" s="125">
        <f t="shared" si="9"/>
        <v>0</v>
      </c>
    </row>
    <row r="53" ht="14.25" customHeight="1">
      <c r="A53" s="57" t="s">
        <v>276</v>
      </c>
      <c r="B53" s="122"/>
      <c r="C53" s="122"/>
      <c r="D53" s="123">
        <f>($B$40*D35)*(1-G42/100)</f>
        <v>0</v>
      </c>
      <c r="E53" s="123">
        <f t="shared" ref="E53:O53" si="14">($B$40*E35)*(1-$G$42/100)+D54</f>
        <v>0</v>
      </c>
      <c r="F53" s="123">
        <f t="shared" si="14"/>
        <v>0</v>
      </c>
      <c r="G53" s="123">
        <f t="shared" si="14"/>
        <v>0</v>
      </c>
      <c r="H53" s="123">
        <f t="shared" si="14"/>
        <v>0</v>
      </c>
      <c r="I53" s="123">
        <f t="shared" si="14"/>
        <v>0</v>
      </c>
      <c r="J53" s="123">
        <f t="shared" si="14"/>
        <v>0</v>
      </c>
      <c r="K53" s="123">
        <f t="shared" si="14"/>
        <v>0</v>
      </c>
      <c r="L53" s="123">
        <f t="shared" si="14"/>
        <v>0</v>
      </c>
      <c r="M53" s="123">
        <f t="shared" si="14"/>
        <v>0</v>
      </c>
      <c r="N53" s="123">
        <f t="shared" si="14"/>
        <v>0</v>
      </c>
      <c r="O53" s="123">
        <f t="shared" si="14"/>
        <v>0</v>
      </c>
      <c r="P53" s="124">
        <f t="shared" si="9"/>
        <v>0</v>
      </c>
      <c r="Q53" s="122"/>
      <c r="R53" s="122"/>
      <c r="S53" s="122"/>
      <c r="T53" s="122"/>
      <c r="U53" s="122"/>
      <c r="V53" s="122"/>
      <c r="W53" s="122"/>
      <c r="X53" s="122"/>
      <c r="Y53" s="122"/>
      <c r="Z53" s="122"/>
    </row>
    <row r="54" ht="14.25" customHeight="1">
      <c r="A54" s="39" t="s">
        <v>277</v>
      </c>
      <c r="D54" s="103">
        <f>$B$41*D35</f>
        <v>0</v>
      </c>
      <c r="E54" s="103">
        <f t="shared" ref="E54:O54" si="15">$B$41*E35+D55</f>
        <v>0</v>
      </c>
      <c r="F54" s="103">
        <f t="shared" si="15"/>
        <v>0</v>
      </c>
      <c r="G54" s="103">
        <f t="shared" si="15"/>
        <v>0</v>
      </c>
      <c r="H54" s="103">
        <f t="shared" si="15"/>
        <v>0</v>
      </c>
      <c r="I54" s="103">
        <f t="shared" si="15"/>
        <v>0</v>
      </c>
      <c r="J54" s="103">
        <f t="shared" si="15"/>
        <v>0</v>
      </c>
      <c r="K54" s="103">
        <f t="shared" si="15"/>
        <v>0</v>
      </c>
      <c r="L54" s="103">
        <f t="shared" si="15"/>
        <v>0</v>
      </c>
      <c r="M54" s="103">
        <f t="shared" si="15"/>
        <v>0</v>
      </c>
      <c r="N54" s="103">
        <f t="shared" si="15"/>
        <v>0</v>
      </c>
      <c r="O54" s="103">
        <f t="shared" si="15"/>
        <v>0</v>
      </c>
      <c r="P54" s="125">
        <f t="shared" si="9"/>
        <v>0</v>
      </c>
    </row>
    <row r="55" ht="14.25" customHeight="1">
      <c r="A55" s="39" t="s">
        <v>278</v>
      </c>
      <c r="D55" s="103">
        <f t="shared" ref="D55:O55" si="16">$B$42*D35</f>
        <v>0</v>
      </c>
      <c r="E55" s="103">
        <f t="shared" si="16"/>
        <v>0</v>
      </c>
      <c r="F55" s="103">
        <f t="shared" si="16"/>
        <v>0</v>
      </c>
      <c r="G55" s="103">
        <f t="shared" si="16"/>
        <v>0</v>
      </c>
      <c r="H55" s="103">
        <f t="shared" si="16"/>
        <v>0</v>
      </c>
      <c r="I55" s="103">
        <f t="shared" si="16"/>
        <v>0</v>
      </c>
      <c r="J55" s="103">
        <f t="shared" si="16"/>
        <v>0</v>
      </c>
      <c r="K55" s="103">
        <f t="shared" si="16"/>
        <v>0</v>
      </c>
      <c r="L55" s="103">
        <f t="shared" si="16"/>
        <v>0</v>
      </c>
      <c r="M55" s="103">
        <f t="shared" si="16"/>
        <v>0</v>
      </c>
      <c r="N55" s="103">
        <f t="shared" si="16"/>
        <v>0</v>
      </c>
      <c r="O55" s="103">
        <f t="shared" si="16"/>
        <v>0</v>
      </c>
      <c r="P55" s="125">
        <f t="shared" si="9"/>
        <v>0</v>
      </c>
    </row>
    <row r="56" ht="14.25" customHeight="1">
      <c r="A56" s="51" t="s">
        <v>279</v>
      </c>
      <c r="B56" s="126"/>
      <c r="C56" s="126"/>
      <c r="D56" s="127">
        <f t="shared" ref="D56:O56" si="17">D48+D49+D51+D52+D54+D55</f>
        <v>0</v>
      </c>
      <c r="E56" s="127">
        <f t="shared" si="17"/>
        <v>0</v>
      </c>
      <c r="F56" s="127">
        <f t="shared" si="17"/>
        <v>0</v>
      </c>
      <c r="G56" s="127">
        <f t="shared" si="17"/>
        <v>0</v>
      </c>
      <c r="H56" s="127">
        <f t="shared" si="17"/>
        <v>0</v>
      </c>
      <c r="I56" s="127">
        <f t="shared" si="17"/>
        <v>0</v>
      </c>
      <c r="J56" s="127">
        <f t="shared" si="17"/>
        <v>0</v>
      </c>
      <c r="K56" s="127">
        <f t="shared" si="17"/>
        <v>0</v>
      </c>
      <c r="L56" s="127">
        <f t="shared" si="17"/>
        <v>0</v>
      </c>
      <c r="M56" s="127">
        <f t="shared" si="17"/>
        <v>0</v>
      </c>
      <c r="N56" s="127">
        <f t="shared" si="17"/>
        <v>0</v>
      </c>
      <c r="O56" s="127">
        <f t="shared" si="17"/>
        <v>0</v>
      </c>
      <c r="P56" s="128"/>
      <c r="Q56" s="122"/>
      <c r="R56" s="122"/>
      <c r="S56" s="122"/>
      <c r="T56" s="122"/>
      <c r="U56" s="122"/>
      <c r="V56" s="122"/>
      <c r="W56" s="122"/>
      <c r="X56" s="122"/>
      <c r="Y56" s="122"/>
      <c r="Z56" s="122"/>
    </row>
    <row r="57" ht="14.25" customHeight="1"/>
    <row r="58" ht="14.25" customHeight="1">
      <c r="A58" s="40" t="s">
        <v>280</v>
      </c>
      <c r="D58" s="53">
        <f t="shared" ref="D58:O58" si="18">(D15)*$B$40*($G$42/100)</f>
        <v>0</v>
      </c>
      <c r="E58" s="53">
        <f t="shared" si="18"/>
        <v>0</v>
      </c>
      <c r="F58" s="53">
        <f t="shared" si="18"/>
        <v>0</v>
      </c>
      <c r="G58" s="53">
        <f t="shared" si="18"/>
        <v>0</v>
      </c>
      <c r="H58" s="53">
        <f t="shared" si="18"/>
        <v>0</v>
      </c>
      <c r="I58" s="53">
        <f t="shared" si="18"/>
        <v>0</v>
      </c>
      <c r="J58" s="53">
        <f t="shared" si="18"/>
        <v>0</v>
      </c>
      <c r="K58" s="53">
        <f t="shared" si="18"/>
        <v>0</v>
      </c>
      <c r="L58" s="53">
        <f t="shared" si="18"/>
        <v>0</v>
      </c>
      <c r="M58" s="53">
        <f t="shared" si="18"/>
        <v>0</v>
      </c>
      <c r="N58" s="53">
        <f t="shared" si="18"/>
        <v>0</v>
      </c>
      <c r="O58" s="53">
        <f t="shared" si="18"/>
        <v>0</v>
      </c>
      <c r="P58" s="53">
        <f t="shared" ref="P58:P60" si="20">SUM(D58:O58)</f>
        <v>0</v>
      </c>
    </row>
    <row r="59" ht="14.25" customHeight="1">
      <c r="A59" s="40" t="s">
        <v>281</v>
      </c>
      <c r="D59" s="53">
        <f t="shared" ref="D59:O59" si="19">D25*$B$40*($G$42/100)</f>
        <v>0</v>
      </c>
      <c r="E59" s="53">
        <f t="shared" si="19"/>
        <v>0</v>
      </c>
      <c r="F59" s="53">
        <f t="shared" si="19"/>
        <v>0</v>
      </c>
      <c r="G59" s="53">
        <f t="shared" si="19"/>
        <v>0</v>
      </c>
      <c r="H59" s="53">
        <f t="shared" si="19"/>
        <v>0</v>
      </c>
      <c r="I59" s="53">
        <f t="shared" si="19"/>
        <v>0</v>
      </c>
      <c r="J59" s="53">
        <f t="shared" si="19"/>
        <v>0</v>
      </c>
      <c r="K59" s="53">
        <f t="shared" si="19"/>
        <v>0</v>
      </c>
      <c r="L59" s="53">
        <f t="shared" si="19"/>
        <v>0</v>
      </c>
      <c r="M59" s="53">
        <f t="shared" si="19"/>
        <v>0</v>
      </c>
      <c r="N59" s="53">
        <f t="shared" si="19"/>
        <v>0</v>
      </c>
      <c r="O59" s="53">
        <f t="shared" si="19"/>
        <v>0</v>
      </c>
      <c r="P59" s="53">
        <f t="shared" si="20"/>
        <v>0</v>
      </c>
    </row>
    <row r="60" ht="14.25" customHeight="1">
      <c r="A60" s="40" t="s">
        <v>282</v>
      </c>
      <c r="D60" s="53">
        <f t="shared" ref="D60:O60" si="21">D35*$B$40*($G$42/100)</f>
        <v>0</v>
      </c>
      <c r="E60" s="53">
        <f t="shared" si="21"/>
        <v>0</v>
      </c>
      <c r="F60" s="53">
        <f t="shared" si="21"/>
        <v>0</v>
      </c>
      <c r="G60" s="53">
        <f t="shared" si="21"/>
        <v>0</v>
      </c>
      <c r="H60" s="53">
        <f t="shared" si="21"/>
        <v>0</v>
      </c>
      <c r="I60" s="53">
        <f t="shared" si="21"/>
        <v>0</v>
      </c>
      <c r="J60" s="53">
        <f t="shared" si="21"/>
        <v>0</v>
      </c>
      <c r="K60" s="53">
        <f t="shared" si="21"/>
        <v>0</v>
      </c>
      <c r="L60" s="53">
        <f t="shared" si="21"/>
        <v>0</v>
      </c>
      <c r="M60" s="53">
        <f t="shared" si="21"/>
        <v>0</v>
      </c>
      <c r="N60" s="53">
        <f t="shared" si="21"/>
        <v>0</v>
      </c>
      <c r="O60" s="53">
        <f t="shared" si="21"/>
        <v>0</v>
      </c>
      <c r="P60" s="53">
        <f t="shared" si="20"/>
        <v>0</v>
      </c>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G5"/>
    <mergeCell ref="B15:C15"/>
    <mergeCell ref="B25:C25"/>
    <mergeCell ref="C26:D26"/>
    <mergeCell ref="B35:C35"/>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13" width="10.71"/>
    <col customWidth="1" min="14" max="14" width="13.43"/>
    <col customWidth="1" min="15" max="26" width="9.14"/>
  </cols>
  <sheetData>
    <row r="1" ht="14.25" customHeight="1">
      <c r="B1" s="40" t="s">
        <v>11</v>
      </c>
      <c r="C1" s="40" t="s">
        <v>12</v>
      </c>
      <c r="D1" s="40" t="s">
        <v>13</v>
      </c>
      <c r="E1" s="40" t="s">
        <v>14</v>
      </c>
      <c r="F1" s="40" t="s">
        <v>15</v>
      </c>
      <c r="G1" s="40" t="s">
        <v>16</v>
      </c>
      <c r="H1" s="40" t="s">
        <v>17</v>
      </c>
      <c r="I1" s="40" t="s">
        <v>18</v>
      </c>
      <c r="J1" s="40" t="s">
        <v>19</v>
      </c>
      <c r="K1" s="40" t="s">
        <v>20</v>
      </c>
      <c r="L1" s="40" t="s">
        <v>21</v>
      </c>
      <c r="M1" s="40" t="s">
        <v>22</v>
      </c>
      <c r="N1" s="40" t="s">
        <v>23</v>
      </c>
    </row>
    <row r="2" ht="14.25" customHeight="1">
      <c r="A2" s="129" t="s">
        <v>283</v>
      </c>
      <c r="B2" s="130">
        <f>'10.FINANCIACION TOTAL'!B15</f>
        <v>14744.96701</v>
      </c>
      <c r="C2" s="130">
        <f t="shared" ref="C2:M2" si="1">B26</f>
        <v>13208.66722</v>
      </c>
      <c r="D2" s="130">
        <f t="shared" si="1"/>
        <v>11672.36743</v>
      </c>
      <c r="E2" s="130">
        <f t="shared" si="1"/>
        <v>9876.067636</v>
      </c>
      <c r="F2" s="130">
        <f t="shared" si="1"/>
        <v>8139.767845</v>
      </c>
      <c r="G2" s="130">
        <f t="shared" si="1"/>
        <v>6803.468055</v>
      </c>
      <c r="H2" s="130">
        <f t="shared" si="1"/>
        <v>5407.168264</v>
      </c>
      <c r="I2" s="130">
        <f t="shared" si="1"/>
        <v>4870.868473</v>
      </c>
      <c r="J2" s="130">
        <f t="shared" si="1"/>
        <v>4334.568682</v>
      </c>
      <c r="K2" s="130">
        <f t="shared" si="1"/>
        <v>3738.268892</v>
      </c>
      <c r="L2" s="130">
        <f t="shared" si="1"/>
        <v>3201.969101</v>
      </c>
      <c r="M2" s="130">
        <f t="shared" si="1"/>
        <v>3465.66931</v>
      </c>
      <c r="N2" s="130">
        <f t="shared" ref="N2:N25" si="3">SUM(B2:M2)</f>
        <v>89463.81791</v>
      </c>
      <c r="O2" s="60"/>
      <c r="P2" s="60"/>
      <c r="Q2" s="60"/>
      <c r="R2" s="60"/>
      <c r="S2" s="60"/>
      <c r="T2" s="60"/>
      <c r="U2" s="60"/>
      <c r="V2" s="60"/>
      <c r="W2" s="60"/>
      <c r="X2" s="60"/>
      <c r="Y2" s="60"/>
      <c r="Z2" s="60"/>
    </row>
    <row r="3" ht="14.25" customHeight="1">
      <c r="A3" s="131" t="s">
        <v>284</v>
      </c>
      <c r="B3" s="132">
        <f t="shared" ref="B3:M3" si="2">SUM(B4)</f>
        <v>1000</v>
      </c>
      <c r="C3" s="132">
        <f t="shared" si="2"/>
        <v>1000</v>
      </c>
      <c r="D3" s="132">
        <f t="shared" si="2"/>
        <v>800</v>
      </c>
      <c r="E3" s="132">
        <f t="shared" si="2"/>
        <v>800</v>
      </c>
      <c r="F3" s="132">
        <f t="shared" si="2"/>
        <v>1200</v>
      </c>
      <c r="G3" s="132">
        <f t="shared" si="2"/>
        <v>1200</v>
      </c>
      <c r="H3" s="132">
        <f t="shared" si="2"/>
        <v>2000</v>
      </c>
      <c r="I3" s="132">
        <f t="shared" si="2"/>
        <v>2000</v>
      </c>
      <c r="J3" s="132">
        <f t="shared" si="2"/>
        <v>2000</v>
      </c>
      <c r="K3" s="132">
        <f t="shared" si="2"/>
        <v>2000</v>
      </c>
      <c r="L3" s="132">
        <f t="shared" si="2"/>
        <v>2800</v>
      </c>
      <c r="M3" s="132">
        <f t="shared" si="2"/>
        <v>3200</v>
      </c>
      <c r="N3" s="132">
        <f t="shared" si="3"/>
        <v>20000</v>
      </c>
      <c r="O3" s="60"/>
      <c r="P3" s="60"/>
      <c r="Q3" s="60"/>
      <c r="R3" s="60"/>
      <c r="S3" s="60"/>
      <c r="T3" s="60"/>
      <c r="U3" s="60"/>
      <c r="V3" s="60"/>
      <c r="W3" s="60"/>
      <c r="X3" s="60"/>
      <c r="Y3" s="60"/>
      <c r="Z3" s="60"/>
    </row>
    <row r="4" ht="14.25" customHeight="1">
      <c r="A4" s="25" t="s">
        <v>285</v>
      </c>
      <c r="B4" s="133">
        <f>'11.INGRESOS'!D42</f>
        <v>1000</v>
      </c>
      <c r="C4" s="133">
        <f>'11.INGRESOS'!E42</f>
        <v>1000</v>
      </c>
      <c r="D4" s="133">
        <f>'11.INGRESOS'!F42</f>
        <v>800</v>
      </c>
      <c r="E4" s="133">
        <f>'11.INGRESOS'!G42</f>
        <v>800</v>
      </c>
      <c r="F4" s="133">
        <f>'11.INGRESOS'!H42</f>
        <v>1200</v>
      </c>
      <c r="G4" s="133">
        <f>'11.INGRESOS'!I42</f>
        <v>1200</v>
      </c>
      <c r="H4" s="133">
        <f>'11.INGRESOS'!J42</f>
        <v>2000</v>
      </c>
      <c r="I4" s="133">
        <f>'11.INGRESOS'!K42</f>
        <v>2000</v>
      </c>
      <c r="J4" s="133">
        <f>'11.INGRESOS'!L42</f>
        <v>2000</v>
      </c>
      <c r="K4" s="133">
        <f>'11.INGRESOS'!M42</f>
        <v>2000</v>
      </c>
      <c r="L4" s="133">
        <f>'11.INGRESOS'!N42</f>
        <v>2800</v>
      </c>
      <c r="M4" s="133">
        <f>'11.INGRESOS'!O42</f>
        <v>3200</v>
      </c>
      <c r="N4" s="132">
        <f t="shared" si="3"/>
        <v>20000</v>
      </c>
    </row>
    <row r="5" ht="14.25" customHeight="1">
      <c r="A5" s="134" t="s">
        <v>286</v>
      </c>
      <c r="B5" s="135">
        <f t="shared" ref="B5:M5" si="4">SUM(B6:B25)</f>
        <v>2536.299791</v>
      </c>
      <c r="C5" s="135">
        <f t="shared" si="4"/>
        <v>2536.299791</v>
      </c>
      <c r="D5" s="135">
        <f t="shared" si="4"/>
        <v>2596.299791</v>
      </c>
      <c r="E5" s="135">
        <f t="shared" si="4"/>
        <v>2536.299791</v>
      </c>
      <c r="F5" s="135">
        <f t="shared" si="4"/>
        <v>2536.299791</v>
      </c>
      <c r="G5" s="135">
        <f t="shared" si="4"/>
        <v>2596.299791</v>
      </c>
      <c r="H5" s="135">
        <f t="shared" si="4"/>
        <v>2536.299791</v>
      </c>
      <c r="I5" s="135">
        <f t="shared" si="4"/>
        <v>2536.299791</v>
      </c>
      <c r="J5" s="135">
        <f t="shared" si="4"/>
        <v>2596.299791</v>
      </c>
      <c r="K5" s="135">
        <f t="shared" si="4"/>
        <v>2536.299791</v>
      </c>
      <c r="L5" s="135">
        <f t="shared" si="4"/>
        <v>2536.299791</v>
      </c>
      <c r="M5" s="135">
        <f t="shared" si="4"/>
        <v>2596.299791</v>
      </c>
      <c r="N5" s="135">
        <f t="shared" si="3"/>
        <v>30675.59749</v>
      </c>
      <c r="O5" s="60"/>
      <c r="P5" s="60"/>
      <c r="Q5" s="60"/>
      <c r="R5" s="60"/>
      <c r="S5" s="60"/>
      <c r="T5" s="60"/>
      <c r="U5" s="60"/>
      <c r="V5" s="60"/>
      <c r="W5" s="60"/>
      <c r="X5" s="60"/>
      <c r="Y5" s="60"/>
      <c r="Z5" s="60"/>
    </row>
    <row r="6" ht="14.25" customHeight="1">
      <c r="A6" s="136" t="s">
        <v>287</v>
      </c>
      <c r="B6" s="137">
        <f>'12.GASTOS'!D47</f>
        <v>0</v>
      </c>
      <c r="C6" s="137">
        <f>'12.GASTOS'!E47</f>
        <v>0</v>
      </c>
      <c r="D6" s="137">
        <f>'12.GASTOS'!F47</f>
        <v>0</v>
      </c>
      <c r="E6" s="137">
        <f>'12.GASTOS'!G47</f>
        <v>0</v>
      </c>
      <c r="F6" s="137">
        <f>'12.GASTOS'!H47</f>
        <v>0</v>
      </c>
      <c r="G6" s="137">
        <f>'12.GASTOS'!I47</f>
        <v>0</v>
      </c>
      <c r="H6" s="137">
        <f>'12.GASTOS'!J47</f>
        <v>0</v>
      </c>
      <c r="I6" s="137">
        <f>'12.GASTOS'!K47</f>
        <v>0</v>
      </c>
      <c r="J6" s="137">
        <f>'12.GASTOS'!L47</f>
        <v>0</v>
      </c>
      <c r="K6" s="137">
        <f>'12.GASTOS'!M47</f>
        <v>0</v>
      </c>
      <c r="L6" s="137">
        <f>'12.GASTOS'!N47</f>
        <v>0</v>
      </c>
      <c r="M6" s="137">
        <f>'12.GASTOS'!O47</f>
        <v>0</v>
      </c>
      <c r="N6" s="135">
        <f t="shared" si="3"/>
        <v>0</v>
      </c>
    </row>
    <row r="7" ht="14.25" customHeight="1">
      <c r="A7" s="136" t="s">
        <v>288</v>
      </c>
      <c r="B7" s="137">
        <f>'12.GASTOS'!D50</f>
        <v>0</v>
      </c>
      <c r="C7" s="137">
        <f>'12.GASTOS'!E50</f>
        <v>0</v>
      </c>
      <c r="D7" s="137">
        <f>'12.GASTOS'!F50</f>
        <v>0</v>
      </c>
      <c r="E7" s="137">
        <f>'12.GASTOS'!G50</f>
        <v>0</v>
      </c>
      <c r="F7" s="137">
        <f>'12.GASTOS'!H50</f>
        <v>0</v>
      </c>
      <c r="G7" s="137">
        <f>'12.GASTOS'!I50</f>
        <v>0</v>
      </c>
      <c r="H7" s="137">
        <f>'12.GASTOS'!J50</f>
        <v>0</v>
      </c>
      <c r="I7" s="137">
        <f>'12.GASTOS'!K50</f>
        <v>0</v>
      </c>
      <c r="J7" s="137">
        <f>'12.GASTOS'!L50</f>
        <v>0</v>
      </c>
      <c r="K7" s="137">
        <f>'12.GASTOS'!M50</f>
        <v>0</v>
      </c>
      <c r="L7" s="137">
        <f>'12.GASTOS'!N50</f>
        <v>0</v>
      </c>
      <c r="M7" s="137">
        <f>'12.GASTOS'!O50</f>
        <v>0</v>
      </c>
      <c r="N7" s="135">
        <f t="shared" si="3"/>
        <v>0</v>
      </c>
    </row>
    <row r="8" ht="14.25" customHeight="1">
      <c r="A8" s="136" t="s">
        <v>289</v>
      </c>
      <c r="B8" s="137">
        <f>'12.GASTOS'!D53</f>
        <v>0</v>
      </c>
      <c r="C8" s="137">
        <f>'12.GASTOS'!E53</f>
        <v>0</v>
      </c>
      <c r="D8" s="137">
        <f>'12.GASTOS'!F53</f>
        <v>0</v>
      </c>
      <c r="E8" s="137">
        <f>'12.GASTOS'!G53</f>
        <v>0</v>
      </c>
      <c r="F8" s="137">
        <f>'12.GASTOS'!H53</f>
        <v>0</v>
      </c>
      <c r="G8" s="137">
        <f>'12.GASTOS'!I53</f>
        <v>0</v>
      </c>
      <c r="H8" s="137">
        <f>'12.GASTOS'!J53</f>
        <v>0</v>
      </c>
      <c r="I8" s="137">
        <f>'12.GASTOS'!K53</f>
        <v>0</v>
      </c>
      <c r="J8" s="137">
        <f>'12.GASTOS'!L53</f>
        <v>0</v>
      </c>
      <c r="K8" s="137">
        <f>'12.GASTOS'!M53</f>
        <v>0</v>
      </c>
      <c r="L8" s="137">
        <f>'12.GASTOS'!N53</f>
        <v>0</v>
      </c>
      <c r="M8" s="137">
        <f>'12.GASTOS'!O53</f>
        <v>0</v>
      </c>
      <c r="N8" s="135">
        <f t="shared" si="3"/>
        <v>0</v>
      </c>
    </row>
    <row r="9" ht="14.25" customHeight="1">
      <c r="A9" s="136" t="s">
        <v>65</v>
      </c>
      <c r="B9" s="137">
        <f>'6.INVERSIONES + GASTOS'!$F$6</f>
        <v>500</v>
      </c>
      <c r="C9" s="137">
        <f>'6.INVERSIONES + GASTOS'!$F$6</f>
        <v>500</v>
      </c>
      <c r="D9" s="137">
        <f>'6.INVERSIONES + GASTOS'!$F$6</f>
        <v>500</v>
      </c>
      <c r="E9" s="137">
        <f>'6.INVERSIONES + GASTOS'!$F$6</f>
        <v>500</v>
      </c>
      <c r="F9" s="137">
        <f>'6.INVERSIONES + GASTOS'!$F$6</f>
        <v>500</v>
      </c>
      <c r="G9" s="137">
        <f>'6.INVERSIONES + GASTOS'!$F$6</f>
        <v>500</v>
      </c>
      <c r="H9" s="137">
        <f>'6.INVERSIONES + GASTOS'!$F$6</f>
        <v>500</v>
      </c>
      <c r="I9" s="137">
        <f>'6.INVERSIONES + GASTOS'!$F$6</f>
        <v>500</v>
      </c>
      <c r="J9" s="137">
        <f>'6.INVERSIONES + GASTOS'!$F$6</f>
        <v>500</v>
      </c>
      <c r="K9" s="137">
        <f>'6.INVERSIONES + GASTOS'!$F$6</f>
        <v>500</v>
      </c>
      <c r="L9" s="137">
        <f>'6.INVERSIONES + GASTOS'!$F$6</f>
        <v>500</v>
      </c>
      <c r="M9" s="137">
        <f>'6.INVERSIONES + GASTOS'!$F$6</f>
        <v>500</v>
      </c>
      <c r="N9" s="135">
        <f t="shared" si="3"/>
        <v>6000</v>
      </c>
    </row>
    <row r="10" ht="14.25" customHeight="1">
      <c r="A10" s="136" t="s">
        <v>68</v>
      </c>
      <c r="B10" s="137">
        <f>'2.COSTES SALARIALES'!B36</f>
        <v>0</v>
      </c>
      <c r="C10" s="137">
        <f>'2.COSTES SALARIALES'!C36</f>
        <v>0</v>
      </c>
      <c r="D10" s="137">
        <f>'2.COSTES SALARIALES'!D36</f>
        <v>0</v>
      </c>
      <c r="E10" s="137">
        <f>'2.COSTES SALARIALES'!E36</f>
        <v>0</v>
      </c>
      <c r="F10" s="137">
        <f>'2.COSTES SALARIALES'!F36</f>
        <v>0</v>
      </c>
      <c r="G10" s="137">
        <f>'2.COSTES SALARIALES'!G36</f>
        <v>0</v>
      </c>
      <c r="H10" s="137">
        <f>'2.COSTES SALARIALES'!H36</f>
        <v>0</v>
      </c>
      <c r="I10" s="137">
        <f>'2.COSTES SALARIALES'!I36</f>
        <v>0</v>
      </c>
      <c r="J10" s="137">
        <f>'2.COSTES SALARIALES'!J36</f>
        <v>0</v>
      </c>
      <c r="K10" s="137">
        <f>'2.COSTES SALARIALES'!K36</f>
        <v>0</v>
      </c>
      <c r="L10" s="137">
        <f>'2.COSTES SALARIALES'!L36</f>
        <v>0</v>
      </c>
      <c r="M10" s="137">
        <f>'2.COSTES SALARIALES'!M36</f>
        <v>0</v>
      </c>
      <c r="N10" s="135">
        <f t="shared" si="3"/>
        <v>0</v>
      </c>
    </row>
    <row r="11" ht="14.25" customHeight="1">
      <c r="A11" s="136" t="s">
        <v>70</v>
      </c>
      <c r="B11" s="137">
        <f>'2.COSTES SALARIALES'!B37</f>
        <v>0</v>
      </c>
      <c r="C11" s="137">
        <f>'2.COSTES SALARIALES'!C37</f>
        <v>0</v>
      </c>
      <c r="D11" s="137">
        <f>'2.COSTES SALARIALES'!D37</f>
        <v>0</v>
      </c>
      <c r="E11" s="137">
        <f>'2.COSTES SALARIALES'!E37</f>
        <v>0</v>
      </c>
      <c r="F11" s="137">
        <f>'2.COSTES SALARIALES'!F37</f>
        <v>0</v>
      </c>
      <c r="G11" s="137">
        <f>'2.COSTES SALARIALES'!G37</f>
        <v>0</v>
      </c>
      <c r="H11" s="137">
        <f>'2.COSTES SALARIALES'!H37</f>
        <v>0</v>
      </c>
      <c r="I11" s="137">
        <f>'2.COSTES SALARIALES'!I37</f>
        <v>0</v>
      </c>
      <c r="J11" s="137">
        <f>'2.COSTES SALARIALES'!J37</f>
        <v>0</v>
      </c>
      <c r="K11" s="137">
        <f>'2.COSTES SALARIALES'!K37</f>
        <v>0</v>
      </c>
      <c r="L11" s="137">
        <f>'2.COSTES SALARIALES'!L37</f>
        <v>0</v>
      </c>
      <c r="M11" s="137">
        <f>'2.COSTES SALARIALES'!M37</f>
        <v>0</v>
      </c>
      <c r="N11" s="135">
        <f t="shared" si="3"/>
        <v>0</v>
      </c>
    </row>
    <row r="12" ht="14.25" customHeight="1">
      <c r="A12" s="136" t="s">
        <v>72</v>
      </c>
      <c r="B12" s="137">
        <f>'2.COSTES SALARIALES'!B38</f>
        <v>80</v>
      </c>
      <c r="C12" s="137">
        <f>'2.COSTES SALARIALES'!C38</f>
        <v>80</v>
      </c>
      <c r="D12" s="137">
        <f>'2.COSTES SALARIALES'!D38</f>
        <v>80</v>
      </c>
      <c r="E12" s="137">
        <f>'2.COSTES SALARIALES'!E38</f>
        <v>80</v>
      </c>
      <c r="F12" s="137">
        <f>'2.COSTES SALARIALES'!F38</f>
        <v>80</v>
      </c>
      <c r="G12" s="137">
        <f>'2.COSTES SALARIALES'!G38</f>
        <v>80</v>
      </c>
      <c r="H12" s="137">
        <f>'2.COSTES SALARIALES'!H38</f>
        <v>80</v>
      </c>
      <c r="I12" s="137">
        <f>'2.COSTES SALARIALES'!I38</f>
        <v>80</v>
      </c>
      <c r="J12" s="137">
        <f>'2.COSTES SALARIALES'!J38</f>
        <v>80</v>
      </c>
      <c r="K12" s="137">
        <f>'2.COSTES SALARIALES'!K38</f>
        <v>80</v>
      </c>
      <c r="L12" s="137">
        <f>'2.COSTES SALARIALES'!L38</f>
        <v>80</v>
      </c>
      <c r="M12" s="137">
        <f>'2.COSTES SALARIALES'!M38</f>
        <v>80</v>
      </c>
      <c r="N12" s="135">
        <f t="shared" si="3"/>
        <v>960</v>
      </c>
    </row>
    <row r="13" ht="14.25" customHeight="1">
      <c r="A13" s="136" t="s">
        <v>290</v>
      </c>
      <c r="B13" s="137">
        <f>'2.COSTES SALARIALES'!B39</f>
        <v>1300</v>
      </c>
      <c r="C13" s="137">
        <f>'2.COSTES SALARIALES'!C39</f>
        <v>1300</v>
      </c>
      <c r="D13" s="137">
        <f>'2.COSTES SALARIALES'!D39</f>
        <v>1300</v>
      </c>
      <c r="E13" s="137">
        <f>'2.COSTES SALARIALES'!E39</f>
        <v>1300</v>
      </c>
      <c r="F13" s="137">
        <f>'2.COSTES SALARIALES'!F39</f>
        <v>1300</v>
      </c>
      <c r="G13" s="137">
        <f>'2.COSTES SALARIALES'!G39</f>
        <v>1300</v>
      </c>
      <c r="H13" s="137">
        <f>'2.COSTES SALARIALES'!H39</f>
        <v>1300</v>
      </c>
      <c r="I13" s="137">
        <f>'2.COSTES SALARIALES'!I39</f>
        <v>1300</v>
      </c>
      <c r="J13" s="137">
        <f>'2.COSTES SALARIALES'!J39</f>
        <v>1300</v>
      </c>
      <c r="K13" s="137">
        <f>'2.COSTES SALARIALES'!K39</f>
        <v>1300</v>
      </c>
      <c r="L13" s="137">
        <f>'2.COSTES SALARIALES'!L39</f>
        <v>1300</v>
      </c>
      <c r="M13" s="137">
        <f>'2.COSTES SALARIALES'!M39</f>
        <v>1300</v>
      </c>
      <c r="N13" s="135">
        <f t="shared" si="3"/>
        <v>15600</v>
      </c>
    </row>
    <row r="14" ht="14.25" customHeight="1">
      <c r="A14" s="136" t="s">
        <v>73</v>
      </c>
      <c r="B14" s="137">
        <f>'6.INVERSIONES + GASTOS'!$F$10</f>
        <v>35</v>
      </c>
      <c r="C14" s="137">
        <f>'6.INVERSIONES + GASTOS'!$F$10</f>
        <v>35</v>
      </c>
      <c r="D14" s="137">
        <f>'6.INVERSIONES + GASTOS'!$F$10</f>
        <v>35</v>
      </c>
      <c r="E14" s="137">
        <f>'6.INVERSIONES + GASTOS'!$F$10</f>
        <v>35</v>
      </c>
      <c r="F14" s="137">
        <f>'6.INVERSIONES + GASTOS'!$F$10</f>
        <v>35</v>
      </c>
      <c r="G14" s="137">
        <f>'6.INVERSIONES + GASTOS'!$F$10</f>
        <v>35</v>
      </c>
      <c r="H14" s="137">
        <f>'6.INVERSIONES + GASTOS'!$F$10</f>
        <v>35</v>
      </c>
      <c r="I14" s="137">
        <f>'6.INVERSIONES + GASTOS'!$F$10</f>
        <v>35</v>
      </c>
      <c r="J14" s="137">
        <f>'6.INVERSIONES + GASTOS'!$F$10</f>
        <v>35</v>
      </c>
      <c r="K14" s="137">
        <f>'6.INVERSIONES + GASTOS'!$F$10</f>
        <v>35</v>
      </c>
      <c r="L14" s="137">
        <f>'6.INVERSIONES + GASTOS'!$F$10</f>
        <v>35</v>
      </c>
      <c r="M14" s="137">
        <f>'6.INVERSIONES + GASTOS'!$F$10</f>
        <v>35</v>
      </c>
      <c r="N14" s="135">
        <f t="shared" si="3"/>
        <v>420</v>
      </c>
    </row>
    <row r="15" ht="14.25" customHeight="1">
      <c r="A15" s="136" t="s">
        <v>74</v>
      </c>
      <c r="B15" s="137"/>
      <c r="C15" s="137"/>
      <c r="D15" s="137">
        <f>3*'6.INVERSIONES + GASTOS'!F11</f>
        <v>60</v>
      </c>
      <c r="E15" s="137"/>
      <c r="F15" s="137"/>
      <c r="G15" s="137">
        <f>3*'6.INVERSIONES + GASTOS'!F11</f>
        <v>60</v>
      </c>
      <c r="H15" s="137"/>
      <c r="I15" s="137"/>
      <c r="J15" s="137">
        <f>3*'6.INVERSIONES + GASTOS'!F11</f>
        <v>60</v>
      </c>
      <c r="K15" s="137"/>
      <c r="L15" s="137"/>
      <c r="M15" s="137">
        <f>3*'6.INVERSIONES + GASTOS'!F11</f>
        <v>60</v>
      </c>
      <c r="N15" s="135">
        <f t="shared" si="3"/>
        <v>240</v>
      </c>
    </row>
    <row r="16" ht="14.25" customHeight="1">
      <c r="A16" s="136" t="s">
        <v>75</v>
      </c>
      <c r="B16" s="137">
        <f>'6.INVERSIONES + GASTOS'!$F$12</f>
        <v>40</v>
      </c>
      <c r="C16" s="137">
        <f>'6.INVERSIONES + GASTOS'!$F$12</f>
        <v>40</v>
      </c>
      <c r="D16" s="137">
        <f>'6.INVERSIONES + GASTOS'!$F$12</f>
        <v>40</v>
      </c>
      <c r="E16" s="137">
        <f>'6.INVERSIONES + GASTOS'!$F$12</f>
        <v>40</v>
      </c>
      <c r="F16" s="137">
        <f>'6.INVERSIONES + GASTOS'!$F$12</f>
        <v>40</v>
      </c>
      <c r="G16" s="137">
        <f>'6.INVERSIONES + GASTOS'!$F$12</f>
        <v>40</v>
      </c>
      <c r="H16" s="137">
        <f>'6.INVERSIONES + GASTOS'!$F$12</f>
        <v>40</v>
      </c>
      <c r="I16" s="137">
        <f>'6.INVERSIONES + GASTOS'!$F$12</f>
        <v>40</v>
      </c>
      <c r="J16" s="137">
        <f>'6.INVERSIONES + GASTOS'!$F$12</f>
        <v>40</v>
      </c>
      <c r="K16" s="137">
        <f>'6.INVERSIONES + GASTOS'!$F$12</f>
        <v>40</v>
      </c>
      <c r="L16" s="137">
        <f>'6.INVERSIONES + GASTOS'!$F$12</f>
        <v>40</v>
      </c>
      <c r="M16" s="137">
        <f>'6.INVERSIONES + GASTOS'!$F$12</f>
        <v>40</v>
      </c>
      <c r="N16" s="135">
        <f t="shared" si="3"/>
        <v>480</v>
      </c>
    </row>
    <row r="17" ht="14.25" customHeight="1">
      <c r="A17" s="136" t="s">
        <v>77</v>
      </c>
      <c r="B17" s="137">
        <f>'6.INVERSIONES + GASTOS'!$F$13</f>
        <v>200</v>
      </c>
      <c r="C17" s="137">
        <f>'6.INVERSIONES + GASTOS'!$F$13</f>
        <v>200</v>
      </c>
      <c r="D17" s="137">
        <f>'6.INVERSIONES + GASTOS'!$F$13</f>
        <v>200</v>
      </c>
      <c r="E17" s="137">
        <f>'6.INVERSIONES + GASTOS'!$F$13</f>
        <v>200</v>
      </c>
      <c r="F17" s="137">
        <f>'6.INVERSIONES + GASTOS'!$F$13</f>
        <v>200</v>
      </c>
      <c r="G17" s="137">
        <f>'6.INVERSIONES + GASTOS'!$F$13</f>
        <v>200</v>
      </c>
      <c r="H17" s="137">
        <f>'6.INVERSIONES + GASTOS'!$F$13</f>
        <v>200</v>
      </c>
      <c r="I17" s="137">
        <f>'6.INVERSIONES + GASTOS'!$F$13</f>
        <v>200</v>
      </c>
      <c r="J17" s="137">
        <f>'6.INVERSIONES + GASTOS'!$F$13</f>
        <v>200</v>
      </c>
      <c r="K17" s="137">
        <f>'6.INVERSIONES + GASTOS'!$F$13</f>
        <v>200</v>
      </c>
      <c r="L17" s="137">
        <f>'6.INVERSIONES + GASTOS'!$F$13</f>
        <v>200</v>
      </c>
      <c r="M17" s="137">
        <f>'6.INVERSIONES + GASTOS'!$F$13</f>
        <v>200</v>
      </c>
      <c r="N17" s="135">
        <f t="shared" si="3"/>
        <v>2400</v>
      </c>
    </row>
    <row r="18" ht="14.25" customHeight="1">
      <c r="A18" s="136" t="s">
        <v>78</v>
      </c>
      <c r="B18" s="137">
        <f>'6.INVERSIONES + GASTOS'!$F$14</f>
        <v>35</v>
      </c>
      <c r="C18" s="137">
        <f>'6.INVERSIONES + GASTOS'!$F$14</f>
        <v>35</v>
      </c>
      <c r="D18" s="137">
        <f>'6.INVERSIONES + GASTOS'!$F$14</f>
        <v>35</v>
      </c>
      <c r="E18" s="137">
        <f>'6.INVERSIONES + GASTOS'!$F$14</f>
        <v>35</v>
      </c>
      <c r="F18" s="137">
        <f>'6.INVERSIONES + GASTOS'!$F$14</f>
        <v>35</v>
      </c>
      <c r="G18" s="137">
        <f>'6.INVERSIONES + GASTOS'!$F$14</f>
        <v>35</v>
      </c>
      <c r="H18" s="137">
        <f>'6.INVERSIONES + GASTOS'!$F$14</f>
        <v>35</v>
      </c>
      <c r="I18" s="137">
        <f>'6.INVERSIONES + GASTOS'!$F$14</f>
        <v>35</v>
      </c>
      <c r="J18" s="137">
        <f>'6.INVERSIONES + GASTOS'!$F$14</f>
        <v>35</v>
      </c>
      <c r="K18" s="137">
        <f>'6.INVERSIONES + GASTOS'!$F$14</f>
        <v>35</v>
      </c>
      <c r="L18" s="137">
        <f>'6.INVERSIONES + GASTOS'!$F$14</f>
        <v>35</v>
      </c>
      <c r="M18" s="137">
        <f>'6.INVERSIONES + GASTOS'!$F$14</f>
        <v>35</v>
      </c>
      <c r="N18" s="135">
        <f t="shared" si="3"/>
        <v>420</v>
      </c>
    </row>
    <row r="19" ht="14.25" customHeight="1">
      <c r="A19" s="136" t="s">
        <v>291</v>
      </c>
      <c r="B19" s="137">
        <f>'6.INVERSIONES + GASTOS'!$F$16</f>
        <v>3.5</v>
      </c>
      <c r="C19" s="137">
        <f>'6.INVERSIONES + GASTOS'!$F$16</f>
        <v>3.5</v>
      </c>
      <c r="D19" s="137">
        <f>'6.INVERSIONES + GASTOS'!$F$16</f>
        <v>3.5</v>
      </c>
      <c r="E19" s="137">
        <f>'6.INVERSIONES + GASTOS'!$F$16</f>
        <v>3.5</v>
      </c>
      <c r="F19" s="137">
        <f>'6.INVERSIONES + GASTOS'!$F$16</f>
        <v>3.5</v>
      </c>
      <c r="G19" s="137">
        <f>'6.INVERSIONES + GASTOS'!$F$16</f>
        <v>3.5</v>
      </c>
      <c r="H19" s="137">
        <f>'6.INVERSIONES + GASTOS'!$F$16</f>
        <v>3.5</v>
      </c>
      <c r="I19" s="137">
        <f>'6.INVERSIONES + GASTOS'!$F$16</f>
        <v>3.5</v>
      </c>
      <c r="J19" s="137">
        <f>'6.INVERSIONES + GASTOS'!$F$16</f>
        <v>3.5</v>
      </c>
      <c r="K19" s="137">
        <f>'6.INVERSIONES + GASTOS'!$F$16</f>
        <v>3.5</v>
      </c>
      <c r="L19" s="137">
        <f>'6.INVERSIONES + GASTOS'!$F$16</f>
        <v>3.5</v>
      </c>
      <c r="M19" s="137">
        <f>'6.INVERSIONES + GASTOS'!$F$16</f>
        <v>3.5</v>
      </c>
      <c r="N19" s="135">
        <f t="shared" si="3"/>
        <v>42</v>
      </c>
    </row>
    <row r="20" ht="14.25" customHeight="1">
      <c r="A20" s="136" t="s">
        <v>292</v>
      </c>
      <c r="B20" s="137">
        <f>'6.INVERSIONES + GASTOS'!$F$17</f>
        <v>100</v>
      </c>
      <c r="C20" s="137">
        <f>'6.INVERSIONES + GASTOS'!$F$17</f>
        <v>100</v>
      </c>
      <c r="D20" s="137">
        <f>'6.INVERSIONES + GASTOS'!$F$17</f>
        <v>100</v>
      </c>
      <c r="E20" s="137">
        <f>'6.INVERSIONES + GASTOS'!$F$17</f>
        <v>100</v>
      </c>
      <c r="F20" s="137">
        <f>'6.INVERSIONES + GASTOS'!$F$17</f>
        <v>100</v>
      </c>
      <c r="G20" s="137">
        <f>'6.INVERSIONES + GASTOS'!$F$17</f>
        <v>100</v>
      </c>
      <c r="H20" s="137">
        <f>'6.INVERSIONES + GASTOS'!$F$17</f>
        <v>100</v>
      </c>
      <c r="I20" s="137">
        <f>'6.INVERSIONES + GASTOS'!$F$17</f>
        <v>100</v>
      </c>
      <c r="J20" s="137">
        <f>'6.INVERSIONES + GASTOS'!$F$17</f>
        <v>100</v>
      </c>
      <c r="K20" s="137">
        <f>'6.INVERSIONES + GASTOS'!$F$17</f>
        <v>100</v>
      </c>
      <c r="L20" s="137">
        <f>'6.INVERSIONES + GASTOS'!$F$17</f>
        <v>100</v>
      </c>
      <c r="M20" s="137">
        <f>'6.INVERSIONES + GASTOS'!$F$17</f>
        <v>100</v>
      </c>
      <c r="N20" s="135">
        <f t="shared" si="3"/>
        <v>1200</v>
      </c>
    </row>
    <row r="21" ht="14.25" customHeight="1">
      <c r="A21" s="136" t="s">
        <v>84</v>
      </c>
      <c r="B21" s="137" t="str">
        <f>'6.INVERSIONES + GASTOS'!$F$18</f>
        <v/>
      </c>
      <c r="C21" s="137" t="str">
        <f>'6.INVERSIONES + GASTOS'!$F$18</f>
        <v/>
      </c>
      <c r="D21" s="137" t="str">
        <f>'6.INVERSIONES + GASTOS'!$F$18</f>
        <v/>
      </c>
      <c r="E21" s="137" t="str">
        <f>'6.INVERSIONES + GASTOS'!$F$18</f>
        <v/>
      </c>
      <c r="F21" s="137" t="str">
        <f>'6.INVERSIONES + GASTOS'!$F$18</f>
        <v/>
      </c>
      <c r="G21" s="137" t="str">
        <f>'6.INVERSIONES + GASTOS'!$F$18</f>
        <v/>
      </c>
      <c r="H21" s="137" t="str">
        <f>'6.INVERSIONES + GASTOS'!$F$18</f>
        <v/>
      </c>
      <c r="I21" s="137" t="str">
        <f>'6.INVERSIONES + GASTOS'!$F$18</f>
        <v/>
      </c>
      <c r="J21" s="137" t="str">
        <f>'6.INVERSIONES + GASTOS'!$F$18</f>
        <v/>
      </c>
      <c r="K21" s="137" t="str">
        <f>'6.INVERSIONES + GASTOS'!$F$18</f>
        <v/>
      </c>
      <c r="L21" s="137" t="str">
        <f>'6.INVERSIONES + GASTOS'!$F$18</f>
        <v/>
      </c>
      <c r="M21" s="137" t="str">
        <f>'6.INVERSIONES + GASTOS'!$F$18</f>
        <v/>
      </c>
      <c r="N21" s="135">
        <f t="shared" si="3"/>
        <v>0</v>
      </c>
    </row>
    <row r="22" ht="14.25" customHeight="1">
      <c r="A22" s="136" t="s">
        <v>86</v>
      </c>
      <c r="B22" s="137" t="str">
        <f>'6.INVERSIONES + GASTOS'!$F$19</f>
        <v/>
      </c>
      <c r="C22" s="137" t="str">
        <f>'6.INVERSIONES + GASTOS'!$F$19</f>
        <v/>
      </c>
      <c r="D22" s="137" t="str">
        <f>'6.INVERSIONES + GASTOS'!$F$19</f>
        <v/>
      </c>
      <c r="E22" s="137" t="str">
        <f>'6.INVERSIONES + GASTOS'!$F$19</f>
        <v/>
      </c>
      <c r="F22" s="137" t="str">
        <f>'6.INVERSIONES + GASTOS'!$F$19</f>
        <v/>
      </c>
      <c r="G22" s="137" t="str">
        <f>'6.INVERSIONES + GASTOS'!$F$19</f>
        <v/>
      </c>
      <c r="H22" s="137" t="str">
        <f>'6.INVERSIONES + GASTOS'!$F$19</f>
        <v/>
      </c>
      <c r="I22" s="137" t="str">
        <f>'6.INVERSIONES + GASTOS'!$F$19</f>
        <v/>
      </c>
      <c r="J22" s="137" t="str">
        <f>'6.INVERSIONES + GASTOS'!$F$19</f>
        <v/>
      </c>
      <c r="K22" s="137" t="str">
        <f>'6.INVERSIONES + GASTOS'!$F$19</f>
        <v/>
      </c>
      <c r="L22" s="137" t="str">
        <f>'6.INVERSIONES + GASTOS'!$F$19</f>
        <v/>
      </c>
      <c r="M22" s="137" t="str">
        <f>'6.INVERSIONES + GASTOS'!$F$19</f>
        <v/>
      </c>
      <c r="N22" s="135">
        <f t="shared" si="3"/>
        <v>0</v>
      </c>
    </row>
    <row r="23" ht="14.25" customHeight="1">
      <c r="A23" s="136" t="s">
        <v>293</v>
      </c>
      <c r="B23" s="137">
        <f>'9.FINANCIACIÓN AJENA'!$B$24+'9.FINANCIACIÓN AJENA'!$I$24</f>
        <v>242.7997908</v>
      </c>
      <c r="C23" s="137">
        <f>'9.FINANCIACIÓN AJENA'!$B$24+'9.FINANCIACIÓN AJENA'!$I$24</f>
        <v>242.7997908</v>
      </c>
      <c r="D23" s="137">
        <f>'9.FINANCIACIÓN AJENA'!$B$24+'9.FINANCIACIÓN AJENA'!$I$24</f>
        <v>242.7997908</v>
      </c>
      <c r="E23" s="137">
        <f>'9.FINANCIACIÓN AJENA'!$B$24+'9.FINANCIACIÓN AJENA'!$I$24</f>
        <v>242.7997908</v>
      </c>
      <c r="F23" s="137">
        <f>'9.FINANCIACIÓN AJENA'!$B$24+'9.FINANCIACIÓN AJENA'!$I$24</f>
        <v>242.7997908</v>
      </c>
      <c r="G23" s="137">
        <f>'9.FINANCIACIÓN AJENA'!$B$24+'9.FINANCIACIÓN AJENA'!$I$24</f>
        <v>242.7997908</v>
      </c>
      <c r="H23" s="137">
        <f>'9.FINANCIACIÓN AJENA'!$B$24+'9.FINANCIACIÓN AJENA'!$I$24</f>
        <v>242.7997908</v>
      </c>
      <c r="I23" s="137">
        <f>'9.FINANCIACIÓN AJENA'!$B$24+'9.FINANCIACIÓN AJENA'!$I$24</f>
        <v>242.7997908</v>
      </c>
      <c r="J23" s="137">
        <f>'9.FINANCIACIÓN AJENA'!$B$24+'9.FINANCIACIÓN AJENA'!$I$24</f>
        <v>242.7997908</v>
      </c>
      <c r="K23" s="137">
        <f>'9.FINANCIACIÓN AJENA'!$B$24+'9.FINANCIACIÓN AJENA'!$I$24</f>
        <v>242.7997908</v>
      </c>
      <c r="L23" s="137">
        <f>'9.FINANCIACIÓN AJENA'!$B$24+'9.FINANCIACIÓN AJENA'!$I$24</f>
        <v>242.7997908</v>
      </c>
      <c r="M23" s="137">
        <f>'9.FINANCIACIÓN AJENA'!$B$24+'9.FINANCIACIÓN AJENA'!$I$24</f>
        <v>242.7997908</v>
      </c>
      <c r="N23" s="135">
        <f t="shared" si="3"/>
        <v>2913.597489</v>
      </c>
    </row>
    <row r="24" ht="14.25" customHeight="1">
      <c r="A24" s="136" t="s">
        <v>294</v>
      </c>
      <c r="B24" s="137">
        <f>'9.FINANCIACIÓN AJENA'!B19+'9.FINANCIACIÓN AJENA'!J19</f>
        <v>0</v>
      </c>
      <c r="C24" s="137"/>
      <c r="D24" s="137"/>
      <c r="E24" s="137"/>
      <c r="F24" s="137"/>
      <c r="G24" s="137"/>
      <c r="H24" s="137"/>
      <c r="I24" s="137"/>
      <c r="J24" s="137"/>
      <c r="K24" s="137"/>
      <c r="L24" s="137"/>
      <c r="M24" s="137"/>
      <c r="N24" s="135">
        <f t="shared" si="3"/>
        <v>0</v>
      </c>
    </row>
    <row r="25" ht="14.25" customHeight="1">
      <c r="A25" s="136" t="s">
        <v>295</v>
      </c>
      <c r="B25" s="137" t="str">
        <f>'9.FINANCIACIÓN AJENA'!$B$10</f>
        <v/>
      </c>
      <c r="C25" s="137" t="str">
        <f>'9.FINANCIACIÓN AJENA'!$B$10</f>
        <v/>
      </c>
      <c r="D25" s="137" t="str">
        <f>'9.FINANCIACIÓN AJENA'!$B$10</f>
        <v/>
      </c>
      <c r="E25" s="137" t="str">
        <f>'9.FINANCIACIÓN AJENA'!$B$10</f>
        <v/>
      </c>
      <c r="F25" s="137" t="str">
        <f>'9.FINANCIACIÓN AJENA'!$B$10</f>
        <v/>
      </c>
      <c r="G25" s="137" t="str">
        <f>'9.FINANCIACIÓN AJENA'!$B$10</f>
        <v/>
      </c>
      <c r="H25" s="137" t="str">
        <f>'9.FINANCIACIÓN AJENA'!$B$10</f>
        <v/>
      </c>
      <c r="I25" s="137" t="str">
        <f>'9.FINANCIACIÓN AJENA'!$B$10</f>
        <v/>
      </c>
      <c r="J25" s="137" t="str">
        <f>'9.FINANCIACIÓN AJENA'!$B$10</f>
        <v/>
      </c>
      <c r="K25" s="137" t="str">
        <f>'9.FINANCIACIÓN AJENA'!$B$10</f>
        <v/>
      </c>
      <c r="L25" s="137" t="str">
        <f>'9.FINANCIACIÓN AJENA'!$B$10</f>
        <v/>
      </c>
      <c r="M25" s="137" t="str">
        <f>'9.FINANCIACIÓN AJENA'!$B$10</f>
        <v/>
      </c>
      <c r="N25" s="135">
        <f t="shared" si="3"/>
        <v>0</v>
      </c>
    </row>
    <row r="26" ht="14.25" customHeight="1">
      <c r="A26" s="138" t="s">
        <v>296</v>
      </c>
      <c r="B26" s="139">
        <f t="shared" ref="B26:M26" si="5">B2+B3-B5</f>
        <v>13208.66722</v>
      </c>
      <c r="C26" s="139">
        <f t="shared" si="5"/>
        <v>11672.36743</v>
      </c>
      <c r="D26" s="139">
        <f t="shared" si="5"/>
        <v>9876.067636</v>
      </c>
      <c r="E26" s="139">
        <f t="shared" si="5"/>
        <v>8139.767845</v>
      </c>
      <c r="F26" s="139">
        <f t="shared" si="5"/>
        <v>6803.468055</v>
      </c>
      <c r="G26" s="139">
        <f t="shared" si="5"/>
        <v>5407.168264</v>
      </c>
      <c r="H26" s="139">
        <f t="shared" si="5"/>
        <v>4870.868473</v>
      </c>
      <c r="I26" s="139">
        <f t="shared" si="5"/>
        <v>4334.568682</v>
      </c>
      <c r="J26" s="139">
        <f t="shared" si="5"/>
        <v>3738.268892</v>
      </c>
      <c r="K26" s="139">
        <f t="shared" si="5"/>
        <v>3201.969101</v>
      </c>
      <c r="L26" s="139">
        <f t="shared" si="5"/>
        <v>3465.66931</v>
      </c>
      <c r="M26" s="139">
        <f t="shared" si="5"/>
        <v>4069.369519</v>
      </c>
      <c r="N26" s="139"/>
      <c r="O26" s="60"/>
      <c r="P26" s="60"/>
      <c r="Q26" s="60"/>
      <c r="R26" s="60"/>
      <c r="S26" s="60"/>
      <c r="T26" s="60"/>
      <c r="U26" s="60"/>
      <c r="V26" s="60"/>
      <c r="W26" s="60"/>
      <c r="X26" s="60"/>
      <c r="Y26" s="60"/>
      <c r="Z26" s="60"/>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0"/>
    <col customWidth="1" min="3" max="3" width="14.57"/>
    <col customWidth="1" min="4" max="4" width="24.0"/>
    <col customWidth="1" min="5" max="7" width="10.71"/>
    <col customWidth="1" min="8" max="8" width="21.57"/>
    <col customWidth="1" min="9" max="9" width="10.71"/>
    <col customWidth="1" min="10" max="26" width="9.14"/>
  </cols>
  <sheetData>
    <row r="1" ht="36.0" customHeight="1">
      <c r="A1" s="2" t="s">
        <v>297</v>
      </c>
    </row>
    <row r="2" ht="14.25" customHeight="1"/>
    <row r="3" ht="14.25" customHeight="1"/>
    <row r="4" ht="14.25" customHeight="1">
      <c r="B4" s="140" t="s">
        <v>298</v>
      </c>
      <c r="C4" s="141">
        <f>SUM(C5:C12)</f>
        <v>6255.032991</v>
      </c>
      <c r="D4" s="142" t="s">
        <v>299</v>
      </c>
      <c r="E4" s="143">
        <f>SUM(E5:E8)</f>
        <v>13000</v>
      </c>
      <c r="F4" s="60"/>
    </row>
    <row r="5" ht="14.25" customHeight="1">
      <c r="B5" s="144" t="s">
        <v>165</v>
      </c>
      <c r="C5" s="145" t="str">
        <f>'6.INVERSIONES + GASTOS'!B6</f>
        <v/>
      </c>
      <c r="D5" s="146" t="s">
        <v>300</v>
      </c>
      <c r="E5" s="147">
        <f>'10.FINANCIACION TOTAL'!B6</f>
        <v>8000</v>
      </c>
    </row>
    <row r="6" ht="14.25" customHeight="1">
      <c r="B6" s="144" t="s">
        <v>168</v>
      </c>
      <c r="C6" s="145" t="str">
        <f>'6.INVERSIONES + GASTOS'!B7</f>
        <v/>
      </c>
      <c r="D6" s="146" t="s">
        <v>301</v>
      </c>
      <c r="E6" s="147">
        <v>0.0</v>
      </c>
    </row>
    <row r="7" ht="14.25" customHeight="1">
      <c r="B7" s="144" t="s">
        <v>170</v>
      </c>
      <c r="C7" s="145">
        <f>'6.INVERSIONES + GASTOS'!B8</f>
        <v>1500</v>
      </c>
      <c r="D7" s="146" t="s">
        <v>302</v>
      </c>
      <c r="E7" s="147">
        <v>0.0</v>
      </c>
      <c r="H7" s="46" t="s">
        <v>303</v>
      </c>
      <c r="I7" s="148">
        <f>C13-E13</f>
        <v>12232.08851</v>
      </c>
    </row>
    <row r="8" ht="14.25" customHeight="1">
      <c r="B8" s="144" t="s">
        <v>182</v>
      </c>
      <c r="C8" s="145" t="str">
        <f>'6.INVERSIONES + GASTOS'!B9</f>
        <v/>
      </c>
      <c r="D8" s="146" t="s">
        <v>304</v>
      </c>
      <c r="E8" s="147">
        <f>'9.FINANCIACIÓN AJENA'!B8+'9.FINANCIACIÓN AJENA'!B9</f>
        <v>5000</v>
      </c>
      <c r="H8" s="57" t="s">
        <v>305</v>
      </c>
      <c r="I8" s="116">
        <f>(C13/E13)</f>
        <v>5.867759621</v>
      </c>
    </row>
    <row r="9" ht="14.25" customHeight="1">
      <c r="B9" s="144" t="s">
        <v>172</v>
      </c>
      <c r="C9" s="145">
        <f>'6.INVERSIONES + GASTOS'!B10</f>
        <v>500</v>
      </c>
      <c r="D9" s="149" t="s">
        <v>306</v>
      </c>
      <c r="E9" s="150">
        <f>E10</f>
        <v>5487.121498</v>
      </c>
      <c r="F9" s="60"/>
      <c r="H9" s="51" t="s">
        <v>307</v>
      </c>
      <c r="I9" s="151">
        <f>((E9+E13)/E25)</f>
        <v>0.380952381</v>
      </c>
    </row>
    <row r="10" ht="14.25" customHeight="1">
      <c r="B10" s="144" t="s">
        <v>173</v>
      </c>
      <c r="C10" s="145">
        <f>'6.INVERSIONES + GASTOS'!B11</f>
        <v>200</v>
      </c>
      <c r="D10" s="152" t="s">
        <v>308</v>
      </c>
      <c r="E10" s="153">
        <f>'9.FINANCIACIÓN AJENA'!M5</f>
        <v>5487.121498</v>
      </c>
    </row>
    <row r="11" ht="14.25" customHeight="1">
      <c r="B11" s="144" t="s">
        <v>174</v>
      </c>
      <c r="C11" s="145">
        <f>'6.INVERSIONES + GASTOS'!B12</f>
        <v>4055.032991</v>
      </c>
      <c r="D11" s="152"/>
      <c r="E11" s="153"/>
    </row>
    <row r="12" ht="14.25" customHeight="1">
      <c r="B12" s="144" t="s">
        <v>309</v>
      </c>
      <c r="C12" s="145" t="str">
        <f>'6.INVERSIONES + GASTOS'!B15</f>
        <v/>
      </c>
      <c r="D12" s="152"/>
      <c r="E12" s="153"/>
    </row>
    <row r="13" ht="14.25" customHeight="1">
      <c r="B13" s="140" t="s">
        <v>310</v>
      </c>
      <c r="C13" s="141">
        <f>C14+C18+C21</f>
        <v>14744.96701</v>
      </c>
      <c r="D13" s="154" t="s">
        <v>311</v>
      </c>
      <c r="E13" s="155">
        <f>SUM(E14:E16)</f>
        <v>2512.878502</v>
      </c>
    </row>
    <row r="14" ht="14.25" customHeight="1">
      <c r="B14" s="156" t="s">
        <v>312</v>
      </c>
      <c r="C14" s="157">
        <f>SUM(C15:C16)</f>
        <v>0</v>
      </c>
      <c r="D14" s="152" t="s">
        <v>313</v>
      </c>
      <c r="E14" s="153">
        <f>'9.FINANCIACIÓN AJENA'!M4</f>
        <v>2512.878502</v>
      </c>
    </row>
    <row r="15" ht="14.25" customHeight="1">
      <c r="B15" s="144" t="s">
        <v>66</v>
      </c>
      <c r="C15" s="145" t="str">
        <f>'6.INVERSIONES + GASTOS'!B14</f>
        <v/>
      </c>
      <c r="D15" s="152" t="s">
        <v>314</v>
      </c>
      <c r="E15" s="153">
        <v>0.0</v>
      </c>
    </row>
    <row r="16" ht="14.25" customHeight="1">
      <c r="B16" s="144" t="s">
        <v>69</v>
      </c>
      <c r="C16" s="145" t="str">
        <f>'6.INVERSIONES + GASTOS'!B13</f>
        <v/>
      </c>
      <c r="D16" s="152"/>
      <c r="E16" s="153"/>
    </row>
    <row r="17" ht="14.25" customHeight="1">
      <c r="B17" s="144"/>
      <c r="C17" s="145"/>
      <c r="D17" s="152"/>
      <c r="E17" s="153"/>
    </row>
    <row r="18" ht="14.25" customHeight="1">
      <c r="B18" s="156" t="s">
        <v>315</v>
      </c>
      <c r="C18" s="158">
        <f>SUM(C19)</f>
        <v>0</v>
      </c>
      <c r="D18" s="152"/>
      <c r="E18" s="153"/>
    </row>
    <row r="19" ht="14.25" customHeight="1">
      <c r="B19" s="144" t="s">
        <v>316</v>
      </c>
      <c r="C19" s="145">
        <v>0.0</v>
      </c>
      <c r="D19" s="152"/>
      <c r="E19" s="153"/>
    </row>
    <row r="20" ht="14.25" customHeight="1">
      <c r="B20" s="144"/>
      <c r="C20" s="145"/>
      <c r="D20" s="152"/>
      <c r="E20" s="153"/>
    </row>
    <row r="21" ht="14.25" customHeight="1">
      <c r="B21" s="156" t="s">
        <v>317</v>
      </c>
      <c r="C21" s="158">
        <f>SUM(C22:C23)</f>
        <v>14744.96701</v>
      </c>
      <c r="D21" s="152"/>
      <c r="E21" s="153"/>
    </row>
    <row r="22" ht="14.25" customHeight="1">
      <c r="B22" s="144" t="s">
        <v>318</v>
      </c>
      <c r="C22" s="145">
        <f>'10.FINANCIACION TOTAL'!B21</f>
        <v>2948.993402</v>
      </c>
      <c r="D22" s="152"/>
      <c r="E22" s="153"/>
    </row>
    <row r="23" ht="14.25" customHeight="1">
      <c r="B23" s="159" t="s">
        <v>319</v>
      </c>
      <c r="C23" s="160">
        <f>'10.FINANCIACION TOTAL'!B22</f>
        <v>11795.97361</v>
      </c>
      <c r="D23" s="161"/>
      <c r="E23" s="162"/>
    </row>
    <row r="24" ht="14.25" customHeight="1">
      <c r="B24" s="39"/>
      <c r="C24" s="163"/>
      <c r="D24" s="39"/>
      <c r="E24" s="163"/>
    </row>
    <row r="25" ht="14.25" customHeight="1">
      <c r="B25" s="164" t="s">
        <v>23</v>
      </c>
      <c r="C25" s="165">
        <f>C13+C4</f>
        <v>21000</v>
      </c>
      <c r="D25" s="164" t="s">
        <v>23</v>
      </c>
      <c r="E25" s="165">
        <f>E13+E9+E4</f>
        <v>21000</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1"/>
  </mergeCells>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10" width="10.71"/>
    <col customWidth="1" min="11" max="26" width="9.14"/>
  </cols>
  <sheetData>
    <row r="1" ht="15.0" customHeight="1">
      <c r="A1" s="166" t="s">
        <v>320</v>
      </c>
    </row>
    <row r="2" ht="14.25" customHeight="1"/>
    <row r="3" ht="14.25" customHeight="1"/>
    <row r="4" ht="14.25" customHeight="1"/>
    <row r="5" ht="14.25" customHeight="1"/>
    <row r="6" ht="14.25" customHeight="1"/>
    <row r="7" ht="14.25" customHeight="1">
      <c r="A7" s="167" t="s">
        <v>321</v>
      </c>
      <c r="B7" s="168">
        <f>SUM(B8:B9)</f>
        <v>20000</v>
      </c>
    </row>
    <row r="8" ht="14.25" customHeight="1">
      <c r="A8" s="169" t="s">
        <v>285</v>
      </c>
      <c r="B8" s="170">
        <f>'11.INGRESOS'!P23</f>
        <v>20000</v>
      </c>
    </row>
    <row r="9" ht="14.25" customHeight="1">
      <c r="A9" s="169" t="s">
        <v>322</v>
      </c>
      <c r="B9" s="170">
        <f>'11.INGRESOS'!P30</f>
        <v>0</v>
      </c>
    </row>
    <row r="10" ht="14.25" customHeight="1">
      <c r="A10" s="167" t="s">
        <v>323</v>
      </c>
      <c r="B10" s="168">
        <f>SUM(B11:B31)</f>
        <v>13241.29043</v>
      </c>
    </row>
    <row r="11" ht="14.25" customHeight="1">
      <c r="A11" s="169" t="s">
        <v>287</v>
      </c>
      <c r="B11" s="170">
        <f>'12.GASTOS'!P15-'12.GASTOS'!P58</f>
        <v>0</v>
      </c>
      <c r="F11" s="46" t="s">
        <v>324</v>
      </c>
      <c r="G11" s="16"/>
      <c r="H11" s="171">
        <v>0.1</v>
      </c>
      <c r="I11" s="172">
        <f>IF(B41&gt;0,0.1*B41,0)</f>
        <v>540.4291998</v>
      </c>
      <c r="J11" s="17"/>
    </row>
    <row r="12" ht="14.25" customHeight="1">
      <c r="A12" s="169" t="s">
        <v>288</v>
      </c>
      <c r="B12" s="170">
        <f>'12.GASTOS'!P25-'12.GASTOS'!P59</f>
        <v>0</v>
      </c>
      <c r="F12" s="57" t="s">
        <v>59</v>
      </c>
      <c r="I12" s="103">
        <f>'13.PLAN DE TESORERÍA'!N13</f>
        <v>15600</v>
      </c>
      <c r="J12" s="116"/>
    </row>
    <row r="13" ht="14.25" customHeight="1">
      <c r="A13" s="169" t="s">
        <v>289</v>
      </c>
      <c r="B13" s="170">
        <f>'12.GASTOS'!P35-'12.GASTOS'!P60</f>
        <v>0</v>
      </c>
      <c r="F13" s="57"/>
      <c r="I13" s="103"/>
      <c r="J13" s="116"/>
    </row>
    <row r="14" ht="14.25" customHeight="1">
      <c r="A14" s="169" t="s">
        <v>325</v>
      </c>
      <c r="B14" s="170">
        <v>0.0</v>
      </c>
      <c r="F14" s="51" t="s">
        <v>326</v>
      </c>
      <c r="G14" s="43"/>
      <c r="H14" s="43"/>
      <c r="I14" s="173">
        <f>B41-I11-I12</f>
        <v>-10736.1372</v>
      </c>
      <c r="J14" s="151"/>
    </row>
    <row r="15" ht="14.25" customHeight="1">
      <c r="A15" s="169" t="s">
        <v>327</v>
      </c>
      <c r="B15" s="170">
        <v>0.0</v>
      </c>
    </row>
    <row r="16" ht="14.25" customHeight="1">
      <c r="A16" s="169" t="s">
        <v>65</v>
      </c>
      <c r="B16" s="170">
        <f>'13.PLAN DE TESORERÍA'!N9</f>
        <v>6000</v>
      </c>
    </row>
    <row r="17" ht="14.25" customHeight="1">
      <c r="A17" s="169" t="s">
        <v>68</v>
      </c>
      <c r="B17" s="170">
        <f>'2.COSTES SALARIALES'!N36</f>
        <v>0</v>
      </c>
    </row>
    <row r="18" ht="14.25" customHeight="1">
      <c r="A18" s="169" t="s">
        <v>70</v>
      </c>
      <c r="B18" s="170">
        <f>'2.COSTES SALARIALES'!N37</f>
        <v>0</v>
      </c>
    </row>
    <row r="19" ht="14.25" customHeight="1">
      <c r="A19" s="169" t="s">
        <v>72</v>
      </c>
      <c r="B19" s="170">
        <f>'2.COSTES SALARIALES'!N38</f>
        <v>960</v>
      </c>
    </row>
    <row r="20" ht="14.25" customHeight="1">
      <c r="A20" s="169" t="s">
        <v>73</v>
      </c>
      <c r="B20" s="170">
        <f>'13.PLAN DE TESORERÍA'!N14</f>
        <v>420</v>
      </c>
    </row>
    <row r="21" ht="14.25" customHeight="1">
      <c r="A21" s="169" t="s">
        <v>74</v>
      </c>
      <c r="B21" s="170">
        <f>'13.PLAN DE TESORERÍA'!N15</f>
        <v>240</v>
      </c>
    </row>
    <row r="22" ht="14.25" customHeight="1">
      <c r="A22" s="169" t="s">
        <v>328</v>
      </c>
      <c r="B22" s="170">
        <f>'13.PLAN DE TESORERÍA'!N16</f>
        <v>480</v>
      </c>
    </row>
    <row r="23" ht="14.25" customHeight="1">
      <c r="A23" s="169" t="s">
        <v>77</v>
      </c>
      <c r="B23" s="170">
        <f>'13.PLAN DE TESORERÍA'!N17</f>
        <v>2400</v>
      </c>
    </row>
    <row r="24" ht="14.25" customHeight="1">
      <c r="A24" s="169" t="s">
        <v>78</v>
      </c>
      <c r="B24" s="170">
        <f>'13.PLAN DE TESORERÍA'!N18</f>
        <v>420</v>
      </c>
    </row>
    <row r="25" ht="14.25" customHeight="1">
      <c r="A25" s="169" t="s">
        <v>257</v>
      </c>
      <c r="B25" s="170">
        <f>'11.INGRESOS'!P46</f>
        <v>0</v>
      </c>
    </row>
    <row r="26" ht="14.25" customHeight="1">
      <c r="A26" s="169" t="s">
        <v>291</v>
      </c>
      <c r="B26" s="170">
        <f>'13.PLAN DE TESORERÍA'!N19</f>
        <v>42</v>
      </c>
    </row>
    <row r="27" ht="14.25" customHeight="1">
      <c r="A27" s="169" t="s">
        <v>292</v>
      </c>
      <c r="B27" s="170">
        <f>'13.PLAN DE TESORERÍA'!N20</f>
        <v>1200</v>
      </c>
    </row>
    <row r="28" ht="14.25" customHeight="1">
      <c r="A28" s="169" t="s">
        <v>84</v>
      </c>
      <c r="B28" s="170">
        <f>'13.PLAN DE TESORERÍA'!N21</f>
        <v>0</v>
      </c>
    </row>
    <row r="29" ht="14.25" customHeight="1">
      <c r="A29" s="169" t="s">
        <v>86</v>
      </c>
      <c r="B29" s="170">
        <f>'13.PLAN DE TESORERÍA'!N22</f>
        <v>0</v>
      </c>
    </row>
    <row r="30" ht="14.25" customHeight="1">
      <c r="A30" s="169" t="s">
        <v>295</v>
      </c>
      <c r="B30" s="170">
        <f>'13.PLAN DE TESORERÍA'!N25</f>
        <v>0</v>
      </c>
    </row>
    <row r="31" ht="14.25" customHeight="1">
      <c r="A31" s="169" t="s">
        <v>80</v>
      </c>
      <c r="B31" s="170">
        <f>'7.AMORTIZACIÓN'!D15</f>
        <v>1079.290427</v>
      </c>
    </row>
    <row r="32" ht="14.25" customHeight="1">
      <c r="A32" s="167" t="s">
        <v>329</v>
      </c>
      <c r="B32" s="168">
        <f>B7-B10</f>
        <v>6758.709573</v>
      </c>
    </row>
    <row r="33" ht="14.25" customHeight="1">
      <c r="A33" s="174" t="s">
        <v>330</v>
      </c>
      <c r="B33" s="175">
        <v>0.0</v>
      </c>
    </row>
    <row r="34" ht="14.25" customHeight="1">
      <c r="A34" s="176" t="s">
        <v>331</v>
      </c>
      <c r="B34" s="177">
        <v>0.0</v>
      </c>
    </row>
    <row r="35" ht="14.25" customHeight="1">
      <c r="A35" s="174" t="s">
        <v>332</v>
      </c>
      <c r="B35" s="175">
        <f>SUM(B36:B37)</f>
        <v>400.7189869</v>
      </c>
    </row>
    <row r="36" ht="14.25" customHeight="1">
      <c r="A36" s="176" t="s">
        <v>333</v>
      </c>
      <c r="B36" s="177">
        <f>SUM('9.FINANCIACIÓN AJENA'!C24:C35)+SUM('9.FINANCIACIÓN AJENA'!J24:J35)</f>
        <v>400.7189869</v>
      </c>
    </row>
    <row r="37" ht="14.25" customHeight="1">
      <c r="A37" s="176" t="s">
        <v>334</v>
      </c>
      <c r="B37" s="177">
        <f>'9.FINANCIACIÓN AJENA'!B19+'9.FINANCIACIÓN AJENA'!J19</f>
        <v>0</v>
      </c>
    </row>
    <row r="38" ht="14.25" customHeight="1">
      <c r="A38" s="174" t="s">
        <v>335</v>
      </c>
      <c r="B38" s="175">
        <f>B33-B35</f>
        <v>-400.7189869</v>
      </c>
    </row>
    <row r="39" ht="14.25" customHeight="1">
      <c r="A39" s="178" t="s">
        <v>336</v>
      </c>
      <c r="B39" s="179">
        <f>B32+B38</f>
        <v>6357.990586</v>
      </c>
    </row>
    <row r="40" ht="14.25" customHeight="1">
      <c r="A40" s="180" t="s">
        <v>337</v>
      </c>
      <c r="B40" s="181">
        <f>IF(B39&lt;0,0,0.15*B39)</f>
        <v>953.6985879</v>
      </c>
    </row>
    <row r="41" ht="14.25" customHeight="1">
      <c r="A41" s="182" t="s">
        <v>326</v>
      </c>
      <c r="B41" s="183">
        <f>B39-B40</f>
        <v>5404.291998</v>
      </c>
    </row>
    <row r="42" ht="14.25" customHeight="1"/>
    <row r="43" ht="14.25" customHeight="1">
      <c r="A43" s="31"/>
      <c r="B43" s="184"/>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4"/>
  </mergeCells>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5.71"/>
    <col customWidth="1" min="3" max="3" width="14.43"/>
    <col customWidth="1" min="4" max="4" width="24.29"/>
    <col customWidth="1" min="5" max="7" width="10.71"/>
    <col customWidth="1" min="8" max="8" width="25.0"/>
    <col customWidth="1" min="9" max="10" width="10.71"/>
    <col customWidth="1" min="11" max="26" width="9.14"/>
  </cols>
  <sheetData>
    <row r="1" ht="15.0" customHeight="1">
      <c r="A1" s="2" t="s">
        <v>338</v>
      </c>
    </row>
    <row r="2" ht="36.75" customHeight="1"/>
    <row r="3" ht="14.25" customHeight="1"/>
    <row r="4" ht="14.25" customHeight="1">
      <c r="B4" s="185" t="s">
        <v>298</v>
      </c>
      <c r="C4" s="186">
        <f>SUM(C5:C13)</f>
        <v>5175.742564</v>
      </c>
      <c r="D4" s="142" t="s">
        <v>299</v>
      </c>
      <c r="E4" s="143">
        <f>SUM(E5:E8)</f>
        <v>2804.291998</v>
      </c>
    </row>
    <row r="5" ht="14.25" customHeight="1">
      <c r="B5" s="187" t="s">
        <v>165</v>
      </c>
      <c r="C5" s="188" t="str">
        <f>'14.BALANCE INICIAL'!C5</f>
        <v/>
      </c>
      <c r="D5" s="146" t="s">
        <v>300</v>
      </c>
      <c r="E5" s="147">
        <f>'14.BALANCE INICIAL'!E5</f>
        <v>8000</v>
      </c>
    </row>
    <row r="6" ht="14.25" customHeight="1">
      <c r="B6" s="187" t="s">
        <v>168</v>
      </c>
      <c r="C6" s="188" t="str">
        <f>'14.BALANCE INICIAL'!C6</f>
        <v/>
      </c>
      <c r="D6" s="146" t="s">
        <v>301</v>
      </c>
      <c r="E6" s="147">
        <f>'15.CUENTA DE RESULTADOS'!I11</f>
        <v>540.4291998</v>
      </c>
    </row>
    <row r="7" ht="14.25" customHeight="1">
      <c r="B7" s="187" t="s">
        <v>170</v>
      </c>
      <c r="C7" s="188">
        <f>'14.BALANCE INICIAL'!C7</f>
        <v>1500</v>
      </c>
      <c r="D7" s="146" t="s">
        <v>302</v>
      </c>
      <c r="E7" s="147">
        <f>'15.CUENTA DE RESULTADOS'!I14</f>
        <v>-10736.1372</v>
      </c>
      <c r="H7" s="46" t="s">
        <v>303</v>
      </c>
      <c r="I7" s="172">
        <f>C14-E14</f>
        <v>452.019719</v>
      </c>
      <c r="J7" s="17"/>
    </row>
    <row r="8" ht="14.25" customHeight="1">
      <c r="B8" s="187" t="s">
        <v>182</v>
      </c>
      <c r="C8" s="188" t="str">
        <f>'14.BALANCE INICIAL'!C8</f>
        <v/>
      </c>
      <c r="D8" s="189" t="s">
        <v>304</v>
      </c>
      <c r="E8" s="190">
        <f>'9.FINANCIACIÓN AJENA'!B8+'9.FINANCIACIÓN AJENA'!B9</f>
        <v>5000</v>
      </c>
      <c r="H8" s="57" t="s">
        <v>305</v>
      </c>
      <c r="I8" s="29">
        <f>(C14/E14)</f>
        <v>1.124958808</v>
      </c>
      <c r="J8" s="116"/>
    </row>
    <row r="9" ht="14.25" customHeight="1">
      <c r="B9" s="187" t="s">
        <v>172</v>
      </c>
      <c r="C9" s="188">
        <f>'14.BALANCE INICIAL'!C9</f>
        <v>500</v>
      </c>
      <c r="D9" s="191" t="s">
        <v>306</v>
      </c>
      <c r="E9" s="150">
        <f>E10</f>
        <v>2823.470285</v>
      </c>
      <c r="H9" s="57" t="s">
        <v>307</v>
      </c>
      <c r="I9" s="29">
        <f>((E14+E9)/E26)</f>
        <v>0.6966730124</v>
      </c>
      <c r="J9" s="116"/>
    </row>
    <row r="10" ht="14.25" customHeight="1">
      <c r="B10" s="187" t="s">
        <v>173</v>
      </c>
      <c r="C10" s="188">
        <f>'14.BALANCE INICIAL'!C10</f>
        <v>200</v>
      </c>
      <c r="D10" s="152" t="s">
        <v>308</v>
      </c>
      <c r="E10" s="153">
        <f>'9.FINANCIACIÓN AJENA'!M7</f>
        <v>2823.470285</v>
      </c>
      <c r="H10" s="57" t="s">
        <v>339</v>
      </c>
      <c r="I10" s="29">
        <f>('15.CUENTA DE RESULTADOS'!B32/'16.BALANCE FINAL'!C26)*100</f>
        <v>73.10576131</v>
      </c>
      <c r="J10" s="116" t="s">
        <v>267</v>
      </c>
    </row>
    <row r="11" ht="14.25" customHeight="1">
      <c r="B11" s="187" t="s">
        <v>174</v>
      </c>
      <c r="C11" s="188">
        <f>'14.BALANCE INICIAL'!C11</f>
        <v>4055.032991</v>
      </c>
      <c r="D11" s="152"/>
      <c r="E11" s="153"/>
      <c r="H11" s="51" t="s">
        <v>340</v>
      </c>
      <c r="I11" s="43">
        <f>('15.CUENTA DE RESULTADOS'!B41/('16.BALANCE FINAL'!E5+'16.BALANCE FINAL'!E6))*100</f>
        <v>63.27892746</v>
      </c>
      <c r="J11" s="151" t="s">
        <v>267</v>
      </c>
    </row>
    <row r="12" ht="14.25" customHeight="1">
      <c r="B12" s="187" t="s">
        <v>341</v>
      </c>
      <c r="C12" s="188">
        <f>-'7.AMORTIZACIÓN'!D15</f>
        <v>-1079.290427</v>
      </c>
      <c r="D12" s="152"/>
      <c r="E12" s="153"/>
    </row>
    <row r="13" ht="14.25" customHeight="1">
      <c r="B13" s="192" t="s">
        <v>309</v>
      </c>
      <c r="C13" s="193" t="str">
        <f>'14.BALANCE INICIAL'!C12</f>
        <v/>
      </c>
      <c r="D13" s="161"/>
      <c r="E13" s="162"/>
    </row>
    <row r="14" ht="14.25" customHeight="1">
      <c r="B14" s="185" t="s">
        <v>310</v>
      </c>
      <c r="C14" s="186">
        <f>C15+C19+C22</f>
        <v>4069.369519</v>
      </c>
      <c r="D14" s="194" t="s">
        <v>311</v>
      </c>
      <c r="E14" s="155">
        <f>SUM(E15:E17)</f>
        <v>3617.3498</v>
      </c>
    </row>
    <row r="15" ht="14.25" customHeight="1">
      <c r="B15" s="195" t="s">
        <v>312</v>
      </c>
      <c r="C15" s="196">
        <f>SUM(C16:C17)</f>
        <v>0</v>
      </c>
      <c r="D15" s="95" t="s">
        <v>313</v>
      </c>
      <c r="E15" s="153">
        <f>'9.FINANCIACIÓN AJENA'!M6</f>
        <v>2663.651212</v>
      </c>
    </row>
    <row r="16" ht="14.25" customHeight="1">
      <c r="B16" s="187" t="s">
        <v>66</v>
      </c>
      <c r="C16" s="188" t="str">
        <f>'14.BALANCE INICIAL'!C15</f>
        <v/>
      </c>
      <c r="D16" s="95" t="s">
        <v>314</v>
      </c>
      <c r="E16" s="153">
        <f>'12.GASTOS'!O56</f>
        <v>0</v>
      </c>
    </row>
    <row r="17" ht="14.25" customHeight="1">
      <c r="B17" s="187" t="s">
        <v>69</v>
      </c>
      <c r="C17" s="188" t="str">
        <f>'14.BALANCE INICIAL'!C16</f>
        <v/>
      </c>
      <c r="D17" s="95" t="s">
        <v>342</v>
      </c>
      <c r="E17" s="153">
        <f>'15.CUENTA DE RESULTADOS'!B40</f>
        <v>953.6985879</v>
      </c>
    </row>
    <row r="18" ht="14.25" customHeight="1">
      <c r="B18" s="187"/>
      <c r="C18" s="188"/>
      <c r="D18" s="95"/>
      <c r="E18" s="153"/>
    </row>
    <row r="19" ht="14.25" customHeight="1">
      <c r="B19" s="195" t="s">
        <v>315</v>
      </c>
      <c r="C19" s="196">
        <f>SUM(C20)</f>
        <v>0</v>
      </c>
      <c r="D19" s="95"/>
      <c r="E19" s="153"/>
    </row>
    <row r="20" ht="14.25" customHeight="1">
      <c r="B20" s="187" t="s">
        <v>316</v>
      </c>
      <c r="C20" s="188">
        <f>'11.INGRESOS'!O45</f>
        <v>0</v>
      </c>
      <c r="D20" s="95"/>
      <c r="E20" s="153"/>
    </row>
    <row r="21" ht="14.25" customHeight="1">
      <c r="B21" s="187"/>
      <c r="C21" s="188"/>
      <c r="D21" s="95"/>
      <c r="E21" s="153"/>
    </row>
    <row r="22" ht="14.25" customHeight="1">
      <c r="B22" s="195" t="s">
        <v>317</v>
      </c>
      <c r="C22" s="196">
        <f>SUM(C23:C24)</f>
        <v>4069.369519</v>
      </c>
      <c r="D22" s="95"/>
      <c r="E22" s="153"/>
    </row>
    <row r="23" ht="14.25" customHeight="1">
      <c r="B23" s="187" t="s">
        <v>318</v>
      </c>
      <c r="C23" s="188">
        <f>'10.FINANCIACION TOTAL'!B18*'13.PLAN DE TESORERÍA'!M26</f>
        <v>813.8739039</v>
      </c>
      <c r="D23" s="95"/>
      <c r="E23" s="153"/>
    </row>
    <row r="24" ht="14.25" customHeight="1">
      <c r="B24" s="187" t="s">
        <v>319</v>
      </c>
      <c r="C24" s="188">
        <f>'10.FINANCIACION TOTAL'!B19*'13.PLAN DE TESORERÍA'!M26</f>
        <v>3255.495615</v>
      </c>
      <c r="D24" s="95"/>
      <c r="E24" s="153"/>
    </row>
    <row r="25" ht="14.25" customHeight="1">
      <c r="B25" s="187"/>
      <c r="C25" s="188"/>
      <c r="D25" s="95"/>
      <c r="E25" s="153"/>
    </row>
    <row r="26" ht="14.25" customHeight="1">
      <c r="B26" s="197" t="s">
        <v>23</v>
      </c>
      <c r="C26" s="198">
        <f>C14+C4</f>
        <v>9245.112083</v>
      </c>
      <c r="D26" s="199" t="s">
        <v>23</v>
      </c>
      <c r="E26" s="198">
        <f>E14+E9+E4</f>
        <v>9245.112083</v>
      </c>
      <c r="H26" s="200"/>
    </row>
    <row r="27" ht="14.25" customHeight="1"/>
    <row r="28" ht="14.25" customHeight="1">
      <c r="F28" s="197"/>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2"/>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14.57"/>
    <col customWidth="1" min="3" max="15" width="10.71"/>
    <col customWidth="1" min="16" max="26" width="9.14"/>
  </cols>
  <sheetData>
    <row r="1" ht="15.0" customHeight="1">
      <c r="A1" s="4" t="s">
        <v>5</v>
      </c>
      <c r="B1" s="5"/>
      <c r="C1" s="5"/>
      <c r="D1" s="5"/>
      <c r="E1" s="5"/>
      <c r="F1" s="6"/>
    </row>
    <row r="2" ht="14.25" customHeight="1">
      <c r="A2" s="7"/>
      <c r="F2" s="8"/>
    </row>
    <row r="3" ht="14.25" customHeight="1">
      <c r="A3" s="7"/>
      <c r="F3" s="8"/>
    </row>
    <row r="4" ht="55.5" customHeight="1">
      <c r="A4" s="9"/>
      <c r="B4" s="10"/>
      <c r="C4" s="10"/>
      <c r="D4" s="10"/>
      <c r="E4" s="10"/>
      <c r="F4" s="11"/>
    </row>
    <row r="5" ht="32.25" customHeight="1">
      <c r="A5" s="12" t="s">
        <v>6</v>
      </c>
      <c r="B5" s="13"/>
      <c r="C5" s="13"/>
      <c r="D5" s="13"/>
      <c r="E5" s="13"/>
      <c r="F5" s="14"/>
    </row>
    <row r="6" ht="14.25" customHeight="1"/>
    <row r="7" ht="14.25" customHeight="1">
      <c r="A7" s="15" t="s">
        <v>7</v>
      </c>
      <c r="B7" s="16"/>
      <c r="C7" s="16" t="s">
        <v>8</v>
      </c>
      <c r="D7" s="16"/>
      <c r="E7" s="16"/>
      <c r="F7" s="16"/>
      <c r="G7" s="16"/>
      <c r="H7" s="16"/>
      <c r="I7" s="16"/>
      <c r="J7" s="16"/>
      <c r="K7" s="16"/>
      <c r="L7" s="16"/>
      <c r="M7" s="16"/>
      <c r="N7" s="16"/>
      <c r="O7" s="17"/>
    </row>
    <row r="8" ht="14.25" customHeight="1">
      <c r="A8" s="18" t="s">
        <v>9</v>
      </c>
      <c r="B8" s="19" t="s">
        <v>10</v>
      </c>
      <c r="C8" s="19" t="s">
        <v>11</v>
      </c>
      <c r="D8" s="19" t="s">
        <v>12</v>
      </c>
      <c r="E8" s="19" t="s">
        <v>13</v>
      </c>
      <c r="F8" s="19" t="s">
        <v>14</v>
      </c>
      <c r="G8" s="19" t="s">
        <v>15</v>
      </c>
      <c r="H8" s="19" t="s">
        <v>16</v>
      </c>
      <c r="I8" s="19" t="s">
        <v>17</v>
      </c>
      <c r="J8" s="19" t="s">
        <v>18</v>
      </c>
      <c r="K8" s="19" t="s">
        <v>19</v>
      </c>
      <c r="L8" s="19" t="s">
        <v>20</v>
      </c>
      <c r="M8" s="19" t="s">
        <v>21</v>
      </c>
      <c r="N8" s="19" t="s">
        <v>22</v>
      </c>
      <c r="O8" s="20" t="s">
        <v>23</v>
      </c>
    </row>
    <row r="9" ht="14.25" customHeight="1">
      <c r="A9" s="21" t="str">
        <f>'4.PRECIOS'!A23</f>
        <v>PRODUCTO 1</v>
      </c>
      <c r="B9" s="22" t="s">
        <v>24</v>
      </c>
      <c r="C9" s="23">
        <v>5.0</v>
      </c>
      <c r="D9" s="23">
        <v>5.0</v>
      </c>
      <c r="E9" s="23">
        <v>4.0</v>
      </c>
      <c r="F9" s="23">
        <v>4.0</v>
      </c>
      <c r="G9" s="23">
        <v>6.0</v>
      </c>
      <c r="H9" s="23">
        <v>6.0</v>
      </c>
      <c r="I9" s="23">
        <v>10.0</v>
      </c>
      <c r="J9" s="23">
        <v>10.0</v>
      </c>
      <c r="K9" s="23">
        <v>10.0</v>
      </c>
      <c r="L9" s="23">
        <v>10.0</v>
      </c>
      <c r="M9" s="23">
        <v>14.0</v>
      </c>
      <c r="N9" s="23">
        <v>16.0</v>
      </c>
      <c r="O9" s="20">
        <f t="shared" ref="O9:O13" si="1">SUM(C9:N9)</f>
        <v>100</v>
      </c>
    </row>
    <row r="10" ht="14.25" customHeight="1">
      <c r="A10" s="21" t="str">
        <f>'4.PRECIOS'!A24</f>
        <v>PRODUCTO 2</v>
      </c>
      <c r="B10" s="24"/>
      <c r="C10" s="25"/>
      <c r="D10" s="25"/>
      <c r="E10" s="25"/>
      <c r="F10" s="25"/>
      <c r="G10" s="25"/>
      <c r="H10" s="25"/>
      <c r="I10" s="25"/>
      <c r="J10" s="25"/>
      <c r="K10" s="25"/>
      <c r="L10" s="25"/>
      <c r="M10" s="25"/>
      <c r="N10" s="25"/>
      <c r="O10" s="20">
        <f t="shared" si="1"/>
        <v>0</v>
      </c>
    </row>
    <row r="11" ht="14.25" customHeight="1">
      <c r="A11" s="21" t="str">
        <f>'4.PRECIOS'!A25</f>
        <v>PRODUCTO 3</v>
      </c>
      <c r="B11" s="24"/>
      <c r="C11" s="25"/>
      <c r="D11" s="25"/>
      <c r="E11" s="25"/>
      <c r="F11" s="25"/>
      <c r="G11" s="25"/>
      <c r="H11" s="25"/>
      <c r="I11" s="25"/>
      <c r="J11" s="25"/>
      <c r="K11" s="25"/>
      <c r="L11" s="25"/>
      <c r="M11" s="25"/>
      <c r="N11" s="25"/>
      <c r="O11" s="20">
        <f t="shared" si="1"/>
        <v>0</v>
      </c>
    </row>
    <row r="12" ht="14.25" customHeight="1">
      <c r="A12" s="21" t="str">
        <f>'4.PRECIOS'!A26</f>
        <v>PRODUCTO 4</v>
      </c>
      <c r="B12" s="24"/>
      <c r="C12" s="25"/>
      <c r="D12" s="25"/>
      <c r="E12" s="25"/>
      <c r="F12" s="25"/>
      <c r="G12" s="25"/>
      <c r="H12" s="25"/>
      <c r="I12" s="25"/>
      <c r="J12" s="25"/>
      <c r="K12" s="25"/>
      <c r="L12" s="25"/>
      <c r="M12" s="25"/>
      <c r="N12" s="25"/>
      <c r="O12" s="20">
        <f t="shared" si="1"/>
        <v>0</v>
      </c>
    </row>
    <row r="13" ht="14.25" customHeight="1">
      <c r="A13" s="26" t="str">
        <f>'4.PRECIOS'!A27</f>
        <v>PRODUCTO 5</v>
      </c>
      <c r="B13" s="24"/>
      <c r="C13" s="27"/>
      <c r="D13" s="27"/>
      <c r="E13" s="27"/>
      <c r="F13" s="27"/>
      <c r="G13" s="27"/>
      <c r="H13" s="27"/>
      <c r="I13" s="27"/>
      <c r="J13" s="27"/>
      <c r="K13" s="27"/>
      <c r="L13" s="27"/>
      <c r="M13" s="27"/>
      <c r="N13" s="27"/>
      <c r="O13" s="28">
        <f t="shared" si="1"/>
        <v>0</v>
      </c>
    </row>
    <row r="14" ht="14.25" customHeight="1"/>
    <row r="15" ht="14.25" customHeight="1">
      <c r="B15" s="29" t="s">
        <v>25</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F4"/>
    <mergeCell ref="A5:F5"/>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6" width="10.71"/>
    <col customWidth="1" min="7" max="7" width="21.0"/>
    <col customWidth="1" min="8" max="14" width="10.71"/>
    <col customWidth="1" min="15" max="26" width="9.14"/>
  </cols>
  <sheetData>
    <row r="1" ht="14.25" customHeight="1">
      <c r="A1" s="30" t="s">
        <v>26</v>
      </c>
      <c r="G1" s="30" t="s">
        <v>27</v>
      </c>
    </row>
    <row r="2" ht="14.25" customHeight="1"/>
    <row r="3" ht="14.25" customHeight="1">
      <c r="A3" s="31" t="s">
        <v>28</v>
      </c>
      <c r="G3" s="31" t="s">
        <v>29</v>
      </c>
    </row>
    <row r="4" ht="14.25" customHeight="1">
      <c r="A4" s="29" t="s">
        <v>30</v>
      </c>
      <c r="B4" s="22" t="s">
        <v>31</v>
      </c>
      <c r="C4" s="29" t="s">
        <v>32</v>
      </c>
      <c r="G4" s="29" t="s">
        <v>33</v>
      </c>
      <c r="H4" s="24"/>
      <c r="I4" s="29" t="s">
        <v>34</v>
      </c>
    </row>
    <row r="5" ht="14.25" customHeight="1">
      <c r="A5" s="29" t="s">
        <v>35</v>
      </c>
      <c r="B5" s="32">
        <v>1300.0</v>
      </c>
      <c r="C5" s="29" t="s">
        <v>36</v>
      </c>
      <c r="G5" s="29" t="s">
        <v>37</v>
      </c>
      <c r="H5" s="33"/>
      <c r="I5" s="29" t="s">
        <v>38</v>
      </c>
    </row>
    <row r="6" ht="14.25" customHeight="1">
      <c r="A6" s="29" t="s">
        <v>39</v>
      </c>
      <c r="B6" s="34">
        <v>96.6</v>
      </c>
      <c r="C6" s="29" t="s">
        <v>40</v>
      </c>
      <c r="G6" s="29" t="s">
        <v>41</v>
      </c>
      <c r="H6" s="35"/>
      <c r="I6" s="29" t="s">
        <v>42</v>
      </c>
    </row>
    <row r="7" ht="14.25" customHeight="1">
      <c r="A7" s="29" t="s">
        <v>43</v>
      </c>
      <c r="B7" s="36">
        <f>IF(B6="",0,80)</f>
        <v>80</v>
      </c>
      <c r="C7" s="29" t="s">
        <v>44</v>
      </c>
      <c r="G7" s="29" t="s">
        <v>45</v>
      </c>
      <c r="H7" s="36">
        <f>H4*IF(H6="12",H5+((h5x2)/12),H5)</f>
        <v>0</v>
      </c>
      <c r="I7" s="29" t="s">
        <v>44</v>
      </c>
    </row>
    <row r="8" ht="14.25" customHeight="1">
      <c r="G8" s="29" t="s">
        <v>46</v>
      </c>
      <c r="H8" s="36">
        <f>H4*(H5+(H5*2)/12)*0.319</f>
        <v>0</v>
      </c>
      <c r="I8" s="29" t="s">
        <v>44</v>
      </c>
    </row>
    <row r="9" ht="14.25" customHeight="1">
      <c r="G9" s="29" t="s">
        <v>47</v>
      </c>
      <c r="H9" s="29">
        <f>H4*IF(H6=12,H5+((H5*2/12)),H5*2)</f>
        <v>0</v>
      </c>
    </row>
    <row r="10" ht="14.25" customHeight="1"/>
    <row r="11" ht="14.25" customHeight="1">
      <c r="G11" s="31" t="s">
        <v>48</v>
      </c>
    </row>
    <row r="12" ht="14.25" customHeight="1">
      <c r="A12" s="31" t="s">
        <v>49</v>
      </c>
      <c r="G12" s="29" t="s">
        <v>33</v>
      </c>
      <c r="H12" s="24"/>
      <c r="I12" s="29" t="s">
        <v>34</v>
      </c>
    </row>
    <row r="13" ht="14.25" customHeight="1">
      <c r="A13" s="29" t="s">
        <v>35</v>
      </c>
      <c r="B13" s="33"/>
      <c r="C13" s="29" t="s">
        <v>36</v>
      </c>
      <c r="G13" s="29" t="s">
        <v>37</v>
      </c>
      <c r="H13" s="33"/>
      <c r="I13" s="29" t="s">
        <v>38</v>
      </c>
    </row>
    <row r="14" ht="14.25" customHeight="1">
      <c r="A14" s="29" t="s">
        <v>39</v>
      </c>
      <c r="B14" s="37"/>
      <c r="C14" s="29" t="s">
        <v>40</v>
      </c>
      <c r="G14" s="29" t="s">
        <v>41</v>
      </c>
      <c r="H14" s="35"/>
      <c r="I14" s="29" t="s">
        <v>42</v>
      </c>
    </row>
    <row r="15" ht="14.25" customHeight="1">
      <c r="A15" s="29" t="s">
        <v>43</v>
      </c>
      <c r="B15" s="36">
        <f>IF(B14="",0,80)</f>
        <v>0</v>
      </c>
      <c r="C15" s="29" t="s">
        <v>44</v>
      </c>
      <c r="G15" s="29" t="s">
        <v>45</v>
      </c>
      <c r="H15" s="36">
        <f>H12*IF(H14="12",H13+((h5x2)/12),H13)</f>
        <v>0</v>
      </c>
      <c r="I15" s="29" t="s">
        <v>44</v>
      </c>
    </row>
    <row r="16" ht="14.25" customHeight="1">
      <c r="G16" s="29" t="s">
        <v>46</v>
      </c>
      <c r="H16" s="36">
        <f>H12*(H13+(H13*2)/12)*0.319</f>
        <v>0</v>
      </c>
      <c r="I16" s="29" t="s">
        <v>44</v>
      </c>
    </row>
    <row r="17" ht="14.25" customHeight="1">
      <c r="G17" s="29" t="s">
        <v>47</v>
      </c>
      <c r="H17" s="29">
        <f>H12*IF(H14=12,H13+((H13*2/12)),H13*2)</f>
        <v>0</v>
      </c>
    </row>
    <row r="18" ht="14.25" customHeight="1"/>
    <row r="19" ht="14.25" customHeight="1">
      <c r="G19" s="31" t="s">
        <v>50</v>
      </c>
    </row>
    <row r="20" ht="14.25" customHeight="1">
      <c r="G20" s="29" t="s">
        <v>33</v>
      </c>
      <c r="H20" s="24"/>
      <c r="I20" s="29" t="s">
        <v>34</v>
      </c>
    </row>
    <row r="21" ht="14.25" customHeight="1">
      <c r="A21" s="31" t="s">
        <v>51</v>
      </c>
      <c r="G21" s="29" t="s">
        <v>37</v>
      </c>
      <c r="H21" s="33"/>
      <c r="I21" s="29" t="s">
        <v>38</v>
      </c>
    </row>
    <row r="22" ht="14.25" customHeight="1">
      <c r="A22" s="29" t="s">
        <v>35</v>
      </c>
      <c r="B22" s="33"/>
      <c r="C22" s="29" t="s">
        <v>36</v>
      </c>
      <c r="G22" s="29" t="s">
        <v>41</v>
      </c>
      <c r="H22" s="35"/>
      <c r="I22" s="29" t="s">
        <v>42</v>
      </c>
    </row>
    <row r="23" ht="14.25" customHeight="1">
      <c r="A23" s="29" t="s">
        <v>39</v>
      </c>
      <c r="B23" s="37"/>
      <c r="C23" s="29" t="s">
        <v>40</v>
      </c>
      <c r="G23" s="29" t="s">
        <v>45</v>
      </c>
      <c r="H23" s="36">
        <f>H20*IF(H22="12",H21+((h5x2)/12),H21)</f>
        <v>0</v>
      </c>
      <c r="I23" s="29" t="s">
        <v>44</v>
      </c>
    </row>
    <row r="24" ht="14.25" customHeight="1">
      <c r="A24" s="29" t="s">
        <v>43</v>
      </c>
      <c r="B24" s="36">
        <f>IF(B23="",0,80)</f>
        <v>0</v>
      </c>
      <c r="C24" s="29" t="s">
        <v>44</v>
      </c>
      <c r="G24" s="29" t="s">
        <v>46</v>
      </c>
      <c r="H24" s="36">
        <f>H20*(H21+(H21*2)/12)*0.319</f>
        <v>0</v>
      </c>
      <c r="I24" s="29" t="s">
        <v>44</v>
      </c>
    </row>
    <row r="25" ht="14.25" customHeight="1">
      <c r="G25" s="29" t="s">
        <v>47</v>
      </c>
      <c r="H25" s="29">
        <f>H20*IF(H22=12,H21+((H21*2/12)),H21*2)</f>
        <v>0</v>
      </c>
    </row>
    <row r="26" ht="14.25" customHeight="1">
      <c r="B26" s="36"/>
    </row>
    <row r="27" ht="14.25" customHeight="1">
      <c r="B27" s="36"/>
      <c r="G27" s="31" t="s">
        <v>52</v>
      </c>
    </row>
    <row r="28" ht="14.25" customHeight="1">
      <c r="G28" s="29" t="s">
        <v>33</v>
      </c>
      <c r="H28" s="24"/>
      <c r="I28" s="29" t="s">
        <v>34</v>
      </c>
    </row>
    <row r="29" ht="14.25" customHeight="1">
      <c r="G29" s="29" t="s">
        <v>37</v>
      </c>
      <c r="H29" s="33"/>
      <c r="I29" s="29" t="s">
        <v>38</v>
      </c>
    </row>
    <row r="30" ht="14.25" customHeight="1">
      <c r="G30" s="29" t="s">
        <v>41</v>
      </c>
      <c r="H30" s="35"/>
      <c r="I30" s="29" t="s">
        <v>42</v>
      </c>
    </row>
    <row r="31" ht="14.25" customHeight="1">
      <c r="G31" s="29" t="s">
        <v>45</v>
      </c>
      <c r="H31" s="36">
        <f>H28*IF(H30="12",H29+((h5x2)/12),H29)</f>
        <v>0</v>
      </c>
      <c r="I31" s="29" t="s">
        <v>44</v>
      </c>
    </row>
    <row r="32" ht="14.25" customHeight="1">
      <c r="G32" s="29" t="s">
        <v>46</v>
      </c>
      <c r="H32" s="36">
        <f>H28*(H29+(H29*2)/12)*0.319</f>
        <v>0</v>
      </c>
      <c r="I32" s="29" t="s">
        <v>44</v>
      </c>
    </row>
    <row r="33" ht="14.25" customHeight="1">
      <c r="G33" s="29" t="s">
        <v>47</v>
      </c>
      <c r="H33" s="29">
        <f>H28*IF(H30=12,H29+((H29*2/12)),H29*2)</f>
        <v>0</v>
      </c>
    </row>
    <row r="34" ht="14.25" customHeight="1">
      <c r="A34" s="38" t="s">
        <v>53</v>
      </c>
      <c r="B34" s="16"/>
      <c r="C34" s="16"/>
      <c r="D34" s="16"/>
      <c r="E34" s="16"/>
      <c r="F34" s="16"/>
      <c r="G34" s="16"/>
      <c r="H34" s="16"/>
      <c r="I34" s="16"/>
      <c r="J34" s="16"/>
      <c r="K34" s="16"/>
      <c r="L34" s="16"/>
      <c r="M34" s="16"/>
      <c r="N34" s="17"/>
    </row>
    <row r="35" ht="14.25" customHeight="1">
      <c r="A35" s="39" t="s">
        <v>54</v>
      </c>
      <c r="B35" s="40" t="s">
        <v>11</v>
      </c>
      <c r="C35" s="40" t="s">
        <v>12</v>
      </c>
      <c r="D35" s="40" t="s">
        <v>13</v>
      </c>
      <c r="E35" s="40" t="s">
        <v>14</v>
      </c>
      <c r="F35" s="40" t="s">
        <v>15</v>
      </c>
      <c r="G35" s="40" t="s">
        <v>16</v>
      </c>
      <c r="H35" s="40" t="s">
        <v>17</v>
      </c>
      <c r="I35" s="40" t="s">
        <v>18</v>
      </c>
      <c r="J35" s="40" t="s">
        <v>19</v>
      </c>
      <c r="K35" s="40" t="s">
        <v>20</v>
      </c>
      <c r="L35" s="40" t="s">
        <v>21</v>
      </c>
      <c r="M35" s="40" t="s">
        <v>22</v>
      </c>
      <c r="N35" s="20" t="s">
        <v>55</v>
      </c>
    </row>
    <row r="36" ht="14.25" customHeight="1">
      <c r="A36" s="18" t="s">
        <v>56</v>
      </c>
      <c r="B36" s="36">
        <f t="shared" ref="B36:F36" si="1">$H$7+$H$15+$H$23+$H$31+$B$13+$B$22+IF($B$4="",$B$5,0)</f>
        <v>0</v>
      </c>
      <c r="C36" s="36">
        <f t="shared" si="1"/>
        <v>0</v>
      </c>
      <c r="D36" s="36">
        <f t="shared" si="1"/>
        <v>0</v>
      </c>
      <c r="E36" s="36">
        <f t="shared" si="1"/>
        <v>0</v>
      </c>
      <c r="F36" s="36">
        <f t="shared" si="1"/>
        <v>0</v>
      </c>
      <c r="G36" s="36">
        <f>H9+H17+H25+H33+$B$13+$B$22+IF($B$4="",$B$5,0)</f>
        <v>0</v>
      </c>
      <c r="H36" s="36">
        <f t="shared" ref="H36:L36" si="2">$H$7+$H$15+$H$23+$H$31+$B$13+$B$22+IF($B$4="",$B$5,0)</f>
        <v>0</v>
      </c>
      <c r="I36" s="36">
        <f t="shared" si="2"/>
        <v>0</v>
      </c>
      <c r="J36" s="36">
        <f t="shared" si="2"/>
        <v>0</v>
      </c>
      <c r="K36" s="36">
        <f t="shared" si="2"/>
        <v>0</v>
      </c>
      <c r="L36" s="36">
        <f t="shared" si="2"/>
        <v>0</v>
      </c>
      <c r="M36" s="36">
        <f>H9+H17+H25+H33+$B$13+$B$22+IF($B$4="",$B$5,0)</f>
        <v>0</v>
      </c>
      <c r="N36" s="41">
        <f t="shared" ref="N36:N39" si="4">SUM(B36:M36)</f>
        <v>0</v>
      </c>
    </row>
    <row r="37" ht="14.25" customHeight="1">
      <c r="A37" s="18" t="s">
        <v>57</v>
      </c>
      <c r="B37" s="36">
        <f t="shared" ref="B37:M37" si="3">$H$8+$H$16+$H$24+$H$32</f>
        <v>0</v>
      </c>
      <c r="C37" s="36">
        <f t="shared" si="3"/>
        <v>0</v>
      </c>
      <c r="D37" s="36">
        <f t="shared" si="3"/>
        <v>0</v>
      </c>
      <c r="E37" s="36">
        <f t="shared" si="3"/>
        <v>0</v>
      </c>
      <c r="F37" s="36">
        <f t="shared" si="3"/>
        <v>0</v>
      </c>
      <c r="G37" s="36">
        <f t="shared" si="3"/>
        <v>0</v>
      </c>
      <c r="H37" s="36">
        <f t="shared" si="3"/>
        <v>0</v>
      </c>
      <c r="I37" s="36">
        <f t="shared" si="3"/>
        <v>0</v>
      </c>
      <c r="J37" s="36">
        <f t="shared" si="3"/>
        <v>0</v>
      </c>
      <c r="K37" s="36">
        <f t="shared" si="3"/>
        <v>0</v>
      </c>
      <c r="L37" s="36">
        <f t="shared" si="3"/>
        <v>0</v>
      </c>
      <c r="M37" s="36">
        <f t="shared" si="3"/>
        <v>0</v>
      </c>
      <c r="N37" s="41">
        <f t="shared" si="4"/>
        <v>0</v>
      </c>
    </row>
    <row r="38" ht="14.25" customHeight="1">
      <c r="A38" s="18" t="s">
        <v>58</v>
      </c>
      <c r="B38" s="36">
        <f t="shared" ref="B38:M38" si="5">$B$7+$B$15+$B$24</f>
        <v>80</v>
      </c>
      <c r="C38" s="36">
        <f t="shared" si="5"/>
        <v>80</v>
      </c>
      <c r="D38" s="36">
        <f t="shared" si="5"/>
        <v>80</v>
      </c>
      <c r="E38" s="36">
        <f t="shared" si="5"/>
        <v>80</v>
      </c>
      <c r="F38" s="36">
        <f t="shared" si="5"/>
        <v>80</v>
      </c>
      <c r="G38" s="36">
        <f t="shared" si="5"/>
        <v>80</v>
      </c>
      <c r="H38" s="36">
        <f t="shared" si="5"/>
        <v>80</v>
      </c>
      <c r="I38" s="36">
        <f t="shared" si="5"/>
        <v>80</v>
      </c>
      <c r="J38" s="36">
        <f t="shared" si="5"/>
        <v>80</v>
      </c>
      <c r="K38" s="36">
        <f t="shared" si="5"/>
        <v>80</v>
      </c>
      <c r="L38" s="36">
        <f t="shared" si="5"/>
        <v>80</v>
      </c>
      <c r="M38" s="36">
        <f t="shared" si="5"/>
        <v>80</v>
      </c>
      <c r="N38" s="41">
        <f t="shared" si="4"/>
        <v>960</v>
      </c>
    </row>
    <row r="39" ht="14.25" customHeight="1">
      <c r="A39" s="42" t="s">
        <v>59</v>
      </c>
      <c r="B39" s="43">
        <f t="shared" ref="B39:M39" si="6">IF($B$4="x",$B$5,0)</f>
        <v>1300</v>
      </c>
      <c r="C39" s="43">
        <f t="shared" si="6"/>
        <v>1300</v>
      </c>
      <c r="D39" s="43">
        <f t="shared" si="6"/>
        <v>1300</v>
      </c>
      <c r="E39" s="43">
        <f t="shared" si="6"/>
        <v>1300</v>
      </c>
      <c r="F39" s="43">
        <f t="shared" si="6"/>
        <v>1300</v>
      </c>
      <c r="G39" s="43">
        <f t="shared" si="6"/>
        <v>1300</v>
      </c>
      <c r="H39" s="43">
        <f t="shared" si="6"/>
        <v>1300</v>
      </c>
      <c r="I39" s="43">
        <f t="shared" si="6"/>
        <v>1300</v>
      </c>
      <c r="J39" s="43">
        <f t="shared" si="6"/>
        <v>1300</v>
      </c>
      <c r="K39" s="43">
        <f t="shared" si="6"/>
        <v>1300</v>
      </c>
      <c r="L39" s="43">
        <f t="shared" si="6"/>
        <v>1300</v>
      </c>
      <c r="M39" s="43">
        <f t="shared" si="6"/>
        <v>1300</v>
      </c>
      <c r="N39" s="44">
        <f t="shared" si="4"/>
        <v>15600</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7.57"/>
    <col customWidth="1" min="3" max="6" width="10.71"/>
    <col customWidth="1" min="7" max="7" width="17.71"/>
    <col customWidth="1" min="8" max="8" width="10.71"/>
    <col customWidth="1" min="9" max="9" width="17.14"/>
    <col customWidth="1" min="10" max="10" width="18.14"/>
    <col customWidth="1" min="11" max="11" width="10.71"/>
    <col customWidth="1" min="12" max="26" width="9.14"/>
  </cols>
  <sheetData>
    <row r="1" ht="15.0" customHeight="1">
      <c r="A1" s="45" t="s">
        <v>60</v>
      </c>
      <c r="B1" s="5"/>
      <c r="C1" s="5"/>
      <c r="D1" s="5"/>
      <c r="E1" s="6"/>
    </row>
    <row r="2" ht="14.25" customHeight="1">
      <c r="A2" s="7"/>
      <c r="E2" s="8"/>
    </row>
    <row r="3" ht="14.25" customHeight="1">
      <c r="A3" s="9"/>
      <c r="B3" s="10"/>
      <c r="C3" s="10"/>
      <c r="D3" s="10"/>
      <c r="E3" s="11"/>
    </row>
    <row r="4" ht="14.25" customHeight="1"/>
    <row r="5" ht="14.25" customHeight="1">
      <c r="I5" s="31" t="s">
        <v>61</v>
      </c>
    </row>
    <row r="6" ht="14.25" customHeight="1">
      <c r="A6" s="31" t="s">
        <v>62</v>
      </c>
      <c r="B6" s="29" t="s">
        <v>63</v>
      </c>
      <c r="I6" s="46" t="s">
        <v>64</v>
      </c>
      <c r="J6" s="47" t="str">
        <f>'1.ESTIMACIÓN VENTAS'!B9</f>
        <v>Patrocinio</v>
      </c>
    </row>
    <row r="7" ht="14.25" customHeight="1">
      <c r="A7" s="29" t="s">
        <v>65</v>
      </c>
      <c r="B7" s="48">
        <v>500.0</v>
      </c>
      <c r="C7" s="29" t="s">
        <v>44</v>
      </c>
      <c r="I7" s="39" t="s">
        <v>66</v>
      </c>
      <c r="J7" s="49"/>
      <c r="K7" s="29" t="s">
        <v>67</v>
      </c>
    </row>
    <row r="8" ht="14.25" customHeight="1">
      <c r="A8" s="29" t="s">
        <v>68</v>
      </c>
      <c r="B8" s="50">
        <f>AVERAGE('2.COSTES SALARIALES'!B36:M36)</f>
        <v>0</v>
      </c>
      <c r="C8" s="29" t="s">
        <v>44</v>
      </c>
      <c r="I8" s="39" t="s">
        <v>69</v>
      </c>
      <c r="J8" s="49"/>
    </row>
    <row r="9" ht="14.25" customHeight="1">
      <c r="A9" s="29" t="s">
        <v>70</v>
      </c>
      <c r="B9" s="50">
        <f>'2.COSTES SALARIALES'!H8+'2.COSTES SALARIALES'!H16+'2.COSTES SALARIALES'!H24</f>
        <v>0</v>
      </c>
      <c r="C9" s="29" t="s">
        <v>44</v>
      </c>
      <c r="I9" s="39" t="s">
        <v>71</v>
      </c>
      <c r="J9" s="49"/>
    </row>
    <row r="10" ht="14.25" customHeight="1">
      <c r="A10" s="29" t="s">
        <v>72</v>
      </c>
      <c r="B10" s="50">
        <f>('2.COSTES SALARIALES'!B6*0.3)+('2.COSTES SALARIALES'!B14*0.3)+('2.COSTES SALARIALES'!B23*0.3)</f>
        <v>28.98</v>
      </c>
      <c r="C10" s="29" t="s">
        <v>44</v>
      </c>
      <c r="I10" s="51" t="s">
        <v>23</v>
      </c>
      <c r="J10" s="52">
        <f>SUM(J7:J9)</f>
        <v>0</v>
      </c>
    </row>
    <row r="11" ht="14.25" customHeight="1">
      <c r="A11" s="29" t="s">
        <v>73</v>
      </c>
      <c r="B11" s="48">
        <v>35.0</v>
      </c>
      <c r="C11" s="29" t="s">
        <v>44</v>
      </c>
    </row>
    <row r="12" ht="14.25" customHeight="1">
      <c r="A12" s="29" t="s">
        <v>74</v>
      </c>
      <c r="B12" s="48">
        <v>20.0</v>
      </c>
      <c r="C12" s="29" t="s">
        <v>44</v>
      </c>
    </row>
    <row r="13" ht="14.25" customHeight="1">
      <c r="A13" s="29" t="s">
        <v>75</v>
      </c>
      <c r="B13" s="48">
        <v>40.0</v>
      </c>
      <c r="C13" s="29" t="s">
        <v>44</v>
      </c>
      <c r="I13" s="46" t="s">
        <v>76</v>
      </c>
      <c r="J13" s="47" t="str">
        <f>'1.ESTIMACIÓN VENTAS'!B10</f>
        <v/>
      </c>
    </row>
    <row r="14" ht="14.25" customHeight="1">
      <c r="A14" s="29" t="s">
        <v>77</v>
      </c>
      <c r="B14" s="48">
        <v>200.0</v>
      </c>
      <c r="C14" s="29" t="s">
        <v>44</v>
      </c>
      <c r="I14" s="39" t="s">
        <v>66</v>
      </c>
      <c r="J14" s="49"/>
      <c r="K14" s="29" t="s">
        <v>67</v>
      </c>
    </row>
    <row r="15" ht="14.25" customHeight="1">
      <c r="A15" s="29" t="s">
        <v>78</v>
      </c>
      <c r="B15" s="48">
        <v>35.0</v>
      </c>
      <c r="C15" s="29" t="s">
        <v>44</v>
      </c>
      <c r="I15" s="39" t="s">
        <v>69</v>
      </c>
      <c r="J15" s="49"/>
    </row>
    <row r="16" ht="14.25" customHeight="1">
      <c r="A16" s="29" t="s">
        <v>79</v>
      </c>
      <c r="B16" s="53">
        <f>AVERAGE('9.FINANCIACIÓN AJENA'!C24:C35)+AVERAGE('9.FINANCIACIÓN AJENA'!J24:J35)</f>
        <v>33.39324891</v>
      </c>
      <c r="C16" s="29" t="s">
        <v>44</v>
      </c>
      <c r="I16" s="39" t="s">
        <v>71</v>
      </c>
      <c r="J16" s="49"/>
    </row>
    <row r="17" ht="14.25" customHeight="1">
      <c r="A17" s="29" t="s">
        <v>80</v>
      </c>
      <c r="B17" s="50">
        <f>'7.AMORTIZACIÓN'!D15/12
</f>
        <v>89.94086895</v>
      </c>
      <c r="C17" s="29" t="s">
        <v>44</v>
      </c>
      <c r="I17" s="51" t="s">
        <v>23</v>
      </c>
      <c r="J17" s="52">
        <f>SUM(J14:J16)</f>
        <v>0</v>
      </c>
    </row>
    <row r="18" ht="14.25" customHeight="1">
      <c r="A18" s="54" t="s">
        <v>81</v>
      </c>
      <c r="B18" s="48">
        <v>3.5</v>
      </c>
      <c r="C18" s="29" t="s">
        <v>44</v>
      </c>
      <c r="D18" s="29" t="s">
        <v>82</v>
      </c>
    </row>
    <row r="19" ht="14.25" customHeight="1">
      <c r="A19" s="55" t="s">
        <v>83</v>
      </c>
      <c r="B19" s="48">
        <v>100.0</v>
      </c>
      <c r="C19" s="29" t="s">
        <v>44</v>
      </c>
    </row>
    <row r="20" ht="14.25" customHeight="1">
      <c r="A20" s="29" t="s">
        <v>84</v>
      </c>
      <c r="B20" s="56"/>
      <c r="C20" s="29" t="s">
        <v>44</v>
      </c>
      <c r="I20" s="46" t="s">
        <v>85</v>
      </c>
      <c r="J20" s="47" t="str">
        <f>'1.ESTIMACIÓN VENTAS'!B11</f>
        <v/>
      </c>
    </row>
    <row r="21" ht="14.25" customHeight="1">
      <c r="A21" s="29" t="s">
        <v>86</v>
      </c>
      <c r="B21" s="56"/>
      <c r="C21" s="29" t="s">
        <v>44</v>
      </c>
      <c r="I21" s="57"/>
      <c r="J21" s="58"/>
    </row>
    <row r="22" ht="14.25" customHeight="1">
      <c r="A22" s="31" t="s">
        <v>23</v>
      </c>
      <c r="B22" s="59">
        <f>SUM(B7:B20)</f>
        <v>1085.814118</v>
      </c>
      <c r="I22" s="39" t="s">
        <v>66</v>
      </c>
      <c r="J22" s="49"/>
      <c r="K22" s="29" t="s">
        <v>67</v>
      </c>
    </row>
    <row r="23" ht="14.25" customHeight="1">
      <c r="B23" s="53"/>
      <c r="I23" s="39" t="s">
        <v>69</v>
      </c>
      <c r="J23" s="49"/>
    </row>
    <row r="24" ht="14.25" customHeight="1">
      <c r="I24" s="39" t="s">
        <v>71</v>
      </c>
      <c r="J24" s="49"/>
    </row>
    <row r="25" ht="14.25" customHeight="1">
      <c r="I25" s="51" t="s">
        <v>23</v>
      </c>
      <c r="J25" s="52">
        <f>SUM(J22:J24)</f>
        <v>0</v>
      </c>
    </row>
    <row r="26" ht="14.25" customHeight="1">
      <c r="A26" s="60" t="s">
        <v>87</v>
      </c>
      <c r="B26" s="61">
        <f>B22*12</f>
        <v>13029.76941</v>
      </c>
    </row>
    <row r="27" ht="14.25" customHeight="1"/>
    <row r="28" ht="14.25" customHeight="1">
      <c r="I28" s="46" t="s">
        <v>88</v>
      </c>
      <c r="J28" s="47" t="str">
        <f>'1.ESTIMACIÓN VENTAS'!B12</f>
        <v/>
      </c>
    </row>
    <row r="29" ht="14.25" customHeight="1">
      <c r="A29" s="60"/>
      <c r="I29" s="39" t="s">
        <v>66</v>
      </c>
      <c r="J29" s="49"/>
      <c r="K29" s="29" t="s">
        <v>67</v>
      </c>
    </row>
    <row r="30" ht="14.25" customHeight="1">
      <c r="I30" s="39" t="s">
        <v>69</v>
      </c>
      <c r="J30" s="49"/>
    </row>
    <row r="31" ht="14.25" customHeight="1">
      <c r="I31" s="39" t="s">
        <v>71</v>
      </c>
      <c r="J31" s="49"/>
    </row>
    <row r="32" ht="14.25" customHeight="1">
      <c r="I32" s="51" t="s">
        <v>23</v>
      </c>
      <c r="J32" s="62">
        <f>SUM(J29:J31)</f>
        <v>0</v>
      </c>
    </row>
    <row r="33" ht="14.25" customHeight="1"/>
    <row r="34" ht="14.25" customHeight="1"/>
    <row r="35" ht="14.25" customHeight="1">
      <c r="I35" s="46" t="s">
        <v>89</v>
      </c>
      <c r="J35" s="47" t="str">
        <f>'1.ESTIMACIÓN VENTAS'!B13</f>
        <v/>
      </c>
    </row>
    <row r="36" ht="14.25" customHeight="1">
      <c r="I36" s="39" t="s">
        <v>66</v>
      </c>
      <c r="J36" s="49"/>
      <c r="K36" s="29" t="s">
        <v>67</v>
      </c>
    </row>
    <row r="37" ht="14.25" customHeight="1">
      <c r="I37" s="39" t="s">
        <v>69</v>
      </c>
      <c r="J37" s="49"/>
    </row>
    <row r="38" ht="14.25" customHeight="1">
      <c r="I38" s="39" t="s">
        <v>71</v>
      </c>
      <c r="J38" s="49"/>
    </row>
    <row r="39" ht="14.25" customHeight="1">
      <c r="I39" s="51" t="s">
        <v>23</v>
      </c>
      <c r="J39" s="62">
        <f>SUM(J36:J38)</f>
        <v>0</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3"/>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16.43"/>
    <col customWidth="1" min="3" max="5" width="10.71"/>
    <col customWidth="1" min="6" max="6" width="12.86"/>
    <col customWidth="1" min="7" max="9" width="10.71"/>
    <col customWidth="1" min="10" max="26" width="9.14"/>
  </cols>
  <sheetData>
    <row r="1" ht="15.0" customHeight="1">
      <c r="A1" s="45" t="s">
        <v>90</v>
      </c>
      <c r="B1" s="5"/>
      <c r="C1" s="5"/>
      <c r="D1" s="5"/>
      <c r="E1" s="5"/>
      <c r="F1" s="5"/>
      <c r="G1" s="6"/>
    </row>
    <row r="2" ht="14.25" customHeight="1">
      <c r="A2" s="7"/>
      <c r="G2" s="8"/>
    </row>
    <row r="3" ht="14.25" customHeight="1">
      <c r="A3" s="7"/>
      <c r="G3" s="8"/>
    </row>
    <row r="4" ht="14.25" customHeight="1">
      <c r="A4" s="9"/>
      <c r="B4" s="10"/>
      <c r="C4" s="10"/>
      <c r="D4" s="10"/>
      <c r="E4" s="10"/>
      <c r="F4" s="10"/>
      <c r="G4" s="11"/>
    </row>
    <row r="5" ht="14.25" customHeight="1"/>
    <row r="6" ht="14.25" customHeight="1">
      <c r="A6" s="29" t="s">
        <v>91</v>
      </c>
      <c r="C6" s="63">
        <f>'3.COSTES'!B26</f>
        <v>13029.76941</v>
      </c>
      <c r="D6" s="29" t="s">
        <v>92</v>
      </c>
    </row>
    <row r="7" ht="14.25" customHeight="1">
      <c r="A7" s="64" t="s">
        <v>93</v>
      </c>
      <c r="B7" s="64"/>
      <c r="C7" s="63">
        <f>'3.COSTES'!J10</f>
        <v>0</v>
      </c>
      <c r="D7" s="29" t="s">
        <v>94</v>
      </c>
    </row>
    <row r="8" ht="14.25" customHeight="1">
      <c r="A8" s="64" t="s">
        <v>95</v>
      </c>
      <c r="B8" s="64"/>
      <c r="C8" s="63">
        <f>'3.COSTES'!J17</f>
        <v>0</v>
      </c>
      <c r="D8" s="29" t="s">
        <v>94</v>
      </c>
    </row>
    <row r="9" ht="14.25" customHeight="1">
      <c r="A9" s="64" t="s">
        <v>96</v>
      </c>
      <c r="B9" s="64"/>
      <c r="C9" s="63">
        <f>'3.COSTES'!J25</f>
        <v>0</v>
      </c>
      <c r="D9" s="29" t="s">
        <v>94</v>
      </c>
    </row>
    <row r="10" ht="14.25" customHeight="1">
      <c r="A10" s="64" t="s">
        <v>97</v>
      </c>
      <c r="B10" s="64"/>
      <c r="C10" s="63">
        <f>'3.COSTES'!J32</f>
        <v>0</v>
      </c>
      <c r="D10" s="29" t="s">
        <v>94</v>
      </c>
    </row>
    <row r="11" ht="14.25" customHeight="1">
      <c r="A11" s="64" t="s">
        <v>98</v>
      </c>
      <c r="B11" s="64"/>
      <c r="C11" s="63">
        <f>'3.COSTES'!J39</f>
        <v>0</v>
      </c>
      <c r="D11" s="29" t="s">
        <v>94</v>
      </c>
    </row>
    <row r="12" ht="14.25" customHeight="1">
      <c r="A12" s="64"/>
      <c r="B12" s="64"/>
    </row>
    <row r="13" ht="14.25" customHeight="1"/>
    <row r="14" ht="14.25" customHeight="1">
      <c r="A14" s="60" t="s">
        <v>99</v>
      </c>
      <c r="B14" s="60"/>
    </row>
    <row r="15" ht="14.25" customHeight="1">
      <c r="A15" s="29" t="s">
        <v>64</v>
      </c>
      <c r="B15" s="29" t="str">
        <f>'3.COSTES'!J6</f>
        <v>Patrocinio</v>
      </c>
      <c r="C15" s="65">
        <v>1.0</v>
      </c>
      <c r="E15" s="29" t="s">
        <v>100</v>
      </c>
    </row>
    <row r="16" ht="14.25" customHeight="1">
      <c r="A16" s="29" t="s">
        <v>76</v>
      </c>
      <c r="B16" s="29" t="str">
        <f>'3.COSTES'!J13</f>
        <v/>
      </c>
      <c r="C16" s="66"/>
      <c r="E16" s="29" t="s">
        <v>101</v>
      </c>
    </row>
    <row r="17" ht="14.25" customHeight="1">
      <c r="A17" s="29" t="s">
        <v>85</v>
      </c>
      <c r="B17" s="29" t="str">
        <f>'3.COSTES'!J20</f>
        <v/>
      </c>
      <c r="C17" s="66"/>
      <c r="E17" s="29" t="s">
        <v>102</v>
      </c>
      <c r="G17" s="67">
        <f>SUM(C15:C20)</f>
        <v>1</v>
      </c>
    </row>
    <row r="18" ht="14.25" customHeight="1">
      <c r="A18" s="29" t="s">
        <v>88</v>
      </c>
      <c r="B18" s="29" t="str">
        <f>'3.COSTES'!J28</f>
        <v/>
      </c>
      <c r="C18" s="66"/>
    </row>
    <row r="19" ht="14.25" customHeight="1">
      <c r="A19" s="29" t="s">
        <v>89</v>
      </c>
      <c r="B19" s="29" t="str">
        <f>'3.COSTES'!J35</f>
        <v/>
      </c>
      <c r="C19" s="66"/>
    </row>
    <row r="20" ht="14.25" customHeight="1">
      <c r="C20" s="68"/>
    </row>
    <row r="21" ht="14.25" customHeight="1"/>
    <row r="22" ht="14.25" customHeight="1">
      <c r="A22" s="60" t="s">
        <v>103</v>
      </c>
      <c r="B22" s="60"/>
    </row>
    <row r="23" ht="14.25" customHeight="1">
      <c r="A23" s="29" t="s">
        <v>64</v>
      </c>
      <c r="B23" s="29" t="str">
        <f>'3.COSTES'!J6</f>
        <v>Patrocinio</v>
      </c>
      <c r="C23" s="29">
        <f>'1.ESTIMACIÓN VENTAS'!O9</f>
        <v>100</v>
      </c>
      <c r="D23" s="29" t="s">
        <v>104</v>
      </c>
    </row>
    <row r="24" ht="14.25" customHeight="1">
      <c r="A24" s="29" t="s">
        <v>76</v>
      </c>
      <c r="B24" s="29" t="str">
        <f>'3.COSTES'!J13</f>
        <v/>
      </c>
      <c r="C24" s="29">
        <f>'1.ESTIMACIÓN VENTAS'!O10</f>
        <v>0</v>
      </c>
      <c r="D24" s="29" t="s">
        <v>104</v>
      </c>
    </row>
    <row r="25" ht="14.25" customHeight="1">
      <c r="A25" s="29" t="s">
        <v>85</v>
      </c>
      <c r="B25" s="29" t="str">
        <f>'3.COSTES'!J20</f>
        <v/>
      </c>
      <c r="C25" s="29">
        <f>'1.ESTIMACIÓN VENTAS'!O11</f>
        <v>0</v>
      </c>
      <c r="D25" s="29" t="s">
        <v>104</v>
      </c>
    </row>
    <row r="26" ht="14.25" customHeight="1">
      <c r="A26" s="29" t="s">
        <v>88</v>
      </c>
      <c r="B26" s="29" t="str">
        <f>'3.COSTES'!J28</f>
        <v/>
      </c>
      <c r="C26" s="29">
        <f>'1.ESTIMACIÓN VENTAS'!O12</f>
        <v>0</v>
      </c>
      <c r="D26" s="29" t="s">
        <v>104</v>
      </c>
    </row>
    <row r="27" ht="14.25" customHeight="1">
      <c r="A27" s="29" t="s">
        <v>89</v>
      </c>
      <c r="B27" s="29" t="str">
        <f>'3.COSTES'!J35</f>
        <v/>
      </c>
      <c r="C27" s="29">
        <f>'1.ESTIMACIÓN VENTAS'!O13</f>
        <v>0</v>
      </c>
      <c r="D27" s="29" t="s">
        <v>104</v>
      </c>
    </row>
    <row r="28" ht="14.25" customHeight="1"/>
    <row r="29" ht="14.25" customHeight="1"/>
    <row r="30" ht="14.25" customHeight="1">
      <c r="A30" s="60" t="s">
        <v>105</v>
      </c>
      <c r="F30" s="60" t="s">
        <v>106</v>
      </c>
    </row>
    <row r="31" ht="14.25" customHeight="1">
      <c r="A31" s="29" t="s">
        <v>107</v>
      </c>
      <c r="B31" s="29" t="str">
        <f>'3.COSTES'!J6</f>
        <v>Patrocinio</v>
      </c>
      <c r="C31" s="53">
        <f t="shared" ref="C31:C35" si="1">(($C$6*C15)/C23)+C7</f>
        <v>130.2976941</v>
      </c>
      <c r="F31" s="29" t="s">
        <v>64</v>
      </c>
      <c r="G31" s="65">
        <v>0.6</v>
      </c>
      <c r="I31" s="29" t="s">
        <v>108</v>
      </c>
    </row>
    <row r="32" ht="14.25" customHeight="1">
      <c r="A32" s="29" t="s">
        <v>109</v>
      </c>
      <c r="B32" s="29" t="str">
        <f>'3.COSTES'!J13</f>
        <v/>
      </c>
      <c r="C32" s="53" t="str">
        <f t="shared" si="1"/>
        <v>#DIV/0!</v>
      </c>
      <c r="F32" s="29" t="s">
        <v>76</v>
      </c>
      <c r="G32" s="66"/>
    </row>
    <row r="33" ht="14.25" customHeight="1">
      <c r="A33" s="29" t="s">
        <v>110</v>
      </c>
      <c r="B33" s="29" t="str">
        <f>'3.COSTES'!J20</f>
        <v/>
      </c>
      <c r="C33" s="53" t="str">
        <f t="shared" si="1"/>
        <v>#DIV/0!</v>
      </c>
      <c r="F33" s="29" t="s">
        <v>85</v>
      </c>
      <c r="G33" s="66"/>
    </row>
    <row r="34" ht="14.25" customHeight="1">
      <c r="A34" s="29" t="s">
        <v>111</v>
      </c>
      <c r="B34" s="29" t="str">
        <f>'3.COSTES'!J28</f>
        <v/>
      </c>
      <c r="C34" s="53" t="str">
        <f t="shared" si="1"/>
        <v>#DIV/0!</v>
      </c>
      <c r="F34" s="29" t="s">
        <v>88</v>
      </c>
      <c r="G34" s="66"/>
    </row>
    <row r="35" ht="14.25" customHeight="1">
      <c r="A35" s="29" t="s">
        <v>112</v>
      </c>
      <c r="B35" s="29" t="str">
        <f>'3.COSTES'!J35</f>
        <v/>
      </c>
      <c r="C35" s="53" t="str">
        <f t="shared" si="1"/>
        <v>#DIV/0!</v>
      </c>
      <c r="F35" s="29" t="s">
        <v>89</v>
      </c>
      <c r="G35" s="66"/>
    </row>
    <row r="36" ht="14.25" customHeight="1">
      <c r="C36" s="53"/>
      <c r="G36" s="68"/>
    </row>
    <row r="37" ht="14.25" customHeight="1"/>
    <row r="38" ht="14.25" customHeight="1">
      <c r="A38" s="60" t="s">
        <v>113</v>
      </c>
      <c r="F38" s="60" t="s">
        <v>114</v>
      </c>
    </row>
    <row r="39" ht="14.25" customHeight="1">
      <c r="A39" s="29" t="s">
        <v>115</v>
      </c>
      <c r="C39" s="53">
        <f t="shared" ref="C39:C43" si="2">C31*(100%+G31)</f>
        <v>208.4763106</v>
      </c>
      <c r="F39" s="29" t="s">
        <v>64</v>
      </c>
      <c r="G39" s="48">
        <v>200.0</v>
      </c>
      <c r="I39" s="29" t="s">
        <v>116</v>
      </c>
    </row>
    <row r="40" ht="14.25" customHeight="1">
      <c r="A40" s="29" t="s">
        <v>117</v>
      </c>
      <c r="C40" s="53" t="str">
        <f t="shared" si="2"/>
        <v>#DIV/0!</v>
      </c>
      <c r="F40" s="29" t="s">
        <v>76</v>
      </c>
      <c r="G40" s="56"/>
      <c r="I40" s="29" t="s">
        <v>118</v>
      </c>
    </row>
    <row r="41" ht="14.25" customHeight="1">
      <c r="A41" s="29" t="s">
        <v>119</v>
      </c>
      <c r="C41" s="53" t="str">
        <f t="shared" si="2"/>
        <v>#DIV/0!</v>
      </c>
      <c r="F41" s="29" t="s">
        <v>85</v>
      </c>
      <c r="G41" s="56"/>
      <c r="I41" s="29" t="s">
        <v>120</v>
      </c>
    </row>
    <row r="42" ht="14.25" customHeight="1">
      <c r="A42" s="29" t="s">
        <v>121</v>
      </c>
      <c r="C42" s="53" t="str">
        <f t="shared" si="2"/>
        <v>#DIV/0!</v>
      </c>
      <c r="F42" s="29" t="s">
        <v>88</v>
      </c>
      <c r="G42" s="56"/>
    </row>
    <row r="43" ht="14.25" customHeight="1">
      <c r="A43" s="29" t="s">
        <v>122</v>
      </c>
      <c r="C43" s="53" t="str">
        <f t="shared" si="2"/>
        <v>#DIV/0!</v>
      </c>
      <c r="F43" s="29" t="s">
        <v>89</v>
      </c>
      <c r="G43" s="56"/>
    </row>
    <row r="44" ht="14.25" customHeight="1">
      <c r="C44" s="53"/>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4"/>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43"/>
    <col customWidth="1" min="2" max="2" width="14.43"/>
    <col customWidth="1" min="3" max="7" width="10.71"/>
    <col customWidth="1" min="8" max="8" width="23.43"/>
    <col customWidth="1" min="9" max="10" width="10.71"/>
    <col customWidth="1" min="11" max="26" width="9.14"/>
  </cols>
  <sheetData>
    <row r="1" ht="18.75" customHeight="1">
      <c r="A1" s="69" t="s">
        <v>123</v>
      </c>
      <c r="B1" s="13"/>
      <c r="C1" s="13"/>
      <c r="D1" s="13"/>
      <c r="E1" s="14"/>
      <c r="F1" s="70"/>
      <c r="G1" s="70"/>
    </row>
    <row r="2" ht="15.0" customHeight="1">
      <c r="A2" s="71" t="s">
        <v>124</v>
      </c>
      <c r="B2" s="5"/>
      <c r="C2" s="5"/>
      <c r="D2" s="5"/>
      <c r="E2" s="5"/>
      <c r="F2" s="5"/>
      <c r="G2" s="6"/>
    </row>
    <row r="3" ht="14.25" customHeight="1">
      <c r="A3" s="7"/>
      <c r="G3" s="8"/>
    </row>
    <row r="4" ht="48.75" customHeight="1">
      <c r="A4" s="9"/>
      <c r="B4" s="10"/>
      <c r="C4" s="10"/>
      <c r="D4" s="10"/>
      <c r="E4" s="10"/>
      <c r="F4" s="10"/>
      <c r="G4" s="11"/>
    </row>
    <row r="5" ht="48.75" customHeight="1">
      <c r="A5" s="72" t="s">
        <v>125</v>
      </c>
      <c r="B5" s="73" t="s">
        <v>31</v>
      </c>
      <c r="C5" s="29" t="s">
        <v>126</v>
      </c>
      <c r="D5" s="2"/>
      <c r="E5" s="2"/>
      <c r="F5" s="2"/>
      <c r="G5" s="2"/>
    </row>
    <row r="6" ht="48.75" customHeight="1">
      <c r="A6" s="2"/>
      <c r="B6" s="74"/>
      <c r="C6" s="2"/>
      <c r="D6" s="2"/>
      <c r="E6" s="2"/>
      <c r="F6" s="2"/>
      <c r="G6" s="2"/>
    </row>
    <row r="7" ht="14.25" customHeight="1">
      <c r="A7" s="31" t="s">
        <v>127</v>
      </c>
      <c r="H7" s="31" t="s">
        <v>128</v>
      </c>
    </row>
    <row r="8" ht="14.25" customHeight="1">
      <c r="A8" s="29" t="s">
        <v>65</v>
      </c>
      <c r="B8" s="75">
        <v>500.0</v>
      </c>
      <c r="C8" s="29" t="s">
        <v>44</v>
      </c>
      <c r="D8" s="29" t="s">
        <v>129</v>
      </c>
      <c r="H8" s="40" t="s">
        <v>130</v>
      </c>
      <c r="I8" s="76">
        <v>5.0</v>
      </c>
      <c r="J8" s="29" t="s">
        <v>131</v>
      </c>
    </row>
    <row r="9" ht="14.25" customHeight="1">
      <c r="A9" s="29" t="s">
        <v>73</v>
      </c>
      <c r="B9" s="75">
        <v>35.0</v>
      </c>
      <c r="C9" s="29" t="s">
        <v>44</v>
      </c>
      <c r="H9" s="40" t="s">
        <v>132</v>
      </c>
      <c r="I9" s="29">
        <v>52.0</v>
      </c>
      <c r="J9" s="29" t="s">
        <v>133</v>
      </c>
    </row>
    <row r="10" ht="14.25" customHeight="1">
      <c r="A10" s="29" t="s">
        <v>74</v>
      </c>
      <c r="B10" s="75">
        <v>20.0</v>
      </c>
      <c r="C10" s="29" t="s">
        <v>44</v>
      </c>
      <c r="H10" s="40" t="s">
        <v>134</v>
      </c>
      <c r="I10" s="76">
        <v>8.0</v>
      </c>
      <c r="J10" s="29" t="s">
        <v>135</v>
      </c>
    </row>
    <row r="11" ht="14.25" customHeight="1">
      <c r="A11" s="29" t="s">
        <v>136</v>
      </c>
      <c r="B11" s="75">
        <v>40.0</v>
      </c>
      <c r="C11" s="29" t="s">
        <v>44</v>
      </c>
      <c r="H11" s="40" t="s">
        <v>137</v>
      </c>
      <c r="I11" s="76">
        <v>30.0</v>
      </c>
      <c r="J11" s="29" t="s">
        <v>138</v>
      </c>
    </row>
    <row r="12" ht="15.0" customHeight="1">
      <c r="A12" s="29" t="s">
        <v>68</v>
      </c>
      <c r="B12" s="75">
        <v>0.0</v>
      </c>
      <c r="C12" s="29" t="s">
        <v>44</v>
      </c>
      <c r="D12" s="2" t="s">
        <v>139</v>
      </c>
      <c r="H12" s="40" t="s">
        <v>140</v>
      </c>
      <c r="I12" s="77">
        <v>14.0</v>
      </c>
      <c r="J12" s="29" t="s">
        <v>141</v>
      </c>
    </row>
    <row r="13" ht="14.25" customHeight="1">
      <c r="A13" s="29" t="s">
        <v>70</v>
      </c>
      <c r="B13" s="77">
        <f>B12*0.954</f>
        <v>0</v>
      </c>
      <c r="C13" s="29" t="s">
        <v>44</v>
      </c>
      <c r="H13" s="40" t="s">
        <v>142</v>
      </c>
      <c r="I13" s="76">
        <v>65.0</v>
      </c>
      <c r="J13" s="29" t="s">
        <v>143</v>
      </c>
    </row>
    <row r="14" ht="14.25" customHeight="1">
      <c r="A14" s="29" t="s">
        <v>72</v>
      </c>
      <c r="B14" s="78">
        <f>'2.COSTES SALARIALES'!B6*0.303+'2.COSTES SALARIALES'!B14*0.303+'2.COSTES SALARIALES'!B23*0.303</f>
        <v>29.2698</v>
      </c>
      <c r="C14" s="29" t="s">
        <v>44</v>
      </c>
      <c r="H14" s="40" t="s">
        <v>144</v>
      </c>
      <c r="I14" s="76">
        <v>1.0</v>
      </c>
      <c r="J14" s="29" t="s">
        <v>145</v>
      </c>
    </row>
    <row r="15" ht="14.25" customHeight="1">
      <c r="A15" s="29" t="s">
        <v>146</v>
      </c>
      <c r="B15" s="75">
        <v>50.0</v>
      </c>
      <c r="C15" s="29" t="s">
        <v>44</v>
      </c>
      <c r="H15" s="40" t="s">
        <v>147</v>
      </c>
      <c r="I15" s="29">
        <f>((I8*I9-I11-I12)*I10)*I14</f>
        <v>1728</v>
      </c>
    </row>
    <row r="16" ht="14.25" customHeight="1">
      <c r="A16" s="54" t="s">
        <v>81</v>
      </c>
      <c r="B16" s="75">
        <v>3.5</v>
      </c>
      <c r="C16" s="29" t="s">
        <v>44</v>
      </c>
      <c r="H16" s="40" t="s">
        <v>148</v>
      </c>
      <c r="I16" s="29">
        <f>I15*(I13/100)</f>
        <v>1123.2</v>
      </c>
    </row>
    <row r="17" ht="15.0" customHeight="1">
      <c r="B17" s="75"/>
      <c r="D17" s="2" t="s">
        <v>149</v>
      </c>
    </row>
    <row r="18" ht="14.25" customHeight="1">
      <c r="B18" s="79"/>
    </row>
    <row r="19" ht="14.25" customHeight="1">
      <c r="B19" s="79"/>
    </row>
    <row r="20" ht="14.25" customHeight="1">
      <c r="A20" s="31" t="s">
        <v>23</v>
      </c>
      <c r="B20" s="59">
        <f>SUM(B8:B19)</f>
        <v>677.7698</v>
      </c>
      <c r="C20" s="29" t="s">
        <v>44</v>
      </c>
    </row>
    <row r="21" ht="14.25" customHeight="1"/>
    <row r="22" ht="14.25" customHeight="1">
      <c r="A22" s="60" t="s">
        <v>150</v>
      </c>
      <c r="B22" s="40">
        <f>I16</f>
        <v>1123.2</v>
      </c>
      <c r="C22" s="40" t="s">
        <v>151</v>
      </c>
    </row>
    <row r="23" ht="14.25" customHeight="1">
      <c r="A23" s="60" t="s">
        <v>152</v>
      </c>
      <c r="B23" s="61">
        <f>(B20*12)/B22</f>
        <v>7.241130342</v>
      </c>
      <c r="C23" s="40" t="s">
        <v>153</v>
      </c>
    </row>
    <row r="24" ht="15.75" customHeight="1">
      <c r="A24" s="60" t="s">
        <v>154</v>
      </c>
      <c r="B24" s="22">
        <v>560.0</v>
      </c>
      <c r="C24" s="40" t="s">
        <v>151</v>
      </c>
      <c r="D24" s="2" t="s">
        <v>155</v>
      </c>
    </row>
    <row r="25" ht="30.75" customHeight="1">
      <c r="A25" s="60" t="s">
        <v>156</v>
      </c>
      <c r="B25" s="53">
        <f>B23*B24</f>
        <v>4055.032991</v>
      </c>
    </row>
    <row r="26" ht="14.25" customHeight="1"/>
    <row r="27" ht="14.25" customHeight="1"/>
    <row r="28" ht="18.75" customHeight="1">
      <c r="A28" s="60" t="s">
        <v>157</v>
      </c>
      <c r="B28" s="59">
        <f>IF(B5="X",B25,0)</f>
        <v>4055.032991</v>
      </c>
      <c r="C28" s="29" t="s">
        <v>158</v>
      </c>
      <c r="D28" s="80" t="s">
        <v>159</v>
      </c>
    </row>
    <row r="29" ht="60.0" customHeight="1"/>
    <row r="30" ht="14.25" customHeight="1"/>
    <row r="31" ht="14.25" customHeight="1"/>
    <row r="32" ht="14.25" customHeight="1"/>
    <row r="33" ht="14.25" customHeight="1"/>
    <row r="34" ht="14.25" customHeight="1"/>
    <row r="35" ht="14.25" customHeight="1">
      <c r="A35" s="81"/>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E1"/>
    <mergeCell ref="A2:G4"/>
    <mergeCell ref="D12:F13"/>
    <mergeCell ref="D17:F19"/>
    <mergeCell ref="D24:F25"/>
    <mergeCell ref="D28:G29"/>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15.29"/>
    <col customWidth="1" min="3" max="4" width="10.71"/>
    <col customWidth="1" min="5" max="5" width="20.71"/>
    <col customWidth="1" min="6" max="6" width="14.57"/>
    <col customWidth="1" min="7" max="9" width="10.71"/>
    <col customWidth="1" min="10" max="26" width="9.14"/>
  </cols>
  <sheetData>
    <row r="1" ht="15.0" customHeight="1">
      <c r="A1" s="82" t="s">
        <v>160</v>
      </c>
      <c r="B1" s="5"/>
      <c r="C1" s="5"/>
      <c r="D1" s="6"/>
    </row>
    <row r="2" ht="14.25" customHeight="1">
      <c r="A2" s="7"/>
      <c r="D2" s="8"/>
    </row>
    <row r="3" ht="14.25" customHeight="1">
      <c r="A3" s="9"/>
      <c r="B3" s="10"/>
      <c r="C3" s="10"/>
      <c r="D3" s="11"/>
    </row>
    <row r="4" ht="14.25" customHeight="1"/>
    <row r="5" ht="14.25" customHeight="1">
      <c r="A5" s="46" t="s">
        <v>161</v>
      </c>
      <c r="B5" s="83" t="s">
        <v>162</v>
      </c>
      <c r="E5" s="46" t="s">
        <v>163</v>
      </c>
      <c r="F5" s="83" t="s">
        <v>164</v>
      </c>
    </row>
    <row r="6" ht="14.25" customHeight="1">
      <c r="A6" s="18" t="s">
        <v>165</v>
      </c>
      <c r="B6" s="84"/>
      <c r="C6" s="29" t="s">
        <v>166</v>
      </c>
      <c r="E6" s="57" t="s">
        <v>65</v>
      </c>
      <c r="F6" s="85">
        <f>IF(H6="X",'3.COSTES'!B7*H7,'3.COSTES'!B7)</f>
        <v>500</v>
      </c>
      <c r="H6" s="86"/>
      <c r="I6" s="40" t="s">
        <v>167</v>
      </c>
    </row>
    <row r="7" ht="14.25" customHeight="1">
      <c r="A7" s="18" t="s">
        <v>168</v>
      </c>
      <c r="B7" s="49"/>
      <c r="E7" s="57" t="s">
        <v>68</v>
      </c>
      <c r="F7" s="85">
        <f>'3.COSTES'!B8</f>
        <v>0</v>
      </c>
      <c r="H7" s="87"/>
      <c r="I7" s="40" t="s">
        <v>169</v>
      </c>
    </row>
    <row r="8" ht="14.25" customHeight="1">
      <c r="A8" s="18" t="s">
        <v>170</v>
      </c>
      <c r="B8" s="84">
        <v>1500.0</v>
      </c>
      <c r="E8" s="57" t="s">
        <v>70</v>
      </c>
      <c r="F8" s="85">
        <f>'3.COSTES'!B9</f>
        <v>0</v>
      </c>
    </row>
    <row r="9" ht="14.25" customHeight="1">
      <c r="A9" s="18" t="s">
        <v>171</v>
      </c>
      <c r="B9" s="49"/>
      <c r="E9" s="57" t="s">
        <v>72</v>
      </c>
      <c r="F9" s="85">
        <f>'3.COSTES'!B10</f>
        <v>28.98</v>
      </c>
    </row>
    <row r="10" ht="14.25" customHeight="1">
      <c r="A10" s="18" t="s">
        <v>172</v>
      </c>
      <c r="B10" s="84">
        <v>500.0</v>
      </c>
      <c r="E10" s="57" t="s">
        <v>73</v>
      </c>
      <c r="F10" s="85">
        <f>IF(H6="X",'3.COSTES'!B11*0.3,'3.COSTES'!B11)</f>
        <v>35</v>
      </c>
    </row>
    <row r="11" ht="14.25" customHeight="1">
      <c r="A11" s="18" t="s">
        <v>173</v>
      </c>
      <c r="B11" s="84">
        <v>200.0</v>
      </c>
      <c r="E11" s="57" t="s">
        <v>74</v>
      </c>
      <c r="F11" s="85">
        <f>IF(H6="X",'3.COSTES'!B12*0.3,'3.COSTES'!B12)</f>
        <v>20</v>
      </c>
    </row>
    <row r="12" ht="14.25" customHeight="1">
      <c r="A12" s="18" t="s">
        <v>174</v>
      </c>
      <c r="B12" s="85">
        <f>'5.DESARROLLO APP'!B28</f>
        <v>4055.032991</v>
      </c>
      <c r="E12" s="57" t="s">
        <v>75</v>
      </c>
      <c r="F12" s="85">
        <f>IF(H6="X",'3.COSTES'!B13*H7,'3.COSTES'!B13)</f>
        <v>40</v>
      </c>
    </row>
    <row r="13" ht="14.25" customHeight="1">
      <c r="A13" s="18" t="s">
        <v>175</v>
      </c>
      <c r="B13" s="49"/>
      <c r="E13" s="57" t="s">
        <v>77</v>
      </c>
      <c r="F13" s="85">
        <f>'3.COSTES'!B14</f>
        <v>200</v>
      </c>
    </row>
    <row r="14" ht="14.25" customHeight="1">
      <c r="A14" s="18" t="s">
        <v>176</v>
      </c>
      <c r="B14" s="49"/>
      <c r="E14" s="57" t="s">
        <v>78</v>
      </c>
      <c r="F14" s="85">
        <f>'3.COSTES'!B15</f>
        <v>35</v>
      </c>
    </row>
    <row r="15" ht="14.25" customHeight="1">
      <c r="A15" s="18" t="s">
        <v>177</v>
      </c>
      <c r="B15" s="49"/>
      <c r="E15" s="57" t="str">
        <f>'3.COSTES'!A17</f>
        <v>Amortización</v>
      </c>
      <c r="F15" s="85">
        <f>'3.COSTES'!B17</f>
        <v>89.94086895</v>
      </c>
    </row>
    <row r="16" ht="14.25" customHeight="1">
      <c r="A16" s="51" t="s">
        <v>23</v>
      </c>
      <c r="B16" s="62">
        <f>SUM(B6:B15)</f>
        <v>6255.032991</v>
      </c>
      <c r="E16" s="57" t="str">
        <f>'3.COSTES'!A18</f>
        <v>Hosting</v>
      </c>
      <c r="F16" s="85">
        <f>'3.COSTES'!B18</f>
        <v>3.5</v>
      </c>
    </row>
    <row r="17" ht="14.25" customHeight="1">
      <c r="E17" s="57" t="str">
        <f>'3.COSTES'!A19</f>
        <v>Material de oficina</v>
      </c>
      <c r="F17" s="85">
        <f>'3.COSTES'!B19</f>
        <v>100</v>
      </c>
    </row>
    <row r="18" ht="14.25" customHeight="1">
      <c r="E18" s="57" t="str">
        <f>'3.COSTES'!A20</f>
        <v>Otros 3</v>
      </c>
      <c r="F18" s="85" t="str">
        <f>'3.COSTES'!B20</f>
        <v/>
      </c>
    </row>
    <row r="19" ht="14.25" customHeight="1">
      <c r="E19" s="57" t="s">
        <v>86</v>
      </c>
      <c r="F19" s="85" t="str">
        <f>'3.COSTES'!B21</f>
        <v/>
      </c>
    </row>
    <row r="20" ht="14.25" customHeight="1">
      <c r="A20" s="31"/>
      <c r="E20" s="88" t="s">
        <v>23</v>
      </c>
      <c r="F20" s="89">
        <f>SUM(F6:F19)</f>
        <v>1052.420869</v>
      </c>
    </row>
    <row r="21" ht="14.25" customHeight="1"/>
    <row r="22" ht="14.25" customHeight="1"/>
    <row r="23" ht="14.25" customHeight="1">
      <c r="A23" s="90" t="s">
        <v>178</v>
      </c>
      <c r="B23" s="91">
        <f>B16+3*F20</f>
        <v>9412.295598</v>
      </c>
      <c r="C23" s="92"/>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3"/>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10.71"/>
    <col customWidth="1" min="3" max="3" width="17.71"/>
    <col customWidth="1" min="4" max="4" width="17.43"/>
    <col customWidth="1" min="5" max="7" width="10.71"/>
    <col customWidth="1" min="8" max="26" width="9.14"/>
  </cols>
  <sheetData>
    <row r="1" ht="15.0" customHeight="1">
      <c r="A1" s="45" t="s">
        <v>179</v>
      </c>
      <c r="B1" s="5"/>
      <c r="C1" s="5"/>
      <c r="D1" s="5"/>
      <c r="E1" s="6"/>
    </row>
    <row r="2" ht="14.25" customHeight="1">
      <c r="A2" s="9"/>
      <c r="B2" s="10"/>
      <c r="C2" s="10"/>
      <c r="D2" s="10"/>
      <c r="E2" s="11"/>
    </row>
    <row r="3" ht="14.25" customHeight="1"/>
    <row r="4" ht="14.25" customHeight="1">
      <c r="A4" s="60" t="s">
        <v>161</v>
      </c>
      <c r="B4" s="60" t="s">
        <v>162</v>
      </c>
      <c r="C4" s="60" t="s">
        <v>180</v>
      </c>
      <c r="D4" s="60" t="s">
        <v>181</v>
      </c>
    </row>
    <row r="5" ht="14.25" customHeight="1">
      <c r="A5" s="29" t="s">
        <v>165</v>
      </c>
      <c r="B5" s="36" t="str">
        <f>'6.INVERSIONES + GASTOS'!B6</f>
        <v/>
      </c>
      <c r="C5" s="67">
        <v>0.03</v>
      </c>
      <c r="D5" s="53">
        <f t="shared" ref="D5:D14" si="1">B5*C5</f>
        <v>0</v>
      </c>
    </row>
    <row r="6" ht="14.25" customHeight="1">
      <c r="A6" s="29" t="s">
        <v>168</v>
      </c>
      <c r="B6" s="36" t="str">
        <f>'6.INVERSIONES + GASTOS'!B7</f>
        <v/>
      </c>
      <c r="C6" s="67">
        <v>0.16</v>
      </c>
      <c r="D6" s="53">
        <f t="shared" si="1"/>
        <v>0</v>
      </c>
    </row>
    <row r="7" ht="14.25" customHeight="1">
      <c r="A7" s="29" t="s">
        <v>170</v>
      </c>
      <c r="B7" s="36">
        <f>'6.INVERSIONES + GASTOS'!B8</f>
        <v>1500</v>
      </c>
      <c r="C7" s="67">
        <v>0.26</v>
      </c>
      <c r="D7" s="53">
        <f t="shared" si="1"/>
        <v>390</v>
      </c>
    </row>
    <row r="8" ht="14.25" customHeight="1">
      <c r="A8" s="29" t="s">
        <v>182</v>
      </c>
      <c r="B8" s="36" t="str">
        <f>'6.INVERSIONES + GASTOS'!B9</f>
        <v/>
      </c>
      <c r="C8" s="67">
        <v>0.12</v>
      </c>
      <c r="D8" s="53">
        <f t="shared" si="1"/>
        <v>0</v>
      </c>
    </row>
    <row r="9" ht="14.25" customHeight="1">
      <c r="A9" s="29" t="s">
        <v>172</v>
      </c>
      <c r="B9" s="36">
        <f>'6.INVERSIONES + GASTOS'!B10</f>
        <v>500</v>
      </c>
      <c r="C9" s="67">
        <v>0.1</v>
      </c>
      <c r="D9" s="53">
        <f t="shared" si="1"/>
        <v>50</v>
      </c>
    </row>
    <row r="10" ht="14.25" customHeight="1">
      <c r="A10" s="29" t="s">
        <v>173</v>
      </c>
      <c r="B10" s="36">
        <f>'6.INVERSIONES + GASTOS'!B11</f>
        <v>200</v>
      </c>
      <c r="C10" s="67">
        <v>0.3</v>
      </c>
      <c r="D10" s="53">
        <f t="shared" si="1"/>
        <v>60</v>
      </c>
    </row>
    <row r="11" ht="14.25" customHeight="1">
      <c r="A11" s="29" t="s">
        <v>174</v>
      </c>
      <c r="B11" s="36">
        <f>'6.INVERSIONES + GASTOS'!B12</f>
        <v>4055.032991</v>
      </c>
      <c r="C11" s="68">
        <f>IF('5.DESARROLLO APP'!B5="X",(1/F11),0)</f>
        <v>0.1428571429</v>
      </c>
      <c r="D11" s="53">
        <f t="shared" si="1"/>
        <v>579.2904274</v>
      </c>
      <c r="F11" s="93">
        <v>7.0</v>
      </c>
      <c r="G11" s="40" t="s">
        <v>183</v>
      </c>
    </row>
    <row r="12" ht="14.25" customHeight="1">
      <c r="A12" s="29" t="s">
        <v>175</v>
      </c>
      <c r="B12" s="36" t="str">
        <f>'6.INVERSIONES + GASTOS'!B13</f>
        <v/>
      </c>
      <c r="C12" s="67">
        <v>0.0</v>
      </c>
      <c r="D12" s="53">
        <f t="shared" si="1"/>
        <v>0</v>
      </c>
    </row>
    <row r="13" ht="14.25" customHeight="1">
      <c r="A13" s="29" t="s">
        <v>176</v>
      </c>
      <c r="B13" s="36" t="str">
        <f>'6.INVERSIONES + GASTOS'!B14</f>
        <v/>
      </c>
      <c r="C13" s="67">
        <v>0.0</v>
      </c>
      <c r="D13" s="53">
        <f t="shared" si="1"/>
        <v>0</v>
      </c>
    </row>
    <row r="14" ht="14.25" customHeight="1">
      <c r="A14" s="29" t="s">
        <v>184</v>
      </c>
      <c r="B14" s="36" t="str">
        <f>'6.INVERSIONES + GASTOS'!B15</f>
        <v/>
      </c>
      <c r="C14" s="67">
        <v>0.26</v>
      </c>
      <c r="D14" s="53">
        <f t="shared" si="1"/>
        <v>0</v>
      </c>
    </row>
    <row r="15" ht="14.25" customHeight="1">
      <c r="A15" s="31" t="s">
        <v>185</v>
      </c>
      <c r="B15" s="31"/>
      <c r="C15" s="31"/>
      <c r="D15" s="59">
        <f>SUM(D5:D14)</f>
        <v>1079.290427</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2"/>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57"/>
    <col customWidth="1" min="2" max="4" width="10.71"/>
    <col customWidth="1" min="5" max="5" width="18.71"/>
    <col customWidth="1" min="6" max="8" width="10.71"/>
    <col customWidth="1" min="9" max="26" width="9.14"/>
  </cols>
  <sheetData>
    <row r="1" ht="15.0" customHeight="1">
      <c r="A1" s="82" t="s">
        <v>186</v>
      </c>
      <c r="B1" s="5"/>
      <c r="C1" s="5"/>
      <c r="D1" s="5"/>
      <c r="E1" s="6"/>
    </row>
    <row r="2" ht="14.25" customHeight="1">
      <c r="A2" s="7"/>
      <c r="E2" s="8"/>
    </row>
    <row r="3" ht="14.25" customHeight="1">
      <c r="A3" s="7"/>
      <c r="E3" s="8"/>
    </row>
    <row r="4" ht="14.25" customHeight="1">
      <c r="A4" s="9"/>
      <c r="B4" s="10"/>
      <c r="C4" s="10"/>
      <c r="D4" s="10"/>
      <c r="E4" s="11"/>
    </row>
    <row r="5" ht="14.25" customHeight="1"/>
    <row r="6" ht="14.25" customHeight="1">
      <c r="A6" s="40" t="s">
        <v>178</v>
      </c>
      <c r="B6" s="63">
        <f>'6.INVERSIONES + GASTOS'!B23</f>
        <v>9412.295598</v>
      </c>
      <c r="G6" s="29" t="s">
        <v>187</v>
      </c>
    </row>
    <row r="7" ht="14.25" customHeight="1">
      <c r="A7" s="40" t="s">
        <v>28</v>
      </c>
      <c r="B7" s="48">
        <v>8000.0</v>
      </c>
      <c r="C7" s="29" t="s">
        <v>188</v>
      </c>
      <c r="G7" s="29" t="s">
        <v>28</v>
      </c>
      <c r="H7" s="67">
        <f t="shared" ref="H7:H9" si="1">B7/$B$10</f>
        <v>1</v>
      </c>
    </row>
    <row r="8" ht="14.25" customHeight="1">
      <c r="A8" s="40" t="s">
        <v>49</v>
      </c>
      <c r="B8" s="56"/>
      <c r="C8" s="29" t="s">
        <v>189</v>
      </c>
      <c r="G8" s="29" t="s">
        <v>49</v>
      </c>
      <c r="H8" s="67">
        <f t="shared" si="1"/>
        <v>0</v>
      </c>
    </row>
    <row r="9" ht="14.25" customHeight="1">
      <c r="A9" s="40" t="s">
        <v>51</v>
      </c>
      <c r="B9" s="56"/>
      <c r="C9" s="29" t="s">
        <v>190</v>
      </c>
      <c r="G9" s="29" t="s">
        <v>51</v>
      </c>
      <c r="H9" s="67">
        <f t="shared" si="1"/>
        <v>0</v>
      </c>
    </row>
    <row r="10" ht="14.25" customHeight="1">
      <c r="A10" s="60" t="s">
        <v>191</v>
      </c>
      <c r="B10" s="61">
        <f>SUM(B7:B9)</f>
        <v>8000</v>
      </c>
    </row>
    <row r="11" ht="14.25" customHeight="1">
      <c r="A11" s="40" t="s">
        <v>192</v>
      </c>
      <c r="B11" s="22">
        <v>1.0</v>
      </c>
      <c r="C11" s="29" t="s">
        <v>193</v>
      </c>
    </row>
    <row r="12" ht="14.25" customHeight="1">
      <c r="A12" s="40" t="s">
        <v>194</v>
      </c>
      <c r="B12" s="29">
        <f>B10/B11</f>
        <v>8000</v>
      </c>
    </row>
    <row r="13" ht="14.25" customHeight="1"/>
    <row r="14" ht="14.25" customHeight="1"/>
    <row r="15" ht="14.25" customHeight="1"/>
    <row r="16" ht="14.25" customHeight="1">
      <c r="A16" s="60" t="s">
        <v>195</v>
      </c>
      <c r="B16" s="59">
        <f>B6-B10</f>
        <v>1412.295598</v>
      </c>
      <c r="C16" s="29" t="s">
        <v>158</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4"/>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2019-01-07T11:13:24Z</dcterms:created>
  <dc:creator>jlrprof01</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