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berto.cabezas\Downloads\"/>
    </mc:Choice>
  </mc:AlternateContent>
  <bookViews>
    <workbookView xWindow="0" yWindow="0" windowWidth="25125" windowHeight="12300" tabRatio="960"/>
  </bookViews>
  <sheets>
    <sheet name="Despliegue GSM" sheetId="6" r:id="rId1"/>
    <sheet name="Erlang" sheetId="9" r:id="rId2"/>
  </sheets>
  <definedNames>
    <definedName name="_xlnm.Print_Area" localSheetId="0">'Despliegue GSM'!$A$1:$H$73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8" i="6" l="1"/>
  <c r="F59" i="6" s="1"/>
  <c r="F61" i="6" s="1"/>
  <c r="F64" i="6" s="1"/>
  <c r="D67" i="6" s="1"/>
  <c r="D68" i="6" s="1"/>
  <c r="D69" i="6" s="1"/>
  <c r="D72" i="6" s="1"/>
  <c r="D58" i="6"/>
  <c r="D59" i="6" s="1"/>
  <c r="D61" i="6" s="1"/>
  <c r="D64" i="6" s="1"/>
  <c r="B58" i="6"/>
  <c r="B59" i="6" s="1"/>
  <c r="B61" i="6" s="1"/>
  <c r="B64" i="6" s="1"/>
  <c r="B67" i="6" s="1"/>
  <c r="B68" i="6" s="1"/>
  <c r="B69" i="6" s="1"/>
  <c r="B72" i="6" s="1"/>
  <c r="G57" i="6"/>
  <c r="G58" i="6" s="1"/>
  <c r="G59" i="6" s="1"/>
  <c r="G61" i="6" s="1"/>
  <c r="G64" i="6" s="1"/>
  <c r="E57" i="6"/>
  <c r="E58" i="6" s="1"/>
  <c r="E59" i="6" s="1"/>
  <c r="E61" i="6" s="1"/>
  <c r="E64" i="6" s="1"/>
  <c r="C67" i="6" s="1"/>
  <c r="C68" i="6" s="1"/>
  <c r="C69" i="6" s="1"/>
  <c r="C72" i="6" s="1"/>
  <c r="C57" i="6"/>
  <c r="C58" i="6" s="1"/>
  <c r="C59" i="6" s="1"/>
  <c r="C61" i="6" s="1"/>
  <c r="C64" i="6" s="1"/>
  <c r="B50" i="6"/>
  <c r="F50" i="6"/>
  <c r="D50" i="6"/>
  <c r="B43" i="6"/>
  <c r="B44" i="6" s="1"/>
  <c r="F44" i="6"/>
  <c r="C43" i="6"/>
  <c r="C44" i="6" s="1"/>
  <c r="D43" i="6"/>
  <c r="D44" i="6" s="1"/>
  <c r="E43" i="6"/>
  <c r="E44" i="6" s="1"/>
  <c r="F43" i="6"/>
  <c r="G43" i="6"/>
  <c r="G44" i="6" s="1"/>
  <c r="C37" i="6"/>
  <c r="D37" i="6"/>
  <c r="E37" i="6"/>
  <c r="F37" i="6"/>
  <c r="G37" i="6"/>
  <c r="B37" i="6"/>
  <c r="C35" i="6"/>
  <c r="D35" i="6"/>
  <c r="E35" i="6"/>
  <c r="F35" i="6"/>
  <c r="G35" i="6"/>
  <c r="B35" i="6"/>
  <c r="C28" i="6"/>
  <c r="D28" i="6"/>
  <c r="B28" i="6"/>
  <c r="C26" i="6"/>
  <c r="D26" i="6"/>
  <c r="B26" i="6"/>
  <c r="D25" i="6"/>
  <c r="C25" i="6"/>
  <c r="B25" i="6"/>
  <c r="D24" i="6"/>
  <c r="C24" i="6"/>
  <c r="D23" i="6"/>
  <c r="C23" i="6"/>
  <c r="B23" i="6"/>
  <c r="D22" i="6"/>
  <c r="C22" i="6"/>
  <c r="B22" i="6"/>
  <c r="D13" i="6"/>
  <c r="E13" i="6"/>
  <c r="F13" i="6"/>
  <c r="G13" i="6"/>
  <c r="H13" i="6"/>
  <c r="C13" i="6"/>
  <c r="D5" i="6"/>
  <c r="E5" i="6"/>
  <c r="F5" i="6"/>
  <c r="G5" i="6"/>
  <c r="H5" i="6"/>
  <c r="C5" i="6"/>
  <c r="B73" i="6" l="1"/>
</calcChain>
</file>

<file path=xl/sharedStrings.xml><?xml version="1.0" encoding="utf-8"?>
<sst xmlns="http://schemas.openxmlformats.org/spreadsheetml/2006/main" count="108" uniqueCount="73">
  <si>
    <t>U</t>
    <phoneticPr fontId="3" type="noConversion"/>
  </si>
  <si>
    <t>Radio por Propagación</t>
    <phoneticPr fontId="3" type="noConversion"/>
  </si>
  <si>
    <t>Voz</t>
    <phoneticPr fontId="3" type="noConversion"/>
  </si>
  <si>
    <t>Datos</t>
    <phoneticPr fontId="3" type="noConversion"/>
  </si>
  <si>
    <t>S</t>
    <phoneticPr fontId="3" type="noConversion"/>
  </si>
  <si>
    <t>R</t>
    <phoneticPr fontId="3" type="noConversion"/>
  </si>
  <si>
    <t>Radios Definitivos</t>
    <phoneticPr fontId="3" type="noConversion"/>
  </si>
  <si>
    <t>Model</t>
    <phoneticPr fontId="3" type="noConversion"/>
  </si>
  <si>
    <t>One Slope</t>
    <phoneticPr fontId="3" type="noConversion"/>
  </si>
  <si>
    <t>Terreno Total</t>
    <phoneticPr fontId="3" type="noConversion"/>
  </si>
  <si>
    <t>Porcentages Población</t>
    <phoneticPr fontId="3" type="noConversion"/>
  </si>
  <si>
    <t>Penetración Servicio</t>
    <phoneticPr fontId="3" type="noConversion"/>
  </si>
  <si>
    <t>Mv</t>
    <phoneticPr fontId="3" type="noConversion"/>
  </si>
  <si>
    <t>Camino</t>
    <phoneticPr fontId="3" type="noConversion"/>
  </si>
  <si>
    <t>BTS</t>
    <phoneticPr fontId="3" type="noConversion"/>
  </si>
  <si>
    <t>2g</t>
    <phoneticPr fontId="3" type="noConversion"/>
  </si>
  <si>
    <t>HBTS</t>
    <phoneticPr fontId="3" type="noConversion"/>
  </si>
  <si>
    <t>Propagacion</t>
    <phoneticPr fontId="3" type="noConversion"/>
  </si>
  <si>
    <t>U</t>
    <phoneticPr fontId="3" type="noConversion"/>
  </si>
  <si>
    <t>R</t>
    <phoneticPr fontId="3" type="noConversion"/>
  </si>
  <si>
    <t>2g</t>
    <phoneticPr fontId="3" type="noConversion"/>
  </si>
  <si>
    <t xml:space="preserve">Voz </t>
    <phoneticPr fontId="3" type="noConversion"/>
  </si>
  <si>
    <t>PathLoss</t>
    <phoneticPr fontId="3" type="noConversion"/>
  </si>
  <si>
    <t>h terminal</t>
    <phoneticPr fontId="3" type="noConversion"/>
  </si>
  <si>
    <t>Freq</t>
    <phoneticPr fontId="3" type="noConversion"/>
  </si>
  <si>
    <t>Two Slope</t>
    <phoneticPr fontId="3" type="noConversion"/>
  </si>
  <si>
    <t>Porcentages Terreno</t>
    <phoneticPr fontId="3" type="noConversion"/>
  </si>
  <si>
    <t>Penetración de Mercado</t>
    <phoneticPr fontId="3" type="noConversion"/>
  </si>
  <si>
    <t>Market Share</t>
    <phoneticPr fontId="3" type="noConversion"/>
  </si>
  <si>
    <t>Densidad</t>
    <phoneticPr fontId="3" type="noConversion"/>
  </si>
  <si>
    <t xml:space="preserve">Por capacidad </t>
    <phoneticPr fontId="3" type="noConversion"/>
  </si>
  <si>
    <t>Radio por Capacidad</t>
    <phoneticPr fontId="3" type="noConversion"/>
  </si>
  <si>
    <t>Area BTS</t>
    <phoneticPr fontId="3" type="noConversion"/>
  </si>
  <si>
    <t>Coste Total por Area</t>
  </si>
  <si>
    <t>Datos Pais</t>
  </si>
  <si>
    <t>Urbano</t>
  </si>
  <si>
    <t>Suburbano</t>
  </si>
  <si>
    <t>Poblacion total</t>
  </si>
  <si>
    <t>Rural</t>
  </si>
  <si>
    <t>Rural Habitado</t>
  </si>
  <si>
    <t>Número BTS en la ciudad</t>
  </si>
  <si>
    <t>Coste BTS</t>
  </si>
  <si>
    <t>Coste Total Despliegue</t>
  </si>
  <si>
    <t>Elemento</t>
  </si>
  <si>
    <t>Parámetro</t>
  </si>
  <si>
    <t>TRX Totales por sector</t>
  </si>
  <si>
    <t>N CANALES</t>
  </si>
  <si>
    <t>A (2 %)</t>
  </si>
  <si>
    <t>Calculo BW</t>
  </si>
  <si>
    <t>potencia</t>
  </si>
  <si>
    <t>ganancia</t>
  </si>
  <si>
    <t>perdidas</t>
  </si>
  <si>
    <t>md</t>
  </si>
  <si>
    <t>perdidas ad</t>
  </si>
  <si>
    <t>perdidas ca</t>
  </si>
  <si>
    <t>sensibilidad</t>
  </si>
  <si>
    <t>A</t>
  </si>
  <si>
    <t>B</t>
  </si>
  <si>
    <t>a(hms)</t>
  </si>
  <si>
    <t>s</t>
  </si>
  <si>
    <t>Lclutter</t>
  </si>
  <si>
    <t>pathloss</t>
  </si>
  <si>
    <t>aux</t>
  </si>
  <si>
    <t>valor terreno</t>
  </si>
  <si>
    <t>valor poblacion</t>
  </si>
  <si>
    <t>clientes</t>
  </si>
  <si>
    <t>BW</t>
  </si>
  <si>
    <t>factor de reuso</t>
  </si>
  <si>
    <t>numero sectores</t>
  </si>
  <si>
    <t>numero slots</t>
  </si>
  <si>
    <t>numero canales</t>
  </si>
  <si>
    <t>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</si>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</sst>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"/>
  </numFmts>
  <fonts count="10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11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164" fontId="7" fillId="0" borderId="5" xfId="742" applyNumberFormat="1" applyFont="1" applyFill="1" applyBorder="1" applyAlignment="1">
      <alignment horizontal="center"/>
    </xf>
    <xf numFmtId="166" fontId="7" fillId="0" borderId="5" xfId="742" applyNumberFormat="1" applyFont="1" applyFill="1" applyBorder="1" applyAlignment="1">
      <alignment horizontal="center"/>
    </xf>
    <xf numFmtId="0" fontId="8" fillId="0" borderId="5" xfId="742" applyFont="1" applyFill="1" applyBorder="1" applyAlignment="1">
      <alignment horizontal="center"/>
    </xf>
    <xf numFmtId="166" fontId="8" fillId="0" borderId="0" xfId="742" applyNumberFormat="1" applyFont="1" applyFill="1" applyAlignment="1">
      <alignment horizontal="center"/>
    </xf>
    <xf numFmtId="0" fontId="8" fillId="0" borderId="10" xfId="742" applyFont="1" applyFill="1" applyBorder="1" applyAlignment="1">
      <alignment horizontal="center"/>
    </xf>
    <xf numFmtId="166" fontId="8" fillId="0" borderId="7" xfId="742" applyNumberFormat="1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/>
    <xf numFmtId="0" fontId="2" fillId="0" borderId="11" xfId="0" applyFont="1" applyBorder="1"/>
    <xf numFmtId="0" fontId="0" fillId="2" borderId="11" xfId="0" applyFill="1" applyBorder="1"/>
    <xf numFmtId="2" fontId="0" fillId="2" borderId="11" xfId="0" applyNumberFormat="1" applyFill="1" applyBorder="1"/>
    <xf numFmtId="0" fontId="0" fillId="3" borderId="11" xfId="0" applyFill="1" applyBorder="1"/>
    <xf numFmtId="2" fontId="1" fillId="3" borderId="11" xfId="0" applyNumberFormat="1" applyFont="1" applyFill="1" applyBorder="1"/>
    <xf numFmtId="0" fontId="1" fillId="0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11" xfId="0" applyFill="1" applyBorder="1"/>
    <xf numFmtId="0" fontId="1" fillId="2" borderId="11" xfId="0" applyFont="1" applyFill="1" applyBorder="1"/>
    <xf numFmtId="164" fontId="0" fillId="2" borderId="11" xfId="1" applyNumberFormat="1" applyFont="1" applyFill="1" applyBorder="1"/>
    <xf numFmtId="0" fontId="1" fillId="5" borderId="11" xfId="0" applyFont="1" applyFill="1" applyBorder="1"/>
    <xf numFmtId="0" fontId="1" fillId="4" borderId="11" xfId="0" applyFont="1" applyFill="1" applyBorder="1"/>
    <xf numFmtId="165" fontId="1" fillId="0" borderId="11" xfId="0" applyNumberFormat="1" applyFont="1" applyFill="1" applyBorder="1"/>
    <xf numFmtId="2" fontId="0" fillId="0" borderId="11" xfId="0" applyNumberFormat="1" applyFill="1" applyBorder="1"/>
    <xf numFmtId="166" fontId="0" fillId="0" borderId="11" xfId="0" applyNumberFormat="1" applyFill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76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Normal" xfId="0" builtinId="0"/>
    <cellStyle name="Normal 2" xfId="742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4"/>
  <sheetViews>
    <sheetView tabSelected="1" zoomScale="85" zoomScaleNormal="85" zoomScalePageLayoutView="85" workbookViewId="0">
      <selection activeCell="F58" sqref="F58"/>
    </sheetView>
  </sheetViews>
  <sheetFormatPr baseColWidth="10" defaultRowHeight="12.75" x14ac:dyDescent="0.2"/>
  <cols>
    <col min="1" max="1" width="27.125" style="2" bestFit="1" customWidth="1"/>
    <col min="2" max="2" width="17" style="2" customWidth="1"/>
    <col min="3" max="3" width="12" style="2" bestFit="1" customWidth="1"/>
    <col min="4" max="4" width="16.375" style="2" bestFit="1" customWidth="1"/>
    <col min="5" max="5" width="13.625" style="2" customWidth="1"/>
    <col min="6" max="7" width="13.125" style="2" bestFit="1" customWidth="1"/>
    <col min="8" max="8" width="12" bestFit="1" customWidth="1"/>
  </cols>
  <sheetData>
    <row r="1" spans="1:8" x14ac:dyDescent="0.2">
      <c r="A1" s="19" t="s">
        <v>17</v>
      </c>
    </row>
    <row r="2" spans="1:8" x14ac:dyDescent="0.2">
      <c r="A2" s="7"/>
      <c r="B2" s="8"/>
      <c r="C2" s="13" t="s">
        <v>35</v>
      </c>
      <c r="D2" s="14"/>
      <c r="E2" s="13" t="s">
        <v>36</v>
      </c>
      <c r="F2" s="14"/>
      <c r="G2" s="13" t="s">
        <v>38</v>
      </c>
      <c r="H2" s="14"/>
    </row>
    <row r="3" spans="1:8" x14ac:dyDescent="0.2">
      <c r="A3" s="9"/>
      <c r="B3" s="5"/>
      <c r="C3" s="11" t="s">
        <v>15</v>
      </c>
      <c r="D3" s="12" t="s">
        <v>15</v>
      </c>
      <c r="E3" s="11" t="s">
        <v>15</v>
      </c>
      <c r="F3" s="12" t="s">
        <v>15</v>
      </c>
      <c r="G3" s="11" t="s">
        <v>20</v>
      </c>
      <c r="H3" s="12" t="s">
        <v>15</v>
      </c>
    </row>
    <row r="4" spans="1:8" x14ac:dyDescent="0.2">
      <c r="A4" s="15" t="s">
        <v>43</v>
      </c>
      <c r="B4" s="15" t="s">
        <v>44</v>
      </c>
      <c r="C4" s="15" t="s">
        <v>2</v>
      </c>
      <c r="D4" s="16" t="s">
        <v>3</v>
      </c>
      <c r="E4" s="15" t="s">
        <v>21</v>
      </c>
      <c r="F4" s="16" t="s">
        <v>3</v>
      </c>
      <c r="G4" s="15" t="s">
        <v>2</v>
      </c>
      <c r="H4" s="16" t="s">
        <v>3</v>
      </c>
    </row>
    <row r="5" spans="1:8" x14ac:dyDescent="0.2">
      <c r="A5" s="29" t="s">
        <v>12</v>
      </c>
      <c r="B5" s="29" t="s">
        <v>49</v>
      </c>
      <c r="C5" s="30">
        <f>10*LOG10(0.125)+30</f>
        <v>20.969100130080562</v>
      </c>
      <c r="D5" s="30">
        <f t="shared" ref="D5:H5" si="0">10*LOG10(0.125)+30</f>
        <v>20.969100130080562</v>
      </c>
      <c r="E5" s="30">
        <f t="shared" si="0"/>
        <v>20.969100130080562</v>
      </c>
      <c r="F5" s="30">
        <f t="shared" si="0"/>
        <v>20.969100130080562</v>
      </c>
      <c r="G5" s="30">
        <f t="shared" si="0"/>
        <v>20.969100130080562</v>
      </c>
      <c r="H5" s="30">
        <f t="shared" si="0"/>
        <v>20.969100130080562</v>
      </c>
    </row>
    <row r="6" spans="1:8" x14ac:dyDescent="0.2">
      <c r="A6" s="29"/>
      <c r="B6" s="29" t="s">
        <v>50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</row>
    <row r="7" spans="1:8" x14ac:dyDescent="0.2">
      <c r="A7" s="29"/>
      <c r="B7" s="29" t="s">
        <v>51</v>
      </c>
      <c r="C7" s="29">
        <v>6</v>
      </c>
      <c r="D7" s="29">
        <v>6</v>
      </c>
      <c r="E7" s="29">
        <v>6</v>
      </c>
      <c r="F7" s="29">
        <v>6</v>
      </c>
      <c r="G7" s="29">
        <v>6</v>
      </c>
      <c r="H7" s="29">
        <v>6</v>
      </c>
    </row>
    <row r="8" spans="1:8" x14ac:dyDescent="0.2">
      <c r="A8" s="29" t="s">
        <v>13</v>
      </c>
      <c r="B8" s="29" t="s">
        <v>52</v>
      </c>
      <c r="C8" s="29">
        <v>14</v>
      </c>
      <c r="D8" s="29">
        <v>14</v>
      </c>
      <c r="E8" s="29">
        <v>12</v>
      </c>
      <c r="F8" s="29">
        <v>12</v>
      </c>
      <c r="G8" s="29">
        <v>11</v>
      </c>
      <c r="H8" s="29">
        <v>11</v>
      </c>
    </row>
    <row r="9" spans="1:8" x14ac:dyDescent="0.2">
      <c r="A9" s="29"/>
      <c r="B9" s="29" t="s">
        <v>53</v>
      </c>
      <c r="C9" s="29">
        <v>12</v>
      </c>
      <c r="D9" s="29">
        <v>12</v>
      </c>
      <c r="E9" s="29">
        <v>10</v>
      </c>
      <c r="F9" s="29">
        <v>10</v>
      </c>
      <c r="G9" s="29">
        <v>8</v>
      </c>
      <c r="H9" s="29">
        <v>8</v>
      </c>
    </row>
    <row r="10" spans="1:8" x14ac:dyDescent="0.2">
      <c r="A10" s="29" t="s">
        <v>14</v>
      </c>
      <c r="B10" s="29" t="s">
        <v>54</v>
      </c>
      <c r="C10" s="29">
        <v>3</v>
      </c>
      <c r="D10" s="29">
        <v>3</v>
      </c>
      <c r="E10" s="29">
        <v>3</v>
      </c>
      <c r="F10" s="29">
        <v>3</v>
      </c>
      <c r="G10" s="29">
        <v>3</v>
      </c>
      <c r="H10" s="29">
        <v>3</v>
      </c>
    </row>
    <row r="11" spans="1:8" x14ac:dyDescent="0.2">
      <c r="A11" s="29"/>
      <c r="B11" s="29" t="s">
        <v>50</v>
      </c>
      <c r="C11" s="29">
        <v>21</v>
      </c>
      <c r="D11" s="29">
        <v>21</v>
      </c>
      <c r="E11" s="29">
        <v>21</v>
      </c>
      <c r="F11" s="29">
        <v>21</v>
      </c>
      <c r="G11" s="29">
        <v>21</v>
      </c>
      <c r="H11" s="29">
        <v>21</v>
      </c>
    </row>
    <row r="12" spans="1:8" x14ac:dyDescent="0.2">
      <c r="A12" s="29"/>
      <c r="B12" s="29" t="s">
        <v>55</v>
      </c>
      <c r="C12" s="29">
        <v>-121</v>
      </c>
      <c r="D12" s="29">
        <v>-120</v>
      </c>
      <c r="E12" s="29">
        <v>-121</v>
      </c>
      <c r="F12" s="29">
        <v>-120</v>
      </c>
      <c r="G12" s="29">
        <v>-121</v>
      </c>
      <c r="H12" s="29">
        <v>-120</v>
      </c>
    </row>
    <row r="13" spans="1:8" x14ac:dyDescent="0.2">
      <c r="A13" s="17" t="s">
        <v>22</v>
      </c>
      <c r="B13" s="31"/>
      <c r="C13" s="32">
        <f>C5+C6-C7-C8-C9-C10+C11-C12</f>
        <v>127.96910013008056</v>
      </c>
      <c r="D13" s="32">
        <f t="shared" ref="D13:H13" si="1">D5+D6-D7-D8-D9-D10+D11-D12</f>
        <v>126.96910013008056</v>
      </c>
      <c r="E13" s="32">
        <f t="shared" si="1"/>
        <v>131.96910013008056</v>
      </c>
      <c r="F13" s="32">
        <f t="shared" si="1"/>
        <v>130.96910013008056</v>
      </c>
      <c r="G13" s="32">
        <f t="shared" si="1"/>
        <v>134.96910013008056</v>
      </c>
      <c r="H13" s="32">
        <f t="shared" si="1"/>
        <v>133.96910013008056</v>
      </c>
    </row>
    <row r="14" spans="1:8" x14ac:dyDescent="0.2">
      <c r="D14" s="6"/>
      <c r="F14" s="6"/>
    </row>
    <row r="15" spans="1:8" x14ac:dyDescent="0.2">
      <c r="A15" s="33"/>
      <c r="B15" s="34" t="s">
        <v>35</v>
      </c>
      <c r="C15" s="34" t="s">
        <v>36</v>
      </c>
      <c r="D15" s="34" t="s">
        <v>38</v>
      </c>
    </row>
    <row r="16" spans="1:8" x14ac:dyDescent="0.2">
      <c r="A16" s="29" t="s">
        <v>16</v>
      </c>
      <c r="B16" s="29">
        <v>32</v>
      </c>
      <c r="C16" s="29">
        <v>21</v>
      </c>
      <c r="D16" s="29">
        <v>40</v>
      </c>
    </row>
    <row r="17" spans="1:7" x14ac:dyDescent="0.2">
      <c r="A17" s="29" t="s">
        <v>23</v>
      </c>
      <c r="B17" s="29">
        <v>1.72</v>
      </c>
      <c r="C17" s="29">
        <v>1.72</v>
      </c>
      <c r="D17" s="29">
        <v>1.72</v>
      </c>
    </row>
    <row r="18" spans="1:7" x14ac:dyDescent="0.2">
      <c r="A18" s="29" t="s">
        <v>24</v>
      </c>
      <c r="B18" s="29">
        <v>900</v>
      </c>
      <c r="C18" s="29">
        <v>900</v>
      </c>
      <c r="D18" s="29">
        <v>900</v>
      </c>
    </row>
    <row r="19" spans="1:7" x14ac:dyDescent="0.2">
      <c r="A19" s="35" t="s">
        <v>7</v>
      </c>
      <c r="B19" s="33" t="s">
        <v>25</v>
      </c>
      <c r="C19" s="33" t="s">
        <v>8</v>
      </c>
      <c r="D19" s="33" t="s">
        <v>8</v>
      </c>
    </row>
    <row r="20" spans="1:7" x14ac:dyDescent="0.2">
      <c r="A20" s="35" t="s">
        <v>56</v>
      </c>
      <c r="B20" s="35">
        <v>69.55</v>
      </c>
      <c r="C20" s="35">
        <v>69.55</v>
      </c>
      <c r="D20" s="35">
        <v>69.55</v>
      </c>
    </row>
    <row r="21" spans="1:7" x14ac:dyDescent="0.2">
      <c r="A21" s="35" t="s">
        <v>57</v>
      </c>
      <c r="B21" s="35">
        <v>26.16</v>
      </c>
      <c r="C21" s="35">
        <v>26.16</v>
      </c>
      <c r="D21" s="35">
        <v>26.16</v>
      </c>
    </row>
    <row r="22" spans="1:7" x14ac:dyDescent="0.2">
      <c r="A22" s="35" t="s">
        <v>58</v>
      </c>
      <c r="B22" s="35">
        <f>3.2*(LOG10(11.75*B17)^2)-4.97</f>
        <v>0.48441087675501127</v>
      </c>
      <c r="C22" s="35">
        <f>C17*(1.1*LOG10(C18)-0.7)-(1.56*LOG10(C18)-0.8)</f>
        <v>0.57680851313385606</v>
      </c>
      <c r="D22" s="35">
        <f>D17*(1.1*LOG10(D18)-0.7)-(1.56*LOG10(D18)-0.8)</f>
        <v>0.57680851313385606</v>
      </c>
    </row>
    <row r="23" spans="1:7" x14ac:dyDescent="0.2">
      <c r="A23" s="35" t="s">
        <v>59</v>
      </c>
      <c r="B23" s="35">
        <f>(71.13+6.16*LOG10(B18)-13.82*LOG10(B16))*(1/LOG10(50))</f>
        <v>40.334414958989477</v>
      </c>
      <c r="C23" s="35">
        <f>44.9-6.55*LOG10(C16)</f>
        <v>36.239463619492824</v>
      </c>
      <c r="D23" s="35">
        <f>44.9-6.55*LOG10(D16)</f>
        <v>34.406507056801843</v>
      </c>
    </row>
    <row r="24" spans="1:7" x14ac:dyDescent="0.2">
      <c r="A24" s="35" t="s">
        <v>60</v>
      </c>
      <c r="B24" s="35">
        <v>0</v>
      </c>
      <c r="C24" s="35">
        <f>-2*(LOG10(C18/28)^2)-5.4</f>
        <v>-9.942607248242453</v>
      </c>
      <c r="D24" s="35">
        <f>-4.78*(LOG10(D18)^2)+18.33*LOG10(D18)-40.94</f>
        <v>-28.506418087861732</v>
      </c>
    </row>
    <row r="25" spans="1:7" x14ac:dyDescent="0.2">
      <c r="A25" s="35" t="s">
        <v>61</v>
      </c>
      <c r="B25" s="41">
        <f>MIN(C13,D13)</f>
        <v>126.96910013008056</v>
      </c>
      <c r="C25" s="41">
        <f>MIN(E13,F13)</f>
        <v>130.96910013008056</v>
      </c>
      <c r="D25" s="41">
        <f>MIN(G13,H13)</f>
        <v>133.96910013008056</v>
      </c>
    </row>
    <row r="26" spans="1:7" x14ac:dyDescent="0.2">
      <c r="A26" s="35" t="s">
        <v>62</v>
      </c>
      <c r="B26" s="33">
        <f>B25-B20-(B21*LOG10(B18))+(13.82*LOG10(B16))+B22-C27</f>
        <v>1.4216996602839389</v>
      </c>
      <c r="C26" s="33">
        <f t="shared" ref="C26:D26" si="2">C25-C20-(C21*LOG10(C18))+(13.82*LOG10(C16))+C22-D27</f>
        <v>2.9859952495044455</v>
      </c>
      <c r="D26" s="33">
        <f t="shared" si="2"/>
        <v>9.8533936764341199</v>
      </c>
    </row>
    <row r="27" spans="1:7" x14ac:dyDescent="0.2">
      <c r="A27" s="35"/>
      <c r="B27" s="35"/>
      <c r="C27" s="35"/>
      <c r="D27" s="35"/>
    </row>
    <row r="28" spans="1:7" x14ac:dyDescent="0.2">
      <c r="A28" s="17" t="s">
        <v>1</v>
      </c>
      <c r="B28" s="17">
        <f>10^(B26/B23)</f>
        <v>1.0845455747871979</v>
      </c>
      <c r="C28" s="17">
        <f t="shared" ref="C28:D28" si="3">10^(C26/C23)</f>
        <v>1.2089162962523605</v>
      </c>
      <c r="D28" s="17">
        <f t="shared" si="3"/>
        <v>1.9336670245146232</v>
      </c>
      <c r="F28" s="4"/>
      <c r="G28" s="4"/>
    </row>
    <row r="30" spans="1:7" x14ac:dyDescent="0.2">
      <c r="A30" s="18" t="s">
        <v>34</v>
      </c>
      <c r="B30" s="5"/>
      <c r="C30" s="5"/>
      <c r="D30" s="5"/>
      <c r="E30" s="5"/>
      <c r="F30" s="5"/>
      <c r="G30" s="5"/>
    </row>
    <row r="31" spans="1:7" x14ac:dyDescent="0.2">
      <c r="A31" s="29" t="s">
        <v>9</v>
      </c>
      <c r="B31" s="36">
        <v>783.87</v>
      </c>
      <c r="C31" s="5"/>
      <c r="D31" s="5"/>
      <c r="E31" s="5"/>
      <c r="F31" s="5"/>
      <c r="G31" s="5"/>
    </row>
    <row r="32" spans="1:7" x14ac:dyDescent="0.2">
      <c r="A32" s="29" t="s">
        <v>37</v>
      </c>
      <c r="B32" s="36">
        <v>921332</v>
      </c>
      <c r="C32" s="5"/>
      <c r="D32" s="5"/>
      <c r="E32" s="5"/>
      <c r="F32" s="5"/>
      <c r="G32" s="5"/>
    </row>
    <row r="33" spans="1:7" x14ac:dyDescent="0.2">
      <c r="A33" s="7"/>
      <c r="B33" s="48" t="s">
        <v>35</v>
      </c>
      <c r="C33" s="49"/>
      <c r="D33" s="48" t="s">
        <v>36</v>
      </c>
      <c r="E33" s="49"/>
      <c r="F33" s="48" t="s">
        <v>38</v>
      </c>
      <c r="G33" s="49"/>
    </row>
    <row r="34" spans="1:7" x14ac:dyDescent="0.2">
      <c r="A34" s="29" t="s">
        <v>26</v>
      </c>
      <c r="B34" s="37">
        <v>0.15</v>
      </c>
      <c r="C34" s="37">
        <v>0.15</v>
      </c>
      <c r="D34" s="37">
        <v>0.25</v>
      </c>
      <c r="E34" s="37">
        <v>0.25</v>
      </c>
      <c r="F34" s="37">
        <v>0.6</v>
      </c>
      <c r="G34" s="37">
        <v>0.6</v>
      </c>
    </row>
    <row r="35" spans="1:7" x14ac:dyDescent="0.2">
      <c r="A35" s="35" t="s">
        <v>63</v>
      </c>
      <c r="B35" s="35">
        <f>$B$31*B34</f>
        <v>117.5805</v>
      </c>
      <c r="C35" s="35">
        <f t="shared" ref="C35:G35" si="4">$B$31*C34</f>
        <v>117.5805</v>
      </c>
      <c r="D35" s="35">
        <f t="shared" si="4"/>
        <v>195.9675</v>
      </c>
      <c r="E35" s="35">
        <f t="shared" si="4"/>
        <v>195.9675</v>
      </c>
      <c r="F35" s="35">
        <f t="shared" si="4"/>
        <v>470.322</v>
      </c>
      <c r="G35" s="35">
        <f t="shared" si="4"/>
        <v>470.322</v>
      </c>
    </row>
    <row r="36" spans="1:7" x14ac:dyDescent="0.2">
      <c r="A36" s="29" t="s">
        <v>10</v>
      </c>
      <c r="B36" s="37">
        <v>0.6</v>
      </c>
      <c r="C36" s="37">
        <v>0.6</v>
      </c>
      <c r="D36" s="37">
        <v>0.35</v>
      </c>
      <c r="E36" s="37">
        <v>0.35</v>
      </c>
      <c r="F36" s="37">
        <v>0.05</v>
      </c>
      <c r="G36" s="37">
        <v>0.05</v>
      </c>
    </row>
    <row r="37" spans="1:7" x14ac:dyDescent="0.2">
      <c r="A37" s="35" t="s">
        <v>64</v>
      </c>
      <c r="B37" s="35">
        <f>$B$32*B36</f>
        <v>552799.19999999995</v>
      </c>
      <c r="C37" s="35">
        <f t="shared" ref="C37:G37" si="5">$B$32*C36</f>
        <v>552799.19999999995</v>
      </c>
      <c r="D37" s="35">
        <f t="shared" si="5"/>
        <v>322466.19999999995</v>
      </c>
      <c r="E37" s="35">
        <f t="shared" si="5"/>
        <v>322466.19999999995</v>
      </c>
      <c r="F37" s="35">
        <f t="shared" si="5"/>
        <v>46066.600000000006</v>
      </c>
      <c r="G37" s="35">
        <f t="shared" si="5"/>
        <v>46066.600000000006</v>
      </c>
    </row>
    <row r="38" spans="1:7" x14ac:dyDescent="0.2">
      <c r="A38" s="29" t="s">
        <v>27</v>
      </c>
      <c r="B38" s="29">
        <v>1</v>
      </c>
      <c r="C38" s="29">
        <v>1</v>
      </c>
      <c r="D38" s="29">
        <v>1</v>
      </c>
      <c r="E38" s="29">
        <v>1</v>
      </c>
      <c r="F38" s="29">
        <v>1</v>
      </c>
      <c r="G38" s="29">
        <v>1</v>
      </c>
    </row>
    <row r="39" spans="1:7" x14ac:dyDescent="0.2">
      <c r="A39" s="29" t="s">
        <v>28</v>
      </c>
      <c r="B39" s="29">
        <v>0.315</v>
      </c>
      <c r="C39" s="29">
        <v>0.315</v>
      </c>
      <c r="D39" s="29">
        <v>0.315</v>
      </c>
      <c r="E39" s="29">
        <v>0.315</v>
      </c>
      <c r="F39" s="29">
        <v>0.315</v>
      </c>
      <c r="G39" s="29">
        <v>0.315</v>
      </c>
    </row>
    <row r="40" spans="1:7" x14ac:dyDescent="0.2">
      <c r="A40" s="35"/>
      <c r="B40" s="35"/>
      <c r="C40" s="35"/>
      <c r="D40" s="35"/>
      <c r="E40" s="35"/>
      <c r="F40" s="35"/>
      <c r="G40" s="35"/>
    </row>
    <row r="41" spans="1:7" x14ac:dyDescent="0.2">
      <c r="A41" s="35"/>
      <c r="B41" s="35"/>
      <c r="C41" s="35"/>
      <c r="D41" s="35"/>
      <c r="E41" s="35"/>
      <c r="F41" s="35"/>
      <c r="G41" s="35"/>
    </row>
    <row r="42" spans="1:7" x14ac:dyDescent="0.2">
      <c r="A42" s="29" t="s">
        <v>11</v>
      </c>
      <c r="B42" s="29">
        <v>1.1000000000000001</v>
      </c>
      <c r="C42" s="29">
        <v>1.05</v>
      </c>
      <c r="D42" s="29">
        <v>1</v>
      </c>
      <c r="E42" s="29">
        <v>1.05</v>
      </c>
      <c r="F42" s="29">
        <v>1</v>
      </c>
      <c r="G42" s="29">
        <v>1</v>
      </c>
    </row>
    <row r="43" spans="1:7" x14ac:dyDescent="0.2">
      <c r="A43" s="35" t="s">
        <v>65</v>
      </c>
      <c r="B43" s="35">
        <f>B37*B38*B39*B42</f>
        <v>191544.9228</v>
      </c>
      <c r="C43" s="35">
        <f t="shared" ref="C43:G43" si="6">C37*C38*C39*C42</f>
        <v>182838.33540000001</v>
      </c>
      <c r="D43" s="35">
        <f t="shared" si="6"/>
        <v>101576.85299999999</v>
      </c>
      <c r="E43" s="35">
        <f t="shared" si="6"/>
        <v>106655.69564999999</v>
      </c>
      <c r="F43" s="35">
        <f t="shared" si="6"/>
        <v>14510.979000000001</v>
      </c>
      <c r="G43" s="35">
        <f t="shared" si="6"/>
        <v>14510.979000000001</v>
      </c>
    </row>
    <row r="44" spans="1:7" x14ac:dyDescent="0.2">
      <c r="A44" s="17" t="s">
        <v>29</v>
      </c>
      <c r="B44" s="17">
        <f>B43/B35</f>
        <v>1629.0534808067664</v>
      </c>
      <c r="C44" s="17">
        <f t="shared" ref="C44:G44" si="7">C43/C35</f>
        <v>1555.00559531555</v>
      </c>
      <c r="D44" s="17">
        <f t="shared" si="7"/>
        <v>518.3351984385165</v>
      </c>
      <c r="E44" s="17">
        <f t="shared" si="7"/>
        <v>544.25195836044236</v>
      </c>
      <c r="F44" s="17">
        <f t="shared" si="7"/>
        <v>30.853285621340277</v>
      </c>
      <c r="G44" s="17">
        <f t="shared" si="7"/>
        <v>30.853285621340277</v>
      </c>
    </row>
    <row r="46" spans="1:7" x14ac:dyDescent="0.2">
      <c r="A46" s="38" t="s">
        <v>48</v>
      </c>
      <c r="B46" s="1"/>
      <c r="C46" s="1"/>
      <c r="D46" s="1"/>
      <c r="E46" s="1"/>
      <c r="F46" s="1"/>
      <c r="G46" s="1"/>
    </row>
    <row r="47" spans="1:7" x14ac:dyDescent="0.2">
      <c r="A47" s="28" t="s">
        <v>66</v>
      </c>
      <c r="B47" s="45">
        <v>12</v>
      </c>
      <c r="C47" s="46"/>
      <c r="D47" s="45">
        <v>10</v>
      </c>
      <c r="E47" s="46"/>
      <c r="F47" s="45">
        <v>8</v>
      </c>
      <c r="G47" s="46"/>
    </row>
    <row r="48" spans="1:7" x14ac:dyDescent="0.2">
      <c r="A48" s="28" t="s">
        <v>67</v>
      </c>
      <c r="B48" s="45">
        <v>3</v>
      </c>
      <c r="C48" s="46"/>
      <c r="D48" s="45">
        <v>3</v>
      </c>
      <c r="E48" s="46"/>
      <c r="F48" s="45">
        <v>4</v>
      </c>
      <c r="G48" s="46"/>
    </row>
    <row r="49" spans="1:8" x14ac:dyDescent="0.2">
      <c r="A49" s="28" t="s">
        <v>68</v>
      </c>
      <c r="B49" s="45">
        <v>4</v>
      </c>
      <c r="C49" s="46"/>
      <c r="D49" s="45">
        <v>3</v>
      </c>
      <c r="E49" s="46"/>
      <c r="F49" s="45">
        <v>3</v>
      </c>
      <c r="G49" s="46"/>
    </row>
    <row r="50" spans="1:8" x14ac:dyDescent="0.2">
      <c r="A50" s="10" t="s">
        <v>45</v>
      </c>
      <c r="B50" s="43">
        <f>ROUNDUP(B47*1000/B48/B49/200,0)</f>
        <v>5</v>
      </c>
      <c r="C50" s="44"/>
      <c r="D50" s="43">
        <f>ROUNDUP(D47*1000/D48/D49/200,0)</f>
        <v>6</v>
      </c>
      <c r="E50" s="44"/>
      <c r="F50" s="43">
        <f>ROUNDUP(F47*1000/F48/F49/200,0)</f>
        <v>4</v>
      </c>
      <c r="G50" s="44"/>
    </row>
    <row r="52" spans="1:8" x14ac:dyDescent="0.2">
      <c r="A52" s="39" t="s">
        <v>30</v>
      </c>
      <c r="B52" s="35">
        <v>35</v>
      </c>
      <c r="C52" s="35">
        <v>35</v>
      </c>
      <c r="D52" s="35">
        <v>42</v>
      </c>
      <c r="E52" s="35">
        <v>42</v>
      </c>
      <c r="F52" s="35">
        <v>28</v>
      </c>
      <c r="G52" s="35">
        <v>28</v>
      </c>
    </row>
    <row r="53" spans="1:8" x14ac:dyDescent="0.2">
      <c r="A53" s="29" t="s">
        <v>45</v>
      </c>
      <c r="B53" s="51">
        <v>5</v>
      </c>
      <c r="C53" s="51"/>
      <c r="D53" s="51">
        <v>6</v>
      </c>
      <c r="E53" s="51"/>
      <c r="F53" s="51">
        <v>4</v>
      </c>
      <c r="G53" s="51"/>
    </row>
    <row r="54" spans="1:8" x14ac:dyDescent="0.2">
      <c r="A54" s="35"/>
      <c r="B54" s="50"/>
      <c r="C54" s="50"/>
      <c r="D54" s="50"/>
      <c r="E54" s="50"/>
      <c r="F54" s="50"/>
      <c r="G54" s="50"/>
    </row>
    <row r="55" spans="1:8" x14ac:dyDescent="0.2">
      <c r="A55" s="35"/>
      <c r="B55" s="47" t="s">
        <v>35</v>
      </c>
      <c r="C55" s="47"/>
      <c r="D55" s="47" t="s">
        <v>36</v>
      </c>
      <c r="E55" s="47"/>
      <c r="F55" s="47" t="s">
        <v>38</v>
      </c>
      <c r="G55" s="47"/>
    </row>
    <row r="56" spans="1:8" x14ac:dyDescent="0.2">
      <c r="A56" s="35"/>
      <c r="B56" s="39" t="s">
        <v>2</v>
      </c>
      <c r="C56" s="39" t="s">
        <v>3</v>
      </c>
      <c r="D56" s="39" t="s">
        <v>2</v>
      </c>
      <c r="E56" s="39" t="s">
        <v>3</v>
      </c>
      <c r="F56" s="39" t="s">
        <v>2</v>
      </c>
      <c r="G56" s="39" t="s">
        <v>3</v>
      </c>
    </row>
    <row r="57" spans="1:8" x14ac:dyDescent="0.2">
      <c r="A57" s="35" t="s">
        <v>69</v>
      </c>
      <c r="B57" s="35">
        <v>11</v>
      </c>
      <c r="C57" s="40">
        <f>B52-B57</f>
        <v>24</v>
      </c>
      <c r="D57" s="35">
        <v>14</v>
      </c>
      <c r="E57" s="40">
        <f>E52-D57</f>
        <v>28</v>
      </c>
      <c r="F57" s="35">
        <v>9</v>
      </c>
      <c r="G57" s="40">
        <f>G52-F57</f>
        <v>19</v>
      </c>
      <c r="H57" s="1"/>
    </row>
    <row r="58" spans="1:8" x14ac:dyDescent="0.2">
      <c r="A58" s="35" t="s">
        <v>70</v>
      </c>
      <c r="B58" s="35">
        <f>B57</f>
        <v>11</v>
      </c>
      <c r="C58" s="40">
        <f>C57/2</f>
        <v>12</v>
      </c>
      <c r="D58" s="35">
        <f>D57</f>
        <v>14</v>
      </c>
      <c r="E58" s="40">
        <f>E57/2</f>
        <v>14</v>
      </c>
      <c r="F58" s="35">
        <f>F57</f>
        <v>9</v>
      </c>
      <c r="G58" s="40">
        <f>G57/2</f>
        <v>9.5</v>
      </c>
      <c r="H58" s="1"/>
    </row>
    <row r="59" spans="1:8" x14ac:dyDescent="0.2">
      <c r="A59" s="35" t="s">
        <v>56</v>
      </c>
      <c r="B59" s="41">
        <f>VLOOKUP(B58,Erlang!$A2:$B76,2,TRUE)</f>
        <v>5.8415311000000001</v>
      </c>
      <c r="C59" s="41">
        <f>VLOOKUP(C58,Erlang!$A2:$B76,2,TRUE)</f>
        <v>6.6147182999999998</v>
      </c>
      <c r="D59" s="41">
        <f>VLOOKUP(D58,Erlang!$A2:$B76,2,TRUE)</f>
        <v>8.2002682999999994</v>
      </c>
      <c r="E59" s="41">
        <f>VLOOKUP(E58,Erlang!$A2:$B76,2,TRUE)</f>
        <v>8.2002682999999994</v>
      </c>
      <c r="F59" s="41">
        <f>VLOOKUP(F58,Erlang!$A2:$B76,2,TRUE)</f>
        <v>4.3447291999999997</v>
      </c>
      <c r="G59" s="41">
        <f>VLOOKUP(G58,Erlang!$A2:$B76,2,TRUE)</f>
        <v>4.3447291999999997</v>
      </c>
      <c r="H59" s="1"/>
    </row>
    <row r="60" spans="1:8" x14ac:dyDescent="0.2">
      <c r="A60" s="35" t="s">
        <v>71</v>
      </c>
      <c r="B60" s="42">
        <v>1.4999999999999999E-2</v>
      </c>
      <c r="C60" s="42">
        <v>0.02</v>
      </c>
      <c r="D60" s="42">
        <v>1.2E-2</v>
      </c>
      <c r="E60" s="42">
        <v>1.2999999999999999E-2</v>
      </c>
      <c r="F60" s="42">
        <v>1.0999999999999999E-2</v>
      </c>
      <c r="G60" s="42">
        <v>1.0999999999999999E-2</v>
      </c>
      <c r="H60" s="1"/>
    </row>
    <row r="61" spans="1:8" x14ac:dyDescent="0.2">
      <c r="A61" s="35" t="s">
        <v>72</v>
      </c>
      <c r="B61" s="35">
        <f>B59/B60</f>
        <v>389.43540666666667</v>
      </c>
      <c r="C61" s="35">
        <f t="shared" ref="C61:G61" si="8">C59/C60</f>
        <v>330.73591499999998</v>
      </c>
      <c r="D61" s="35">
        <f t="shared" si="8"/>
        <v>683.35569166666664</v>
      </c>
      <c r="E61" s="35">
        <f t="shared" si="8"/>
        <v>630.78986923076923</v>
      </c>
      <c r="F61" s="35">
        <f t="shared" si="8"/>
        <v>394.9753818181818</v>
      </c>
      <c r="G61" s="35">
        <f t="shared" si="8"/>
        <v>394.9753818181818</v>
      </c>
      <c r="H61" s="1"/>
    </row>
    <row r="62" spans="1:8" x14ac:dyDescent="0.2">
      <c r="A62" s="33"/>
      <c r="B62" s="33" t="s">
        <v>2</v>
      </c>
      <c r="C62" s="33" t="s">
        <v>3</v>
      </c>
      <c r="D62" s="33" t="s">
        <v>2</v>
      </c>
      <c r="E62" s="33" t="s">
        <v>3</v>
      </c>
      <c r="F62" s="33" t="s">
        <v>2</v>
      </c>
      <c r="G62" s="33" t="s">
        <v>3</v>
      </c>
      <c r="H62" s="1"/>
    </row>
    <row r="63" spans="1:8" x14ac:dyDescent="0.2">
      <c r="A63" s="33"/>
      <c r="B63" s="33" t="s">
        <v>0</v>
      </c>
      <c r="C63" s="33" t="s">
        <v>18</v>
      </c>
      <c r="D63" s="33" t="s">
        <v>4</v>
      </c>
      <c r="E63" s="33" t="s">
        <v>4</v>
      </c>
      <c r="F63" s="33" t="s">
        <v>19</v>
      </c>
      <c r="G63" s="33" t="s">
        <v>5</v>
      </c>
      <c r="H63" s="1"/>
    </row>
    <row r="64" spans="1:8" x14ac:dyDescent="0.2">
      <c r="A64" s="17" t="s">
        <v>31</v>
      </c>
      <c r="B64" s="17">
        <f>SQRT((B61*B49)/(PI()*B44))</f>
        <v>0.5517026948344439</v>
      </c>
      <c r="C64" s="17">
        <f>SQRT((C61*B49)/(PI()*C44))</f>
        <v>0.52039098001927142</v>
      </c>
      <c r="D64" s="17">
        <f t="shared" ref="C64:G64" si="9">SQRT((D61*D49)/(PI()*D44))</f>
        <v>1.1220281383437467</v>
      </c>
      <c r="E64" s="17">
        <f>SQRT((E61*D49)/(PI()*E44))</f>
        <v>1.0520298091440139</v>
      </c>
      <c r="F64" s="17">
        <f t="shared" si="9"/>
        <v>3.4963910107934679</v>
      </c>
      <c r="G64" s="17">
        <f>SQRT((G61*F49)/(PI()*G44))</f>
        <v>3.4963910107934679</v>
      </c>
    </row>
    <row r="66" spans="1:7" x14ac:dyDescent="0.2">
      <c r="A66" s="33"/>
      <c r="B66" s="33" t="s">
        <v>35</v>
      </c>
      <c r="C66" s="33" t="s">
        <v>36</v>
      </c>
      <c r="D66" s="33" t="s">
        <v>39</v>
      </c>
      <c r="E66" s="1"/>
      <c r="F66"/>
      <c r="G66"/>
    </row>
    <row r="67" spans="1:7" x14ac:dyDescent="0.2">
      <c r="A67" s="33" t="s">
        <v>6</v>
      </c>
      <c r="B67" s="33">
        <f>MIN(B64,C64,B28)</f>
        <v>0.52039098001927142</v>
      </c>
      <c r="C67" s="33">
        <f>MIN(D64,E64,C28)</f>
        <v>1.0520298091440139</v>
      </c>
      <c r="D67" s="33">
        <f>MIN(F64,G64,D28)</f>
        <v>1.9336670245146232</v>
      </c>
      <c r="E67" s="1"/>
      <c r="F67"/>
      <c r="G67"/>
    </row>
    <row r="68" spans="1:7" x14ac:dyDescent="0.2">
      <c r="A68" s="33" t="s">
        <v>32</v>
      </c>
      <c r="B68" s="33">
        <f>PI()*B67^2</f>
        <v>0.85076456572591386</v>
      </c>
      <c r="C68" s="33">
        <f t="shared" ref="C68:D68" si="10">PI()*C67^2</f>
        <v>3.4770101946772343</v>
      </c>
      <c r="D68" s="33">
        <f t="shared" si="10"/>
        <v>11.746629068053247</v>
      </c>
      <c r="E68" s="1"/>
      <c r="F68"/>
      <c r="G68"/>
    </row>
    <row r="69" spans="1:7" x14ac:dyDescent="0.2">
      <c r="A69" s="17" t="s">
        <v>40</v>
      </c>
      <c r="B69" s="17">
        <f>ROUNDUP(B35/B68,0)</f>
        <v>139</v>
      </c>
      <c r="C69" s="17">
        <f t="shared" ref="C69:D69" si="11">ROUNDUP(C35/C68,0)</f>
        <v>34</v>
      </c>
      <c r="D69" s="17">
        <f t="shared" si="11"/>
        <v>17</v>
      </c>
      <c r="E69" s="1"/>
      <c r="F69"/>
      <c r="G69"/>
    </row>
    <row r="70" spans="1:7" x14ac:dyDescent="0.2">
      <c r="A70" s="35"/>
      <c r="B70" s="35"/>
      <c r="C70" s="35"/>
      <c r="D70" s="35"/>
    </row>
    <row r="71" spans="1:7" x14ac:dyDescent="0.2">
      <c r="A71" s="29" t="s">
        <v>41</v>
      </c>
      <c r="B71" s="29">
        <v>45000</v>
      </c>
      <c r="C71" s="29">
        <v>65000</v>
      </c>
      <c r="D71" s="29">
        <v>115000</v>
      </c>
      <c r="E71" s="3"/>
      <c r="F71" s="5"/>
    </row>
    <row r="72" spans="1:7" x14ac:dyDescent="0.2">
      <c r="A72" s="17" t="s">
        <v>33</v>
      </c>
      <c r="B72" s="17">
        <f>B71*B69</f>
        <v>6255000</v>
      </c>
      <c r="C72" s="17">
        <f t="shared" ref="C72:D72" si="12">C71*C69</f>
        <v>2210000</v>
      </c>
      <c r="D72" s="17">
        <f t="shared" si="12"/>
        <v>1955000</v>
      </c>
      <c r="E72" s="4"/>
      <c r="F72" s="5"/>
      <c r="G72" s="5"/>
    </row>
    <row r="73" spans="1:7" x14ac:dyDescent="0.2">
      <c r="A73" s="17" t="s">
        <v>42</v>
      </c>
      <c r="B73" s="17">
        <f>SUM(B72:D72)</f>
        <v>10420000</v>
      </c>
      <c r="C73" s="17"/>
      <c r="D73" s="17"/>
      <c r="E73" s="3"/>
      <c r="F73" s="4"/>
      <c r="G73" s="4"/>
    </row>
    <row r="74" spans="1:7" s="27" customFormat="1" x14ac:dyDescent="0.2">
      <c r="A74" s="26"/>
      <c r="B74" s="26"/>
      <c r="C74" s="26"/>
      <c r="D74" s="26"/>
      <c r="E74" s="26"/>
      <c r="F74" s="26"/>
      <c r="G74" s="26"/>
    </row>
  </sheetData>
  <mergeCells count="24">
    <mergeCell ref="B55:C55"/>
    <mergeCell ref="D55:E55"/>
    <mergeCell ref="F55:G55"/>
    <mergeCell ref="B33:C33"/>
    <mergeCell ref="D33:E33"/>
    <mergeCell ref="F33:G33"/>
    <mergeCell ref="B54:C54"/>
    <mergeCell ref="D54:E54"/>
    <mergeCell ref="F54:G54"/>
    <mergeCell ref="B53:C53"/>
    <mergeCell ref="D53:E53"/>
    <mergeCell ref="F53:G53"/>
    <mergeCell ref="B47:C47"/>
    <mergeCell ref="D47:E47"/>
    <mergeCell ref="F47:G47"/>
    <mergeCell ref="B48:C48"/>
    <mergeCell ref="B50:C50"/>
    <mergeCell ref="D50:E50"/>
    <mergeCell ref="F50:G50"/>
    <mergeCell ref="D48:E48"/>
    <mergeCell ref="F48:G48"/>
    <mergeCell ref="B49:C49"/>
    <mergeCell ref="D49:E49"/>
    <mergeCell ref="F49:G49"/>
  </mergeCells>
  <phoneticPr fontId="3" type="noConversion"/>
  <pageMargins left="0.75000000000000011" right="0.75000000000000011" top="1" bottom="1" header="0.5" footer="0.5"/>
  <pageSetup paperSize="9" scale="6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zoomScale="90" zoomScaleNormal="90" zoomScalePageLayoutView="90" workbookViewId="0">
      <selection activeCell="R73" sqref="R73"/>
    </sheetView>
  </sheetViews>
  <sheetFormatPr baseColWidth="10" defaultRowHeight="12.75" x14ac:dyDescent="0.2"/>
  <sheetData>
    <row r="1" spans="1:2" x14ac:dyDescent="0.2">
      <c r="A1" s="20" t="s">
        <v>46</v>
      </c>
      <c r="B1" s="21" t="s">
        <v>47</v>
      </c>
    </row>
    <row r="2" spans="1:2" x14ac:dyDescent="0.2">
      <c r="A2" s="22">
        <v>1</v>
      </c>
      <c r="B2" s="23">
        <v>2.0408163E-2</v>
      </c>
    </row>
    <row r="3" spans="1:2" x14ac:dyDescent="0.2">
      <c r="A3" s="22">
        <v>2</v>
      </c>
      <c r="B3" s="23">
        <v>0.22346682000000001</v>
      </c>
    </row>
    <row r="4" spans="1:2" x14ac:dyDescent="0.2">
      <c r="A4" s="22">
        <v>3</v>
      </c>
      <c r="B4" s="23">
        <v>0.60220647999999999</v>
      </c>
    </row>
    <row r="5" spans="1:2" x14ac:dyDescent="0.2">
      <c r="A5" s="22">
        <v>4</v>
      </c>
      <c r="B5" s="23">
        <v>1.0922605000000001</v>
      </c>
    </row>
    <row r="6" spans="1:2" x14ac:dyDescent="0.2">
      <c r="A6" s="22">
        <v>5</v>
      </c>
      <c r="B6" s="23">
        <v>1.6571431000000001</v>
      </c>
    </row>
    <row r="7" spans="1:2" x14ac:dyDescent="0.2">
      <c r="A7" s="22">
        <v>6</v>
      </c>
      <c r="B7" s="23">
        <v>2.2758761000000001</v>
      </c>
    </row>
    <row r="8" spans="1:2" x14ac:dyDescent="0.2">
      <c r="A8" s="22">
        <v>7</v>
      </c>
      <c r="B8" s="23">
        <v>2.9354057</v>
      </c>
    </row>
    <row r="9" spans="1:2" x14ac:dyDescent="0.2">
      <c r="A9" s="22">
        <v>8</v>
      </c>
      <c r="B9" s="23">
        <v>3.6270505000000002</v>
      </c>
    </row>
    <row r="10" spans="1:2" x14ac:dyDescent="0.2">
      <c r="A10" s="22">
        <v>9</v>
      </c>
      <c r="B10" s="23">
        <v>4.3447291999999997</v>
      </c>
    </row>
    <row r="11" spans="1:2" x14ac:dyDescent="0.2">
      <c r="A11" s="22">
        <v>10</v>
      </c>
      <c r="B11" s="23">
        <v>5.0840046000000001</v>
      </c>
    </row>
    <row r="12" spans="1:2" x14ac:dyDescent="0.2">
      <c r="A12" s="22">
        <v>11</v>
      </c>
      <c r="B12" s="23">
        <v>5.8415311000000001</v>
      </c>
    </row>
    <row r="13" spans="1:2" x14ac:dyDescent="0.2">
      <c r="A13" s="22">
        <v>12</v>
      </c>
      <c r="B13" s="23">
        <v>6.6147182999999998</v>
      </c>
    </row>
    <row r="14" spans="1:2" x14ac:dyDescent="0.2">
      <c r="A14" s="22">
        <v>13</v>
      </c>
      <c r="B14" s="23">
        <v>7.4015154000000001</v>
      </c>
    </row>
    <row r="15" spans="1:2" x14ac:dyDescent="0.2">
      <c r="A15" s="22">
        <v>14</v>
      </c>
      <c r="B15" s="23">
        <v>8.2002682999999994</v>
      </c>
    </row>
    <row r="16" spans="1:2" x14ac:dyDescent="0.2">
      <c r="A16" s="22">
        <v>15</v>
      </c>
      <c r="B16" s="23">
        <v>9.0096215999999991</v>
      </c>
    </row>
    <row r="17" spans="1:2" x14ac:dyDescent="0.2">
      <c r="A17" s="22">
        <v>16</v>
      </c>
      <c r="B17" s="23">
        <v>9.8284491999999997</v>
      </c>
    </row>
    <row r="18" spans="1:2" x14ac:dyDescent="0.2">
      <c r="A18" s="22">
        <v>17</v>
      </c>
      <c r="B18" s="23">
        <v>10.655804</v>
      </c>
    </row>
    <row r="19" spans="1:2" x14ac:dyDescent="0.2">
      <c r="A19" s="22">
        <v>18</v>
      </c>
      <c r="B19" s="23">
        <v>11.490881999999999</v>
      </c>
    </row>
    <row r="20" spans="1:2" x14ac:dyDescent="0.2">
      <c r="A20" s="22">
        <v>19</v>
      </c>
      <c r="B20" s="23">
        <v>12.332992000000001</v>
      </c>
    </row>
    <row r="21" spans="1:2" x14ac:dyDescent="0.2">
      <c r="A21" s="22">
        <v>20</v>
      </c>
      <c r="B21" s="23">
        <v>13.181538</v>
      </c>
    </row>
    <row r="22" spans="1:2" x14ac:dyDescent="0.2">
      <c r="A22" s="22">
        <v>21</v>
      </c>
      <c r="B22" s="23">
        <v>14.035999</v>
      </c>
    </row>
    <row r="23" spans="1:2" x14ac:dyDescent="0.2">
      <c r="A23" s="22">
        <v>22</v>
      </c>
      <c r="B23" s="23">
        <v>14.895921</v>
      </c>
    </row>
    <row r="24" spans="1:2" x14ac:dyDescent="0.2">
      <c r="A24" s="22">
        <v>23</v>
      </c>
      <c r="B24" s="23">
        <v>15.760899</v>
      </c>
    </row>
    <row r="25" spans="1:2" x14ac:dyDescent="0.2">
      <c r="A25" s="22">
        <v>24</v>
      </c>
      <c r="B25" s="23">
        <v>16.630576000000001</v>
      </c>
    </row>
    <row r="26" spans="1:2" x14ac:dyDescent="0.2">
      <c r="A26" s="22">
        <v>25</v>
      </c>
      <c r="B26" s="23">
        <v>17.504635</v>
      </c>
    </row>
    <row r="27" spans="1:2" x14ac:dyDescent="0.2">
      <c r="A27" s="22">
        <v>26</v>
      </c>
      <c r="B27" s="23">
        <v>18.382788999999999</v>
      </c>
    </row>
    <row r="28" spans="1:2" x14ac:dyDescent="0.2">
      <c r="A28" s="22">
        <v>27</v>
      </c>
      <c r="B28" s="23">
        <v>19.264779999999998</v>
      </c>
    </row>
    <row r="29" spans="1:2" x14ac:dyDescent="0.2">
      <c r="A29" s="22">
        <v>28</v>
      </c>
      <c r="B29" s="23">
        <v>20.150378</v>
      </c>
    </row>
    <row r="30" spans="1:2" x14ac:dyDescent="0.2">
      <c r="A30" s="22">
        <v>29</v>
      </c>
      <c r="B30" s="23">
        <v>21.039370000000002</v>
      </c>
    </row>
    <row r="31" spans="1:2" x14ac:dyDescent="0.2">
      <c r="A31" s="22">
        <v>30</v>
      </c>
      <c r="B31" s="23">
        <v>21.931564999999999</v>
      </c>
    </row>
    <row r="32" spans="1:2" x14ac:dyDescent="0.2">
      <c r="A32" s="22">
        <v>31</v>
      </c>
      <c r="B32" s="23">
        <v>22.826789000000002</v>
      </c>
    </row>
    <row r="33" spans="1:2" x14ac:dyDescent="0.2">
      <c r="A33" s="22">
        <v>32</v>
      </c>
      <c r="B33" s="23">
        <v>23.724879000000001</v>
      </c>
    </row>
    <row r="34" spans="1:2" x14ac:dyDescent="0.2">
      <c r="A34" s="22">
        <v>33</v>
      </c>
      <c r="B34" s="23">
        <v>24.625689999999999</v>
      </c>
    </row>
    <row r="35" spans="1:2" x14ac:dyDescent="0.2">
      <c r="A35" s="22">
        <v>34</v>
      </c>
      <c r="B35" s="23">
        <v>25.529086</v>
      </c>
    </row>
    <row r="36" spans="1:2" x14ac:dyDescent="0.2">
      <c r="A36" s="22">
        <v>35</v>
      </c>
      <c r="B36" s="23">
        <v>26.434940999999998</v>
      </c>
    </row>
    <row r="37" spans="1:2" x14ac:dyDescent="0.2">
      <c r="A37" s="22">
        <v>36</v>
      </c>
      <c r="B37" s="23">
        <v>27.343139999999998</v>
      </c>
    </row>
    <row r="38" spans="1:2" x14ac:dyDescent="0.2">
      <c r="A38" s="22">
        <v>37</v>
      </c>
      <c r="B38" s="23">
        <v>28.253575999999999</v>
      </c>
    </row>
    <row r="39" spans="1:2" x14ac:dyDescent="0.2">
      <c r="A39" s="22">
        <v>38</v>
      </c>
      <c r="B39" s="23">
        <v>29.166146999999999</v>
      </c>
    </row>
    <row r="40" spans="1:2" x14ac:dyDescent="0.2">
      <c r="A40" s="22">
        <v>39</v>
      </c>
      <c r="B40" s="23">
        <v>30.080763000000001</v>
      </c>
    </row>
    <row r="41" spans="1:2" x14ac:dyDescent="0.2">
      <c r="A41" s="24">
        <v>40</v>
      </c>
      <c r="B41" s="25">
        <v>30.997335</v>
      </c>
    </row>
    <row r="42" spans="1:2" x14ac:dyDescent="0.2">
      <c r="A42" s="22">
        <v>41</v>
      </c>
      <c r="B42" s="23">
        <v>31.915783999999999</v>
      </c>
    </row>
    <row r="43" spans="1:2" x14ac:dyDescent="0.2">
      <c r="A43" s="22">
        <v>42</v>
      </c>
      <c r="B43" s="23">
        <v>32.836033</v>
      </c>
    </row>
    <row r="44" spans="1:2" x14ac:dyDescent="0.2">
      <c r="A44" s="22">
        <v>43</v>
      </c>
      <c r="B44" s="23">
        <v>33.758011000000003</v>
      </c>
    </row>
    <row r="45" spans="1:2" x14ac:dyDescent="0.2">
      <c r="A45" s="22">
        <v>44</v>
      </c>
      <c r="B45" s="23">
        <v>34.681651000000002</v>
      </c>
    </row>
    <row r="46" spans="1:2" x14ac:dyDescent="0.2">
      <c r="A46" s="22">
        <v>45</v>
      </c>
      <c r="B46" s="23">
        <v>35.606892000000002</v>
      </c>
    </row>
    <row r="47" spans="1:2" x14ac:dyDescent="0.2">
      <c r="A47" s="22">
        <v>46</v>
      </c>
      <c r="B47" s="23">
        <v>36.533673999999998</v>
      </c>
    </row>
    <row r="48" spans="1:2" x14ac:dyDescent="0.2">
      <c r="A48" s="22">
        <v>47</v>
      </c>
      <c r="B48" s="23">
        <v>37.461941000000003</v>
      </c>
    </row>
    <row r="49" spans="1:2" x14ac:dyDescent="0.2">
      <c r="A49" s="22">
        <v>48</v>
      </c>
      <c r="B49" s="23">
        <v>38.391641</v>
      </c>
    </row>
    <row r="50" spans="1:2" x14ac:dyDescent="0.2">
      <c r="A50" s="22">
        <v>49</v>
      </c>
      <c r="B50" s="23">
        <v>39.322724000000001</v>
      </c>
    </row>
    <row r="51" spans="1:2" x14ac:dyDescent="0.2">
      <c r="A51" s="22">
        <v>50</v>
      </c>
      <c r="B51" s="23">
        <v>40.255144000000001</v>
      </c>
    </row>
    <row r="52" spans="1:2" x14ac:dyDescent="0.2">
      <c r="A52" s="22">
        <v>51</v>
      </c>
      <c r="B52" s="23">
        <v>41.188854999999997</v>
      </c>
    </row>
    <row r="53" spans="1:2" x14ac:dyDescent="0.2">
      <c r="A53" s="22">
        <v>52</v>
      </c>
      <c r="B53" s="23">
        <v>42.123815999999998</v>
      </c>
    </row>
    <row r="54" spans="1:2" x14ac:dyDescent="0.2">
      <c r="A54" s="22">
        <v>53</v>
      </c>
      <c r="B54" s="23">
        <v>43.059986000000002</v>
      </c>
    </row>
    <row r="55" spans="1:2" x14ac:dyDescent="0.2">
      <c r="A55" s="22">
        <v>54</v>
      </c>
      <c r="B55" s="23">
        <v>43.997328000000003</v>
      </c>
    </row>
    <row r="56" spans="1:2" x14ac:dyDescent="0.2">
      <c r="A56" s="22">
        <v>55</v>
      </c>
      <c r="B56" s="23">
        <v>44.935805999999999</v>
      </c>
    </row>
    <row r="57" spans="1:2" x14ac:dyDescent="0.2">
      <c r="A57" s="22">
        <v>56</v>
      </c>
      <c r="B57" s="23">
        <v>45.875383999999997</v>
      </c>
    </row>
    <row r="58" spans="1:2" x14ac:dyDescent="0.2">
      <c r="A58" s="22">
        <v>57</v>
      </c>
      <c r="B58" s="23">
        <v>46.816029999999998</v>
      </c>
    </row>
    <row r="59" spans="1:2" x14ac:dyDescent="0.2">
      <c r="A59" s="22">
        <v>58</v>
      </c>
      <c r="B59" s="23">
        <v>47.757713000000003</v>
      </c>
    </row>
    <row r="60" spans="1:2" x14ac:dyDescent="0.2">
      <c r="A60" s="22">
        <v>59</v>
      </c>
      <c r="B60" s="23">
        <v>48.700403999999999</v>
      </c>
    </row>
    <row r="61" spans="1:2" x14ac:dyDescent="0.2">
      <c r="A61" s="22">
        <v>60</v>
      </c>
      <c r="B61" s="23">
        <v>49.644072000000001</v>
      </c>
    </row>
    <row r="62" spans="1:2" x14ac:dyDescent="0.2">
      <c r="A62" s="22">
        <v>61</v>
      </c>
      <c r="B62" s="23">
        <v>50.588692000000002</v>
      </c>
    </row>
    <row r="63" spans="1:2" x14ac:dyDescent="0.2">
      <c r="A63" s="22">
        <v>62</v>
      </c>
      <c r="B63" s="23">
        <v>51.534236999999997</v>
      </c>
    </row>
    <row r="64" spans="1:2" x14ac:dyDescent="0.2">
      <c r="A64" s="22">
        <v>63</v>
      </c>
      <c r="B64" s="23">
        <v>52.480682000000002</v>
      </c>
    </row>
    <row r="65" spans="1:2" x14ac:dyDescent="0.2">
      <c r="A65" s="22">
        <v>64</v>
      </c>
      <c r="B65" s="23">
        <v>53.428002999999997</v>
      </c>
    </row>
    <row r="66" spans="1:2" x14ac:dyDescent="0.2">
      <c r="A66" s="22">
        <v>65</v>
      </c>
      <c r="B66" s="23">
        <v>54.376176999999998</v>
      </c>
    </row>
    <row r="67" spans="1:2" x14ac:dyDescent="0.2">
      <c r="A67" s="22">
        <v>66</v>
      </c>
      <c r="B67" s="23">
        <v>55.325183000000003</v>
      </c>
    </row>
    <row r="68" spans="1:2" x14ac:dyDescent="0.2">
      <c r="A68" s="22">
        <v>67</v>
      </c>
      <c r="B68" s="23">
        <v>56.274999000000001</v>
      </c>
    </row>
    <row r="69" spans="1:2" x14ac:dyDescent="0.2">
      <c r="A69" s="22">
        <v>68</v>
      </c>
      <c r="B69" s="23">
        <v>57.225605000000002</v>
      </c>
    </row>
    <row r="70" spans="1:2" x14ac:dyDescent="0.2">
      <c r="A70" s="22">
        <v>69</v>
      </c>
      <c r="B70" s="23">
        <v>58.176980999999998</v>
      </c>
    </row>
    <row r="71" spans="1:2" x14ac:dyDescent="0.2">
      <c r="A71" s="22">
        <v>70</v>
      </c>
      <c r="B71" s="23">
        <v>59.129109</v>
      </c>
    </row>
    <row r="72" spans="1:2" x14ac:dyDescent="0.2">
      <c r="A72" s="22">
        <v>71</v>
      </c>
      <c r="B72" s="23">
        <v>60.081971000000003</v>
      </c>
    </row>
    <row r="73" spans="1:2" x14ac:dyDescent="0.2">
      <c r="A73" s="22">
        <v>72</v>
      </c>
      <c r="B73" s="23">
        <v>61.035549000000003</v>
      </c>
    </row>
    <row r="74" spans="1:2" x14ac:dyDescent="0.2">
      <c r="A74" s="22">
        <v>73</v>
      </c>
      <c r="B74" s="23">
        <v>61.989826000000001</v>
      </c>
    </row>
    <row r="75" spans="1:2" x14ac:dyDescent="0.2">
      <c r="A75" s="22">
        <v>74</v>
      </c>
      <c r="B75" s="23">
        <v>62.944788000000003</v>
      </c>
    </row>
    <row r="76" spans="1:2" x14ac:dyDescent="0.2">
      <c r="A76" s="22">
        <v>75</v>
      </c>
      <c r="B76" s="23">
        <v>63.900416999999997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Despliegue GSM</vt:lpstr>
      <vt:lpstr>Erlang</vt:lpstr>
      <vt:lpstr>'Despliegue GSM'!Área_de_impresión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Cabezas Espejo Alberto</cp:lastModifiedBy>
  <cp:lastPrinted>2019-02-27T08:56:44Z</cp:lastPrinted>
  <dcterms:created xsi:type="dcterms:W3CDTF">2011-01-31T17:50:12Z</dcterms:created>
  <dcterms:modified xsi:type="dcterms:W3CDTF">2021-11-08T14:42:07Z</dcterms:modified>
</cp:coreProperties>
</file>