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04EC9760-0A05-D54A-9A40-063E2AF2EE68}" xr6:coauthVersionLast="47" xr6:coauthVersionMax="47" xr10:uidLastSave="{00000000-0000-0000-0000-000000000000}"/>
  <bookViews>
    <workbookView xWindow="0" yWindow="500" windowWidth="22640" windowHeight="1582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6" l="1"/>
  <c r="L73" i="6"/>
  <c r="L69" i="6"/>
  <c r="L64" i="6"/>
  <c r="L50" i="6"/>
  <c r="L44" i="6"/>
  <c r="L28" i="6"/>
  <c r="L13" i="6"/>
  <c r="L74" i="6" s="1"/>
  <c r="B58" i="6"/>
  <c r="B22" i="6" l="1"/>
  <c r="F59" i="6"/>
  <c r="D59" i="6"/>
  <c r="F50" i="6"/>
  <c r="G58" i="6"/>
  <c r="G59" i="6" s="1"/>
  <c r="E58" i="6"/>
  <c r="C58" i="6"/>
  <c r="C59" i="6" s="1"/>
  <c r="D58" i="6"/>
  <c r="F58" i="6"/>
  <c r="B59" i="6"/>
  <c r="D49" i="6"/>
  <c r="D50" i="6" s="1"/>
  <c r="D53" i="6" s="1"/>
  <c r="D54" i="6" s="1"/>
  <c r="F49" i="6"/>
  <c r="B49" i="6"/>
  <c r="B50" i="6" s="1"/>
  <c r="C37" i="6"/>
  <c r="C40" i="6" s="1"/>
  <c r="C42" i="6" s="1"/>
  <c r="C43" i="6" s="1"/>
  <c r="D37" i="6"/>
  <c r="D40" i="6" s="1"/>
  <c r="D42" i="6" s="1"/>
  <c r="E37" i="6"/>
  <c r="E40" i="6" s="1"/>
  <c r="E42" i="6" s="1"/>
  <c r="F37" i="6"/>
  <c r="F40" i="6" s="1"/>
  <c r="F42" i="6" s="1"/>
  <c r="F43" i="6" s="1"/>
  <c r="G37" i="6"/>
  <c r="G40" i="6" s="1"/>
  <c r="G42" i="6" s="1"/>
  <c r="G43" i="6" s="1"/>
  <c r="B37" i="6"/>
  <c r="B40" i="6" s="1"/>
  <c r="B42" i="6" s="1"/>
  <c r="C35" i="6"/>
  <c r="D35" i="6"/>
  <c r="E35" i="6"/>
  <c r="F35" i="6"/>
  <c r="G35" i="6"/>
  <c r="B35" i="6"/>
  <c r="D24" i="6"/>
  <c r="D23" i="6"/>
  <c r="C23" i="6"/>
  <c r="B23" i="6"/>
  <c r="D22" i="6"/>
  <c r="C22" i="6"/>
  <c r="D16" i="6"/>
  <c r="C16" i="6"/>
  <c r="C24" i="6" s="1"/>
  <c r="B16" i="6"/>
  <c r="B24" i="6" s="1"/>
  <c r="D13" i="6"/>
  <c r="E13" i="6"/>
  <c r="F13" i="6"/>
  <c r="G13" i="6"/>
  <c r="H13" i="6"/>
  <c r="C13" i="6"/>
  <c r="C64" i="6" l="1"/>
  <c r="F61" i="6"/>
  <c r="F64" i="6" s="1"/>
  <c r="D43" i="6"/>
  <c r="E59" i="6"/>
  <c r="E61" i="6" s="1"/>
  <c r="B25" i="6"/>
  <c r="B26" i="6" s="1"/>
  <c r="B28" i="6" s="1"/>
  <c r="G61" i="6"/>
  <c r="G64" i="6" s="1"/>
  <c r="D61" i="6"/>
  <c r="C61" i="6"/>
  <c r="B61" i="6"/>
  <c r="C25" i="6"/>
  <c r="C26" i="6" s="1"/>
  <c r="C28" i="6" s="1"/>
  <c r="B53" i="6"/>
  <c r="B54" i="6" s="1"/>
  <c r="F53" i="6"/>
  <c r="F54" i="6" s="1"/>
  <c r="E43" i="6"/>
  <c r="D25" i="6"/>
  <c r="D26" i="6" s="1"/>
  <c r="D28" i="6" s="1"/>
  <c r="B43" i="6"/>
  <c r="D64" i="6"/>
  <c r="E64" i="6" l="1"/>
  <c r="B64" i="6"/>
  <c r="C67" i="6"/>
  <c r="C68" i="6" s="1"/>
  <c r="C69" i="6" s="1"/>
  <c r="C72" i="6" s="1"/>
  <c r="D67" i="6"/>
  <c r="D68" i="6" s="1"/>
  <c r="D69" i="6" s="1"/>
  <c r="D72" i="6" s="1"/>
  <c r="B67" i="6" l="1"/>
  <c r="B68" i="6" s="1"/>
  <c r="B69" i="6" s="1"/>
  <c r="B72" i="6" s="1"/>
  <c r="B73" i="6" s="1"/>
</calcChain>
</file>

<file path=xl/sharedStrings.xml><?xml version="1.0" encoding="utf-8"?>
<sst xmlns="http://schemas.openxmlformats.org/spreadsheetml/2006/main" count="121" uniqueCount="83">
  <si>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</si>
  <si>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</si>
  <si>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</si>
  <si>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</si>
  <si>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</si>
  <si>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</si>
  <si>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</si>
  <si>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</si>
  <si>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</si>
  <si>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</si>
  <si>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</si>
  <si>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</si>
  <si>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</si>
  <si>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</si>
  <si>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</si>
  <si>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</si>
  <si>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</si>
  <si>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</si>
  <si>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</si>
  <si>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</si>
  <si>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</si>
  <si>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</si>
  <si>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</si>
  <si>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</si>
  <si>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</si>
  <si>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</si>
  <si>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</si>
  <si>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</si>
  <si>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</si>
  <si>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</si>
  <si>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</si>
  <si>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</si>
  <si>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</si>
  <si>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</si>
  <si>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</si>
  <si>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</si>
  <si>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</si>
  <si>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</si>
  <si>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</si>
  <si>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</si>
  <si>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</si>
  <si>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</si>
  <si>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</si>
  <si>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</si>
  <si>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</si>
  <si>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</si>
  <si>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</si>
  <si>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</si>
  <si>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</si>
  <si>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Ltx</t>
  </si>
  <si>
    <t>Md</t>
  </si>
  <si>
    <t>Sensibilidad</t>
  </si>
  <si>
    <t>A</t>
  </si>
  <si>
    <t>B</t>
  </si>
  <si>
    <t>Lclutter</t>
  </si>
  <si>
    <t>s</t>
  </si>
  <si>
    <t>MAPL</t>
  </si>
  <si>
    <t>Aux</t>
  </si>
  <si>
    <t>Terreno</t>
  </si>
  <si>
    <t>Poblacion</t>
  </si>
  <si>
    <t>Numero sectores</t>
  </si>
  <si>
    <t>Numero de frecuencias</t>
  </si>
  <si>
    <t>Trafico ofrecido</t>
  </si>
  <si>
    <t>Trafico individual</t>
  </si>
  <si>
    <t>Numero de clientes</t>
  </si>
  <si>
    <t>BW(MHz)</t>
  </si>
  <si>
    <t>VOZ</t>
  </si>
  <si>
    <t>DATOS</t>
  </si>
  <si>
    <t>Potenciaq</t>
  </si>
  <si>
    <t>Ganqacia</t>
  </si>
  <si>
    <t>perdidas adicionales</t>
  </si>
  <si>
    <t>Ganancia</t>
  </si>
  <si>
    <t>Factor de reuso (k)</t>
  </si>
  <si>
    <t>Hay que hacer la difrrencia meor quued 10%</t>
  </si>
  <si>
    <t>a(hms)</t>
  </si>
  <si>
    <t>clientes del servicio</t>
  </si>
  <si>
    <t>N slots por sector</t>
  </si>
  <si>
    <t>N canales</t>
  </si>
  <si>
    <t>N slot</t>
  </si>
  <si>
    <t>Numero de usuarios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</si>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</sst>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0" fontId="0" fillId="0" borderId="12" xfId="0" applyFill="1" applyBorder="1"/>
    <xf numFmtId="10" fontId="0" fillId="2" borderId="11" xfId="0" applyNumberFormat="1" applyFill="1" applyBorder="1"/>
    <xf numFmtId="9" fontId="0" fillId="2" borderId="11" xfId="1" applyFont="1" applyFill="1" applyBorder="1"/>
    <xf numFmtId="166" fontId="0" fillId="2" borderId="11" xfId="0" applyNumberFormat="1" applyFill="1" applyBorder="1"/>
    <xf numFmtId="0" fontId="2" fillId="2" borderId="11" xfId="0" applyFont="1" applyFill="1" applyBorder="1"/>
    <xf numFmtId="0" fontId="0" fillId="2" borderId="8" xfId="0" applyFill="1" applyBorder="1" applyAlignment="1"/>
    <xf numFmtId="0" fontId="0" fillId="2" borderId="9" xfId="0" applyFill="1" applyBorder="1" applyAlignment="1"/>
    <xf numFmtId="0" fontId="2" fillId="0" borderId="0" xfId="0" applyFont="1"/>
    <xf numFmtId="0" fontId="2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  <xf numFmtId="0" fontId="1" fillId="6" borderId="11" xfId="0" applyFont="1" applyFill="1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topLeftCell="A16" zoomScale="78" zoomScaleNormal="78" zoomScalePageLayoutView="85" workbookViewId="0">
      <selection activeCell="K45" sqref="K45"/>
    </sheetView>
  </sheetViews>
  <sheetFormatPr baseColWidth="10" defaultRowHeight="13" x14ac:dyDescent="0.15"/>
  <cols>
    <col min="1" max="1" width="27.1640625" style="2" bestFit="1" customWidth="1"/>
    <col min="2" max="2" width="21.33203125" style="2" customWidth="1"/>
    <col min="3" max="3" width="16" style="2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17</v>
      </c>
    </row>
    <row r="2" spans="1:12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J2" s="62" t="s">
        <v>80</v>
      </c>
      <c r="K2" s="19" t="s">
        <v>81</v>
      </c>
      <c r="L2" s="19" t="s">
        <v>82</v>
      </c>
    </row>
    <row r="3" spans="1:12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2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2" x14ac:dyDescent="0.15">
      <c r="A5" s="29" t="s">
        <v>12</v>
      </c>
      <c r="B5" s="46" t="s">
        <v>68</v>
      </c>
      <c r="C5" s="30">
        <v>0.125</v>
      </c>
      <c r="D5" s="30">
        <v>0.125</v>
      </c>
      <c r="E5" s="30">
        <v>0.125</v>
      </c>
      <c r="F5" s="30">
        <v>0.125</v>
      </c>
      <c r="G5" s="30">
        <v>0.125</v>
      </c>
      <c r="H5" s="30">
        <v>0.125</v>
      </c>
    </row>
    <row r="6" spans="1:12" x14ac:dyDescent="0.15">
      <c r="A6" s="29"/>
      <c r="B6" s="29" t="s">
        <v>49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2" x14ac:dyDescent="0.15">
      <c r="A7" s="29"/>
      <c r="B7" s="46" t="s">
        <v>69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2" x14ac:dyDescent="0.15">
      <c r="A8" s="29" t="s">
        <v>13</v>
      </c>
      <c r="B8" s="29" t="s">
        <v>50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2" x14ac:dyDescent="0.15">
      <c r="A9" s="29"/>
      <c r="B9" s="46" t="s">
        <v>70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2" x14ac:dyDescent="0.15">
      <c r="A10" s="29" t="s">
        <v>14</v>
      </c>
      <c r="B10" s="29" t="s">
        <v>49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2" x14ac:dyDescent="0.15">
      <c r="A11" s="29"/>
      <c r="B11" s="46" t="s">
        <v>71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51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2" x14ac:dyDescent="0.15">
      <c r="A13" s="17" t="s">
        <v>22</v>
      </c>
      <c r="B13" s="31"/>
      <c r="C13" s="32">
        <f>10*LOG10(C5)-C6+C7-C8-C9-C10+C11-C12+30</f>
        <v>127.96910013008056</v>
      </c>
      <c r="D13" s="32">
        <f t="shared" ref="D13:H13" si="0">10*LOG10(D5)-D6+D7-D8-D9-D10+D11-D12+30</f>
        <v>126.96910013008056</v>
      </c>
      <c r="E13" s="32">
        <f t="shared" si="0"/>
        <v>131.96910013008056</v>
      </c>
      <c r="F13" s="32">
        <f t="shared" si="0"/>
        <v>130.96910013008056</v>
      </c>
      <c r="G13" s="32">
        <f t="shared" si="0"/>
        <v>134.96910013008056</v>
      </c>
      <c r="H13" s="32">
        <f t="shared" si="0"/>
        <v>133.96910013008056</v>
      </c>
      <c r="J13" s="62">
        <v>1</v>
      </c>
      <c r="K13" s="62">
        <v>1</v>
      </c>
      <c r="L13" s="62">
        <f>J13*K13</f>
        <v>1</v>
      </c>
    </row>
    <row r="14" spans="1:12" x14ac:dyDescent="0.15">
      <c r="D14" s="6"/>
      <c r="F14" s="6"/>
    </row>
    <row r="15" spans="1:12" x14ac:dyDescent="0.15">
      <c r="A15" s="33"/>
      <c r="B15" s="34" t="s">
        <v>35</v>
      </c>
      <c r="C15" s="34" t="s">
        <v>36</v>
      </c>
      <c r="D15" s="34" t="s">
        <v>38</v>
      </c>
    </row>
    <row r="16" spans="1:12" x14ac:dyDescent="0.15">
      <c r="A16" s="29" t="s">
        <v>16</v>
      </c>
      <c r="B16" s="29">
        <f>24+8</f>
        <v>32</v>
      </c>
      <c r="C16" s="29">
        <f>6+15</f>
        <v>21</v>
      </c>
      <c r="D16" s="29">
        <f>0+40</f>
        <v>40</v>
      </c>
    </row>
    <row r="17" spans="1:12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12" x14ac:dyDescent="0.15">
      <c r="A19" s="35" t="s">
        <v>7</v>
      </c>
      <c r="B19" s="33" t="s">
        <v>25</v>
      </c>
      <c r="C19" s="33" t="s">
        <v>8</v>
      </c>
      <c r="D19" s="33" t="s">
        <v>8</v>
      </c>
    </row>
    <row r="20" spans="1:12" x14ac:dyDescent="0.15">
      <c r="A20" s="35" t="s">
        <v>52</v>
      </c>
      <c r="B20" s="35">
        <v>69.55</v>
      </c>
      <c r="C20" s="35">
        <v>69.55</v>
      </c>
      <c r="D20" s="35">
        <v>69.55</v>
      </c>
    </row>
    <row r="21" spans="1:12" x14ac:dyDescent="0.15">
      <c r="A21" s="35" t="s">
        <v>53</v>
      </c>
      <c r="B21" s="35">
        <v>26.16</v>
      </c>
      <c r="C21" s="35">
        <v>26.16</v>
      </c>
      <c r="D21" s="35">
        <v>26.16</v>
      </c>
    </row>
    <row r="22" spans="1:12" x14ac:dyDescent="0.15">
      <c r="A22" s="50" t="s">
        <v>74</v>
      </c>
      <c r="B22" s="35">
        <f>3.2*(LOG10(11.75*B17))^2-4.97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12" x14ac:dyDescent="0.15">
      <c r="A23" s="35" t="s">
        <v>54</v>
      </c>
      <c r="B23" s="35">
        <f>0</f>
        <v>0</v>
      </c>
      <c r="C23" s="35">
        <f>-2*(LOG10(C18/28))^2-5.4</f>
        <v>-9.942607248242453</v>
      </c>
      <c r="D23" s="35">
        <f>-4.78*(LOG10(D18))^2+18.33*LOG10(D18)-40.94</f>
        <v>-28.506418087861732</v>
      </c>
    </row>
    <row r="24" spans="1:12" x14ac:dyDescent="0.15">
      <c r="A24" s="35" t="s">
        <v>55</v>
      </c>
      <c r="B24" s="35">
        <f>(71.13+6.16*LOG10(B18)-13.82*LOG10(B16))*(1/LOG10(50))</f>
        <v>40.334414958989477</v>
      </c>
      <c r="C24" s="35">
        <f>44.9-6.55*LOG10(C16)</f>
        <v>36.239463619492824</v>
      </c>
      <c r="D24" s="35">
        <f>44.9-6.55*LOG10(D16)</f>
        <v>34.406507056801843</v>
      </c>
    </row>
    <row r="25" spans="1:12" x14ac:dyDescent="0.15">
      <c r="A25" s="35" t="s">
        <v>56</v>
      </c>
      <c r="B25" s="41">
        <f>MIN(C13:D13)</f>
        <v>126.96910013008056</v>
      </c>
      <c r="C25" s="41">
        <f>MIN(E13:F13)</f>
        <v>130.96910013008056</v>
      </c>
      <c r="D25" s="41">
        <f>MIN(G13:H13)</f>
        <v>133.96910013008056</v>
      </c>
    </row>
    <row r="26" spans="1:12" x14ac:dyDescent="0.15">
      <c r="A26" s="35" t="s">
        <v>57</v>
      </c>
      <c r="B26" s="33">
        <f>B25-B20-B21*LOG10(B18)+13.82*LOG10(B16)+B22-B23</f>
        <v>1.4216996602839389</v>
      </c>
      <c r="C26" s="33">
        <f t="shared" ref="C26:D26" si="1">C25-C20-C21*LOG10(C18)+13.82*LOG10(C16)+C22-C23</f>
        <v>12.928602497746898</v>
      </c>
      <c r="D26" s="33">
        <f t="shared" si="1"/>
        <v>38.359811764295856</v>
      </c>
    </row>
    <row r="27" spans="1:12" x14ac:dyDescent="0.15">
      <c r="A27" s="35"/>
      <c r="B27" s="35"/>
      <c r="C27" s="35"/>
      <c r="D27" s="35"/>
    </row>
    <row r="28" spans="1:12" x14ac:dyDescent="0.15">
      <c r="A28" s="17" t="s">
        <v>1</v>
      </c>
      <c r="B28" s="17">
        <f>10^(B26/B24)</f>
        <v>1.0845455747871979</v>
      </c>
      <c r="C28" s="17">
        <f t="shared" ref="C28:D28" si="2">10^(C26/C24)</f>
        <v>2.2738132731160401</v>
      </c>
      <c r="D28" s="17">
        <f t="shared" si="2"/>
        <v>13.028664902501284</v>
      </c>
      <c r="F28" s="4"/>
      <c r="G28" s="4"/>
      <c r="J28" s="62">
        <v>2.5</v>
      </c>
      <c r="K28" s="62">
        <v>1</v>
      </c>
      <c r="L28" s="62">
        <f t="shared" ref="L28:L73" si="3">J28*K28</f>
        <v>2.5</v>
      </c>
    </row>
    <row r="30" spans="1:12" x14ac:dyDescent="0.15">
      <c r="A30" s="18" t="s">
        <v>34</v>
      </c>
      <c r="B30" s="5" t="s">
        <v>66</v>
      </c>
      <c r="C30" s="5" t="s">
        <v>67</v>
      </c>
      <c r="D30" s="5" t="s">
        <v>66</v>
      </c>
      <c r="E30" s="5" t="s">
        <v>67</v>
      </c>
      <c r="F30" s="5" t="s">
        <v>66</v>
      </c>
      <c r="G30" s="5" t="s">
        <v>67</v>
      </c>
    </row>
    <row r="31" spans="1:12" x14ac:dyDescent="0.15">
      <c r="A31" s="29" t="s">
        <v>9</v>
      </c>
      <c r="B31" s="36">
        <v>783.87</v>
      </c>
      <c r="C31" s="36">
        <v>783.87</v>
      </c>
      <c r="D31" s="36">
        <v>783.87</v>
      </c>
      <c r="E31" s="36">
        <v>783.87</v>
      </c>
      <c r="F31" s="36">
        <v>783.87</v>
      </c>
      <c r="G31" s="36">
        <v>783.87</v>
      </c>
    </row>
    <row r="32" spans="1:12" x14ac:dyDescent="0.15">
      <c r="A32" s="29" t="s">
        <v>37</v>
      </c>
      <c r="B32" s="64">
        <v>911332</v>
      </c>
      <c r="C32" s="64">
        <v>911332</v>
      </c>
      <c r="D32" s="64">
        <v>911332</v>
      </c>
      <c r="E32" s="64">
        <v>911332</v>
      </c>
      <c r="F32" s="64">
        <v>911332</v>
      </c>
      <c r="G32" s="64">
        <v>911332</v>
      </c>
    </row>
    <row r="33" spans="1:12" x14ac:dyDescent="0.15">
      <c r="A33" s="7"/>
      <c r="B33" s="52" t="s">
        <v>35</v>
      </c>
      <c r="C33" s="53"/>
      <c r="D33" s="52" t="s">
        <v>36</v>
      </c>
      <c r="E33" s="53"/>
      <c r="F33" s="52" t="s">
        <v>38</v>
      </c>
      <c r="G33" s="53"/>
    </row>
    <row r="34" spans="1:12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58</v>
      </c>
      <c r="B35" s="35">
        <f>B34*B31</f>
        <v>117.5805</v>
      </c>
      <c r="C35" s="35">
        <f t="shared" ref="C35:G35" si="4">C34*C31</f>
        <v>117.5805</v>
      </c>
      <c r="D35" s="35">
        <f t="shared" si="4"/>
        <v>195.9675</v>
      </c>
      <c r="E35" s="35">
        <f t="shared" si="4"/>
        <v>195.9675</v>
      </c>
      <c r="F35" s="35">
        <f t="shared" si="4"/>
        <v>470.322</v>
      </c>
      <c r="G35" s="35">
        <f t="shared" si="4"/>
        <v>470.322</v>
      </c>
      <c r="H35" s="42"/>
    </row>
    <row r="36" spans="1:12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59</v>
      </c>
      <c r="B37" s="35">
        <f>B36*B32</f>
        <v>546799.19999999995</v>
      </c>
      <c r="C37" s="35">
        <f t="shared" ref="C37:G37" si="5">C36*C32</f>
        <v>546799.19999999995</v>
      </c>
      <c r="D37" s="35">
        <f t="shared" si="5"/>
        <v>318966.19999999995</v>
      </c>
      <c r="E37" s="35">
        <f t="shared" si="5"/>
        <v>318966.19999999995</v>
      </c>
      <c r="F37" s="35">
        <f t="shared" si="5"/>
        <v>45566.600000000006</v>
      </c>
      <c r="G37" s="35">
        <f t="shared" si="5"/>
        <v>45566.600000000006</v>
      </c>
      <c r="H37" s="42"/>
    </row>
    <row r="38" spans="1:12" x14ac:dyDescent="0.15">
      <c r="A38" s="29" t="s">
        <v>27</v>
      </c>
      <c r="B38" s="43">
        <v>1.08</v>
      </c>
      <c r="C38" s="43">
        <v>1.08</v>
      </c>
      <c r="D38" s="43">
        <v>1.08</v>
      </c>
      <c r="E38" s="43">
        <v>1.08</v>
      </c>
      <c r="F38" s="43">
        <v>1.08</v>
      </c>
      <c r="G38" s="43">
        <v>1.08</v>
      </c>
    </row>
    <row r="39" spans="1:12" x14ac:dyDescent="0.15">
      <c r="A39" s="29" t="s">
        <v>28</v>
      </c>
      <c r="B39" s="44">
        <v>0.315</v>
      </c>
      <c r="C39" s="44">
        <v>0.315</v>
      </c>
      <c r="D39" s="44">
        <v>0.315</v>
      </c>
      <c r="E39" s="44">
        <v>0.315</v>
      </c>
      <c r="F39" s="44">
        <v>0.315</v>
      </c>
      <c r="G39" s="44">
        <v>0.315</v>
      </c>
    </row>
    <row r="40" spans="1:12" x14ac:dyDescent="0.15">
      <c r="A40" s="50" t="s">
        <v>64</v>
      </c>
      <c r="B40" s="35">
        <f>B37*B38*B39</f>
        <v>186021.08783999999</v>
      </c>
      <c r="C40" s="35">
        <f t="shared" ref="C40:G40" si="6">C37*C38*C39</f>
        <v>186021.08783999999</v>
      </c>
      <c r="D40" s="35">
        <f t="shared" si="6"/>
        <v>108512.30124</v>
      </c>
      <c r="E40" s="35">
        <f t="shared" si="6"/>
        <v>108512.30124</v>
      </c>
      <c r="F40" s="35">
        <f t="shared" si="6"/>
        <v>15501.757320000002</v>
      </c>
      <c r="G40" s="35">
        <f t="shared" si="6"/>
        <v>15501.757320000002</v>
      </c>
    </row>
    <row r="41" spans="1:12" x14ac:dyDescent="0.15">
      <c r="A41" s="29" t="s">
        <v>11</v>
      </c>
      <c r="B41" s="44">
        <v>1.1000000000000001</v>
      </c>
      <c r="C41" s="44">
        <v>1.05</v>
      </c>
      <c r="D41" s="44">
        <v>1</v>
      </c>
      <c r="E41" s="44">
        <v>1.05</v>
      </c>
      <c r="F41" s="44">
        <v>1</v>
      </c>
      <c r="G41" s="44">
        <v>1</v>
      </c>
    </row>
    <row r="42" spans="1:12" x14ac:dyDescent="0.15">
      <c r="A42" s="50" t="s">
        <v>75</v>
      </c>
      <c r="B42" s="35">
        <f t="shared" ref="B42:G42" si="7">B41*B40</f>
        <v>204623.196624</v>
      </c>
      <c r="C42" s="35">
        <f t="shared" si="7"/>
        <v>195322.14223200001</v>
      </c>
      <c r="D42" s="35">
        <f t="shared" si="7"/>
        <v>108512.30124</v>
      </c>
      <c r="E42" s="35">
        <f t="shared" si="7"/>
        <v>113937.91630200001</v>
      </c>
      <c r="F42" s="35">
        <f t="shared" si="7"/>
        <v>15501.757320000002</v>
      </c>
      <c r="G42" s="35">
        <f t="shared" si="7"/>
        <v>15501.757320000002</v>
      </c>
    </row>
    <row r="43" spans="1:12" x14ac:dyDescent="0.15">
      <c r="A43" s="17" t="s">
        <v>29</v>
      </c>
      <c r="B43" s="17">
        <f t="shared" ref="B43:G43" si="8">B42/B35</f>
        <v>1740.2817356959699</v>
      </c>
      <c r="C43" s="17">
        <f t="shared" si="8"/>
        <v>1661.1780204370623</v>
      </c>
      <c r="D43" s="17">
        <f t="shared" si="8"/>
        <v>553.72600681235406</v>
      </c>
      <c r="E43" s="17">
        <f t="shared" si="8"/>
        <v>581.41230715297183</v>
      </c>
      <c r="F43" s="17">
        <f t="shared" si="8"/>
        <v>32.959881357878224</v>
      </c>
      <c r="G43" s="17">
        <f t="shared" si="8"/>
        <v>32.959881357878224</v>
      </c>
    </row>
    <row r="44" spans="1:12" x14ac:dyDescent="0.15">
      <c r="J44" s="62">
        <v>1</v>
      </c>
      <c r="K44" s="62">
        <v>0.67</v>
      </c>
      <c r="L44" s="62">
        <f t="shared" si="3"/>
        <v>0.67</v>
      </c>
    </row>
    <row r="45" spans="1:12" x14ac:dyDescent="0.15">
      <c r="A45" s="38" t="s">
        <v>48</v>
      </c>
      <c r="B45" s="1"/>
      <c r="C45" s="1"/>
      <c r="D45" s="1"/>
      <c r="E45" s="1"/>
      <c r="F45" s="1"/>
      <c r="G45" s="1"/>
    </row>
    <row r="46" spans="1:12" x14ac:dyDescent="0.15">
      <c r="A46" s="46" t="s">
        <v>65</v>
      </c>
      <c r="B46" s="56">
        <v>12</v>
      </c>
      <c r="C46" s="57"/>
      <c r="D46" s="56">
        <v>10</v>
      </c>
      <c r="E46" s="57"/>
      <c r="F46" s="56">
        <v>8</v>
      </c>
      <c r="G46" s="57"/>
    </row>
    <row r="47" spans="1:12" x14ac:dyDescent="0.15">
      <c r="A47" s="46" t="s">
        <v>72</v>
      </c>
      <c r="B47" s="56">
        <v>3</v>
      </c>
      <c r="C47" s="57"/>
      <c r="D47" s="56">
        <v>3</v>
      </c>
      <c r="E47" s="57"/>
      <c r="F47" s="56">
        <v>4</v>
      </c>
      <c r="G47" s="57"/>
    </row>
    <row r="48" spans="1:12" x14ac:dyDescent="0.15">
      <c r="A48" s="46" t="s">
        <v>60</v>
      </c>
      <c r="B48" s="47">
        <v>4</v>
      </c>
      <c r="C48" s="48"/>
      <c r="D48" s="47">
        <v>3</v>
      </c>
      <c r="E48" s="48"/>
      <c r="F48" s="47">
        <v>3</v>
      </c>
      <c r="G48" s="48"/>
    </row>
    <row r="49" spans="1:12" x14ac:dyDescent="0.15">
      <c r="A49" s="28" t="s">
        <v>61</v>
      </c>
      <c r="B49" s="60">
        <f>B46/0.2</f>
        <v>60</v>
      </c>
      <c r="C49" s="61"/>
      <c r="D49" s="60">
        <f t="shared" ref="D49" si="9">D46/0.2</f>
        <v>50</v>
      </c>
      <c r="E49" s="61"/>
      <c r="F49" s="60">
        <f t="shared" ref="F49" si="10">F46/0.2</f>
        <v>40</v>
      </c>
      <c r="G49" s="61"/>
    </row>
    <row r="50" spans="1:12" x14ac:dyDescent="0.15">
      <c r="A50" s="10" t="s">
        <v>45</v>
      </c>
      <c r="B50" s="58">
        <f>ROUNDDOWN(B49/B47/B48,0)</f>
        <v>5</v>
      </c>
      <c r="C50" s="59"/>
      <c r="D50" s="58">
        <f>ROUNDDOWN(D49/D47/D48,0)</f>
        <v>5</v>
      </c>
      <c r="E50" s="59"/>
      <c r="F50" s="58">
        <f>ROUNDDOWN(F49/F47/F48,0)</f>
        <v>3</v>
      </c>
      <c r="G50" s="59"/>
      <c r="J50" s="62">
        <v>1</v>
      </c>
      <c r="K50" s="62">
        <v>1</v>
      </c>
      <c r="L50" s="62">
        <f t="shared" si="3"/>
        <v>1</v>
      </c>
    </row>
    <row r="52" spans="1:12" x14ac:dyDescent="0.15">
      <c r="A52" s="39" t="s">
        <v>30</v>
      </c>
      <c r="B52" s="35"/>
      <c r="C52" s="35"/>
      <c r="D52" s="35"/>
      <c r="E52" s="35"/>
      <c r="F52" s="35"/>
      <c r="G52" s="35"/>
    </row>
    <row r="53" spans="1:12" x14ac:dyDescent="0.15">
      <c r="A53" s="29" t="s">
        <v>45</v>
      </c>
      <c r="B53" s="55">
        <f>B50</f>
        <v>5</v>
      </c>
      <c r="C53" s="55"/>
      <c r="D53" s="55">
        <f>D50</f>
        <v>5</v>
      </c>
      <c r="E53" s="55"/>
      <c r="F53" s="55">
        <f>F50</f>
        <v>3</v>
      </c>
      <c r="G53" s="55"/>
    </row>
    <row r="54" spans="1:12" x14ac:dyDescent="0.15">
      <c r="A54" s="50" t="s">
        <v>76</v>
      </c>
      <c r="B54" s="54">
        <f>B53*7</f>
        <v>35</v>
      </c>
      <c r="C54" s="54"/>
      <c r="D54" s="54">
        <f>ROUNDUP(D53*7,0)</f>
        <v>35</v>
      </c>
      <c r="E54" s="54"/>
      <c r="F54" s="54">
        <f>ROUNDUP(F53*7,0)</f>
        <v>21</v>
      </c>
      <c r="G54" s="54"/>
    </row>
    <row r="55" spans="1:12" x14ac:dyDescent="0.15">
      <c r="A55" s="35"/>
      <c r="B55" s="51" t="s">
        <v>35</v>
      </c>
      <c r="C55" s="51"/>
      <c r="D55" s="51" t="s">
        <v>36</v>
      </c>
      <c r="E55" s="51"/>
      <c r="F55" s="51" t="s">
        <v>38</v>
      </c>
      <c r="G55" s="51"/>
    </row>
    <row r="56" spans="1:12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12" x14ac:dyDescent="0.15">
      <c r="A57" s="50" t="s">
        <v>78</v>
      </c>
      <c r="B57" s="35">
        <v>10</v>
      </c>
      <c r="C57" s="40">
        <v>25</v>
      </c>
      <c r="D57" s="35">
        <v>11</v>
      </c>
      <c r="E57" s="40">
        <v>24</v>
      </c>
      <c r="F57" s="35">
        <v>7</v>
      </c>
      <c r="G57" s="40">
        <v>14</v>
      </c>
      <c r="H57" s="1"/>
    </row>
    <row r="58" spans="1:12" x14ac:dyDescent="0.15">
      <c r="A58" s="50" t="s">
        <v>77</v>
      </c>
      <c r="B58" s="35">
        <f>ROUNDDOWN(B57/1,0)</f>
        <v>10</v>
      </c>
      <c r="C58" s="35">
        <f>ROUNDDOWN(C57/2,0)</f>
        <v>12</v>
      </c>
      <c r="D58" s="35">
        <f t="shared" ref="D58:F58" si="11">ROUNDDOWN(D57/1,0)</f>
        <v>11</v>
      </c>
      <c r="E58" s="35">
        <f>ROUNDDOWN(E57/2,0)</f>
        <v>12</v>
      </c>
      <c r="F58" s="35">
        <f t="shared" si="11"/>
        <v>7</v>
      </c>
      <c r="G58" s="35">
        <f>ROUNDDOWN(G57/2,0)</f>
        <v>7</v>
      </c>
      <c r="H58" s="1"/>
    </row>
    <row r="59" spans="1:12" x14ac:dyDescent="0.15">
      <c r="A59" s="35" t="s">
        <v>62</v>
      </c>
      <c r="B59" s="41">
        <f>VLOOKUP(B58,Erlang!A2:B76,2)</f>
        <v>5.0840046000000001</v>
      </c>
      <c r="C59" s="41">
        <f>VLOOKUP(C58,Erlang!A2:B76,2)</f>
        <v>6.6147182999999998</v>
      </c>
      <c r="D59" s="41">
        <f>VLOOKUP(D58,Erlang!A2:B76,2)</f>
        <v>5.8415311000000001</v>
      </c>
      <c r="E59" s="41">
        <f>VLOOKUP(E58,Erlang!A2:B76,2)</f>
        <v>6.6147182999999998</v>
      </c>
      <c r="F59" s="41">
        <f>VLOOKUP(F58,Erlang!A2:B76,2)</f>
        <v>2.9354057</v>
      </c>
      <c r="G59" s="41">
        <f>VLOOKUP(G58,Erlang!A2:B76,2)</f>
        <v>2.9354057</v>
      </c>
      <c r="H59" s="1"/>
    </row>
    <row r="60" spans="1:12" x14ac:dyDescent="0.15">
      <c r="A60" s="29" t="s">
        <v>63</v>
      </c>
      <c r="B60" s="45">
        <v>1.4999999999999999E-2</v>
      </c>
      <c r="C60" s="45">
        <v>0.02</v>
      </c>
      <c r="D60" s="45">
        <v>1.2E-2</v>
      </c>
      <c r="E60" s="45">
        <v>1.2999999999999999E-2</v>
      </c>
      <c r="F60" s="45">
        <v>1.0999999999999999E-2</v>
      </c>
      <c r="G60" s="45">
        <v>1.0999999999999999E-2</v>
      </c>
      <c r="H60" s="1"/>
    </row>
    <row r="61" spans="1:12" x14ac:dyDescent="0.15">
      <c r="A61" s="50" t="s">
        <v>79</v>
      </c>
      <c r="B61" s="35">
        <f>B59/B60</f>
        <v>338.93364000000003</v>
      </c>
      <c r="C61" s="35">
        <f t="shared" ref="C61:G61" si="12">C59/C60</f>
        <v>330.73591499999998</v>
      </c>
      <c r="D61" s="35">
        <f t="shared" si="12"/>
        <v>486.79425833333335</v>
      </c>
      <c r="E61" s="35">
        <f t="shared" si="12"/>
        <v>508.82448461538462</v>
      </c>
      <c r="F61" s="35">
        <f t="shared" si="12"/>
        <v>266.85506363636364</v>
      </c>
      <c r="G61" s="35">
        <f t="shared" si="12"/>
        <v>266.85506363636364</v>
      </c>
      <c r="H61" s="1"/>
    </row>
    <row r="62" spans="1:12" x14ac:dyDescent="0.15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12" x14ac:dyDescent="0.15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12" x14ac:dyDescent="0.15">
      <c r="A64" s="17" t="s">
        <v>31</v>
      </c>
      <c r="B64" s="17">
        <f>SQRT((B61*B48)/(PI()*B43))</f>
        <v>0.49796935377984891</v>
      </c>
      <c r="C64" s="17">
        <f>SQRT((C61*B48)/(PI()*C43))</f>
        <v>0.50348629125080335</v>
      </c>
      <c r="D64" s="17">
        <f t="shared" ref="D64:F64" si="13">SQRT((D61*D48)/(PI()*D43))</f>
        <v>0.91624359948753475</v>
      </c>
      <c r="E64" s="17">
        <f>SQRT((E61*D48)/(PI()*E43))</f>
        <v>0.91417129735886937</v>
      </c>
      <c r="F64" s="17">
        <f t="shared" si="13"/>
        <v>2.7805492712614246</v>
      </c>
      <c r="G64" s="17">
        <f>SQRT((G61*F48)/(PI()*G43))</f>
        <v>2.7805492712614246</v>
      </c>
      <c r="H64" s="49" t="s">
        <v>73</v>
      </c>
      <c r="J64" s="62">
        <v>3</v>
      </c>
      <c r="K64" s="62">
        <v>1</v>
      </c>
      <c r="L64" s="62">
        <f t="shared" si="3"/>
        <v>3</v>
      </c>
    </row>
    <row r="66" spans="1:12" x14ac:dyDescent="0.15">
      <c r="A66" s="33"/>
      <c r="B66" s="33" t="s">
        <v>35</v>
      </c>
      <c r="C66" s="33" t="s">
        <v>36</v>
      </c>
      <c r="D66" s="33" t="s">
        <v>39</v>
      </c>
      <c r="E66" s="1"/>
      <c r="F66"/>
      <c r="G66"/>
    </row>
    <row r="67" spans="1:12" x14ac:dyDescent="0.15">
      <c r="A67" s="33" t="s">
        <v>6</v>
      </c>
      <c r="B67" s="33">
        <f>MIN(B28,B64:C64)</f>
        <v>0.49796935377984891</v>
      </c>
      <c r="C67" s="33">
        <f>MIN(C28,D64:E64)</f>
        <v>0.91417129735886937</v>
      </c>
      <c r="D67" s="33">
        <f>MIN(D28,F64:G64)</f>
        <v>2.7805492712614246</v>
      </c>
      <c r="E67" s="1"/>
      <c r="F67"/>
      <c r="G67"/>
    </row>
    <row r="68" spans="1:12" x14ac:dyDescent="0.15">
      <c r="A68" s="33" t="s">
        <v>32</v>
      </c>
      <c r="B68" s="33">
        <f>PI()*B67^2</f>
        <v>0.77903165458311141</v>
      </c>
      <c r="C68" s="33">
        <f t="shared" ref="C68:D68" si="14">PI()*C67^2</f>
        <v>2.6254577604676208</v>
      </c>
      <c r="D68" s="33">
        <f t="shared" si="14"/>
        <v>24.289079873090504</v>
      </c>
      <c r="E68" s="1"/>
      <c r="F68"/>
      <c r="G68"/>
    </row>
    <row r="69" spans="1:12" x14ac:dyDescent="0.15">
      <c r="A69" s="17" t="s">
        <v>40</v>
      </c>
      <c r="B69" s="17">
        <f>ROUNDUP(B35/B68,0)</f>
        <v>151</v>
      </c>
      <c r="C69" s="17">
        <f>ROUNDUP(D35/C68,0)</f>
        <v>75</v>
      </c>
      <c r="D69" s="17">
        <f>ROUNDUP(F35/D68,0)</f>
        <v>20</v>
      </c>
      <c r="E69" s="1"/>
      <c r="F69"/>
      <c r="G69"/>
      <c r="J69" s="62">
        <v>0.75</v>
      </c>
      <c r="K69" s="62">
        <v>1</v>
      </c>
      <c r="L69" s="62">
        <f t="shared" si="3"/>
        <v>0.75</v>
      </c>
    </row>
    <row r="70" spans="1:12" x14ac:dyDescent="0.15">
      <c r="A70" s="35"/>
      <c r="B70" s="35"/>
      <c r="C70" s="35"/>
      <c r="D70" s="35"/>
    </row>
    <row r="71" spans="1:12" x14ac:dyDescent="0.15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12" x14ac:dyDescent="0.15">
      <c r="A72" s="17" t="s">
        <v>33</v>
      </c>
      <c r="B72" s="17">
        <f>B69*B71</f>
        <v>6795000</v>
      </c>
      <c r="C72" s="17">
        <f t="shared" ref="C72:D72" si="15">C69*C71</f>
        <v>4875000</v>
      </c>
      <c r="D72" s="17">
        <f t="shared" si="15"/>
        <v>2300000</v>
      </c>
      <c r="E72" s="4"/>
      <c r="F72" s="5"/>
      <c r="G72" s="5"/>
    </row>
    <row r="73" spans="1:12" x14ac:dyDescent="0.15">
      <c r="A73" s="17" t="s">
        <v>42</v>
      </c>
      <c r="B73" s="17">
        <f>SUM(B72:D72)</f>
        <v>13970000</v>
      </c>
      <c r="C73" s="17"/>
      <c r="D73" s="17"/>
      <c r="E73" s="3"/>
      <c r="F73" s="4"/>
      <c r="G73" s="4"/>
      <c r="J73" s="62">
        <v>0.75</v>
      </c>
      <c r="K73" s="62">
        <v>1</v>
      </c>
      <c r="L73" s="62">
        <f t="shared" si="3"/>
        <v>0.75</v>
      </c>
    </row>
    <row r="74" spans="1:12" s="27" customFormat="1" x14ac:dyDescent="0.15">
      <c r="A74" s="26"/>
      <c r="B74" s="26"/>
      <c r="C74" s="26"/>
      <c r="D74" s="26"/>
      <c r="E74" s="26"/>
      <c r="F74" s="26"/>
      <c r="G74" s="26"/>
      <c r="J74" s="62">
        <f>SUM(J1:J73)</f>
        <v>10</v>
      </c>
      <c r="L74" s="63">
        <f>SUM(L13:L73)</f>
        <v>9.67</v>
      </c>
    </row>
  </sheetData>
  <mergeCells count="24">
    <mergeCell ref="B50:C50"/>
    <mergeCell ref="D50:E50"/>
    <mergeCell ref="F50:G50"/>
    <mergeCell ref="D47:E47"/>
    <mergeCell ref="F47:G47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6:C46"/>
    <mergeCell ref="D46:E46"/>
    <mergeCell ref="F46:G46"/>
    <mergeCell ref="B47:C47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2021-12-04T19:05:46Z</dcterms:modified>
</cp:coreProperties>
</file>