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1 PEI 1/Correcciones/"/>
    </mc:Choice>
  </mc:AlternateContent>
  <xr:revisionPtr revIDLastSave="0" documentId="13_ncr:1_{A61A2971-381B-3048-A7D3-13891DE3A798}" xr6:coauthVersionLast="47" xr6:coauthVersionMax="47" xr10:uidLastSave="{00000000-0000-0000-0000-000000000000}"/>
  <bookViews>
    <workbookView xWindow="0" yWindow="500" windowWidth="28800" windowHeight="12300" tabRatio="591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GSM'!$A$1:$H$75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4" i="6" l="1"/>
  <c r="M73" i="6"/>
  <c r="M69" i="6"/>
  <c r="M64" i="6"/>
  <c r="M50" i="6"/>
  <c r="M44" i="6"/>
  <c r="M28" i="6"/>
  <c r="M13" i="6"/>
  <c r="M74" i="6" s="1"/>
  <c r="B49" i="6"/>
  <c r="B50" i="6" s="1"/>
  <c r="B52" i="6" s="1"/>
  <c r="C61" i="6"/>
  <c r="C63" i="6" s="1"/>
  <c r="D61" i="6"/>
  <c r="D63" i="6" s="1"/>
  <c r="E61" i="6"/>
  <c r="E63" i="6" s="1"/>
  <c r="F61" i="6"/>
  <c r="F63" i="6" s="1"/>
  <c r="G61" i="6"/>
  <c r="G63" i="6" s="1"/>
  <c r="B61" i="6"/>
  <c r="B63" i="6" s="1"/>
  <c r="D56" i="6"/>
  <c r="F56" i="6"/>
  <c r="B56" i="6"/>
  <c r="D49" i="6"/>
  <c r="D50" i="6" s="1"/>
  <c r="D52" i="6" s="1"/>
  <c r="F49" i="6"/>
  <c r="F50" i="6" s="1"/>
  <c r="F52" i="6" s="1"/>
  <c r="C43" i="6"/>
  <c r="C38" i="6"/>
  <c r="D38" i="6"/>
  <c r="E38" i="6"/>
  <c r="F38" i="6"/>
  <c r="G38" i="6"/>
  <c r="B38" i="6"/>
  <c r="B39" i="6"/>
  <c r="C39" i="6"/>
  <c r="D39" i="6"/>
  <c r="E39" i="6"/>
  <c r="F39" i="6"/>
  <c r="G39" i="6"/>
  <c r="G37" i="6"/>
  <c r="G43" i="6" s="1"/>
  <c r="G44" i="6" s="1"/>
  <c r="F37" i="6"/>
  <c r="E37" i="6"/>
  <c r="E43" i="6" s="1"/>
  <c r="E44" i="6" s="1"/>
  <c r="D37" i="6"/>
  <c r="D43" i="6" s="1"/>
  <c r="C37" i="6"/>
  <c r="B37" i="6"/>
  <c r="G35" i="6"/>
  <c r="F35" i="6"/>
  <c r="E35" i="6"/>
  <c r="D35" i="6"/>
  <c r="C35" i="6"/>
  <c r="B35" i="6"/>
  <c r="D24" i="6"/>
  <c r="C24" i="6"/>
  <c r="D22" i="6"/>
  <c r="C22" i="6"/>
  <c r="B22" i="6"/>
  <c r="D16" i="6"/>
  <c r="D23" i="6" s="1"/>
  <c r="C16" i="6"/>
  <c r="C23" i="6" s="1"/>
  <c r="B16" i="6"/>
  <c r="B23" i="6" s="1"/>
  <c r="D5" i="6"/>
  <c r="D13" i="6" s="1"/>
  <c r="E5" i="6"/>
  <c r="E13" i="6" s="1"/>
  <c r="C26" i="6" s="1"/>
  <c r="C28" i="6" s="1"/>
  <c r="F5" i="6"/>
  <c r="F13" i="6" s="1"/>
  <c r="G5" i="6"/>
  <c r="G13" i="6" s="1"/>
  <c r="H5" i="6"/>
  <c r="H13" i="6" s="1"/>
  <c r="C5" i="6"/>
  <c r="C13" i="6" s="1"/>
  <c r="B26" i="6" l="1"/>
  <c r="B28" i="6" s="1"/>
  <c r="C44" i="6"/>
  <c r="C66" i="6" s="1"/>
  <c r="G66" i="6"/>
  <c r="B43" i="6"/>
  <c r="B44" i="6" s="1"/>
  <c r="B66" i="6" s="1"/>
  <c r="B69" i="6" s="1"/>
  <c r="B70" i="6" s="1"/>
  <c r="B71" i="6" s="1"/>
  <c r="B74" i="6" s="1"/>
  <c r="F43" i="6"/>
  <c r="F44" i="6" s="1"/>
  <c r="F66" i="6" s="1"/>
  <c r="E66" i="6"/>
  <c r="D26" i="6"/>
  <c r="D44" i="6"/>
  <c r="D66" i="6" s="1"/>
  <c r="D28" i="6"/>
  <c r="C69" i="6" l="1"/>
  <c r="C70" i="6" s="1"/>
  <c r="C71" i="6" s="1"/>
  <c r="C74" i="6" s="1"/>
  <c r="B75" i="6" s="1"/>
  <c r="D69" i="6"/>
  <c r="D70" i="6" s="1"/>
  <c r="D71" i="6" s="1"/>
  <c r="D74" i="6" s="1"/>
</calcChain>
</file>

<file path=xl/sharedStrings.xml><?xml version="1.0" encoding="utf-8"?>
<sst xmlns="http://schemas.openxmlformats.org/spreadsheetml/2006/main" count="116" uniqueCount="83">
  <si>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</si>
  <si>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</si>
  <si>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</si>
  <si>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</si>
  <si>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</si>
  <si>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</si>
  <si>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</si>
  <si>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</si>
  <si>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</si>
  <si>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</si>
  <si>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</si>
  <si>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</si>
  <si>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</si>
  <si>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</si>
  <si>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</si>
  <si>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</si>
  <si>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</si>
  <si>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</si>
  <si>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</si>
  <si>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</si>
  <si>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</si>
  <si>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</si>
  <si>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</si>
  <si>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</si>
  <si>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</si>
  <si>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</si>
  <si>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</si>
  <si>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</si>
  <si>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</si>
  <si>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</si>
  <si>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</si>
  <si>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</si>
  <si>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</si>
  <si>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</si>
  <si>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</si>
  <si>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</si>
  <si>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</si>
  <si>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</si>
  <si>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</si>
  <si>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</si>
  <si>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</si>
  <si>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</si>
  <si>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</si>
  <si>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</si>
  <si>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</si>
  <si>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</si>
  <si>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</si>
  <si>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</si>
  <si>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L</t>
  </si>
  <si>
    <t>Gmv</t>
  </si>
  <si>
    <t>MD</t>
  </si>
  <si>
    <t>Lcables</t>
  </si>
  <si>
    <t>GBTS</t>
  </si>
  <si>
    <t>A</t>
  </si>
  <si>
    <t>B</t>
  </si>
  <si>
    <t>hms</t>
  </si>
  <si>
    <t>a(hms)</t>
  </si>
  <si>
    <t>s</t>
  </si>
  <si>
    <t>Lclutter</t>
  </si>
  <si>
    <t>Terreno por tipo</t>
  </si>
  <si>
    <t>Población por tipo</t>
  </si>
  <si>
    <t>Clientes</t>
  </si>
  <si>
    <t>BW</t>
  </si>
  <si>
    <t>Nfreq</t>
  </si>
  <si>
    <t>Ntrx/bts</t>
  </si>
  <si>
    <t>N sector BTS</t>
  </si>
  <si>
    <t>N slots/sector</t>
  </si>
  <si>
    <t>N slots</t>
  </si>
  <si>
    <t>N canales</t>
  </si>
  <si>
    <t>Tráfico ofrecido (A)</t>
  </si>
  <si>
    <t>Tráfico individual (a)</t>
  </si>
  <si>
    <t>Número usuarios (M)</t>
  </si>
  <si>
    <t>Ptx [dBm]</t>
  </si>
  <si>
    <t>Sensibilidad [dBm]</t>
  </si>
  <si>
    <t>Lad 900MHz</t>
  </si>
  <si>
    <t>k (factor de reúso)</t>
  </si>
  <si>
    <t>Redondeamos hacia abajo ya que  debemos tener un número entero de TRX</t>
  </si>
  <si>
    <t>El error no debe superar el 10%</t>
  </si>
  <si>
    <t>aux</t>
  </si>
  <si>
    <t>Multiplicamos por 7 ya que tenemos 8 slots y uno es para señalización, por lo tanto 8-1=7slots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</si>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</sst>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0" xfId="0" applyFont="1" applyFill="1"/>
    <xf numFmtId="0" fontId="10" fillId="6" borderId="0" xfId="0" applyFont="1" applyFill="1"/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6"/>
  <sheetViews>
    <sheetView tabSelected="1" zoomScale="85" zoomScaleNormal="85" zoomScalePageLayoutView="85" workbookViewId="0">
      <selection activeCell="G10" sqref="G10"/>
    </sheetView>
  </sheetViews>
  <sheetFormatPr baseColWidth="10" defaultRowHeight="13" x14ac:dyDescent="0.15"/>
  <cols>
    <col min="1" max="1" width="27.1640625" style="2" bestFit="1" customWidth="1"/>
    <col min="2" max="2" width="17" style="2" customWidth="1"/>
    <col min="3" max="3" width="12" style="2" bestFit="1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13" x14ac:dyDescent="0.15">
      <c r="A1" s="19" t="s">
        <v>17</v>
      </c>
    </row>
    <row r="2" spans="1:13" x14ac:dyDescent="0.15">
      <c r="A2" s="7"/>
      <c r="B2" s="8"/>
      <c r="C2" s="13" t="s">
        <v>34</v>
      </c>
      <c r="D2" s="14"/>
      <c r="E2" s="13" t="s">
        <v>35</v>
      </c>
      <c r="F2" s="14"/>
      <c r="G2" s="13" t="s">
        <v>37</v>
      </c>
      <c r="H2" s="14"/>
      <c r="K2" s="52" t="s">
        <v>80</v>
      </c>
      <c r="L2" s="19" t="s">
        <v>81</v>
      </c>
      <c r="M2" s="19" t="s">
        <v>82</v>
      </c>
    </row>
    <row r="3" spans="1:13" x14ac:dyDescent="0.15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13" x14ac:dyDescent="0.15">
      <c r="A4" s="15" t="s">
        <v>42</v>
      </c>
      <c r="B4" s="15" t="s">
        <v>43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13" x14ac:dyDescent="0.15">
      <c r="A5" s="29" t="s">
        <v>12</v>
      </c>
      <c r="B5" s="29" t="s">
        <v>72</v>
      </c>
      <c r="C5" s="30">
        <f>10*LOG(0.125)+30</f>
        <v>20.969100130080562</v>
      </c>
      <c r="D5" s="30">
        <f t="shared" ref="D5:H5" si="0">10*LOG(0.125)+30</f>
        <v>20.969100130080562</v>
      </c>
      <c r="E5" s="30">
        <f t="shared" si="0"/>
        <v>20.969100130080562</v>
      </c>
      <c r="F5" s="30">
        <f t="shared" si="0"/>
        <v>20.969100130080562</v>
      </c>
      <c r="G5" s="30">
        <f t="shared" si="0"/>
        <v>20.969100130080562</v>
      </c>
      <c r="H5" s="30">
        <f t="shared" si="0"/>
        <v>20.969100130080562</v>
      </c>
    </row>
    <row r="6" spans="1:13" x14ac:dyDescent="0.15">
      <c r="A6" s="29"/>
      <c r="B6" s="29" t="s">
        <v>48</v>
      </c>
      <c r="C6" s="29">
        <v>6</v>
      </c>
      <c r="D6" s="29">
        <v>6</v>
      </c>
      <c r="E6" s="29">
        <v>6</v>
      </c>
      <c r="F6" s="29">
        <v>6</v>
      </c>
      <c r="G6" s="29">
        <v>6</v>
      </c>
      <c r="H6" s="29">
        <v>6</v>
      </c>
    </row>
    <row r="7" spans="1:13" x14ac:dyDescent="0.15">
      <c r="A7" s="29"/>
      <c r="B7" s="29" t="s">
        <v>49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13" x14ac:dyDescent="0.15">
      <c r="A8" s="29" t="s">
        <v>13</v>
      </c>
      <c r="B8" s="29" t="s">
        <v>50</v>
      </c>
      <c r="C8" s="29">
        <v>14</v>
      </c>
      <c r="D8" s="29">
        <v>14</v>
      </c>
      <c r="E8" s="29">
        <v>12</v>
      </c>
      <c r="F8" s="29">
        <v>12</v>
      </c>
      <c r="G8" s="29">
        <v>11</v>
      </c>
      <c r="H8" s="29">
        <v>11</v>
      </c>
    </row>
    <row r="9" spans="1:13" x14ac:dyDescent="0.15">
      <c r="A9" s="29"/>
      <c r="B9" s="29" t="s">
        <v>74</v>
      </c>
      <c r="C9" s="29">
        <v>12</v>
      </c>
      <c r="D9" s="29">
        <v>12</v>
      </c>
      <c r="E9" s="29">
        <v>10</v>
      </c>
      <c r="F9" s="29">
        <v>10</v>
      </c>
      <c r="G9" s="29">
        <v>8</v>
      </c>
      <c r="H9" s="29">
        <v>8</v>
      </c>
    </row>
    <row r="10" spans="1:13" x14ac:dyDescent="0.15">
      <c r="A10" s="29" t="s">
        <v>14</v>
      </c>
      <c r="B10" s="29" t="s">
        <v>51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</row>
    <row r="11" spans="1:13" x14ac:dyDescent="0.15">
      <c r="A11" s="29"/>
      <c r="B11" s="29" t="s">
        <v>52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13" x14ac:dyDescent="0.15">
      <c r="A12" s="29"/>
      <c r="B12" s="29" t="s">
        <v>73</v>
      </c>
      <c r="C12" s="29">
        <v>-121</v>
      </c>
      <c r="D12" s="29">
        <v>-120</v>
      </c>
      <c r="E12" s="29">
        <v>-121</v>
      </c>
      <c r="F12" s="29">
        <v>-120</v>
      </c>
      <c r="G12" s="29">
        <v>-121</v>
      </c>
      <c r="H12" s="29">
        <v>-120</v>
      </c>
    </row>
    <row r="13" spans="1:13" x14ac:dyDescent="0.15">
      <c r="A13" s="17" t="s">
        <v>22</v>
      </c>
      <c r="B13" s="31"/>
      <c r="C13" s="32">
        <f>C5+C7+C11-C6-C8-C9-C10-C12</f>
        <v>127.96910013008056</v>
      </c>
      <c r="D13" s="32">
        <f t="shared" ref="D13:H13" si="1">D5+D7+D11-D6-D8-D9-D10-D12</f>
        <v>126.96910013008056</v>
      </c>
      <c r="E13" s="32">
        <f t="shared" si="1"/>
        <v>131.96910013008056</v>
      </c>
      <c r="F13" s="32">
        <f t="shared" si="1"/>
        <v>130.96910013008056</v>
      </c>
      <c r="G13" s="32">
        <f t="shared" si="1"/>
        <v>134.96910013008056</v>
      </c>
      <c r="H13" s="32">
        <f t="shared" si="1"/>
        <v>133.96910013008056</v>
      </c>
      <c r="K13" s="52">
        <v>1</v>
      </c>
      <c r="L13" s="52">
        <v>1</v>
      </c>
      <c r="M13" s="52">
        <f>K13*L13</f>
        <v>1</v>
      </c>
    </row>
    <row r="14" spans="1:13" x14ac:dyDescent="0.15">
      <c r="D14" s="6"/>
      <c r="F14" s="6"/>
    </row>
    <row r="15" spans="1:13" x14ac:dyDescent="0.15">
      <c r="A15" s="33"/>
      <c r="B15" s="34" t="s">
        <v>34</v>
      </c>
      <c r="C15" s="34" t="s">
        <v>35</v>
      </c>
      <c r="D15" s="34" t="s">
        <v>37</v>
      </c>
    </row>
    <row r="16" spans="1:13" x14ac:dyDescent="0.15">
      <c r="A16" s="29" t="s">
        <v>16</v>
      </c>
      <c r="B16" s="29">
        <f>24+8</f>
        <v>32</v>
      </c>
      <c r="C16" s="29">
        <f>6+15</f>
        <v>21</v>
      </c>
      <c r="D16" s="29">
        <f>40</f>
        <v>40</v>
      </c>
    </row>
    <row r="17" spans="1:13" x14ac:dyDescent="0.15">
      <c r="A17" s="29" t="s">
        <v>55</v>
      </c>
      <c r="B17" s="29">
        <v>1.72</v>
      </c>
      <c r="C17" s="29">
        <v>1.72</v>
      </c>
      <c r="D17" s="29">
        <v>1.72</v>
      </c>
    </row>
    <row r="18" spans="1:13" x14ac:dyDescent="0.15">
      <c r="A18" s="29" t="s">
        <v>23</v>
      </c>
      <c r="B18" s="29">
        <v>900</v>
      </c>
      <c r="C18" s="29">
        <v>900</v>
      </c>
      <c r="D18" s="29">
        <v>900</v>
      </c>
    </row>
    <row r="19" spans="1:13" x14ac:dyDescent="0.15">
      <c r="A19" s="35" t="s">
        <v>7</v>
      </c>
      <c r="B19" s="33" t="s">
        <v>24</v>
      </c>
      <c r="C19" s="33" t="s">
        <v>8</v>
      </c>
      <c r="D19" s="33" t="s">
        <v>8</v>
      </c>
    </row>
    <row r="20" spans="1:13" x14ac:dyDescent="0.15">
      <c r="A20" s="35" t="s">
        <v>53</v>
      </c>
      <c r="B20" s="35">
        <v>69.55</v>
      </c>
      <c r="C20" s="35">
        <v>69.55</v>
      </c>
      <c r="D20" s="35">
        <v>69.55</v>
      </c>
    </row>
    <row r="21" spans="1:13" x14ac:dyDescent="0.15">
      <c r="A21" s="35" t="s">
        <v>54</v>
      </c>
      <c r="B21" s="35">
        <v>26.16</v>
      </c>
      <c r="C21" s="35">
        <v>26.16</v>
      </c>
      <c r="D21" s="35">
        <v>26.16</v>
      </c>
    </row>
    <row r="22" spans="1:13" x14ac:dyDescent="0.15">
      <c r="A22" s="35" t="s">
        <v>56</v>
      </c>
      <c r="B22" s="35">
        <f>3.2*(LOG(11.75*B17)^2)-4.97</f>
        <v>0.48441087675501127</v>
      </c>
      <c r="C22" s="35">
        <f>C17*(1.1*LOG(C18)-0.7)-(1.56*LOG(C18)-0.8)</f>
        <v>0.57680851313385606</v>
      </c>
      <c r="D22" s="35">
        <f>D17*(1.1*LOG(D18)-0.7)-(1.56*LOG(D18)-0.8)</f>
        <v>0.57680851313385606</v>
      </c>
    </row>
    <row r="23" spans="1:13" x14ac:dyDescent="0.15">
      <c r="A23" s="35" t="s">
        <v>57</v>
      </c>
      <c r="B23" s="35">
        <f>(71.13+6.16*LOG(B18)-13.82*LOG(B16))*(1/LOG(50))</f>
        <v>40.334414958989477</v>
      </c>
      <c r="C23" s="35">
        <f>44.9-6.55*LOG(C16)</f>
        <v>36.239463619492824</v>
      </c>
      <c r="D23" s="35">
        <f>44.9-6.55*LOG(D16)</f>
        <v>34.406507056801843</v>
      </c>
    </row>
    <row r="24" spans="1:13" x14ac:dyDescent="0.15">
      <c r="A24" s="35" t="s">
        <v>58</v>
      </c>
      <c r="B24" s="35">
        <v>0</v>
      </c>
      <c r="C24" s="35">
        <f>-2*(LOG(C18/28)^2)-5.4</f>
        <v>-9.942607248242453</v>
      </c>
      <c r="D24" s="35">
        <f>-4.78*(LOG(D18)^2)+18.33*LOG(D18)-40.94</f>
        <v>-28.506418087861732</v>
      </c>
    </row>
    <row r="25" spans="1:13" x14ac:dyDescent="0.15">
      <c r="A25" s="35"/>
      <c r="B25" s="35"/>
      <c r="C25" s="35"/>
      <c r="D25" s="35"/>
    </row>
    <row r="26" spans="1:13" x14ac:dyDescent="0.15">
      <c r="A26" s="35" t="s">
        <v>78</v>
      </c>
      <c r="B26" s="33">
        <f>MIN(C13,D13)-B20-B21*LOG(B18)+13.82*LOG(B16)+B22-B24</f>
        <v>1.4216996602839389</v>
      </c>
      <c r="C26" s="33">
        <f>MIN(E13,F13)-C20-C21*LOG(C18)+13.82*LOG(C16)+C22-C24</f>
        <v>12.928602497746898</v>
      </c>
      <c r="D26" s="33">
        <f>MIN(G13,H13)-D20-D21*LOG(D18)+13.82*LOG(D16)+D22-D24</f>
        <v>38.359811764295856</v>
      </c>
    </row>
    <row r="27" spans="1:13" x14ac:dyDescent="0.15">
      <c r="A27" s="35"/>
      <c r="B27" s="35"/>
      <c r="C27" s="35"/>
      <c r="D27" s="35"/>
    </row>
    <row r="28" spans="1:13" x14ac:dyDescent="0.15">
      <c r="A28" s="17" t="s">
        <v>1</v>
      </c>
      <c r="B28" s="17">
        <f>10^(B26/B23)</f>
        <v>1.0845455747871979</v>
      </c>
      <c r="C28" s="17">
        <f t="shared" ref="C28:D28" si="2">10^(C26/C23)</f>
        <v>2.2738132731160401</v>
      </c>
      <c r="D28" s="17">
        <f t="shared" si="2"/>
        <v>13.028664902501284</v>
      </c>
      <c r="F28" s="4"/>
      <c r="G28" s="4"/>
      <c r="K28" s="52">
        <v>2.5</v>
      </c>
      <c r="L28" s="52">
        <v>1</v>
      </c>
      <c r="M28" s="52">
        <f t="shared" ref="M28:M73" si="3">K28*L28</f>
        <v>2.5</v>
      </c>
    </row>
    <row r="30" spans="1:13" x14ac:dyDescent="0.15">
      <c r="A30" s="18" t="s">
        <v>33</v>
      </c>
      <c r="B30" s="5"/>
      <c r="C30" s="5"/>
      <c r="D30" s="5"/>
      <c r="E30" s="5"/>
      <c r="F30" s="5"/>
      <c r="G30" s="5"/>
    </row>
    <row r="31" spans="1:13" x14ac:dyDescent="0.15">
      <c r="A31" s="29" t="s">
        <v>9</v>
      </c>
      <c r="B31" s="36">
        <v>783.87</v>
      </c>
      <c r="C31" s="5"/>
      <c r="D31" s="5"/>
      <c r="E31" s="5"/>
      <c r="F31" s="5"/>
      <c r="G31" s="5"/>
    </row>
    <row r="32" spans="1:13" x14ac:dyDescent="0.15">
      <c r="A32" s="29" t="s">
        <v>36</v>
      </c>
      <c r="B32" s="36">
        <v>921332</v>
      </c>
      <c r="C32" s="5"/>
      <c r="D32" s="5"/>
      <c r="E32" s="5"/>
      <c r="F32" s="5"/>
      <c r="G32" s="5"/>
    </row>
    <row r="33" spans="1:13" x14ac:dyDescent="0.15">
      <c r="A33" s="7"/>
      <c r="B33" s="46" t="s">
        <v>34</v>
      </c>
      <c r="C33" s="47"/>
      <c r="D33" s="46" t="s">
        <v>35</v>
      </c>
      <c r="E33" s="47"/>
      <c r="F33" s="46" t="s">
        <v>37</v>
      </c>
      <c r="G33" s="47"/>
    </row>
    <row r="34" spans="1:13" x14ac:dyDescent="0.15">
      <c r="A34" s="29" t="s">
        <v>25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13" x14ac:dyDescent="0.15">
      <c r="A35" s="35" t="s">
        <v>59</v>
      </c>
      <c r="B35" s="35">
        <f>0.15*B31</f>
        <v>117.5805</v>
      </c>
      <c r="C35" s="35">
        <f>0.15*B31</f>
        <v>117.5805</v>
      </c>
      <c r="D35" s="35">
        <f>0.25*B31</f>
        <v>195.9675</v>
      </c>
      <c r="E35" s="35">
        <f>0.25*B31</f>
        <v>195.9675</v>
      </c>
      <c r="F35" s="35">
        <f>0.6*B31</f>
        <v>470.322</v>
      </c>
      <c r="G35" s="35">
        <f>0.6*B31</f>
        <v>470.322</v>
      </c>
    </row>
    <row r="36" spans="1:13" x14ac:dyDescent="0.15">
      <c r="A36" s="29" t="s">
        <v>10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13" x14ac:dyDescent="0.15">
      <c r="A37" s="35" t="s">
        <v>60</v>
      </c>
      <c r="B37" s="35">
        <f>0.6*B32</f>
        <v>552799.19999999995</v>
      </c>
      <c r="C37" s="35">
        <f>0.6*B32</f>
        <v>552799.19999999995</v>
      </c>
      <c r="D37" s="35">
        <f>0.35*B32</f>
        <v>322466.19999999995</v>
      </c>
      <c r="E37" s="35">
        <f>0.35*B32</f>
        <v>322466.19999999995</v>
      </c>
      <c r="F37" s="35">
        <f>0.05*B32</f>
        <v>46066.600000000006</v>
      </c>
      <c r="G37" s="35">
        <f>0.05*B32</f>
        <v>46066.600000000006</v>
      </c>
    </row>
    <row r="38" spans="1:13" x14ac:dyDescent="0.15">
      <c r="A38" s="29" t="s">
        <v>26</v>
      </c>
      <c r="B38" s="29">
        <f>108/100</f>
        <v>1.08</v>
      </c>
      <c r="C38" s="29">
        <f t="shared" ref="C38:G38" si="4">108/100</f>
        <v>1.08</v>
      </c>
      <c r="D38" s="29">
        <f t="shared" si="4"/>
        <v>1.08</v>
      </c>
      <c r="E38" s="29">
        <f t="shared" si="4"/>
        <v>1.08</v>
      </c>
      <c r="F38" s="29">
        <f t="shared" si="4"/>
        <v>1.08</v>
      </c>
      <c r="G38" s="29">
        <f t="shared" si="4"/>
        <v>1.08</v>
      </c>
    </row>
    <row r="39" spans="1:13" x14ac:dyDescent="0.15">
      <c r="A39" s="29" t="s">
        <v>27</v>
      </c>
      <c r="B39" s="29">
        <f>31.5/100</f>
        <v>0.315</v>
      </c>
      <c r="C39" s="29">
        <f t="shared" ref="C39:G39" si="5">31.5/100</f>
        <v>0.315</v>
      </c>
      <c r="D39" s="29">
        <f t="shared" si="5"/>
        <v>0.315</v>
      </c>
      <c r="E39" s="29">
        <f t="shared" si="5"/>
        <v>0.315</v>
      </c>
      <c r="F39" s="29">
        <f t="shared" si="5"/>
        <v>0.315</v>
      </c>
      <c r="G39" s="29">
        <f t="shared" si="5"/>
        <v>0.315</v>
      </c>
    </row>
    <row r="40" spans="1:13" x14ac:dyDescent="0.15">
      <c r="A40" s="35"/>
      <c r="B40" s="35"/>
      <c r="C40" s="35"/>
      <c r="D40" s="35"/>
      <c r="E40" s="35"/>
      <c r="F40" s="35"/>
      <c r="G40" s="35"/>
    </row>
    <row r="41" spans="1:13" x14ac:dyDescent="0.15">
      <c r="A41" s="35"/>
      <c r="B41" s="35"/>
      <c r="C41" s="35"/>
      <c r="D41" s="35"/>
      <c r="E41" s="35"/>
      <c r="F41" s="35"/>
      <c r="G41" s="35"/>
    </row>
    <row r="42" spans="1:13" x14ac:dyDescent="0.15">
      <c r="A42" s="29" t="s">
        <v>11</v>
      </c>
      <c r="B42" s="29">
        <v>1.1000000000000001</v>
      </c>
      <c r="C42" s="29">
        <v>1.05</v>
      </c>
      <c r="D42" s="29">
        <v>1</v>
      </c>
      <c r="E42" s="29">
        <v>1.05</v>
      </c>
      <c r="F42" s="29">
        <v>1</v>
      </c>
      <c r="G42" s="29">
        <v>1</v>
      </c>
    </row>
    <row r="43" spans="1:13" x14ac:dyDescent="0.15">
      <c r="A43" s="35" t="s">
        <v>61</v>
      </c>
      <c r="B43" s="35">
        <f>B37*B38*B39*B42</f>
        <v>206868.51662399998</v>
      </c>
      <c r="C43" s="35">
        <f t="shared" ref="C43:G43" si="6">C37*C38*C39*C42</f>
        <v>197465.40223199999</v>
      </c>
      <c r="D43" s="35">
        <f t="shared" si="6"/>
        <v>109703.00124</v>
      </c>
      <c r="E43" s="35">
        <f t="shared" si="6"/>
        <v>115188.151302</v>
      </c>
      <c r="F43" s="35">
        <f t="shared" si="6"/>
        <v>15671.857320000003</v>
      </c>
      <c r="G43" s="35">
        <f t="shared" si="6"/>
        <v>15671.857320000003</v>
      </c>
    </row>
    <row r="44" spans="1:13" x14ac:dyDescent="0.15">
      <c r="A44" s="17" t="s">
        <v>28</v>
      </c>
      <c r="B44" s="17">
        <f>B43/B35</f>
        <v>1759.3777592713075</v>
      </c>
      <c r="C44" s="17">
        <f t="shared" ref="C44:G44" si="7">C43/C35</f>
        <v>1679.4060429407937</v>
      </c>
      <c r="D44" s="17">
        <f t="shared" si="7"/>
        <v>559.80201431359785</v>
      </c>
      <c r="E44" s="17">
        <f t="shared" si="7"/>
        <v>587.79211502927785</v>
      </c>
      <c r="F44" s="17">
        <f t="shared" si="7"/>
        <v>33.3215484710475</v>
      </c>
      <c r="G44" s="17">
        <f t="shared" si="7"/>
        <v>33.3215484710475</v>
      </c>
      <c r="K44" s="52">
        <v>1</v>
      </c>
      <c r="L44" s="52">
        <v>1</v>
      </c>
      <c r="M44" s="52">
        <f t="shared" si="3"/>
        <v>1</v>
      </c>
    </row>
    <row r="46" spans="1:13" x14ac:dyDescent="0.15">
      <c r="A46" s="38" t="s">
        <v>47</v>
      </c>
      <c r="B46" s="1"/>
      <c r="C46" s="1"/>
      <c r="D46" s="1"/>
      <c r="E46" s="1"/>
      <c r="F46" s="1"/>
      <c r="G46" s="1"/>
    </row>
    <row r="47" spans="1:13" x14ac:dyDescent="0.15">
      <c r="A47" s="28" t="s">
        <v>62</v>
      </c>
      <c r="B47" s="43">
        <v>12000000</v>
      </c>
      <c r="C47" s="44"/>
      <c r="D47" s="43">
        <v>10000000</v>
      </c>
      <c r="E47" s="44"/>
      <c r="F47" s="43">
        <v>8000000</v>
      </c>
      <c r="G47" s="44"/>
    </row>
    <row r="48" spans="1:13" x14ac:dyDescent="0.15">
      <c r="A48" s="28" t="s">
        <v>75</v>
      </c>
      <c r="B48" s="43">
        <v>3</v>
      </c>
      <c r="C48" s="44"/>
      <c r="D48" s="43">
        <v>3</v>
      </c>
      <c r="E48" s="44"/>
      <c r="F48" s="43">
        <v>4</v>
      </c>
      <c r="G48" s="44"/>
    </row>
    <row r="49" spans="1:13" x14ac:dyDescent="0.15">
      <c r="A49" s="28" t="s">
        <v>63</v>
      </c>
      <c r="B49" s="43">
        <f>B47/200000</f>
        <v>60</v>
      </c>
      <c r="C49" s="44"/>
      <c r="D49" s="43">
        <f t="shared" ref="D49" si="8">D47/200000</f>
        <v>50</v>
      </c>
      <c r="E49" s="44"/>
      <c r="F49" s="43">
        <f t="shared" ref="F49" si="9">F47/200000</f>
        <v>40</v>
      </c>
      <c r="G49" s="44"/>
    </row>
    <row r="50" spans="1:13" x14ac:dyDescent="0.15">
      <c r="A50" s="28" t="s">
        <v>64</v>
      </c>
      <c r="B50" s="43">
        <f>B49/B48</f>
        <v>20</v>
      </c>
      <c r="C50" s="44"/>
      <c r="D50" s="43">
        <f t="shared" ref="D50" si="10">D49/D48</f>
        <v>16.666666666666668</v>
      </c>
      <c r="E50" s="44"/>
      <c r="F50" s="43">
        <f t="shared" ref="F50" si="11">F49/F48</f>
        <v>10</v>
      </c>
      <c r="G50" s="44"/>
      <c r="K50" s="52">
        <v>1</v>
      </c>
      <c r="L50" s="52">
        <v>1</v>
      </c>
      <c r="M50" s="52">
        <f t="shared" si="3"/>
        <v>1</v>
      </c>
    </row>
    <row r="51" spans="1:13" x14ac:dyDescent="0.15">
      <c r="A51" s="28" t="s">
        <v>65</v>
      </c>
      <c r="B51" s="43">
        <v>4</v>
      </c>
      <c r="C51" s="44"/>
      <c r="D51" s="43">
        <v>3</v>
      </c>
      <c r="E51" s="44"/>
      <c r="F51" s="43">
        <v>3</v>
      </c>
      <c r="G51" s="44"/>
    </row>
    <row r="52" spans="1:13" x14ac:dyDescent="0.15">
      <c r="A52" s="10" t="s">
        <v>44</v>
      </c>
      <c r="B52" s="50">
        <f>B50/B51</f>
        <v>5</v>
      </c>
      <c r="C52" s="51"/>
      <c r="D52" s="50">
        <f t="shared" ref="D52" si="12">D50/D51</f>
        <v>5.5555555555555562</v>
      </c>
      <c r="E52" s="51"/>
      <c r="F52" s="50">
        <f t="shared" ref="F52" si="13">F50/F51</f>
        <v>3.3333333333333335</v>
      </c>
      <c r="G52" s="51"/>
    </row>
    <row r="54" spans="1:13" x14ac:dyDescent="0.15">
      <c r="A54" s="39" t="s">
        <v>29</v>
      </c>
      <c r="B54" s="35"/>
      <c r="C54" s="35"/>
      <c r="D54" s="35"/>
      <c r="E54" s="35"/>
      <c r="F54" s="35"/>
      <c r="G54" s="35"/>
    </row>
    <row r="55" spans="1:13" x14ac:dyDescent="0.15">
      <c r="A55" s="29" t="s">
        <v>44</v>
      </c>
      <c r="B55" s="49">
        <v>5</v>
      </c>
      <c r="C55" s="49"/>
      <c r="D55" s="49">
        <v>5</v>
      </c>
      <c r="E55" s="49"/>
      <c r="F55" s="49">
        <v>3</v>
      </c>
      <c r="G55" s="49"/>
      <c r="H55" t="s">
        <v>76</v>
      </c>
    </row>
    <row r="56" spans="1:13" x14ac:dyDescent="0.15">
      <c r="A56" s="35" t="s">
        <v>66</v>
      </c>
      <c r="B56" s="48">
        <f>B55*7</f>
        <v>35</v>
      </c>
      <c r="C56" s="48"/>
      <c r="D56" s="48">
        <f t="shared" ref="D56" si="14">D55*7</f>
        <v>35</v>
      </c>
      <c r="E56" s="48"/>
      <c r="F56" s="48">
        <f t="shared" ref="F56" si="15">F55*7</f>
        <v>21</v>
      </c>
      <c r="G56" s="48"/>
      <c r="H56" t="s">
        <v>79</v>
      </c>
    </row>
    <row r="57" spans="1:13" x14ac:dyDescent="0.15">
      <c r="A57" s="35"/>
      <c r="B57" s="45" t="s">
        <v>34</v>
      </c>
      <c r="C57" s="45"/>
      <c r="D57" s="45" t="s">
        <v>35</v>
      </c>
      <c r="E57" s="45"/>
      <c r="F57" s="45" t="s">
        <v>37</v>
      </c>
      <c r="G57" s="45"/>
    </row>
    <row r="58" spans="1:13" x14ac:dyDescent="0.15">
      <c r="A58" s="35"/>
      <c r="B58" s="39" t="s">
        <v>2</v>
      </c>
      <c r="C58" s="39" t="s">
        <v>3</v>
      </c>
      <c r="D58" s="39" t="s">
        <v>2</v>
      </c>
      <c r="E58" s="39" t="s">
        <v>3</v>
      </c>
      <c r="F58" s="39" t="s">
        <v>2</v>
      </c>
      <c r="G58" s="39" t="s">
        <v>3</v>
      </c>
    </row>
    <row r="59" spans="1:13" x14ac:dyDescent="0.15">
      <c r="A59" s="35" t="s">
        <v>67</v>
      </c>
      <c r="B59" s="35">
        <v>10</v>
      </c>
      <c r="C59" s="40">
        <v>25</v>
      </c>
      <c r="D59" s="35">
        <v>11</v>
      </c>
      <c r="E59" s="40">
        <v>24</v>
      </c>
      <c r="F59" s="35">
        <v>7</v>
      </c>
      <c r="G59" s="40">
        <v>14</v>
      </c>
      <c r="H59" s="1"/>
    </row>
    <row r="60" spans="1:13" x14ac:dyDescent="0.15">
      <c r="A60" s="35" t="s">
        <v>68</v>
      </c>
      <c r="B60" s="35">
        <v>10</v>
      </c>
      <c r="C60" s="40">
        <v>12</v>
      </c>
      <c r="D60" s="35">
        <v>11</v>
      </c>
      <c r="E60" s="40">
        <v>12</v>
      </c>
      <c r="F60" s="35">
        <v>7</v>
      </c>
      <c r="G60" s="40">
        <v>7</v>
      </c>
      <c r="H60" s="1"/>
    </row>
    <row r="61" spans="1:13" x14ac:dyDescent="0.15">
      <c r="A61" s="35" t="s">
        <v>69</v>
      </c>
      <c r="B61" s="41">
        <f>VLOOKUP(B60,Erlang!$A:$B,2)</f>
        <v>5.0840046000000001</v>
      </c>
      <c r="C61" s="41">
        <f>VLOOKUP(C60,Erlang!$A:$B,2)</f>
        <v>6.6147182999999998</v>
      </c>
      <c r="D61" s="41">
        <f>VLOOKUP(D60,Erlang!$A:$B,2)</f>
        <v>5.8415311000000001</v>
      </c>
      <c r="E61" s="41">
        <f>VLOOKUP(E60,Erlang!$A:$B,2)</f>
        <v>6.6147182999999998</v>
      </c>
      <c r="F61" s="41">
        <f>VLOOKUP(F60,Erlang!$A:$B,2)</f>
        <v>2.9354057</v>
      </c>
      <c r="G61" s="41">
        <f>VLOOKUP(G60,Erlang!$A:$B,2)</f>
        <v>2.9354057</v>
      </c>
      <c r="H61" s="1"/>
    </row>
    <row r="62" spans="1:13" x14ac:dyDescent="0.15">
      <c r="A62" s="35" t="s">
        <v>70</v>
      </c>
      <c r="B62" s="42">
        <v>1.4999999999999999E-2</v>
      </c>
      <c r="C62" s="42">
        <v>0.02</v>
      </c>
      <c r="D62" s="42">
        <v>1.2E-2</v>
      </c>
      <c r="E62" s="42">
        <v>1.2999999999999999E-2</v>
      </c>
      <c r="F62" s="42">
        <v>1.0999999999999999E-2</v>
      </c>
      <c r="G62" s="42">
        <v>1.0999999999999999E-2</v>
      </c>
      <c r="H62" s="1"/>
    </row>
    <row r="63" spans="1:13" x14ac:dyDescent="0.15">
      <c r="A63" s="35" t="s">
        <v>71</v>
      </c>
      <c r="B63" s="35">
        <f>B61/B62</f>
        <v>338.93364000000003</v>
      </c>
      <c r="C63" s="35">
        <f t="shared" ref="C63:G63" si="16">C61/C62</f>
        <v>330.73591499999998</v>
      </c>
      <c r="D63" s="35">
        <f t="shared" si="16"/>
        <v>486.79425833333335</v>
      </c>
      <c r="E63" s="35">
        <f t="shared" si="16"/>
        <v>508.82448461538462</v>
      </c>
      <c r="F63" s="35">
        <f t="shared" si="16"/>
        <v>266.85506363636364</v>
      </c>
      <c r="G63" s="35">
        <f t="shared" si="16"/>
        <v>266.85506363636364</v>
      </c>
      <c r="H63" s="1"/>
    </row>
    <row r="64" spans="1:13" x14ac:dyDescent="0.15">
      <c r="A64" s="33"/>
      <c r="B64" s="33" t="s">
        <v>2</v>
      </c>
      <c r="C64" s="33" t="s">
        <v>3</v>
      </c>
      <c r="D64" s="33" t="s">
        <v>2</v>
      </c>
      <c r="E64" s="33" t="s">
        <v>3</v>
      </c>
      <c r="F64" s="33" t="s">
        <v>2</v>
      </c>
      <c r="G64" s="33" t="s">
        <v>3</v>
      </c>
      <c r="H64" s="1"/>
      <c r="K64" s="52">
        <v>3</v>
      </c>
      <c r="L64" s="52">
        <v>1</v>
      </c>
      <c r="M64" s="52">
        <f t="shared" si="3"/>
        <v>3</v>
      </c>
    </row>
    <row r="65" spans="1:13" x14ac:dyDescent="0.15">
      <c r="A65" s="33"/>
      <c r="B65" s="33" t="s">
        <v>0</v>
      </c>
      <c r="C65" s="33" t="s">
        <v>18</v>
      </c>
      <c r="D65" s="33" t="s">
        <v>4</v>
      </c>
      <c r="E65" s="33" t="s">
        <v>4</v>
      </c>
      <c r="F65" s="33" t="s">
        <v>19</v>
      </c>
      <c r="G65" s="33" t="s">
        <v>5</v>
      </c>
      <c r="H65" s="1"/>
    </row>
    <row r="66" spans="1:13" x14ac:dyDescent="0.15">
      <c r="A66" s="17" t="s">
        <v>30</v>
      </c>
      <c r="B66" s="17">
        <f>SQRT((B51*B63)/(PI()*B44))</f>
        <v>0.49525953821857122</v>
      </c>
      <c r="C66" s="17">
        <f>SQRT((B51*C63)/(PI()*C44))</f>
        <v>0.50074645399663253</v>
      </c>
      <c r="D66" s="17">
        <f t="shared" ref="D66:F66" si="17">SQRT((D51*D63)/(PI()*D44))</f>
        <v>0.91125764775181806</v>
      </c>
      <c r="E66" s="17">
        <f>SQRT((D51*E63)/(PI()*E44))</f>
        <v>0.9091966225351017</v>
      </c>
      <c r="F66" s="17">
        <f t="shared" si="17"/>
        <v>2.7654182684658299</v>
      </c>
      <c r="G66" s="17">
        <f>SQRT((F51*G63)/(PI()*G44))</f>
        <v>2.7654182684658299</v>
      </c>
      <c r="H66" t="s">
        <v>77</v>
      </c>
    </row>
    <row r="68" spans="1:13" x14ac:dyDescent="0.15">
      <c r="A68" s="33"/>
      <c r="B68" s="33" t="s">
        <v>34</v>
      </c>
      <c r="C68" s="33" t="s">
        <v>35</v>
      </c>
      <c r="D68" s="33" t="s">
        <v>38</v>
      </c>
      <c r="E68" s="1"/>
      <c r="F68"/>
      <c r="G68"/>
    </row>
    <row r="69" spans="1:13" x14ac:dyDescent="0.15">
      <c r="A69" s="33" t="s">
        <v>6</v>
      </c>
      <c r="B69" s="33">
        <f>MIN(B66,C66,B28)</f>
        <v>0.49525953821857122</v>
      </c>
      <c r="C69" s="33">
        <f>MIN(D66,E66,C28)</f>
        <v>0.9091966225351017</v>
      </c>
      <c r="D69" s="33">
        <f>MIN(F66,G66,D28)</f>
        <v>2.7654182684658299</v>
      </c>
      <c r="E69" s="1"/>
      <c r="F69"/>
      <c r="G69"/>
      <c r="K69" s="52">
        <v>0.75</v>
      </c>
      <c r="L69" s="52">
        <v>1</v>
      </c>
      <c r="M69" s="52">
        <f t="shared" si="3"/>
        <v>0.75</v>
      </c>
    </row>
    <row r="70" spans="1:13" x14ac:dyDescent="0.15">
      <c r="A70" s="33" t="s">
        <v>31</v>
      </c>
      <c r="B70" s="33">
        <f>PI()*(B69^2)</f>
        <v>0.7705761612909745</v>
      </c>
      <c r="C70" s="33">
        <f t="shared" ref="C70:D70" si="18">PI()*(C69^2)</f>
        <v>2.5969614338397862</v>
      </c>
      <c r="D70" s="33">
        <f t="shared" si="18"/>
        <v>24.025449825799299</v>
      </c>
      <c r="E70" s="1"/>
      <c r="F70"/>
      <c r="G70"/>
    </row>
    <row r="71" spans="1:13" x14ac:dyDescent="0.15">
      <c r="A71" s="17" t="s">
        <v>39</v>
      </c>
      <c r="B71" s="17">
        <f>ROUNDUP(B35/B70,0)</f>
        <v>153</v>
      </c>
      <c r="C71" s="17">
        <f>ROUNDUP(D35/C70,0)</f>
        <v>76</v>
      </c>
      <c r="D71" s="17">
        <f>ROUNDUP(F35/D70,0)</f>
        <v>20</v>
      </c>
      <c r="E71" s="1"/>
      <c r="F71"/>
      <c r="G71"/>
    </row>
    <row r="72" spans="1:13" x14ac:dyDescent="0.15">
      <c r="A72" s="35"/>
      <c r="B72" s="35"/>
      <c r="C72" s="35"/>
      <c r="D72" s="35"/>
    </row>
    <row r="73" spans="1:13" x14ac:dyDescent="0.15">
      <c r="A73" s="29" t="s">
        <v>40</v>
      </c>
      <c r="B73" s="29">
        <v>45000</v>
      </c>
      <c r="C73" s="29">
        <v>65000</v>
      </c>
      <c r="D73" s="29">
        <v>115000</v>
      </c>
      <c r="E73" s="3"/>
      <c r="F73" s="5"/>
      <c r="K73" s="52">
        <v>0.75</v>
      </c>
      <c r="L73" s="52">
        <v>1</v>
      </c>
      <c r="M73" s="52">
        <f t="shared" si="3"/>
        <v>0.75</v>
      </c>
    </row>
    <row r="74" spans="1:13" x14ac:dyDescent="0.15">
      <c r="A74" s="17" t="s">
        <v>32</v>
      </c>
      <c r="B74" s="17">
        <f>B73*B71</f>
        <v>6885000</v>
      </c>
      <c r="C74" s="17">
        <f>C73*C71</f>
        <v>4940000</v>
      </c>
      <c r="D74" s="17">
        <f>D73*D71</f>
        <v>2300000</v>
      </c>
      <c r="E74" s="4"/>
      <c r="F74" s="5"/>
      <c r="G74" s="5"/>
      <c r="K74" s="52">
        <f>SUM(K1:K73)</f>
        <v>10</v>
      </c>
      <c r="L74" s="27"/>
      <c r="M74" s="53">
        <f>SUM(M13:M73)</f>
        <v>10</v>
      </c>
    </row>
    <row r="75" spans="1:13" x14ac:dyDescent="0.15">
      <c r="A75" s="17" t="s">
        <v>41</v>
      </c>
      <c r="B75" s="17">
        <f>B74+C74+D74</f>
        <v>14125000</v>
      </c>
      <c r="C75" s="17"/>
      <c r="D75" s="17"/>
      <c r="E75" s="3"/>
      <c r="F75" s="4"/>
      <c r="G75" s="4"/>
    </row>
    <row r="76" spans="1:13" s="27" customFormat="1" x14ac:dyDescent="0.15">
      <c r="A76" s="26"/>
      <c r="B76" s="26"/>
      <c r="C76" s="26"/>
      <c r="D76" s="26"/>
      <c r="E76" s="26"/>
      <c r="F76" s="26"/>
      <c r="G76" s="26"/>
      <c r="K76"/>
      <c r="L76"/>
      <c r="M76"/>
    </row>
  </sheetData>
  <mergeCells count="30">
    <mergeCell ref="B50:C50"/>
    <mergeCell ref="D50:E50"/>
    <mergeCell ref="F50:G50"/>
    <mergeCell ref="D48:E48"/>
    <mergeCell ref="F48:G48"/>
    <mergeCell ref="B49:C49"/>
    <mergeCell ref="D49:E49"/>
    <mergeCell ref="F49:G49"/>
    <mergeCell ref="B33:C33"/>
    <mergeCell ref="D33:E33"/>
    <mergeCell ref="F33:G33"/>
    <mergeCell ref="B56:C56"/>
    <mergeCell ref="D56:E56"/>
    <mergeCell ref="F56:G56"/>
    <mergeCell ref="B55:C55"/>
    <mergeCell ref="D55:E55"/>
    <mergeCell ref="F55:G55"/>
    <mergeCell ref="B47:C47"/>
    <mergeCell ref="D47:E47"/>
    <mergeCell ref="F47:G47"/>
    <mergeCell ref="B48:C48"/>
    <mergeCell ref="B52:C52"/>
    <mergeCell ref="D52:E52"/>
    <mergeCell ref="F52:G52"/>
    <mergeCell ref="B51:C51"/>
    <mergeCell ref="D51:E51"/>
    <mergeCell ref="F51:G51"/>
    <mergeCell ref="B57:C57"/>
    <mergeCell ref="D57:E57"/>
    <mergeCell ref="F57:G57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45</v>
      </c>
      <c r="B1" s="21" t="s">
        <v>46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2021-12-04T11:24:54Z</dcterms:modified>
</cp:coreProperties>
</file>