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Macintos HD Para Datos/Dropbox (Personal)/JAPortilla/Docencia/Comunicaciones Móviles/Curso 2021-2022/01 PEI 1/Correcciones/"/>
    </mc:Choice>
  </mc:AlternateContent>
  <xr:revisionPtr revIDLastSave="0" documentId="13_ncr:1_{3BD3F6F9-0482-8649-9DE3-8D08B71678DC}" xr6:coauthVersionLast="47" xr6:coauthVersionMax="47" xr10:uidLastSave="{00000000-0000-0000-0000-000000000000}"/>
  <bookViews>
    <workbookView xWindow="0" yWindow="500" windowWidth="24360" windowHeight="19180" tabRatio="374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GSM'!$A$1:$H$80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9" i="6" l="1"/>
  <c r="L78" i="6"/>
  <c r="L74" i="6"/>
  <c r="L69" i="6"/>
  <c r="L50" i="6"/>
  <c r="L44" i="6"/>
  <c r="L28" i="6"/>
  <c r="L13" i="6"/>
  <c r="L79" i="6" s="1"/>
  <c r="C65" i="6"/>
  <c r="C67" i="6" s="1"/>
  <c r="B65" i="6"/>
  <c r="D65" i="6"/>
  <c r="D67" i="6" s="1"/>
  <c r="E65" i="6"/>
  <c r="E67" i="6" s="1"/>
  <c r="G65" i="6"/>
  <c r="G67" i="6" s="1"/>
  <c r="F65" i="6"/>
  <c r="F67" i="6" s="1"/>
  <c r="B67" i="6"/>
  <c r="C64" i="6"/>
  <c r="D64" i="6"/>
  <c r="E64" i="6"/>
  <c r="F64" i="6"/>
  <c r="G64" i="6"/>
  <c r="B64" i="6"/>
  <c r="D52" i="6"/>
  <c r="D55" i="6" s="1"/>
  <c r="D58" i="6" s="1"/>
  <c r="D59" i="6" s="1"/>
  <c r="F52" i="6"/>
  <c r="F55" i="6" s="1"/>
  <c r="F58" i="6" s="1"/>
  <c r="F59" i="6" s="1"/>
  <c r="B52" i="6"/>
  <c r="B55" i="6" s="1"/>
  <c r="B58" i="6" s="1"/>
  <c r="B59" i="6" s="1"/>
  <c r="C44" i="6"/>
  <c r="C47" i="6" s="1"/>
  <c r="C48" i="6" s="1"/>
  <c r="D44" i="6"/>
  <c r="D47" i="6" s="1"/>
  <c r="D48" i="6" s="1"/>
  <c r="G44" i="6"/>
  <c r="G47" i="6" s="1"/>
  <c r="G48" i="6" s="1"/>
  <c r="B44" i="6"/>
  <c r="B47" i="6" s="1"/>
  <c r="B48" i="6" s="1"/>
  <c r="C41" i="6"/>
  <c r="D41" i="6"/>
  <c r="E41" i="6"/>
  <c r="E44" i="6" s="1"/>
  <c r="E47" i="6" s="1"/>
  <c r="E48" i="6" s="1"/>
  <c r="F41" i="6"/>
  <c r="F44" i="6" s="1"/>
  <c r="F47" i="6" s="1"/>
  <c r="F48" i="6" s="1"/>
  <c r="G41" i="6"/>
  <c r="B41" i="6"/>
  <c r="C39" i="6"/>
  <c r="D39" i="6"/>
  <c r="E39" i="6"/>
  <c r="F39" i="6"/>
  <c r="G39" i="6"/>
  <c r="B39" i="6"/>
  <c r="D30" i="6"/>
  <c r="D29" i="6"/>
  <c r="C29" i="6"/>
  <c r="B28" i="6"/>
  <c r="B27" i="6"/>
  <c r="B26" i="6" s="1"/>
  <c r="D25" i="6"/>
  <c r="C25" i="6"/>
  <c r="D24" i="6"/>
  <c r="C24" i="6"/>
  <c r="B24" i="6"/>
  <c r="C23" i="6"/>
  <c r="D23" i="6"/>
  <c r="B23" i="6"/>
  <c r="C22" i="6"/>
  <c r="C30" i="6" s="1"/>
  <c r="D22" i="6"/>
  <c r="B22" i="6"/>
  <c r="C18" i="6"/>
  <c r="D18" i="6"/>
  <c r="B18" i="6"/>
  <c r="E13" i="6"/>
  <c r="C31" i="6" s="1"/>
  <c r="C32" i="6" s="1"/>
  <c r="C72" i="6" s="1"/>
  <c r="H13" i="6"/>
  <c r="C13" i="6"/>
  <c r="D5" i="6"/>
  <c r="D13" i="6" s="1"/>
  <c r="E5" i="6"/>
  <c r="F5" i="6"/>
  <c r="F13" i="6" s="1"/>
  <c r="G5" i="6"/>
  <c r="G13" i="6" s="1"/>
  <c r="D31" i="6" s="1"/>
  <c r="D32" i="6" s="1"/>
  <c r="D72" i="6" s="1"/>
  <c r="H5" i="6"/>
  <c r="C5" i="6"/>
  <c r="B69" i="6" l="1"/>
  <c r="D69" i="6"/>
  <c r="B31" i="6"/>
  <c r="F69" i="6"/>
  <c r="G69" i="6"/>
  <c r="C69" i="6"/>
  <c r="E69" i="6"/>
  <c r="B30" i="6"/>
  <c r="C73" i="6" l="1"/>
  <c r="C74" i="6" s="1"/>
  <c r="C75" i="6" s="1"/>
  <c r="C76" i="6" s="1"/>
  <c r="C79" i="6" s="1"/>
  <c r="B73" i="6"/>
  <c r="B32" i="6"/>
  <c r="B72" i="6" s="1"/>
  <c r="D73" i="6"/>
  <c r="D74" i="6" s="1"/>
  <c r="D75" i="6" s="1"/>
  <c r="D76" i="6" s="1"/>
  <c r="D79" i="6" s="1"/>
  <c r="B74" i="6" l="1"/>
  <c r="B75" i="6" s="1"/>
  <c r="B76" i="6" s="1"/>
  <c r="B79" i="6" s="1"/>
  <c r="B81" i="6" s="1"/>
</calcChain>
</file>

<file path=xl/sharedStrings.xml><?xml version="1.0" encoding="utf-8"?>
<sst xmlns="http://schemas.openxmlformats.org/spreadsheetml/2006/main" count="118" uniqueCount="90">
  <si>
    <t>Voz</t>
    <phoneticPr fontId="3" type="noConversion"/>
  </si>
  <si>
    <t>Datos</t>
    <phoneticPr fontId="3" type="noConversion"/>
  </si>
  <si>
    <t>Model</t>
    <phoneticPr fontId="3" type="noConversion"/>
  </si>
  <si>
    <t>One Slope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</si>
  <si>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</si>
  <si>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</si>
  <si>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</si>
  <si>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</si>
  <si>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Propagacion</t>
    <phoneticPr fontId="3" type="noConversion"/>
  </si>
  <si>
    <t>2g</t>
    <phoneticPr fontId="3" type="noConversion"/>
  </si>
  <si>
    <t xml:space="preserve">Voz </t>
    <phoneticPr fontId="3" type="noConversion"/>
  </si>
  <si>
    <t xml:space="preserve">Por capacidad </t>
    <phoneticPr fontId="3" type="noConversion"/>
  </si>
  <si>
    <t>Datos Pais</t>
  </si>
  <si>
    <t>Urbano</t>
  </si>
  <si>
    <t>Suburbano</t>
  </si>
  <si>
    <t>Rural</t>
  </si>
  <si>
    <t>Rural Habitado</t>
  </si>
  <si>
    <t>Número BTS en la ciudad</t>
  </si>
  <si>
    <t>Elemento</t>
  </si>
  <si>
    <t>Parámetro</t>
  </si>
  <si>
    <t>TRX Totales por sector</t>
  </si>
  <si>
    <t>N CANALES</t>
  </si>
  <si>
    <t>A (2 %)</t>
  </si>
  <si>
    <t>Calculo BW</t>
  </si>
  <si>
    <t>Ptx (dbm)</t>
  </si>
  <si>
    <t>Gant (db)</t>
  </si>
  <si>
    <t>Lcab (db)</t>
  </si>
  <si>
    <t>M. Desvanec (db)</t>
  </si>
  <si>
    <t>L adicionales (db)</t>
  </si>
  <si>
    <t>Srx (dbm)</t>
  </si>
  <si>
    <t>PathLoss (db)</t>
  </si>
  <si>
    <t>Ptx+ΣG-ΣL-Srx</t>
  </si>
  <si>
    <t>hedificios(m)</t>
  </si>
  <si>
    <t>htorre(m)</t>
  </si>
  <si>
    <t>HBTS(m)</t>
  </si>
  <si>
    <t>h terminal(m)</t>
  </si>
  <si>
    <t>Freq(MHz)</t>
  </si>
  <si>
    <t>A</t>
  </si>
  <si>
    <t>B</t>
  </si>
  <si>
    <t>a(hms)</t>
  </si>
  <si>
    <t>s(One Slope)</t>
  </si>
  <si>
    <t>s(Two Slope)</t>
  </si>
  <si>
    <t>s(f&lt;1500) Two Slope</t>
  </si>
  <si>
    <t>s(f&gt;=1500) Two Slope</t>
  </si>
  <si>
    <t>Lclutter (db)</t>
  </si>
  <si>
    <t>Radio por Propagac (km)</t>
  </si>
  <si>
    <t>Lpath mas restrictiva</t>
  </si>
  <si>
    <t>Álvaro de Prado Álvarez 4ºB</t>
  </si>
  <si>
    <t>10^((Lpath-aux)/s)</t>
  </si>
  <si>
    <t>aux (aux=Lb-slog(d))</t>
  </si>
  <si>
    <t>Poblacion total (hab)</t>
  </si>
  <si>
    <t>Terreno Total (km^2)</t>
  </si>
  <si>
    <t>Porcentages Terreno (%)</t>
  </si>
  <si>
    <t>Porcentages Población (%)</t>
  </si>
  <si>
    <t>Penetración de Mercado (%)</t>
  </si>
  <si>
    <t>Market Share (%)</t>
  </si>
  <si>
    <t>Penetración Servicio (%)</t>
  </si>
  <si>
    <t>Densidad (usu_serv/km2)</t>
  </si>
  <si>
    <t>Terreno (km^2)</t>
  </si>
  <si>
    <t>Poblacion</t>
  </si>
  <si>
    <t>Usuarios</t>
  </si>
  <si>
    <t>Usuarios del servicio</t>
  </si>
  <si>
    <t>BW operador (Mhz)</t>
  </si>
  <si>
    <t>Numero de frecuencias</t>
  </si>
  <si>
    <t>BW/200khz</t>
  </si>
  <si>
    <t>Sectores</t>
  </si>
  <si>
    <t>nºfrec/(nºsec*K)</t>
  </si>
  <si>
    <t>Factor de rehuso (K)</t>
  </si>
  <si>
    <t>Radio por Capacidad (km)</t>
  </si>
  <si>
    <t>Slots por sector (TRX*7)</t>
  </si>
  <si>
    <t>numero de slots</t>
  </si>
  <si>
    <t>numero de slots por canal</t>
  </si>
  <si>
    <t>numero de canales [C]</t>
  </si>
  <si>
    <t>trafico individual [a]</t>
  </si>
  <si>
    <t>tráfico total [A] (erlangs)</t>
  </si>
  <si>
    <t>M=A/a</t>
  </si>
  <si>
    <t>sqrt((M*Nsectores)/(PI*densidad))</t>
  </si>
  <si>
    <t>nºcanales_voz+nºcanales_datos=nºslots/sector</t>
  </si>
  <si>
    <t>Rcapacidad restrictivo</t>
  </si>
  <si>
    <t>Rpropagacion restrictivo</t>
  </si>
  <si>
    <t>Radios Definitivos (km)</t>
  </si>
  <si>
    <t>Area BTS (km^2)</t>
  </si>
  <si>
    <t>Coste BTS (€)</t>
  </si>
  <si>
    <t>Coste Total por Area (€)</t>
  </si>
  <si>
    <t xml:space="preserve">ErlangB(C,Pb(2%))  </t>
  </si>
  <si>
    <t>Coste Total Despliegue (€)</t>
  </si>
  <si>
    <t>Two Slope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</si>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</sst>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sz val="10"/>
      <color theme="0" tint="-0.249977111117893"/>
      <name val="Verdana"/>
      <family val="2"/>
    </font>
    <font>
      <b/>
      <sz val="10"/>
      <color theme="0" tint="-0.249977111117893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6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6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6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2" fontId="0" fillId="0" borderId="11" xfId="0" applyNumberFormat="1" applyFill="1" applyBorder="1"/>
    <xf numFmtId="166" fontId="0" fillId="0" borderId="11" xfId="0" applyNumberFormat="1" applyFill="1" applyBorder="1"/>
    <xf numFmtId="0" fontId="2" fillId="3" borderId="11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right"/>
    </xf>
    <xf numFmtId="0" fontId="9" fillId="0" borderId="11" xfId="0" applyFont="1" applyFill="1" applyBorder="1"/>
    <xf numFmtId="0" fontId="10" fillId="0" borderId="11" xfId="0" applyFont="1" applyFill="1" applyBorder="1"/>
    <xf numFmtId="0" fontId="11" fillId="0" borderId="11" xfId="0" applyFont="1" applyFill="1" applyBorder="1"/>
    <xf numFmtId="2" fontId="9" fillId="0" borderId="11" xfId="0" applyNumberFormat="1" applyFont="1" applyFill="1" applyBorder="1"/>
    <xf numFmtId="0" fontId="2" fillId="0" borderId="0" xfId="0" applyFont="1" applyFill="1"/>
    <xf numFmtId="9" fontId="0" fillId="2" borderId="11" xfId="1" applyFont="1" applyFill="1" applyBorder="1"/>
    <xf numFmtId="0" fontId="2" fillId="0" borderId="0" xfId="0" applyFont="1"/>
    <xf numFmtId="0" fontId="2" fillId="0" borderId="6" xfId="0" applyFont="1" applyBorder="1"/>
    <xf numFmtId="1" fontId="2" fillId="0" borderId="11" xfId="0" applyNumberFormat="1" applyFont="1" applyFill="1" applyBorder="1"/>
    <xf numFmtId="0" fontId="2" fillId="0" borderId="0" xfId="0" applyFont="1" applyBorder="1"/>
    <xf numFmtId="165" fontId="2" fillId="0" borderId="11" xfId="0" applyNumberFormat="1" applyFont="1" applyFill="1" applyBorder="1"/>
    <xf numFmtId="0" fontId="2" fillId="6" borderId="1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0" xfId="0" applyFont="1" applyFill="1"/>
    <xf numFmtId="0" fontId="12" fillId="6" borderId="0" xfId="0" applyFont="1" applyFill="1"/>
    <xf numFmtId="0" fontId="1" fillId="6" borderId="11" xfId="0" applyFont="1" applyFill="1" applyBorder="1"/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1"/>
  <sheetViews>
    <sheetView tabSelected="1" topLeftCell="A20" zoomScale="80" zoomScaleNormal="80" zoomScalePageLayoutView="85" workbookViewId="0">
      <selection activeCell="N67" sqref="N67"/>
    </sheetView>
  </sheetViews>
  <sheetFormatPr baseColWidth="10" defaultRowHeight="13" x14ac:dyDescent="0.15"/>
  <cols>
    <col min="1" max="1" width="27.6640625" style="2" customWidth="1"/>
    <col min="2" max="2" width="17" style="2" customWidth="1"/>
    <col min="3" max="3" width="12" style="2" bestFit="1" customWidth="1"/>
    <col min="4" max="4" width="16.33203125" style="2" bestFit="1" customWidth="1"/>
    <col min="5" max="5" width="13.6640625" style="2" customWidth="1"/>
    <col min="6" max="7" width="13.1640625" style="2" bestFit="1" customWidth="1"/>
    <col min="8" max="8" width="12" bestFit="1" customWidth="1"/>
  </cols>
  <sheetData>
    <row r="1" spans="1:12" x14ac:dyDescent="0.15">
      <c r="A1" s="19" t="s">
        <v>8</v>
      </c>
      <c r="B1" s="56" t="s">
        <v>47</v>
      </c>
      <c r="C1" s="56"/>
    </row>
    <row r="2" spans="1:12" x14ac:dyDescent="0.15">
      <c r="A2" s="7"/>
      <c r="B2" s="8"/>
      <c r="C2" s="13" t="s">
        <v>13</v>
      </c>
      <c r="D2" s="14"/>
      <c r="E2" s="13" t="s">
        <v>14</v>
      </c>
      <c r="F2" s="14"/>
      <c r="G2" s="13" t="s">
        <v>15</v>
      </c>
      <c r="H2" s="14"/>
      <c r="J2" s="66" t="s">
        <v>87</v>
      </c>
      <c r="K2" s="19" t="s">
        <v>88</v>
      </c>
      <c r="L2" s="19" t="s">
        <v>89</v>
      </c>
    </row>
    <row r="3" spans="1:12" x14ac:dyDescent="0.15">
      <c r="A3" s="9"/>
      <c r="B3" s="5"/>
      <c r="C3" s="11" t="s">
        <v>7</v>
      </c>
      <c r="D3" s="12" t="s">
        <v>7</v>
      </c>
      <c r="E3" s="11" t="s">
        <v>7</v>
      </c>
      <c r="F3" s="12" t="s">
        <v>7</v>
      </c>
      <c r="G3" s="11" t="s">
        <v>9</v>
      </c>
      <c r="H3" s="12" t="s">
        <v>7</v>
      </c>
    </row>
    <row r="4" spans="1:12" x14ac:dyDescent="0.15">
      <c r="A4" s="15" t="s">
        <v>18</v>
      </c>
      <c r="B4" s="15" t="s">
        <v>19</v>
      </c>
      <c r="C4" s="15" t="s">
        <v>0</v>
      </c>
      <c r="D4" s="16" t="s">
        <v>1</v>
      </c>
      <c r="E4" s="15" t="s">
        <v>10</v>
      </c>
      <c r="F4" s="16" t="s">
        <v>1</v>
      </c>
      <c r="G4" s="15" t="s">
        <v>0</v>
      </c>
      <c r="H4" s="16" t="s">
        <v>1</v>
      </c>
    </row>
    <row r="5" spans="1:12" x14ac:dyDescent="0.15">
      <c r="A5" s="29" t="s">
        <v>4</v>
      </c>
      <c r="B5" s="29" t="s">
        <v>24</v>
      </c>
      <c r="C5" s="30">
        <f>10*LOG10(125)</f>
        <v>20.969100130080562</v>
      </c>
      <c r="D5" s="30">
        <f t="shared" ref="D5:H5" si="0">10*LOG10(125)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12" x14ac:dyDescent="0.15">
      <c r="A6" s="29"/>
      <c r="B6" s="29" t="s">
        <v>25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</row>
    <row r="7" spans="1:12" x14ac:dyDescent="0.15">
      <c r="A7" s="29"/>
      <c r="B7" s="29" t="s">
        <v>26</v>
      </c>
      <c r="C7" s="29">
        <v>-6</v>
      </c>
      <c r="D7" s="29">
        <v>-6</v>
      </c>
      <c r="E7" s="29">
        <v>-6</v>
      </c>
      <c r="F7" s="29">
        <v>-6</v>
      </c>
      <c r="G7" s="29">
        <v>-6</v>
      </c>
      <c r="H7" s="29">
        <v>-6</v>
      </c>
    </row>
    <row r="8" spans="1:12" x14ac:dyDescent="0.15">
      <c r="A8" s="29" t="s">
        <v>5</v>
      </c>
      <c r="B8" s="29" t="s">
        <v>27</v>
      </c>
      <c r="C8" s="29">
        <v>-14</v>
      </c>
      <c r="D8" s="29">
        <v>-14</v>
      </c>
      <c r="E8" s="29">
        <v>-12</v>
      </c>
      <c r="F8" s="29">
        <v>-12</v>
      </c>
      <c r="G8" s="29">
        <v>-11</v>
      </c>
      <c r="H8" s="29">
        <v>-11</v>
      </c>
    </row>
    <row r="9" spans="1:12" x14ac:dyDescent="0.15">
      <c r="A9" s="29"/>
      <c r="B9" s="29" t="s">
        <v>28</v>
      </c>
      <c r="C9" s="29">
        <v>-12</v>
      </c>
      <c r="D9" s="29">
        <v>-12</v>
      </c>
      <c r="E9" s="29">
        <v>-10</v>
      </c>
      <c r="F9" s="29">
        <v>-10</v>
      </c>
      <c r="G9" s="29">
        <v>-8</v>
      </c>
      <c r="H9" s="29">
        <v>-8</v>
      </c>
    </row>
    <row r="10" spans="1:12" x14ac:dyDescent="0.15">
      <c r="A10" s="29" t="s">
        <v>6</v>
      </c>
      <c r="B10" s="29" t="s">
        <v>25</v>
      </c>
      <c r="C10" s="29">
        <v>21</v>
      </c>
      <c r="D10" s="29">
        <v>21</v>
      </c>
      <c r="E10" s="29">
        <v>21</v>
      </c>
      <c r="F10" s="29">
        <v>21</v>
      </c>
      <c r="G10" s="29">
        <v>21</v>
      </c>
      <c r="H10" s="29">
        <v>21</v>
      </c>
    </row>
    <row r="11" spans="1:12" x14ac:dyDescent="0.15">
      <c r="A11" s="29"/>
      <c r="B11" s="29" t="s">
        <v>26</v>
      </c>
      <c r="C11" s="29">
        <v>-3</v>
      </c>
      <c r="D11" s="29">
        <v>-3</v>
      </c>
      <c r="E11" s="29">
        <v>-3</v>
      </c>
      <c r="F11" s="29">
        <v>-3</v>
      </c>
      <c r="G11" s="29">
        <v>-3</v>
      </c>
      <c r="H11" s="29">
        <v>-3</v>
      </c>
    </row>
    <row r="12" spans="1:12" x14ac:dyDescent="0.15">
      <c r="A12" s="29"/>
      <c r="B12" s="29" t="s">
        <v>29</v>
      </c>
      <c r="C12" s="29">
        <v>121</v>
      </c>
      <c r="D12" s="29">
        <v>120</v>
      </c>
      <c r="E12" s="29">
        <v>121</v>
      </c>
      <c r="F12" s="29">
        <v>120</v>
      </c>
      <c r="G12" s="29">
        <v>121</v>
      </c>
      <c r="H12" s="29">
        <v>120</v>
      </c>
    </row>
    <row r="13" spans="1:12" x14ac:dyDescent="0.15">
      <c r="A13" s="17" t="s">
        <v>30</v>
      </c>
      <c r="B13" s="41" t="s">
        <v>31</v>
      </c>
      <c r="C13" s="31">
        <f>SUM(C5:C12)</f>
        <v>127.96910013008056</v>
      </c>
      <c r="D13" s="31">
        <f t="shared" ref="D13:H13" si="1">SUM(D5:D12)</f>
        <v>126.96910013008056</v>
      </c>
      <c r="E13" s="31">
        <f t="shared" si="1"/>
        <v>131.96910013008056</v>
      </c>
      <c r="F13" s="31">
        <f t="shared" si="1"/>
        <v>130.96910013008056</v>
      </c>
      <c r="G13" s="31">
        <f t="shared" si="1"/>
        <v>134.96910013008056</v>
      </c>
      <c r="H13" s="31">
        <f t="shared" si="1"/>
        <v>133.96910013008056</v>
      </c>
      <c r="J13" s="66">
        <v>1</v>
      </c>
      <c r="K13" s="66">
        <v>1</v>
      </c>
      <c r="L13" s="66">
        <f>J13*K13</f>
        <v>1</v>
      </c>
    </row>
    <row r="14" spans="1:12" x14ac:dyDescent="0.15">
      <c r="D14" s="6"/>
      <c r="F14" s="6"/>
    </row>
    <row r="15" spans="1:12" x14ac:dyDescent="0.15">
      <c r="A15" s="32"/>
      <c r="B15" s="33" t="s">
        <v>13</v>
      </c>
      <c r="C15" s="33" t="s">
        <v>14</v>
      </c>
      <c r="D15" s="33" t="s">
        <v>15</v>
      </c>
    </row>
    <row r="16" spans="1:12" x14ac:dyDescent="0.15">
      <c r="A16" s="43" t="s">
        <v>32</v>
      </c>
      <c r="B16" s="44">
        <v>24</v>
      </c>
      <c r="C16" s="44">
        <v>6</v>
      </c>
      <c r="D16" s="44">
        <v>0</v>
      </c>
    </row>
    <row r="17" spans="1:12" x14ac:dyDescent="0.15">
      <c r="A17" s="43" t="s">
        <v>33</v>
      </c>
      <c r="B17" s="44">
        <v>8</v>
      </c>
      <c r="C17" s="44">
        <v>15</v>
      </c>
      <c r="D17" s="44">
        <v>40</v>
      </c>
    </row>
    <row r="18" spans="1:12" x14ac:dyDescent="0.15">
      <c r="A18" s="42" t="s">
        <v>34</v>
      </c>
      <c r="B18" s="29">
        <f>SUM(B16:B17)</f>
        <v>32</v>
      </c>
      <c r="C18" s="29">
        <f t="shared" ref="C18:D18" si="2">SUM(C16:C17)</f>
        <v>21</v>
      </c>
      <c r="D18" s="29">
        <f t="shared" si="2"/>
        <v>40</v>
      </c>
    </row>
    <row r="19" spans="1:12" x14ac:dyDescent="0.15">
      <c r="A19" s="42" t="s">
        <v>35</v>
      </c>
      <c r="B19" s="29">
        <v>1.72</v>
      </c>
      <c r="C19" s="29">
        <v>1.72</v>
      </c>
      <c r="D19" s="29">
        <v>1.72</v>
      </c>
    </row>
    <row r="20" spans="1:12" x14ac:dyDescent="0.15">
      <c r="A20" s="42" t="s">
        <v>36</v>
      </c>
      <c r="B20" s="29">
        <v>900</v>
      </c>
      <c r="C20" s="29">
        <v>900</v>
      </c>
      <c r="D20" s="29">
        <v>900</v>
      </c>
    </row>
    <row r="21" spans="1:12" x14ac:dyDescent="0.15">
      <c r="A21" s="34" t="s">
        <v>2</v>
      </c>
      <c r="B21" s="32" t="s">
        <v>86</v>
      </c>
      <c r="C21" s="32" t="s">
        <v>3</v>
      </c>
      <c r="D21" s="32" t="s">
        <v>3</v>
      </c>
    </row>
    <row r="22" spans="1:12" x14ac:dyDescent="0.15">
      <c r="A22" s="43" t="s">
        <v>37</v>
      </c>
      <c r="B22" s="34">
        <f>IF(B20&lt;1500,69.55,46.3)</f>
        <v>69.55</v>
      </c>
      <c r="C22" s="34">
        <f t="shared" ref="C22:D22" si="3">IF(C20&lt;1500,69.55,46.3)</f>
        <v>69.55</v>
      </c>
      <c r="D22" s="34">
        <f t="shared" si="3"/>
        <v>69.55</v>
      </c>
    </row>
    <row r="23" spans="1:12" x14ac:dyDescent="0.15">
      <c r="A23" s="43" t="s">
        <v>38</v>
      </c>
      <c r="B23" s="34">
        <f>IF(B20&lt;1500,26.16,33.9)</f>
        <v>26.16</v>
      </c>
      <c r="C23" s="34">
        <f t="shared" ref="C23:D23" si="4">IF(C20&lt;1500,26.16,33.9)</f>
        <v>26.16</v>
      </c>
      <c r="D23" s="34">
        <f t="shared" si="4"/>
        <v>26.16</v>
      </c>
    </row>
    <row r="24" spans="1:12" x14ac:dyDescent="0.15">
      <c r="A24" s="43" t="s">
        <v>39</v>
      </c>
      <c r="B24" s="34">
        <f>3.2*(LOG10(11.75*B19))^2-4.97</f>
        <v>0.48441087675501127</v>
      </c>
      <c r="C24" s="34">
        <f>C19*(1.1*LOG10(C20)-0.7)-(1.56*LOG10(C20)-0.8)</f>
        <v>0.57680851313385606</v>
      </c>
      <c r="D24" s="34">
        <f>D19*(1.1*LOG10(D20)-0.7)-(1.56*LOG10(D20)-0.8)</f>
        <v>0.57680851313385606</v>
      </c>
    </row>
    <row r="25" spans="1:12" x14ac:dyDescent="0.15">
      <c r="A25" s="43" t="s">
        <v>40</v>
      </c>
      <c r="B25" s="34"/>
      <c r="C25" s="34">
        <f>44.9-6.55*LOG10(C19)</f>
        <v>43.357288672755551</v>
      </c>
      <c r="D25" s="34">
        <f>44.9-6.55*LOG10(D19)</f>
        <v>43.357288672755551</v>
      </c>
    </row>
    <row r="26" spans="1:12" x14ac:dyDescent="0.15">
      <c r="A26" s="43" t="s">
        <v>41</v>
      </c>
      <c r="B26" s="34">
        <f>IF(B20&lt;1500,B27,B28)</f>
        <v>50.661948417107268</v>
      </c>
      <c r="C26" s="34"/>
      <c r="D26" s="34"/>
    </row>
    <row r="27" spans="1:12" x14ac:dyDescent="0.15">
      <c r="A27" s="46" t="s">
        <v>42</v>
      </c>
      <c r="B27" s="46">
        <f>(71.13+6.16*LOG10(B20)-13.82*LOG10(B19))/LOG10(50)</f>
        <v>50.661948417107268</v>
      </c>
      <c r="C27" s="46"/>
      <c r="D27" s="46"/>
    </row>
    <row r="28" spans="1:12" x14ac:dyDescent="0.15">
      <c r="A28" s="46" t="s">
        <v>43</v>
      </c>
      <c r="B28" s="46">
        <f>(47.88+13.9*LOG10(B20)-13.82*LOG10(B19))/LOG10(50)</f>
        <v>50.435833196733057</v>
      </c>
      <c r="C28" s="47"/>
      <c r="D28" s="47"/>
      <c r="J28" s="66">
        <v>2.5</v>
      </c>
      <c r="K28" s="66">
        <v>0</v>
      </c>
      <c r="L28" s="66">
        <f t="shared" ref="L28:L73" si="5">J28*K28</f>
        <v>0</v>
      </c>
    </row>
    <row r="29" spans="1:12" x14ac:dyDescent="0.15">
      <c r="A29" s="45" t="s">
        <v>44</v>
      </c>
      <c r="B29" s="34">
        <v>0</v>
      </c>
      <c r="C29" s="34">
        <f>-2*(LOG10(C20/28))^2-5.4</f>
        <v>-9.942607248242453</v>
      </c>
      <c r="D29" s="34">
        <f>-4.78*(LOG10(D20))^2+18.33*LOG10(D20)-40.94</f>
        <v>-28.506418087861732</v>
      </c>
    </row>
    <row r="30" spans="1:12" x14ac:dyDescent="0.15">
      <c r="A30" s="45" t="s">
        <v>49</v>
      </c>
      <c r="B30" s="45">
        <f>B22+B23*LOG10(B20)-B24+B29</f>
        <v>146.3485731701777</v>
      </c>
      <c r="C30" s="45">
        <f>C22+C23*LOG10(C20)-C24+C29</f>
        <v>136.31356828555641</v>
      </c>
      <c r="D30" s="45">
        <f t="shared" ref="D30" si="6">D22+D23*LOG10(D20)-D24+D29</f>
        <v>117.74975744593712</v>
      </c>
    </row>
    <row r="31" spans="1:12" x14ac:dyDescent="0.15">
      <c r="A31" s="45" t="s">
        <v>46</v>
      </c>
      <c r="B31" s="48">
        <f>MIN(C13:D13)</f>
        <v>126.96910013008056</v>
      </c>
      <c r="C31" s="48">
        <f>MIN(E13:F13)</f>
        <v>130.96910013008056</v>
      </c>
      <c r="D31" s="48">
        <f>MIN(G13:H13)</f>
        <v>133.96910013008056</v>
      </c>
    </row>
    <row r="32" spans="1:12" x14ac:dyDescent="0.15">
      <c r="A32" s="17" t="s">
        <v>45</v>
      </c>
      <c r="B32" s="68">
        <f>10^((B31-B30)/B26)</f>
        <v>0.41445251415017725</v>
      </c>
      <c r="C32" s="68">
        <f>10^((C31-C30)/C25)</f>
        <v>0.75289473946654073</v>
      </c>
      <c r="D32" s="68">
        <f>10^((D31-D30)/D25)</f>
        <v>2.3663867399207201</v>
      </c>
      <c r="E32" s="49" t="s">
        <v>48</v>
      </c>
      <c r="F32" s="4"/>
      <c r="G32" s="4"/>
    </row>
    <row r="34" spans="1:12" x14ac:dyDescent="0.15">
      <c r="A34" s="18" t="s">
        <v>12</v>
      </c>
      <c r="B34" s="5"/>
      <c r="C34" s="5"/>
      <c r="D34" s="5"/>
      <c r="E34" s="5"/>
      <c r="F34" s="5"/>
      <c r="G34" s="5"/>
    </row>
    <row r="35" spans="1:12" x14ac:dyDescent="0.15">
      <c r="A35" s="42" t="s">
        <v>51</v>
      </c>
      <c r="B35" s="35">
        <v>783.87</v>
      </c>
      <c r="C35" s="5"/>
      <c r="D35" s="5"/>
      <c r="E35" s="5"/>
      <c r="F35" s="5"/>
      <c r="G35" s="5"/>
    </row>
    <row r="36" spans="1:12" x14ac:dyDescent="0.15">
      <c r="A36" s="42" t="s">
        <v>50</v>
      </c>
      <c r="B36" s="35">
        <v>921332</v>
      </c>
      <c r="C36" s="5"/>
      <c r="D36" s="5"/>
      <c r="E36" s="5"/>
      <c r="F36" s="5"/>
      <c r="G36" s="5"/>
    </row>
    <row r="37" spans="1:12" x14ac:dyDescent="0.15">
      <c r="A37" s="7"/>
      <c r="B37" s="60" t="s">
        <v>13</v>
      </c>
      <c r="C37" s="61"/>
      <c r="D37" s="60" t="s">
        <v>14</v>
      </c>
      <c r="E37" s="61"/>
      <c r="F37" s="60" t="s">
        <v>15</v>
      </c>
      <c r="G37" s="61"/>
    </row>
    <row r="38" spans="1:12" x14ac:dyDescent="0.15">
      <c r="A38" s="42" t="s">
        <v>52</v>
      </c>
      <c r="B38" s="36">
        <v>0.15</v>
      </c>
      <c r="C38" s="36">
        <v>0.15</v>
      </c>
      <c r="D38" s="36">
        <v>0.25</v>
      </c>
      <c r="E38" s="36">
        <v>0.25</v>
      </c>
      <c r="F38" s="36">
        <v>0.6</v>
      </c>
      <c r="G38" s="36">
        <v>0.6</v>
      </c>
    </row>
    <row r="39" spans="1:12" x14ac:dyDescent="0.15">
      <c r="A39" s="43" t="s">
        <v>58</v>
      </c>
      <c r="B39" s="34">
        <f>$B35*B38</f>
        <v>117.5805</v>
      </c>
      <c r="C39" s="34">
        <f t="shared" ref="C39:G39" si="7">$B35*C38</f>
        <v>117.5805</v>
      </c>
      <c r="D39" s="34">
        <f t="shared" si="7"/>
        <v>195.9675</v>
      </c>
      <c r="E39" s="34">
        <f t="shared" si="7"/>
        <v>195.9675</v>
      </c>
      <c r="F39" s="34">
        <f t="shared" si="7"/>
        <v>470.322</v>
      </c>
      <c r="G39" s="34">
        <f t="shared" si="7"/>
        <v>470.322</v>
      </c>
    </row>
    <row r="40" spans="1:12" x14ac:dyDescent="0.15">
      <c r="A40" s="42" t="s">
        <v>53</v>
      </c>
      <c r="B40" s="36">
        <v>0.6</v>
      </c>
      <c r="C40" s="36">
        <v>0.6</v>
      </c>
      <c r="D40" s="36">
        <v>0.35</v>
      </c>
      <c r="E40" s="36">
        <v>0.35</v>
      </c>
      <c r="F40" s="36">
        <v>0.05</v>
      </c>
      <c r="G40" s="36">
        <v>0.05</v>
      </c>
    </row>
    <row r="41" spans="1:12" x14ac:dyDescent="0.15">
      <c r="A41" s="43" t="s">
        <v>59</v>
      </c>
      <c r="B41" s="34">
        <f>$B36*B40</f>
        <v>552799.19999999995</v>
      </c>
      <c r="C41" s="34">
        <f t="shared" ref="C41:G41" si="8">$B36*C40</f>
        <v>552799.19999999995</v>
      </c>
      <c r="D41" s="34">
        <f t="shared" si="8"/>
        <v>322466.19999999995</v>
      </c>
      <c r="E41" s="34">
        <f t="shared" si="8"/>
        <v>322466.19999999995</v>
      </c>
      <c r="F41" s="34">
        <f t="shared" si="8"/>
        <v>46066.600000000006</v>
      </c>
      <c r="G41" s="34">
        <f t="shared" si="8"/>
        <v>46066.600000000006</v>
      </c>
    </row>
    <row r="42" spans="1:12" x14ac:dyDescent="0.15">
      <c r="A42" s="42" t="s">
        <v>54</v>
      </c>
      <c r="B42" s="50">
        <v>1.08</v>
      </c>
      <c r="C42" s="50">
        <v>1.08</v>
      </c>
      <c r="D42" s="50">
        <v>1.08</v>
      </c>
      <c r="E42" s="50">
        <v>1.08</v>
      </c>
      <c r="F42" s="50">
        <v>1.08</v>
      </c>
      <c r="G42" s="50">
        <v>1.08</v>
      </c>
    </row>
    <row r="43" spans="1:12" x14ac:dyDescent="0.15">
      <c r="A43" s="42" t="s">
        <v>55</v>
      </c>
      <c r="B43" s="36">
        <v>0.315</v>
      </c>
      <c r="C43" s="36">
        <v>0.315</v>
      </c>
      <c r="D43" s="36">
        <v>0.315</v>
      </c>
      <c r="E43" s="36">
        <v>0.315</v>
      </c>
      <c r="F43" s="36">
        <v>0.315</v>
      </c>
      <c r="G43" s="36">
        <v>0.315</v>
      </c>
    </row>
    <row r="44" spans="1:12" x14ac:dyDescent="0.15">
      <c r="A44" s="43" t="s">
        <v>60</v>
      </c>
      <c r="B44" s="34">
        <f>B41*B42*B43</f>
        <v>188062.28783999998</v>
      </c>
      <c r="C44" s="34">
        <f t="shared" ref="C44:G44" si="9">C41*C42*C43</f>
        <v>188062.28783999998</v>
      </c>
      <c r="D44" s="34">
        <f t="shared" si="9"/>
        <v>109703.00124</v>
      </c>
      <c r="E44" s="34">
        <f t="shared" si="9"/>
        <v>109703.00124</v>
      </c>
      <c r="F44" s="34">
        <f t="shared" si="9"/>
        <v>15671.857320000003</v>
      </c>
      <c r="G44" s="34">
        <f t="shared" si="9"/>
        <v>15671.857320000003</v>
      </c>
      <c r="J44" s="66">
        <v>1</v>
      </c>
      <c r="K44" s="66">
        <v>1</v>
      </c>
      <c r="L44" s="66">
        <f t="shared" si="5"/>
        <v>1</v>
      </c>
    </row>
    <row r="45" spans="1:12" x14ac:dyDescent="0.15">
      <c r="A45" s="34"/>
      <c r="B45" s="34"/>
      <c r="C45" s="34"/>
      <c r="D45" s="34"/>
      <c r="E45" s="34"/>
      <c r="F45" s="34"/>
      <c r="G45" s="34"/>
    </row>
    <row r="46" spans="1:12" x14ac:dyDescent="0.15">
      <c r="A46" s="42" t="s">
        <v>56</v>
      </c>
      <c r="B46" s="50">
        <v>1.1000000000000001</v>
      </c>
      <c r="C46" s="50">
        <v>1.05</v>
      </c>
      <c r="D46" s="50">
        <v>1</v>
      </c>
      <c r="E46" s="50">
        <v>1.05</v>
      </c>
      <c r="F46" s="50">
        <v>1</v>
      </c>
      <c r="G46" s="50">
        <v>1</v>
      </c>
    </row>
    <row r="47" spans="1:12" x14ac:dyDescent="0.15">
      <c r="A47" s="43" t="s">
        <v>61</v>
      </c>
      <c r="B47" s="34">
        <f>B44*B46</f>
        <v>206868.51662399998</v>
      </c>
      <c r="C47" s="34">
        <f t="shared" ref="C47:G47" si="10">C44*C46</f>
        <v>197465.40223199999</v>
      </c>
      <c r="D47" s="34">
        <f t="shared" si="10"/>
        <v>109703.00124</v>
      </c>
      <c r="E47" s="34">
        <f t="shared" si="10"/>
        <v>115188.151302</v>
      </c>
      <c r="F47" s="34">
        <f t="shared" si="10"/>
        <v>15671.857320000003</v>
      </c>
      <c r="G47" s="34">
        <f t="shared" si="10"/>
        <v>15671.857320000003</v>
      </c>
    </row>
    <row r="48" spans="1:12" x14ac:dyDescent="0.15">
      <c r="A48" s="17" t="s">
        <v>57</v>
      </c>
      <c r="B48" s="17">
        <f>B47/B39</f>
        <v>1759.3777592713075</v>
      </c>
      <c r="C48" s="17">
        <f t="shared" ref="C48:G48" si="11">C47/C39</f>
        <v>1679.4060429407937</v>
      </c>
      <c r="D48" s="17">
        <f t="shared" si="11"/>
        <v>559.80201431359785</v>
      </c>
      <c r="E48" s="17">
        <f t="shared" si="11"/>
        <v>587.79211502927785</v>
      </c>
      <c r="F48" s="17">
        <f t="shared" si="11"/>
        <v>33.3215484710475</v>
      </c>
      <c r="G48" s="17">
        <f t="shared" si="11"/>
        <v>33.3215484710475</v>
      </c>
    </row>
    <row r="50" spans="1:12" x14ac:dyDescent="0.15">
      <c r="A50" s="37" t="s">
        <v>23</v>
      </c>
      <c r="B50" s="1"/>
      <c r="C50" s="1"/>
      <c r="D50" s="1"/>
      <c r="E50" s="1"/>
      <c r="F50" s="1"/>
      <c r="G50" s="1"/>
      <c r="J50" s="66">
        <v>1</v>
      </c>
      <c r="K50" s="66">
        <v>0.67</v>
      </c>
      <c r="L50" s="66">
        <f t="shared" si="5"/>
        <v>0.67</v>
      </c>
    </row>
    <row r="51" spans="1:12" x14ac:dyDescent="0.15">
      <c r="A51" s="28" t="s">
        <v>62</v>
      </c>
      <c r="B51" s="57">
        <v>12</v>
      </c>
      <c r="C51" s="58"/>
      <c r="D51" s="57">
        <v>10</v>
      </c>
      <c r="E51" s="58"/>
      <c r="F51" s="57">
        <v>8</v>
      </c>
      <c r="G51" s="58"/>
    </row>
    <row r="52" spans="1:12" x14ac:dyDescent="0.15">
      <c r="A52" s="28" t="s">
        <v>63</v>
      </c>
      <c r="B52" s="57">
        <f>B51/0.2</f>
        <v>60</v>
      </c>
      <c r="C52" s="58"/>
      <c r="D52" s="57">
        <f t="shared" ref="D52" si="12">D51/0.2</f>
        <v>50</v>
      </c>
      <c r="E52" s="58"/>
      <c r="F52" s="57">
        <f t="shared" ref="F52" si="13">F51/0.2</f>
        <v>40</v>
      </c>
      <c r="G52" s="58"/>
      <c r="H52" s="51" t="s">
        <v>64</v>
      </c>
    </row>
    <row r="53" spans="1:12" x14ac:dyDescent="0.15">
      <c r="A53" s="28" t="s">
        <v>67</v>
      </c>
      <c r="B53" s="57">
        <v>3</v>
      </c>
      <c r="C53" s="58"/>
      <c r="D53" s="57">
        <v>3</v>
      </c>
      <c r="E53" s="58"/>
      <c r="F53" s="57">
        <v>4</v>
      </c>
      <c r="G53" s="58"/>
    </row>
    <row r="54" spans="1:12" x14ac:dyDescent="0.15">
      <c r="A54" s="52" t="s">
        <v>65</v>
      </c>
      <c r="B54" s="57">
        <v>4</v>
      </c>
      <c r="C54" s="58"/>
      <c r="D54" s="57">
        <v>3</v>
      </c>
      <c r="E54" s="58"/>
      <c r="F54" s="57">
        <v>3</v>
      </c>
      <c r="G54" s="58"/>
    </row>
    <row r="55" spans="1:12" x14ac:dyDescent="0.15">
      <c r="A55" s="10" t="s">
        <v>20</v>
      </c>
      <c r="B55" s="64">
        <f>ROUNDUP(B52/(B53*B54),0)</f>
        <v>5</v>
      </c>
      <c r="C55" s="65"/>
      <c r="D55" s="69">
        <f>ROUNDUP(D52/(D53*D54),0)</f>
        <v>6</v>
      </c>
      <c r="E55" s="70"/>
      <c r="F55" s="69">
        <f>ROUNDUP(F52/(F53*F54),0)</f>
        <v>4</v>
      </c>
      <c r="G55" s="70"/>
      <c r="H55" s="51" t="s">
        <v>66</v>
      </c>
    </row>
    <row r="57" spans="1:12" x14ac:dyDescent="0.15">
      <c r="A57" s="38" t="s">
        <v>11</v>
      </c>
      <c r="B57" s="5"/>
      <c r="C57" s="5"/>
      <c r="D57" s="5"/>
      <c r="E57" s="5"/>
      <c r="F57" s="5"/>
      <c r="G57" s="5"/>
    </row>
    <row r="58" spans="1:12" x14ac:dyDescent="0.15">
      <c r="A58" s="29" t="s">
        <v>20</v>
      </c>
      <c r="B58" s="63">
        <f>B55</f>
        <v>5</v>
      </c>
      <c r="C58" s="63"/>
      <c r="D58" s="63">
        <f t="shared" ref="D58" si="14">D55</f>
        <v>6</v>
      </c>
      <c r="E58" s="63"/>
      <c r="F58" s="63">
        <f t="shared" ref="F58" si="15">F55</f>
        <v>4</v>
      </c>
      <c r="G58" s="63"/>
    </row>
    <row r="59" spans="1:12" x14ac:dyDescent="0.15">
      <c r="A59" s="43" t="s">
        <v>69</v>
      </c>
      <c r="B59" s="62">
        <f>B58*7</f>
        <v>35</v>
      </c>
      <c r="C59" s="62"/>
      <c r="D59" s="62">
        <f t="shared" ref="D59" si="16">D58*7</f>
        <v>42</v>
      </c>
      <c r="E59" s="62"/>
      <c r="F59" s="62">
        <f t="shared" ref="F59" si="17">F58*7</f>
        <v>28</v>
      </c>
      <c r="G59" s="62"/>
    </row>
    <row r="60" spans="1:12" x14ac:dyDescent="0.15">
      <c r="A60" s="34"/>
      <c r="B60" s="59" t="s">
        <v>13</v>
      </c>
      <c r="C60" s="59"/>
      <c r="D60" s="59" t="s">
        <v>14</v>
      </c>
      <c r="E60" s="59"/>
      <c r="F60" s="59" t="s">
        <v>15</v>
      </c>
      <c r="G60" s="59"/>
    </row>
    <row r="61" spans="1:12" x14ac:dyDescent="0.15">
      <c r="A61" s="34"/>
      <c r="B61" s="38" t="s">
        <v>0</v>
      </c>
      <c r="C61" s="38" t="s">
        <v>1</v>
      </c>
      <c r="D61" s="38" t="s">
        <v>0</v>
      </c>
      <c r="E61" s="38" t="s">
        <v>1</v>
      </c>
      <c r="F61" s="38" t="s">
        <v>0</v>
      </c>
      <c r="G61" s="38" t="s">
        <v>1</v>
      </c>
    </row>
    <row r="62" spans="1:12" x14ac:dyDescent="0.15">
      <c r="A62" s="43" t="s">
        <v>71</v>
      </c>
      <c r="B62" s="43">
        <v>1</v>
      </c>
      <c r="C62" s="53">
        <v>2</v>
      </c>
      <c r="D62" s="43">
        <v>1</v>
      </c>
      <c r="E62" s="53">
        <v>2</v>
      </c>
      <c r="F62" s="43">
        <v>1</v>
      </c>
      <c r="G62" s="53">
        <v>2</v>
      </c>
      <c r="H62" s="1"/>
    </row>
    <row r="63" spans="1:12" x14ac:dyDescent="0.15">
      <c r="A63" s="43" t="s">
        <v>70</v>
      </c>
      <c r="B63" s="34">
        <v>11</v>
      </c>
      <c r="C63" s="55">
        <v>24</v>
      </c>
      <c r="D63" s="43">
        <v>14</v>
      </c>
      <c r="E63" s="55">
        <v>28</v>
      </c>
      <c r="F63" s="43">
        <v>9</v>
      </c>
      <c r="G63" s="55">
        <v>19</v>
      </c>
      <c r="H63" s="1"/>
    </row>
    <row r="64" spans="1:12" x14ac:dyDescent="0.15">
      <c r="A64" s="43" t="s">
        <v>72</v>
      </c>
      <c r="B64" s="39">
        <f>B63/B62</f>
        <v>11</v>
      </c>
      <c r="C64" s="39">
        <f t="shared" ref="C64:G64" si="18">C63/C62</f>
        <v>12</v>
      </c>
      <c r="D64" s="39">
        <f t="shared" si="18"/>
        <v>14</v>
      </c>
      <c r="E64" s="39">
        <f t="shared" si="18"/>
        <v>14</v>
      </c>
      <c r="F64" s="39">
        <f t="shared" si="18"/>
        <v>9</v>
      </c>
      <c r="G64" s="39">
        <f t="shared" si="18"/>
        <v>9.5</v>
      </c>
      <c r="H64" s="54" t="s">
        <v>77</v>
      </c>
    </row>
    <row r="65" spans="1:12" x14ac:dyDescent="0.15">
      <c r="A65" s="43" t="s">
        <v>74</v>
      </c>
      <c r="B65" s="40">
        <f>Erlang!$B12</f>
        <v>5.8415311000000001</v>
      </c>
      <c r="C65" s="40">
        <f>Erlang!$B13</f>
        <v>6.6147182999999998</v>
      </c>
      <c r="D65" s="40">
        <f>Erlang!$B15</f>
        <v>8.2002682999999994</v>
      </c>
      <c r="E65" s="40">
        <f>Erlang!$B15</f>
        <v>8.2002682999999994</v>
      </c>
      <c r="F65" s="40">
        <f>Erlang!$B10</f>
        <v>4.3447291999999997</v>
      </c>
      <c r="G65" s="40">
        <f>Erlang!$B10</f>
        <v>4.3447291999999997</v>
      </c>
      <c r="H65" s="54" t="s">
        <v>84</v>
      </c>
    </row>
    <row r="66" spans="1:12" x14ac:dyDescent="0.15">
      <c r="A66" s="42" t="s">
        <v>73</v>
      </c>
      <c r="B66" s="29">
        <v>1.4999999999999999E-2</v>
      </c>
      <c r="C66" s="29">
        <v>0.02</v>
      </c>
      <c r="D66" s="29">
        <v>1.2E-2</v>
      </c>
      <c r="E66" s="29">
        <v>1.2999999999999999E-2</v>
      </c>
      <c r="F66" s="29">
        <v>1.0999999999999999E-2</v>
      </c>
      <c r="G66" s="29">
        <v>1.0999999999999999E-2</v>
      </c>
      <c r="H66" s="1"/>
    </row>
    <row r="67" spans="1:12" x14ac:dyDescent="0.15">
      <c r="A67" s="43" t="s">
        <v>75</v>
      </c>
      <c r="B67" s="43">
        <f>B65/B66</f>
        <v>389.43540666666667</v>
      </c>
      <c r="C67" s="43">
        <f t="shared" ref="C67:F67" si="19">C65/C66</f>
        <v>330.73591499999998</v>
      </c>
      <c r="D67" s="43">
        <f t="shared" si="19"/>
        <v>683.35569166666664</v>
      </c>
      <c r="E67" s="43">
        <f t="shared" si="19"/>
        <v>630.78986923076923</v>
      </c>
      <c r="F67" s="43">
        <f t="shared" si="19"/>
        <v>394.9753818181818</v>
      </c>
      <c r="G67" s="43">
        <f>G65/G66</f>
        <v>394.9753818181818</v>
      </c>
      <c r="H67" s="1"/>
    </row>
    <row r="68" spans="1:12" x14ac:dyDescent="0.15">
      <c r="A68" s="32"/>
      <c r="B68" s="43"/>
      <c r="C68" s="43"/>
      <c r="D68" s="43"/>
      <c r="E68" s="43"/>
      <c r="F68" s="43"/>
      <c r="G68" s="43"/>
      <c r="H68" s="1"/>
    </row>
    <row r="69" spans="1:12" x14ac:dyDescent="0.15">
      <c r="A69" s="17" t="s">
        <v>68</v>
      </c>
      <c r="B69" s="17">
        <f>SQRT((B67*B54)/(PI()*B48))</f>
        <v>0.53087616562551365</v>
      </c>
      <c r="C69" s="17">
        <f>SQRT((C67*B54)/(PI()*C48))</f>
        <v>0.50074645399663253</v>
      </c>
      <c r="D69" s="17">
        <f>SQRT((D67*D54)/(PI()*D48))</f>
        <v>1.0796720795184946</v>
      </c>
      <c r="E69" s="17">
        <f>SQRT((E67*D54)/(PI()*E48))</f>
        <v>1.0123161558413452</v>
      </c>
      <c r="F69" s="17">
        <f>SQRT((F67*F54)/(PI()*F48))</f>
        <v>3.3644038187896612</v>
      </c>
      <c r="G69" s="17">
        <f>SQRT((G67*F54)/(PI()*G48))</f>
        <v>3.3644038187896612</v>
      </c>
      <c r="H69" s="51" t="s">
        <v>76</v>
      </c>
      <c r="J69" s="66">
        <v>3</v>
      </c>
      <c r="K69" s="66">
        <v>1</v>
      </c>
      <c r="L69" s="66">
        <f>J69*K69</f>
        <v>3</v>
      </c>
    </row>
    <row r="71" spans="1:12" x14ac:dyDescent="0.15">
      <c r="A71" s="32"/>
      <c r="B71" s="32" t="s">
        <v>13</v>
      </c>
      <c r="C71" s="32" t="s">
        <v>14</v>
      </c>
      <c r="D71" s="32" t="s">
        <v>16</v>
      </c>
      <c r="E71" s="1"/>
      <c r="F71"/>
      <c r="G71"/>
    </row>
    <row r="72" spans="1:12" x14ac:dyDescent="0.15">
      <c r="A72" s="43" t="s">
        <v>79</v>
      </c>
      <c r="B72" s="43">
        <f>B32</f>
        <v>0.41445251415017725</v>
      </c>
      <c r="C72" s="43">
        <f t="shared" ref="C72:D72" si="20">C32</f>
        <v>0.75289473946654073</v>
      </c>
      <c r="D72" s="43">
        <f t="shared" si="20"/>
        <v>2.3663867399207201</v>
      </c>
      <c r="E72" s="1"/>
      <c r="F72"/>
      <c r="G72"/>
    </row>
    <row r="73" spans="1:12" x14ac:dyDescent="0.15">
      <c r="A73" s="43" t="s">
        <v>78</v>
      </c>
      <c r="B73" s="43">
        <f>MIN(B69:C69)</f>
        <v>0.50074645399663253</v>
      </c>
      <c r="C73" s="43">
        <f>MIN(D69:E69)</f>
        <v>1.0123161558413452</v>
      </c>
      <c r="D73" s="43">
        <f>MIN(F69:G69)</f>
        <v>3.3644038187896612</v>
      </c>
      <c r="E73" s="1"/>
      <c r="F73"/>
      <c r="G73"/>
    </row>
    <row r="74" spans="1:12" x14ac:dyDescent="0.15">
      <c r="A74" s="32" t="s">
        <v>80</v>
      </c>
      <c r="B74" s="32">
        <f>MIN(B72:B73)</f>
        <v>0.41445251415017725</v>
      </c>
      <c r="C74" s="32">
        <f t="shared" ref="C74:D74" si="21">MIN(C72:C73)</f>
        <v>0.75289473946654073</v>
      </c>
      <c r="D74" s="32">
        <f t="shared" si="21"/>
        <v>2.3663867399207201</v>
      </c>
      <c r="E74" s="1"/>
      <c r="F74"/>
      <c r="G74"/>
      <c r="J74" s="66">
        <v>0.75</v>
      </c>
      <c r="K74" s="66">
        <v>0.67</v>
      </c>
      <c r="L74" s="66">
        <f>J74*K74</f>
        <v>0.50250000000000006</v>
      </c>
    </row>
    <row r="75" spans="1:12" x14ac:dyDescent="0.15">
      <c r="A75" s="32" t="s">
        <v>81</v>
      </c>
      <c r="B75" s="32">
        <f>PI()*B74^2</f>
        <v>0.53963415508314794</v>
      </c>
      <c r="C75" s="32">
        <f t="shared" ref="C75:D75" si="22">PI()*C74^2</f>
        <v>1.7808133310351955</v>
      </c>
      <c r="D75" s="32">
        <f t="shared" si="22"/>
        <v>17.592247196618086</v>
      </c>
      <c r="E75" s="1"/>
      <c r="F75"/>
      <c r="G75"/>
    </row>
    <row r="76" spans="1:12" x14ac:dyDescent="0.15">
      <c r="A76" s="17" t="s">
        <v>17</v>
      </c>
      <c r="B76" s="17">
        <f>ROUNDUP(B39/B75,0)</f>
        <v>218</v>
      </c>
      <c r="C76" s="17">
        <f t="shared" ref="C76:D76" si="23">ROUNDUP(C39/C75,0)</f>
        <v>67</v>
      </c>
      <c r="D76" s="17">
        <f t="shared" si="23"/>
        <v>12</v>
      </c>
      <c r="E76" s="1"/>
      <c r="F76"/>
      <c r="G76"/>
    </row>
    <row r="77" spans="1:12" x14ac:dyDescent="0.15">
      <c r="A77" s="34"/>
      <c r="B77" s="34"/>
      <c r="C77" s="34"/>
      <c r="D77" s="34"/>
    </row>
    <row r="78" spans="1:12" x14ac:dyDescent="0.15">
      <c r="A78" s="42" t="s">
        <v>82</v>
      </c>
      <c r="B78" s="29">
        <v>45000</v>
      </c>
      <c r="C78" s="29">
        <v>65000</v>
      </c>
      <c r="D78" s="29">
        <v>115000</v>
      </c>
      <c r="E78" s="3"/>
      <c r="F78" s="5"/>
      <c r="J78" s="66">
        <v>0.75</v>
      </c>
      <c r="K78" s="66">
        <v>0.67</v>
      </c>
      <c r="L78" s="66">
        <f>J78*K78</f>
        <v>0.50250000000000006</v>
      </c>
    </row>
    <row r="79" spans="1:12" x14ac:dyDescent="0.15">
      <c r="A79" s="17" t="s">
        <v>83</v>
      </c>
      <c r="B79" s="17">
        <f>B78*B76</f>
        <v>9810000</v>
      </c>
      <c r="C79" s="17">
        <f t="shared" ref="C79:D79" si="24">C78*C76</f>
        <v>4355000</v>
      </c>
      <c r="D79" s="17">
        <f t="shared" si="24"/>
        <v>1380000</v>
      </c>
      <c r="E79" s="4"/>
      <c r="F79" s="5"/>
      <c r="G79" s="5"/>
      <c r="J79" s="66">
        <f>SUM(J1:J78)</f>
        <v>10</v>
      </c>
      <c r="K79" s="27"/>
      <c r="L79" s="67">
        <f>SUM(L13:L78)</f>
        <v>6.6750000000000007</v>
      </c>
    </row>
    <row r="80" spans="1:12" x14ac:dyDescent="0.15">
      <c r="E80" s="3"/>
      <c r="F80" s="4"/>
      <c r="G80" s="4"/>
    </row>
    <row r="81" spans="1:12" s="27" customFormat="1" x14ac:dyDescent="0.15">
      <c r="A81" s="17" t="s">
        <v>85</v>
      </c>
      <c r="B81" s="17">
        <f>SUM(B79:D79)</f>
        <v>15545000</v>
      </c>
      <c r="C81" s="4"/>
      <c r="D81" s="4"/>
      <c r="E81" s="26"/>
      <c r="F81" s="26"/>
      <c r="G81" s="26"/>
      <c r="J81"/>
      <c r="K81"/>
      <c r="L81"/>
    </row>
  </sheetData>
  <mergeCells count="28">
    <mergeCell ref="B51:C51"/>
    <mergeCell ref="D51:E51"/>
    <mergeCell ref="F51:G51"/>
    <mergeCell ref="B52:C52"/>
    <mergeCell ref="B55:C55"/>
    <mergeCell ref="D55:E55"/>
    <mergeCell ref="F55:G55"/>
    <mergeCell ref="D52:E52"/>
    <mergeCell ref="F52:G52"/>
    <mergeCell ref="B53:C53"/>
    <mergeCell ref="D53:E53"/>
    <mergeCell ref="F53:G53"/>
    <mergeCell ref="B1:C1"/>
    <mergeCell ref="B54:C54"/>
    <mergeCell ref="D54:E54"/>
    <mergeCell ref="F54:G54"/>
    <mergeCell ref="B60:C60"/>
    <mergeCell ref="D60:E60"/>
    <mergeCell ref="F60:G60"/>
    <mergeCell ref="B37:C37"/>
    <mergeCell ref="D37:E37"/>
    <mergeCell ref="F37:G37"/>
    <mergeCell ref="B59:C59"/>
    <mergeCell ref="D59:E59"/>
    <mergeCell ref="F59:G59"/>
    <mergeCell ref="B58:C58"/>
    <mergeCell ref="D58:E58"/>
    <mergeCell ref="F58:G58"/>
  </mergeCells>
  <phoneticPr fontId="3" type="noConversion"/>
  <pageMargins left="0.75000000000000011" right="0.75000000000000011" top="1" bottom="1" header="0.5" footer="0.5"/>
  <pageSetup paperSize="9" scale="65" orientation="portrait" r:id="rId1"/>
  <ignoredErrors>
    <ignoredError sqref="D69:E69 C69 F6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21</v>
      </c>
      <c r="B1" s="21" t="s">
        <v>22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2021-12-04T11:27:04Z</dcterms:modified>
</cp:coreProperties>
</file>