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date1904="1" showInkAnnotation="0" autoCompressPictures="0"/>
  <bookViews>
    <workbookView xWindow="0" yWindow="555" windowWidth="20730" windowHeight="11760" tabRatio="960" activeTab="6"/>
  </bookViews>
  <sheets>
    <sheet name="Tráfico (1 ptos)" sheetId="18" r:id="rId1"/>
    <sheet name="UMTS (3, ptos)" sheetId="5" r:id="rId2"/>
    <sheet name="GSM (2,6 ptos )" sheetId="6" r:id="rId3"/>
    <sheet name="Pruebas Propagación" sheetId="25" r:id="rId4"/>
    <sheet name="Red de Agregacion (1,7 ptos)" sheetId="22" r:id="rId5"/>
    <sheet name="Coste con Inf 0,8 pts" sheetId="21" r:id="rId6"/>
    <sheet name="Cot. Sin Inf Val Oferta 0,9 pto" sheetId="23" r:id="rId7"/>
    <sheet name="Erlang" sheetId="16" r:id="rId8"/>
  </sheets>
  <definedNames>
    <definedName name="_xlnm.Print_Area" localSheetId="5">'Coste con Inf 0,8 pts'!$A$1:$K$22</definedName>
    <definedName name="_xlnm.Print_Area" localSheetId="6">'Cot. Sin Inf Val Oferta 0,9 pto'!$A$1:$K$22</definedName>
    <definedName name="_xlnm.Print_Area" localSheetId="4">'Red de Agregacion (1,7 ptos)'!$A$1:$J$36</definedName>
  </definedNames>
  <calcPr calcId="12451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5" i="5"/>
  <c r="D25" i="22"/>
  <c r="E25"/>
  <c r="E26" s="1"/>
  <c r="F25"/>
  <c r="F26" s="1"/>
  <c r="G25"/>
  <c r="H25"/>
  <c r="I25"/>
  <c r="I26" s="1"/>
  <c r="D26"/>
  <c r="G26"/>
  <c r="H26"/>
  <c r="B51" i="5"/>
  <c r="E26"/>
  <c r="E28" s="1"/>
  <c r="E81" i="6"/>
  <c r="C23"/>
  <c r="Q9"/>
  <c r="H14" i="22"/>
  <c r="F14"/>
  <c r="B14"/>
  <c r="B48" i="6"/>
  <c r="B58" i="5"/>
  <c r="C58"/>
  <c r="D58"/>
  <c r="E58"/>
  <c r="N43" i="6"/>
  <c r="N44" i="5"/>
  <c r="C13"/>
  <c r="D13"/>
  <c r="E13"/>
  <c r="F13"/>
  <c r="G13"/>
  <c r="H13"/>
  <c r="I13"/>
  <c r="J13"/>
  <c r="P21" i="21" l="1"/>
  <c r="P18"/>
  <c r="P15"/>
  <c r="P35" s="1"/>
  <c r="P10"/>
  <c r="O36" i="22"/>
  <c r="O32"/>
  <c r="O27"/>
  <c r="O18"/>
  <c r="O14"/>
  <c r="O9"/>
  <c r="N13" i="6"/>
  <c r="N86"/>
  <c r="N82"/>
  <c r="N70"/>
  <c r="N65"/>
  <c r="N50"/>
  <c r="N28"/>
  <c r="N28" i="5"/>
  <c r="N51"/>
  <c r="N62"/>
  <c r="N65"/>
  <c r="N67"/>
  <c r="N79"/>
  <c r="N82"/>
  <c r="N13"/>
  <c r="D21" i="6"/>
  <c r="D11" i="25"/>
  <c r="C11"/>
  <c r="C21" i="6"/>
  <c r="E32" i="25"/>
  <c r="D32"/>
  <c r="C32"/>
  <c r="E31"/>
  <c r="D31"/>
  <c r="C31"/>
  <c r="B31"/>
  <c r="E30"/>
  <c r="D30"/>
  <c r="C30"/>
  <c r="B30"/>
  <c r="B34"/>
  <c r="B36" s="1"/>
  <c r="E13"/>
  <c r="D13"/>
  <c r="C13"/>
  <c r="E12"/>
  <c r="D12"/>
  <c r="C12"/>
  <c r="B12"/>
  <c r="E11"/>
  <c r="B11"/>
  <c r="C12" i="6"/>
  <c r="D12"/>
  <c r="E12"/>
  <c r="F12"/>
  <c r="G12"/>
  <c r="H12"/>
  <c r="I12"/>
  <c r="J12"/>
  <c r="J58" i="5"/>
  <c r="C42"/>
  <c r="D42"/>
  <c r="E42"/>
  <c r="B42"/>
  <c r="C38"/>
  <c r="D38"/>
  <c r="E38"/>
  <c r="F38"/>
  <c r="G38"/>
  <c r="H38"/>
  <c r="I38"/>
  <c r="B38"/>
  <c r="O40" i="22" l="1"/>
  <c r="C15" i="25"/>
  <c r="C17" s="1"/>
  <c r="E34"/>
  <c r="E36" s="1"/>
  <c r="C34"/>
  <c r="C36" s="1"/>
  <c r="D34"/>
  <c r="D36" s="1"/>
  <c r="B15"/>
  <c r="B17" s="1"/>
  <c r="D15"/>
  <c r="D17" s="1"/>
  <c r="E15"/>
  <c r="E17" s="1"/>
  <c r="L86" i="5"/>
  <c r="N86" s="1"/>
  <c r="B74" i="6"/>
  <c r="B17" i="23"/>
  <c r="D8"/>
  <c r="C62" i="6"/>
  <c r="D62"/>
  <c r="E62"/>
  <c r="F62"/>
  <c r="G62"/>
  <c r="H62"/>
  <c r="I62"/>
  <c r="B62"/>
  <c r="B38"/>
  <c r="C38"/>
  <c r="D38"/>
  <c r="E38"/>
  <c r="F38"/>
  <c r="G38"/>
  <c r="H38"/>
  <c r="I38"/>
  <c r="C37"/>
  <c r="D37"/>
  <c r="E37"/>
  <c r="F37"/>
  <c r="G37"/>
  <c r="H37"/>
  <c r="I37"/>
  <c r="B37"/>
  <c r="C33"/>
  <c r="D33"/>
  <c r="E33"/>
  <c r="F33"/>
  <c r="G33"/>
  <c r="G34" s="1"/>
  <c r="H33"/>
  <c r="I33"/>
  <c r="C35"/>
  <c r="D35"/>
  <c r="E35"/>
  <c r="F35"/>
  <c r="G35"/>
  <c r="H35"/>
  <c r="H36" s="1"/>
  <c r="I35"/>
  <c r="B35"/>
  <c r="D36"/>
  <c r="D39" s="1"/>
  <c r="B33"/>
  <c r="B31"/>
  <c r="B30"/>
  <c r="C34" s="1"/>
  <c r="B71" i="5"/>
  <c r="B74" s="1"/>
  <c r="H51"/>
  <c r="F51"/>
  <c r="D51"/>
  <c r="B37"/>
  <c r="C37"/>
  <c r="D37"/>
  <c r="E37"/>
  <c r="F37"/>
  <c r="G37"/>
  <c r="H37"/>
  <c r="I37"/>
  <c r="B40"/>
  <c r="B43" s="1"/>
  <c r="C40"/>
  <c r="D40"/>
  <c r="D43" s="1"/>
  <c r="E40"/>
  <c r="E43" s="1"/>
  <c r="F40"/>
  <c r="F43" s="1"/>
  <c r="G40"/>
  <c r="G43" s="1"/>
  <c r="H40"/>
  <c r="I40"/>
  <c r="I43" s="1"/>
  <c r="H43"/>
  <c r="J4"/>
  <c r="D4"/>
  <c r="E4"/>
  <c r="F4"/>
  <c r="G4"/>
  <c r="H4"/>
  <c r="I4"/>
  <c r="C4"/>
  <c r="E22"/>
  <c r="E24"/>
  <c r="E23"/>
  <c r="D24"/>
  <c r="C24"/>
  <c r="D23"/>
  <c r="C23"/>
  <c r="B23"/>
  <c r="D22"/>
  <c r="C22"/>
  <c r="B22"/>
  <c r="G36" i="6" l="1"/>
  <c r="G39" s="1"/>
  <c r="C36"/>
  <c r="C39" s="1"/>
  <c r="F34"/>
  <c r="B36"/>
  <c r="B39" s="1"/>
  <c r="F36"/>
  <c r="I34"/>
  <c r="I36"/>
  <c r="I39" s="1"/>
  <c r="E36"/>
  <c r="E39" s="1"/>
  <c r="H34"/>
  <c r="E34"/>
  <c r="B34"/>
  <c r="D34"/>
  <c r="H39"/>
  <c r="F39"/>
  <c r="C43" i="5"/>
  <c r="I30" i="18" l="1"/>
  <c r="H30"/>
  <c r="G30"/>
  <c r="F30"/>
  <c r="E30"/>
  <c r="D30"/>
  <c r="C30"/>
  <c r="B30"/>
  <c r="C11"/>
  <c r="D11"/>
  <c r="E11"/>
  <c r="F11"/>
  <c r="G11"/>
  <c r="H11"/>
  <c r="I11"/>
  <c r="B11"/>
  <c r="B61" i="6"/>
  <c r="B5" i="18"/>
  <c r="B8"/>
  <c r="B42" i="6"/>
  <c r="C5" i="18"/>
  <c r="C9" s="1"/>
  <c r="C42" i="6"/>
  <c r="B21"/>
  <c r="B22"/>
  <c r="B77"/>
  <c r="C77"/>
  <c r="D61"/>
  <c r="D5" i="18"/>
  <c r="D8"/>
  <c r="D42" i="6"/>
  <c r="D43" s="1"/>
  <c r="D48"/>
  <c r="E5" i="18"/>
  <c r="E9" s="1"/>
  <c r="E42" i="6"/>
  <c r="C25"/>
  <c r="C27" s="1"/>
  <c r="C22"/>
  <c r="D77"/>
  <c r="F61"/>
  <c r="F5" i="18"/>
  <c r="F8"/>
  <c r="F42" i="6"/>
  <c r="F43" s="1"/>
  <c r="F48"/>
  <c r="G5" i="18"/>
  <c r="G9" s="1"/>
  <c r="G42" i="6"/>
  <c r="D25"/>
  <c r="D23"/>
  <c r="D22"/>
  <c r="E77"/>
  <c r="H61"/>
  <c r="H5" i="18"/>
  <c r="H8"/>
  <c r="H42" i="6"/>
  <c r="H43" s="1"/>
  <c r="H48"/>
  <c r="I5" i="18"/>
  <c r="I9" s="1"/>
  <c r="I42" i="6"/>
  <c r="B35" i="5"/>
  <c r="B50"/>
  <c r="B54" s="1"/>
  <c r="B56" s="1"/>
  <c r="B57" s="1"/>
  <c r="B24" i="18"/>
  <c r="B27"/>
  <c r="B48" i="5"/>
  <c r="C53" s="1"/>
  <c r="C50"/>
  <c r="C51" s="1"/>
  <c r="B17" i="21" s="1"/>
  <c r="C27" i="18"/>
  <c r="C35" i="5"/>
  <c r="C74"/>
  <c r="D35"/>
  <c r="D50"/>
  <c r="D54" s="1"/>
  <c r="D55" s="1"/>
  <c r="D56" s="1"/>
  <c r="D57" s="1"/>
  <c r="D27" i="18"/>
  <c r="D48" i="5"/>
  <c r="E53" s="1"/>
  <c r="E50"/>
  <c r="E51" s="1"/>
  <c r="E35"/>
  <c r="F12"/>
  <c r="D74"/>
  <c r="F35"/>
  <c r="F50"/>
  <c r="F54" s="1"/>
  <c r="F55" s="1"/>
  <c r="F56" s="1"/>
  <c r="F57" s="1"/>
  <c r="F48"/>
  <c r="G53" s="1"/>
  <c r="G50"/>
  <c r="G51" s="1"/>
  <c r="G35"/>
  <c r="H12"/>
  <c r="E74"/>
  <c r="H50"/>
  <c r="H54" s="1"/>
  <c r="H55" s="1"/>
  <c r="H56" s="1"/>
  <c r="H57" s="1"/>
  <c r="H35"/>
  <c r="H48"/>
  <c r="I53" s="1"/>
  <c r="I50"/>
  <c r="I51" s="1"/>
  <c r="I35"/>
  <c r="D8" i="21"/>
  <c r="M40" i="22"/>
  <c r="L88" i="6"/>
  <c r="E21"/>
  <c r="E23"/>
  <c r="E22"/>
  <c r="K36" i="18"/>
  <c r="H50" i="6" l="1"/>
  <c r="H56" s="1"/>
  <c r="H57" s="1"/>
  <c r="I60" s="1"/>
  <c r="I61" s="1"/>
  <c r="I63" s="1"/>
  <c r="F50"/>
  <c r="F56" s="1"/>
  <c r="F57" s="1"/>
  <c r="G60" s="1"/>
  <c r="G61" s="1"/>
  <c r="G63" s="1"/>
  <c r="D50"/>
  <c r="D56" s="1"/>
  <c r="D57" s="1"/>
  <c r="E60" s="1"/>
  <c r="E61" s="1"/>
  <c r="E63" s="1"/>
  <c r="B50"/>
  <c r="B56" s="1"/>
  <c r="B57" s="1"/>
  <c r="C60" s="1"/>
  <c r="C61" s="1"/>
  <c r="C63" s="1"/>
  <c r="C65" s="1"/>
  <c r="F13" i="18"/>
  <c r="F14" s="1"/>
  <c r="I13"/>
  <c r="I14" s="1"/>
  <c r="I15" s="1"/>
  <c r="E13"/>
  <c r="E14" s="1"/>
  <c r="E15" s="1"/>
  <c r="C32"/>
  <c r="C33" s="1"/>
  <c r="H13"/>
  <c r="H14" s="1"/>
  <c r="D13"/>
  <c r="D14" s="1"/>
  <c r="D32"/>
  <c r="D33" s="1"/>
  <c r="H32"/>
  <c r="H33" s="1"/>
  <c r="B13"/>
  <c r="B14" s="1"/>
  <c r="B32"/>
  <c r="B33" s="1"/>
  <c r="F32"/>
  <c r="F33" s="1"/>
  <c r="G32"/>
  <c r="G33" s="1"/>
  <c r="G13"/>
  <c r="G14" s="1"/>
  <c r="G15" s="1"/>
  <c r="C13"/>
  <c r="C14" s="1"/>
  <c r="C15" s="1"/>
  <c r="E32"/>
  <c r="E33" s="1"/>
  <c r="I32"/>
  <c r="I33" s="1"/>
  <c r="B43" i="6"/>
  <c r="C43"/>
  <c r="B26" i="5"/>
  <c r="B28" s="1"/>
  <c r="G54"/>
  <c r="G55" s="1"/>
  <c r="G56" s="1"/>
  <c r="G57" s="1"/>
  <c r="D26"/>
  <c r="D28" s="1"/>
  <c r="C54"/>
  <c r="C55" s="1"/>
  <c r="C56" s="1"/>
  <c r="C57" s="1"/>
  <c r="D44"/>
  <c r="B44"/>
  <c r="H44"/>
  <c r="C26"/>
  <c r="C28" s="1"/>
  <c r="B28" i="18"/>
  <c r="F24"/>
  <c r="F28" s="1"/>
  <c r="D24"/>
  <c r="D28" s="1"/>
  <c r="C24"/>
  <c r="C28" s="1"/>
  <c r="B9"/>
  <c r="I24"/>
  <c r="I28" s="1"/>
  <c r="F9"/>
  <c r="G24"/>
  <c r="G28" s="1"/>
  <c r="H24"/>
  <c r="H28" s="1"/>
  <c r="E24"/>
  <c r="E28" s="1"/>
  <c r="D9"/>
  <c r="B59" i="5"/>
  <c r="D59"/>
  <c r="H9" i="18"/>
  <c r="I54" i="5"/>
  <c r="I55" s="1"/>
  <c r="I56" s="1"/>
  <c r="I57" s="1"/>
  <c r="E44"/>
  <c r="E54"/>
  <c r="E55" s="1"/>
  <c r="E56" s="1"/>
  <c r="E57" s="1"/>
  <c r="E43" i="6"/>
  <c r="B25"/>
  <c r="B27" s="1"/>
  <c r="E25"/>
  <c r="E27" s="1"/>
  <c r="I44" i="5"/>
  <c r="G43" i="6"/>
  <c r="C44" i="5"/>
  <c r="D27" i="6"/>
  <c r="G44" i="5"/>
  <c r="F44"/>
  <c r="I43" i="6"/>
  <c r="E14" i="21" l="1"/>
  <c r="E14" i="23" s="1"/>
  <c r="E17" i="18"/>
  <c r="C14" i="21"/>
  <c r="C14" i="23" s="1"/>
  <c r="C17" i="18"/>
  <c r="I14" i="21"/>
  <c r="I14" i="23" s="1"/>
  <c r="I17" i="18"/>
  <c r="G14" i="21"/>
  <c r="G14" i="23" s="1"/>
  <c r="G17" i="18"/>
  <c r="I34"/>
  <c r="F34"/>
  <c r="F16" i="21" s="1"/>
  <c r="H15" i="18"/>
  <c r="C34"/>
  <c r="D15"/>
  <c r="H34"/>
  <c r="B34"/>
  <c r="G65" i="6"/>
  <c r="G59" i="5"/>
  <c r="G62" s="1"/>
  <c r="D62"/>
  <c r="B62"/>
  <c r="D34" i="18"/>
  <c r="G34"/>
  <c r="E34"/>
  <c r="B63" i="6"/>
  <c r="B65" s="1"/>
  <c r="B68" s="1"/>
  <c r="B69" s="1"/>
  <c r="B5" i="22" s="1"/>
  <c r="B15" i="18"/>
  <c r="I59" i="5"/>
  <c r="I62" s="1"/>
  <c r="F63" i="6"/>
  <c r="F65" s="1"/>
  <c r="F15" i="18"/>
  <c r="D63" i="6"/>
  <c r="D65" s="1"/>
  <c r="E59" i="5"/>
  <c r="E62" s="1"/>
  <c r="C59"/>
  <c r="C62" s="1"/>
  <c r="I65" i="6"/>
  <c r="H63"/>
  <c r="H65" s="1"/>
  <c r="E65"/>
  <c r="H59" i="5"/>
  <c r="H62" s="1"/>
  <c r="F59"/>
  <c r="F62" s="1"/>
  <c r="B7" i="22" l="1"/>
  <c r="B8" s="1"/>
  <c r="C7"/>
  <c r="C8" s="1"/>
  <c r="C9" s="1"/>
  <c r="C11" s="1"/>
  <c r="C16" i="21"/>
  <c r="C16" i="23" s="1"/>
  <c r="C36" i="18"/>
  <c r="D16" i="21"/>
  <c r="D16" i="23" s="1"/>
  <c r="D36" i="18"/>
  <c r="B16" i="21"/>
  <c r="B16" i="23" s="1"/>
  <c r="B36" i="18"/>
  <c r="E16" i="21"/>
  <c r="E16" i="23" s="1"/>
  <c r="E36" i="18"/>
  <c r="H16" i="21"/>
  <c r="H16" i="23" s="1"/>
  <c r="H36" i="18"/>
  <c r="I16" i="21"/>
  <c r="I16" i="23" s="1"/>
  <c r="I36" i="18"/>
  <c r="G16" i="21"/>
  <c r="G16" i="23" s="1"/>
  <c r="G36" i="18"/>
  <c r="F16" i="23"/>
  <c r="F36" i="18"/>
  <c r="B14" i="21"/>
  <c r="B14" i="23" s="1"/>
  <c r="B17" i="18"/>
  <c r="F14" i="21"/>
  <c r="F14" i="23" s="1"/>
  <c r="F17" i="18"/>
  <c r="H14" i="21"/>
  <c r="H14" i="23" s="1"/>
  <c r="H17" i="18"/>
  <c r="D14" i="21"/>
  <c r="D14" i="23" s="1"/>
  <c r="D17" i="18"/>
  <c r="B15" i="21"/>
  <c r="K15" s="1"/>
  <c r="D68" i="6"/>
  <c r="D69" s="1"/>
  <c r="D70" s="1"/>
  <c r="C65" i="5"/>
  <c r="C66" s="1"/>
  <c r="C67" s="1"/>
  <c r="C75" s="1"/>
  <c r="C76" s="1"/>
  <c r="C79" s="1"/>
  <c r="D34" i="22" s="1"/>
  <c r="B65" i="5"/>
  <c r="B66" s="1"/>
  <c r="B22" i="22" s="1"/>
  <c r="E65" i="5"/>
  <c r="E66" s="1"/>
  <c r="C68" i="6"/>
  <c r="C69" s="1"/>
  <c r="D5" i="22" s="1"/>
  <c r="D65" i="5"/>
  <c r="D66" s="1"/>
  <c r="E68" i="6"/>
  <c r="E69" s="1"/>
  <c r="B70"/>
  <c r="B9" i="22"/>
  <c r="B11" s="1"/>
  <c r="F22" l="1"/>
  <c r="G24" s="1"/>
  <c r="G27" s="1"/>
  <c r="G28" s="1"/>
  <c r="G30" s="1"/>
  <c r="D67" i="5"/>
  <c r="D75" s="1"/>
  <c r="D76" s="1"/>
  <c r="D79" s="1"/>
  <c r="H79" s="1"/>
  <c r="H22" i="22"/>
  <c r="H24" s="1"/>
  <c r="H27" s="1"/>
  <c r="H28" s="1"/>
  <c r="H30" s="1"/>
  <c r="E67" i="5"/>
  <c r="E75" s="1"/>
  <c r="E76" s="1"/>
  <c r="E7" i="22"/>
  <c r="D7"/>
  <c r="D8" s="1"/>
  <c r="D9" s="1"/>
  <c r="D11" s="1"/>
  <c r="B18" i="23"/>
  <c r="K18" s="1"/>
  <c r="B18" i="21"/>
  <c r="K18" s="1"/>
  <c r="B15" i="23"/>
  <c r="K15" s="1"/>
  <c r="D78" i="6"/>
  <c r="D79" s="1"/>
  <c r="D82" s="1"/>
  <c r="H82" s="1"/>
  <c r="B78"/>
  <c r="B79" s="1"/>
  <c r="B82" s="1"/>
  <c r="F82" s="1"/>
  <c r="F5" i="22"/>
  <c r="C70" i="6"/>
  <c r="C78" s="1"/>
  <c r="C79" s="1"/>
  <c r="C82" s="1"/>
  <c r="D22" i="22"/>
  <c r="E24" s="1"/>
  <c r="E27" s="1"/>
  <c r="E28" s="1"/>
  <c r="E30" s="1"/>
  <c r="B67" i="5"/>
  <c r="E78"/>
  <c r="G79"/>
  <c r="E70" i="6"/>
  <c r="E78" s="1"/>
  <c r="E79" s="1"/>
  <c r="E82" s="1"/>
  <c r="I82" s="1"/>
  <c r="H5" i="22"/>
  <c r="B12"/>
  <c r="B13" s="1"/>
  <c r="E8"/>
  <c r="E9" s="1"/>
  <c r="E11" s="1"/>
  <c r="C24"/>
  <c r="B24"/>
  <c r="F24"/>
  <c r="F27" s="1"/>
  <c r="F28" s="1"/>
  <c r="F30" s="1"/>
  <c r="C27" l="1"/>
  <c r="C28" s="1"/>
  <c r="C30" s="1"/>
  <c r="C25"/>
  <c r="C26" s="1"/>
  <c r="B25"/>
  <c r="B26" s="1"/>
  <c r="B27" s="1"/>
  <c r="B28" s="1"/>
  <c r="B30" s="1"/>
  <c r="B31" s="1"/>
  <c r="B32" s="1"/>
  <c r="B33" s="1"/>
  <c r="B19" i="23"/>
  <c r="B19" i="21"/>
  <c r="I24" i="22"/>
  <c r="I27" s="1"/>
  <c r="I28" s="1"/>
  <c r="I30" s="1"/>
  <c r="H31" s="1"/>
  <c r="H32" s="1"/>
  <c r="H33" s="1"/>
  <c r="G7"/>
  <c r="G8" s="1"/>
  <c r="G9" s="1"/>
  <c r="G11" s="1"/>
  <c r="F7"/>
  <c r="F8" s="1"/>
  <c r="F9" s="1"/>
  <c r="F11" s="1"/>
  <c r="I7"/>
  <c r="I8" s="1"/>
  <c r="I9" s="1"/>
  <c r="I11" s="1"/>
  <c r="H7"/>
  <c r="H8" s="1"/>
  <c r="H9" s="1"/>
  <c r="H11" s="1"/>
  <c r="D15"/>
  <c r="G82" i="6"/>
  <c r="D12" i="22"/>
  <c r="D13" s="1"/>
  <c r="D14" s="1"/>
  <c r="D29" i="23"/>
  <c r="D31" s="1"/>
  <c r="B86" i="6"/>
  <c r="F86" s="1"/>
  <c r="G86" s="1"/>
  <c r="C29" i="23"/>
  <c r="C31" s="1"/>
  <c r="B15" i="22"/>
  <c r="B16" s="1"/>
  <c r="F15"/>
  <c r="D24"/>
  <c r="D27" s="1"/>
  <c r="D28" s="1"/>
  <c r="D30" s="1"/>
  <c r="D31" s="1"/>
  <c r="D32" s="1"/>
  <c r="B75" i="5"/>
  <c r="B76" s="1"/>
  <c r="B79" s="1"/>
  <c r="F34" i="22"/>
  <c r="E79" i="5"/>
  <c r="H34" i="22" s="1"/>
  <c r="F31"/>
  <c r="F32" s="1"/>
  <c r="F33" s="1"/>
  <c r="H15"/>
  <c r="B84" i="6"/>
  <c r="F84" s="1"/>
  <c r="G84" s="1"/>
  <c r="D33" i="22" l="1"/>
  <c r="D35" s="1"/>
  <c r="D16"/>
  <c r="B3" i="23"/>
  <c r="D3" s="1"/>
  <c r="B83" i="5"/>
  <c r="F83" s="1"/>
  <c r="G83" s="1"/>
  <c r="E29" i="23"/>
  <c r="E31" s="1"/>
  <c r="B29"/>
  <c r="B31" s="1"/>
  <c r="F12" i="22"/>
  <c r="F13" s="1"/>
  <c r="F16" s="1"/>
  <c r="H12"/>
  <c r="H13" s="1"/>
  <c r="H16" s="1"/>
  <c r="B34"/>
  <c r="B35" s="1"/>
  <c r="F79" i="5"/>
  <c r="H35" i="22"/>
  <c r="F35"/>
  <c r="B81" i="5"/>
  <c r="I79"/>
  <c r="B3" i="21"/>
  <c r="B4" i="23" l="1"/>
  <c r="B32"/>
  <c r="B36" s="1"/>
  <c r="B17" i="22"/>
  <c r="J17" s="1"/>
  <c r="B36"/>
  <c r="B4" i="21"/>
  <c r="D4" s="1"/>
  <c r="F81" i="5"/>
  <c r="G81" s="1"/>
  <c r="D3" i="21"/>
  <c r="B6" l="1"/>
  <c r="D6" s="1"/>
  <c r="B5"/>
  <c r="D4" i="23"/>
  <c r="B5"/>
  <c r="D5" s="1"/>
  <c r="J36" i="22"/>
  <c r="B6" i="23"/>
  <c r="D5" i="21" l="1"/>
  <c r="B7"/>
  <c r="D7" s="1"/>
  <c r="D6" i="23"/>
  <c r="B7"/>
  <c r="B9" i="21" l="1"/>
  <c r="B10" s="1"/>
  <c r="D7" i="23"/>
  <c r="B9"/>
  <c r="D9" i="21" l="1"/>
  <c r="D9" i="23"/>
  <c r="B10"/>
  <c r="D10" i="21"/>
  <c r="K21" l="1"/>
  <c r="K10" i="23"/>
  <c r="B21"/>
  <c r="K21" s="1"/>
  <c r="D10"/>
  <c r="B25" l="1"/>
  <c r="B26" l="1"/>
  <c r="B35" s="1"/>
  <c r="B38" s="1"/>
</calcChain>
</file>

<file path=xl/sharedStrings.xml><?xml version="1.0" encoding="utf-8"?>
<sst xmlns="http://schemas.openxmlformats.org/spreadsheetml/2006/main" count="477" uniqueCount="204">
  <si>
    <t>Radio por Propagación</t>
    <phoneticPr fontId="7" type="noConversion"/>
  </si>
  <si>
    <t>Margen Inter.</t>
    <phoneticPr fontId="7" type="noConversion"/>
  </si>
  <si>
    <t>Pathloss</t>
    <phoneticPr fontId="7" type="noConversion"/>
  </si>
  <si>
    <t>Carga Total</t>
    <phoneticPr fontId="7" type="noConversion"/>
  </si>
  <si>
    <t>Voz</t>
    <phoneticPr fontId="7" type="noConversion"/>
  </si>
  <si>
    <t>Datos</t>
    <phoneticPr fontId="7" type="noConversion"/>
  </si>
  <si>
    <t>Radio por Capacidad</t>
    <phoneticPr fontId="7" type="noConversion"/>
  </si>
  <si>
    <t>Radios Definitivos</t>
    <phoneticPr fontId="7" type="noConversion"/>
  </si>
  <si>
    <t>Trafico Ofrecido</t>
    <phoneticPr fontId="7" type="noConversion"/>
  </si>
  <si>
    <t>Trafico individual</t>
    <phoneticPr fontId="7" type="noConversion"/>
  </si>
  <si>
    <t>Usuarios</t>
    <phoneticPr fontId="7" type="noConversion"/>
  </si>
  <si>
    <t>Datos</t>
    <phoneticPr fontId="7" type="noConversion"/>
  </si>
  <si>
    <t>Model</t>
    <phoneticPr fontId="7" type="noConversion"/>
  </si>
  <si>
    <t>s</t>
    <phoneticPr fontId="7" type="noConversion"/>
  </si>
  <si>
    <t>L Clutter</t>
    <phoneticPr fontId="7" type="noConversion"/>
  </si>
  <si>
    <t>a(hmobile)</t>
    <phoneticPr fontId="7" type="noConversion"/>
  </si>
  <si>
    <t>h terminal</t>
    <phoneticPr fontId="7" type="noConversion"/>
  </si>
  <si>
    <t>Two Slope</t>
    <phoneticPr fontId="7" type="noConversion"/>
  </si>
  <si>
    <t>One Slope</t>
    <phoneticPr fontId="7" type="noConversion"/>
  </si>
  <si>
    <t>Aux 1</t>
    <phoneticPr fontId="7" type="noConversion"/>
  </si>
  <si>
    <t>Terreno Total</t>
    <phoneticPr fontId="7" type="noConversion"/>
  </si>
  <si>
    <t>Porcentages Población</t>
    <phoneticPr fontId="7" type="noConversion"/>
  </si>
  <si>
    <t>Eb/No</t>
    <phoneticPr fontId="7" type="noConversion"/>
  </si>
  <si>
    <t>Factor de Carga Ind.</t>
    <phoneticPr fontId="7" type="noConversion"/>
  </si>
  <si>
    <t>Distribucion Carga</t>
    <phoneticPr fontId="7" type="noConversion"/>
  </si>
  <si>
    <t>N Conexiones Activas</t>
    <phoneticPr fontId="7" type="noConversion"/>
  </si>
  <si>
    <t>N Conexiones Activas SC</t>
    <phoneticPr fontId="7" type="noConversion"/>
  </si>
  <si>
    <t>Penetración Servicio</t>
    <phoneticPr fontId="7" type="noConversion"/>
  </si>
  <si>
    <t>Trafico Ofrecido SC</t>
    <phoneticPr fontId="7" type="noConversion"/>
  </si>
  <si>
    <t>Mv</t>
    <phoneticPr fontId="7" type="noConversion"/>
  </si>
  <si>
    <t>Camino</t>
    <phoneticPr fontId="7" type="noConversion"/>
  </si>
  <si>
    <t>BTS</t>
    <phoneticPr fontId="7" type="noConversion"/>
  </si>
  <si>
    <t>Voz</t>
    <phoneticPr fontId="7" type="noConversion"/>
  </si>
  <si>
    <t>Datos</t>
    <phoneticPr fontId="7" type="noConversion"/>
  </si>
  <si>
    <t xml:space="preserve">Voz </t>
    <phoneticPr fontId="7" type="noConversion"/>
  </si>
  <si>
    <t>Datos</t>
    <phoneticPr fontId="7" type="noConversion"/>
  </si>
  <si>
    <t>A</t>
    <phoneticPr fontId="7" type="noConversion"/>
  </si>
  <si>
    <t>Freq</t>
    <phoneticPr fontId="7" type="noConversion"/>
  </si>
  <si>
    <t>HBTS</t>
    <phoneticPr fontId="7" type="noConversion"/>
  </si>
  <si>
    <t>B</t>
    <phoneticPr fontId="7" type="noConversion"/>
  </si>
  <si>
    <t>Propagacion</t>
    <phoneticPr fontId="7" type="noConversion"/>
  </si>
  <si>
    <t>Voz</t>
    <phoneticPr fontId="7" type="noConversion"/>
  </si>
  <si>
    <t>Ptx(dBm)</t>
  </si>
  <si>
    <t>L</t>
  </si>
  <si>
    <t>Gantena</t>
  </si>
  <si>
    <t>MD</t>
  </si>
  <si>
    <t>Ladic</t>
  </si>
  <si>
    <t>Lcab</t>
  </si>
  <si>
    <t>Sens(dBm)</t>
  </si>
  <si>
    <t xml:space="preserve">Voz </t>
    <phoneticPr fontId="7" type="noConversion"/>
  </si>
  <si>
    <t>PathLoss</t>
    <phoneticPr fontId="7" type="noConversion"/>
  </si>
  <si>
    <t>Porcentages Terreno</t>
    <phoneticPr fontId="7" type="noConversion"/>
  </si>
  <si>
    <t>Terreno por tipo</t>
    <phoneticPr fontId="7" type="noConversion"/>
  </si>
  <si>
    <t>Población por tipo</t>
    <phoneticPr fontId="7" type="noConversion"/>
  </si>
  <si>
    <t>Penetración de Mercado</t>
    <phoneticPr fontId="7" type="noConversion"/>
  </si>
  <si>
    <t>Market Share</t>
    <phoneticPr fontId="7" type="noConversion"/>
  </si>
  <si>
    <t>Clientes</t>
    <phoneticPr fontId="7" type="noConversion"/>
  </si>
  <si>
    <t>Clientes del Servicio</t>
    <phoneticPr fontId="7" type="noConversion"/>
  </si>
  <si>
    <t>Densidad</t>
    <phoneticPr fontId="7" type="noConversion"/>
  </si>
  <si>
    <t>Nº Slots</t>
    <phoneticPr fontId="7" type="noConversion"/>
  </si>
  <si>
    <t>Radio por Capacidad</t>
    <phoneticPr fontId="7" type="noConversion"/>
  </si>
  <si>
    <t>Area BTS</t>
    <phoneticPr fontId="7" type="noConversion"/>
  </si>
  <si>
    <t>BTS por Area en el Pais</t>
  </si>
  <si>
    <t>R Habitado</t>
  </si>
  <si>
    <t>Urbano</t>
  </si>
  <si>
    <t>Suburbano</t>
  </si>
  <si>
    <t>Poblacion total</t>
  </si>
  <si>
    <t>Rural</t>
  </si>
  <si>
    <t>R Semi-DesHabitado</t>
  </si>
  <si>
    <t>Rural Habitado</t>
  </si>
  <si>
    <t>Rural Semi-Deshabitado</t>
  </si>
  <si>
    <t>Número BTS en la ciudad</t>
  </si>
  <si>
    <t>Rural-Habitado</t>
  </si>
  <si>
    <t>Rural-SemiDeshabitado</t>
  </si>
  <si>
    <t>Datos de la Ciudad</t>
  </si>
  <si>
    <t>Población Total</t>
  </si>
  <si>
    <t>Minutos Diarios por cliente</t>
  </si>
  <si>
    <t>Factor Hora Cargada</t>
  </si>
  <si>
    <t>Penetración del Servicio</t>
  </si>
  <si>
    <t>GSM</t>
  </si>
  <si>
    <t>N CANALES</t>
  </si>
  <si>
    <t>A (2 %)</t>
  </si>
  <si>
    <t>Radio por Capacidad</t>
  </si>
  <si>
    <t>Coste por BTS</t>
  </si>
  <si>
    <t>Rural Deshabitado</t>
  </si>
  <si>
    <t>UMTS</t>
  </si>
  <si>
    <t>Coste por Nodo B</t>
  </si>
  <si>
    <t>Voz</t>
  </si>
  <si>
    <t>Datos</t>
  </si>
  <si>
    <t>Minutos Cliente GSM anual País</t>
  </si>
  <si>
    <t>Rural DesHabitado</t>
  </si>
  <si>
    <t>Minutos Equivalentes Voz GSM</t>
  </si>
  <si>
    <t>Minutos Cliente UMTS anual País</t>
  </si>
  <si>
    <t>Minutos Equivalentes Voz UMTS</t>
  </si>
  <si>
    <t>Total Minutos Equivalentes</t>
  </si>
  <si>
    <t>Coste or Minuto Equivalente</t>
  </si>
  <si>
    <t>Total Coste Red Acceso GSM+ UMTS</t>
  </si>
  <si>
    <t>Total Coste Red GSM+ UMTS</t>
  </si>
  <si>
    <t>Amortización (Años)</t>
  </si>
  <si>
    <t>Coste Anual Inversión Red</t>
  </si>
  <si>
    <t>Coste Invesión+OAM Red</t>
  </si>
  <si>
    <t>Número de Sectores</t>
  </si>
  <si>
    <t>N TRX por Sector</t>
  </si>
  <si>
    <t>Total Coste Red Acceso GSM</t>
  </si>
  <si>
    <t>Total Coste Red Acceso UMTS</t>
  </si>
  <si>
    <t>Clientes Potenciales</t>
  </si>
  <si>
    <t>Tráfico</t>
  </si>
  <si>
    <t>Canales Activos</t>
  </si>
  <si>
    <t>Velocidad Servicio</t>
  </si>
  <si>
    <t>Kbps por BTS</t>
  </si>
  <si>
    <t>Kbps por Sector por Servicio</t>
  </si>
  <si>
    <t>Número de Enlaces</t>
  </si>
  <si>
    <t>Coste por Area</t>
  </si>
  <si>
    <t>Numero de Sectores</t>
  </si>
  <si>
    <t>Expansión a Pais</t>
  </si>
  <si>
    <t>Ratio Datos/Voz UMTS</t>
  </si>
  <si>
    <t>Area BTS</t>
  </si>
  <si>
    <t>Area Nodo B</t>
  </si>
  <si>
    <t>Coste Red Agregación</t>
  </si>
  <si>
    <t>Kbps por Nodo B</t>
  </si>
  <si>
    <t>Total Coste Red de Agregación (GSM+UMTS)</t>
  </si>
  <si>
    <t>Calculos de Costes de Red</t>
  </si>
  <si>
    <t>Numero BTS Area en pais</t>
  </si>
  <si>
    <t>Numero Nodo B Area en el país</t>
  </si>
  <si>
    <t>total</t>
  </si>
  <si>
    <t>MAX</t>
  </si>
  <si>
    <t>Total</t>
  </si>
  <si>
    <t>Trafico SC</t>
  </si>
  <si>
    <t>Canales SC</t>
  </si>
  <si>
    <t>Desviaciones hasta un 5 % 0 penalizacion</t>
  </si>
  <si>
    <t>Desviaciones hasta un 15 % 0.1 penalizacion</t>
  </si>
  <si>
    <t>Desviaciones hasta un 30 % 0.25 penalizacion</t>
  </si>
  <si>
    <t>Calculo de TRX</t>
  </si>
  <si>
    <t>Ancho de Banda</t>
  </si>
  <si>
    <t>K</t>
  </si>
  <si>
    <t>Frecuencias por BTS</t>
  </si>
  <si>
    <t>Número de sectores</t>
  </si>
  <si>
    <t>Frecuencias / TRX por sector</t>
  </si>
  <si>
    <t>Cálculo de Tráfico GSM 1800</t>
  </si>
  <si>
    <t>Cálculo de Tráfico UMTS 2100</t>
  </si>
  <si>
    <t>Población pais</t>
  </si>
  <si>
    <t>Porcentaje de población por tipo</t>
  </si>
  <si>
    <t>Población por tipo</t>
  </si>
  <si>
    <t>BTS por habitante por tipo de área</t>
  </si>
  <si>
    <t>BTS por área</t>
  </si>
  <si>
    <t>Terreno adicional a cubrir en rural deshabitado</t>
  </si>
  <si>
    <t>Nº Adicional BTS rural deshabitado</t>
  </si>
  <si>
    <t>Coste total despliegue</t>
  </si>
  <si>
    <t>Clientes Potenciales por sector</t>
  </si>
  <si>
    <t>Normas</t>
  </si>
  <si>
    <t>Fallo individual</t>
  </si>
  <si>
    <t>Se reduce a la mitad</t>
  </si>
  <si>
    <t>A menos que sean varios que se reduce 0.15</t>
  </si>
  <si>
    <t>Fallos propagación</t>
  </si>
  <si>
    <t>El resto mitad</t>
  </si>
  <si>
    <t>Fallos conceptuales</t>
  </si>
  <si>
    <t>0 apartado</t>
  </si>
  <si>
    <t>resto mitad</t>
  </si>
  <si>
    <t>Dos fallos el resto fuera</t>
  </si>
  <si>
    <t>Minutos anuales por cliente</t>
  </si>
  <si>
    <t>Tráfico individual</t>
  </si>
  <si>
    <t>Minutos Hora Cargada</t>
  </si>
  <si>
    <t>Minutos Anuales totales por área</t>
  </si>
  <si>
    <t>HBTS</t>
    <phoneticPr fontId="2" type="noConversion"/>
  </si>
  <si>
    <t>h terminal</t>
    <phoneticPr fontId="2" type="noConversion"/>
  </si>
  <si>
    <t>Freq</t>
    <phoneticPr fontId="2" type="noConversion"/>
  </si>
  <si>
    <t>Model</t>
    <phoneticPr fontId="2" type="noConversion"/>
  </si>
  <si>
    <t>Two Slope</t>
    <phoneticPr fontId="2" type="noConversion"/>
  </si>
  <si>
    <t>One Slope</t>
    <phoneticPr fontId="2" type="noConversion"/>
  </si>
  <si>
    <t>A</t>
    <phoneticPr fontId="2" type="noConversion"/>
  </si>
  <si>
    <t>B</t>
    <phoneticPr fontId="2" type="noConversion"/>
  </si>
  <si>
    <t>a(hmobile)</t>
    <phoneticPr fontId="2" type="noConversion"/>
  </si>
  <si>
    <t>s</t>
    <phoneticPr fontId="2" type="noConversion"/>
  </si>
  <si>
    <t>L Clutter</t>
    <phoneticPr fontId="2" type="noConversion"/>
  </si>
  <si>
    <t>Aux 1</t>
    <phoneticPr fontId="2" type="noConversion"/>
  </si>
  <si>
    <t>Radio por Propagación</t>
    <phoneticPr fontId="2" type="noConversion"/>
  </si>
  <si>
    <t>Datos Ciudad</t>
  </si>
  <si>
    <t>Coste por Infraestructura Civil</t>
  </si>
  <si>
    <t>Coste total de la infraestructura</t>
  </si>
  <si>
    <t>Total Coste Red Acceso GSM Sin infraestructura</t>
  </si>
  <si>
    <t>Diferencia en el coste por minuto</t>
  </si>
  <si>
    <t>Beneficio anual</t>
  </si>
  <si>
    <t>Sites (GSM+UMTS)</t>
  </si>
  <si>
    <t>Alquiler anual</t>
  </si>
  <si>
    <t>Coste del alquiler</t>
  </si>
  <si>
    <t>Total Alquiler Anual</t>
  </si>
  <si>
    <t>Beneficio Total 10 años</t>
  </si>
  <si>
    <t>Alquiler total 10 años</t>
  </si>
  <si>
    <t xml:space="preserve">Pago total </t>
  </si>
  <si>
    <t>Aceptarías la oferta</t>
  </si>
  <si>
    <t>Beneficio Neto</t>
  </si>
  <si>
    <t>Calculos de Costes de Red Sin Infraestructura</t>
  </si>
  <si>
    <t>Max 1</t>
  </si>
  <si>
    <t>Error</t>
  </si>
  <si>
    <t>Factor</t>
  </si>
  <si>
    <t>Resultado</t>
  </si>
  <si>
    <t>Si</t>
  </si>
  <si>
    <t>Hay que recalcular. N ovalen los que dan en GSM/UMTS</t>
  </si>
  <si>
    <t>EN EL PAÍS, NO CIUDAD</t>
  </si>
  <si>
    <t>EN EL PAÍS. NO CIUDAD</t>
  </si>
  <si>
    <t>B10/B19</t>
  </si>
  <si>
    <t>Coste por infraestructura</t>
  </si>
  <si>
    <t>Coste sin infraestructira</t>
  </si>
  <si>
    <t>Si el beneficio anual es mayor al coste anual, acepto la oferta</t>
  </si>
</sst>
</file>

<file path=xl/styles.xml><?xml version="1.0" encoding="utf-8"?>
<styleSheet xmlns="http://schemas.openxmlformats.org/spreadsheetml/2006/main">
  <numFmts count="4">
    <numFmt numFmtId="164" formatCode="0.0%"/>
    <numFmt numFmtId="165" formatCode="0.0"/>
    <numFmt numFmtId="166" formatCode="0.000"/>
    <numFmt numFmtId="167" formatCode="0.00000"/>
  </numFmts>
  <fonts count="13">
    <font>
      <sz val="10"/>
      <name val="Verdana"/>
    </font>
    <font>
      <b/>
      <sz val="10"/>
      <name val="Verdana"/>
      <family val="2"/>
    </font>
    <font>
      <b/>
      <sz val="10"/>
      <name val="Verdana"/>
      <family val="2"/>
    </font>
    <font>
      <sz val="10"/>
      <name val="Verdana"/>
      <family val="2"/>
    </font>
    <font>
      <b/>
      <sz val="10"/>
      <name val="Verdana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Verdana"/>
      <family val="2"/>
    </font>
    <font>
      <u/>
      <sz val="10"/>
      <color theme="10"/>
      <name val="Verdana"/>
      <family val="2"/>
    </font>
    <font>
      <u/>
      <sz val="10"/>
      <color theme="11"/>
      <name val="Verdana"/>
      <family val="2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C4D79B"/>
        <bgColor rgb="FF000000"/>
      </patternFill>
    </fill>
    <fill>
      <patternFill patternType="solid">
        <fgColor rgb="FFDCE6F1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109">
    <xf numFmtId="0" fontId="0" fillId="0" borderId="0"/>
    <xf numFmtId="9" fontId="3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11">
    <xf numFmtId="0" fontId="0" fillId="0" borderId="0" xfId="0"/>
    <xf numFmtId="0" fontId="6" fillId="0" borderId="0" xfId="0" applyFont="1"/>
    <xf numFmtId="0" fontId="0" fillId="0" borderId="0" xfId="0" applyBorder="1"/>
    <xf numFmtId="0" fontId="0" fillId="0" borderId="0" xfId="0" applyFill="1"/>
    <xf numFmtId="0" fontId="0" fillId="0" borderId="0" xfId="0" applyFont="1" applyFill="1" applyBorder="1"/>
    <xf numFmtId="0" fontId="1" fillId="0" borderId="0" xfId="0" applyFont="1" applyFill="1" applyBorder="1"/>
    <xf numFmtId="0" fontId="0" fillId="0" borderId="0" xfId="0" applyFill="1" applyBorder="1"/>
    <xf numFmtId="0" fontId="1" fillId="0" borderId="0" xfId="0" applyFont="1" applyFill="1"/>
    <xf numFmtId="0" fontId="0" fillId="0" borderId="1" xfId="0" applyFill="1" applyBorder="1"/>
    <xf numFmtId="0" fontId="0" fillId="0" borderId="4" xfId="0" applyFill="1" applyBorder="1"/>
    <xf numFmtId="0" fontId="1" fillId="0" borderId="1" xfId="0" applyFont="1" applyFill="1" applyBorder="1"/>
    <xf numFmtId="0" fontId="1" fillId="0" borderId="2" xfId="0" applyFont="1" applyFill="1" applyBorder="1"/>
    <xf numFmtId="0" fontId="1" fillId="0" borderId="4" xfId="0" applyFont="1" applyFill="1" applyBorder="1"/>
    <xf numFmtId="0" fontId="0" fillId="2" borderId="4" xfId="0" applyFill="1" applyBorder="1"/>
    <xf numFmtId="9" fontId="0" fillId="0" borderId="4" xfId="1" applyFont="1" applyFill="1" applyBorder="1"/>
    <xf numFmtId="10" fontId="0" fillId="0" borderId="4" xfId="1" applyNumberFormat="1" applyFont="1" applyFill="1" applyBorder="1"/>
    <xf numFmtId="0" fontId="0" fillId="2" borderId="6" xfId="0" applyFill="1" applyBorder="1"/>
    <xf numFmtId="10" fontId="0" fillId="0" borderId="0" xfId="1" applyNumberFormat="1" applyFont="1" applyFill="1" applyBorder="1"/>
    <xf numFmtId="164" fontId="0" fillId="2" borderId="4" xfId="1" applyNumberFormat="1" applyFont="1" applyFill="1" applyBorder="1"/>
    <xf numFmtId="164" fontId="0" fillId="2" borderId="5" xfId="1" applyNumberFormat="1" applyFont="1" applyFill="1" applyBorder="1"/>
    <xf numFmtId="0" fontId="1" fillId="3" borderId="6" xfId="0" applyFont="1" applyFill="1" applyBorder="1"/>
    <xf numFmtId="0" fontId="1" fillId="3" borderId="7" xfId="0" applyFont="1" applyFill="1" applyBorder="1"/>
    <xf numFmtId="10" fontId="0" fillId="0" borderId="0" xfId="0" applyNumberFormat="1" applyFill="1" applyBorder="1"/>
    <xf numFmtId="0" fontId="1" fillId="4" borderId="0" xfId="0" applyFont="1" applyFill="1"/>
    <xf numFmtId="0" fontId="1" fillId="4" borderId="0" xfId="0" applyFont="1" applyFill="1" applyBorder="1"/>
    <xf numFmtId="164" fontId="11" fillId="0" borderId="5" xfId="718" applyNumberFormat="1" applyFont="1" applyFill="1" applyBorder="1" applyAlignment="1">
      <alignment horizontal="center"/>
    </xf>
    <xf numFmtId="0" fontId="12" fillId="0" borderId="5" xfId="718" applyFont="1" applyFill="1" applyBorder="1" applyAlignment="1">
      <alignment horizontal="center"/>
    </xf>
    <xf numFmtId="166" fontId="12" fillId="0" borderId="0" xfId="718" applyNumberFormat="1" applyFont="1" applyFill="1" applyAlignment="1">
      <alignment horizontal="center"/>
    </xf>
    <xf numFmtId="2" fontId="12" fillId="0" borderId="0" xfId="718" applyNumberFormat="1" applyFont="1" applyFill="1" applyAlignment="1">
      <alignment horizontal="center"/>
    </xf>
    <xf numFmtId="165" fontId="12" fillId="0" borderId="0" xfId="718" applyNumberFormat="1" applyFont="1" applyFill="1" applyAlignment="1">
      <alignment horizontal="center"/>
    </xf>
    <xf numFmtId="0" fontId="12" fillId="0" borderId="9" xfId="718" applyFont="1" applyFill="1" applyBorder="1" applyAlignment="1">
      <alignment horizontal="center"/>
    </xf>
    <xf numFmtId="165" fontId="12" fillId="0" borderId="7" xfId="718" applyNumberFormat="1" applyFont="1" applyFill="1" applyBorder="1" applyAlignment="1">
      <alignment horizontal="center"/>
    </xf>
    <xf numFmtId="0" fontId="1" fillId="5" borderId="0" xfId="0" applyFont="1" applyFill="1"/>
    <xf numFmtId="164" fontId="0" fillId="6" borderId="4" xfId="0" applyNumberFormat="1" applyFill="1" applyBorder="1"/>
    <xf numFmtId="0" fontId="1" fillId="0" borderId="0" xfId="0" applyFont="1"/>
    <xf numFmtId="0" fontId="1" fillId="2" borderId="4" xfId="0" applyFont="1" applyFill="1" applyBorder="1"/>
    <xf numFmtId="0" fontId="1" fillId="7" borderId="0" xfId="0" applyFont="1" applyFill="1"/>
    <xf numFmtId="2" fontId="1" fillId="7" borderId="0" xfId="0" applyNumberFormat="1" applyFont="1" applyFill="1"/>
    <xf numFmtId="0" fontId="0" fillId="0" borderId="10" xfId="0" applyFill="1" applyBorder="1"/>
    <xf numFmtId="0" fontId="0" fillId="2" borderId="10" xfId="0" applyFill="1" applyBorder="1"/>
    <xf numFmtId="164" fontId="0" fillId="2" borderId="10" xfId="1" applyNumberFormat="1" applyFont="1" applyFill="1" applyBorder="1"/>
    <xf numFmtId="9" fontId="0" fillId="0" borderId="10" xfId="1" applyFont="1" applyFill="1" applyBorder="1"/>
    <xf numFmtId="10" fontId="0" fillId="0" borderId="10" xfId="1" applyNumberFormat="1" applyFont="1" applyFill="1" applyBorder="1"/>
    <xf numFmtId="0" fontId="1" fillId="3" borderId="10" xfId="0" applyFont="1" applyFill="1" applyBorder="1"/>
    <xf numFmtId="0" fontId="0" fillId="3" borderId="10" xfId="0" applyFill="1" applyBorder="1"/>
    <xf numFmtId="0" fontId="0" fillId="0" borderId="10" xfId="0" applyBorder="1"/>
    <xf numFmtId="0" fontId="5" fillId="0" borderId="10" xfId="0" applyFont="1" applyFill="1" applyBorder="1"/>
    <xf numFmtId="0" fontId="5" fillId="0" borderId="10" xfId="0" applyFont="1" applyBorder="1"/>
    <xf numFmtId="0" fontId="4" fillId="0" borderId="10" xfId="0" applyFont="1" applyBorder="1"/>
    <xf numFmtId="0" fontId="1" fillId="3" borderId="10" xfId="0" applyFont="1" applyFill="1" applyBorder="1" applyAlignment="1"/>
    <xf numFmtId="0" fontId="1" fillId="0" borderId="10" xfId="0" applyFont="1" applyBorder="1"/>
    <xf numFmtId="0" fontId="1" fillId="0" borderId="10" xfId="0" applyFont="1" applyFill="1" applyBorder="1"/>
    <xf numFmtId="0" fontId="2" fillId="0" borderId="10" xfId="0" applyFont="1" applyBorder="1"/>
    <xf numFmtId="0" fontId="6" fillId="0" borderId="10" xfId="0" applyFont="1" applyBorder="1"/>
    <xf numFmtId="0" fontId="1" fillId="2" borderId="10" xfId="0" applyFont="1" applyFill="1" applyBorder="1"/>
    <xf numFmtId="0" fontId="1" fillId="4" borderId="10" xfId="0" applyFont="1" applyFill="1" applyBorder="1"/>
    <xf numFmtId="0" fontId="0" fillId="2" borderId="10" xfId="0" applyFill="1" applyBorder="1" applyAlignment="1"/>
    <xf numFmtId="165" fontId="1" fillId="0" borderId="10" xfId="0" applyNumberFormat="1" applyFont="1" applyFill="1" applyBorder="1"/>
    <xf numFmtId="2" fontId="0" fillId="0" borderId="10" xfId="0" applyNumberFormat="1" applyFill="1" applyBorder="1"/>
    <xf numFmtId="0" fontId="0" fillId="2" borderId="11" xfId="0" applyFont="1" applyFill="1" applyBorder="1" applyAlignment="1">
      <alignment wrapText="1"/>
    </xf>
    <xf numFmtId="0" fontId="0" fillId="2" borderId="11" xfId="0" applyFill="1" applyBorder="1"/>
    <xf numFmtId="0" fontId="0" fillId="0" borderId="10" xfId="0" applyFont="1" applyFill="1" applyBorder="1" applyAlignment="1">
      <alignment wrapText="1"/>
    </xf>
    <xf numFmtId="0" fontId="0" fillId="0" borderId="10" xfId="0" applyFont="1" applyFill="1" applyBorder="1"/>
    <xf numFmtId="0" fontId="0" fillId="2" borderId="10" xfId="0" applyFont="1" applyFill="1" applyBorder="1"/>
    <xf numFmtId="10" fontId="0" fillId="2" borderId="10" xfId="0" applyNumberFormat="1" applyFont="1" applyFill="1" applyBorder="1"/>
    <xf numFmtId="167" fontId="0" fillId="2" borderId="10" xfId="0" applyNumberFormat="1" applyFont="1" applyFill="1" applyBorder="1"/>
    <xf numFmtId="0" fontId="1" fillId="5" borderId="10" xfId="0" applyFont="1" applyFill="1" applyBorder="1"/>
    <xf numFmtId="0" fontId="0" fillId="4" borderId="10" xfId="0" applyFill="1" applyBorder="1"/>
    <xf numFmtId="0" fontId="0" fillId="3" borderId="10" xfId="0" applyFont="1" applyFill="1" applyBorder="1"/>
    <xf numFmtId="0" fontId="0" fillId="0" borderId="8" xfId="0" applyBorder="1"/>
    <xf numFmtId="0" fontId="0" fillId="8" borderId="0" xfId="0" applyFill="1"/>
    <xf numFmtId="0" fontId="1" fillId="8" borderId="0" xfId="0" applyFont="1" applyFill="1"/>
    <xf numFmtId="0" fontId="0" fillId="0" borderId="12" xfId="0" applyBorder="1"/>
    <xf numFmtId="0" fontId="1" fillId="8" borderId="10" xfId="0" applyFont="1" applyFill="1" applyBorder="1"/>
    <xf numFmtId="0" fontId="0" fillId="8" borderId="10" xfId="0" applyFill="1" applyBorder="1"/>
    <xf numFmtId="0" fontId="1" fillId="8" borderId="0" xfId="0" applyFont="1" applyFill="1" applyBorder="1"/>
    <xf numFmtId="0" fontId="0" fillId="8" borderId="10" xfId="0" applyFont="1" applyFill="1" applyBorder="1"/>
    <xf numFmtId="0" fontId="3" fillId="0" borderId="4" xfId="0" applyFont="1" applyFill="1" applyBorder="1"/>
    <xf numFmtId="0" fontId="3" fillId="0" borderId="0" xfId="0" applyFont="1"/>
    <xf numFmtId="0" fontId="1" fillId="0" borderId="1" xfId="0" applyFont="1" applyBorder="1"/>
    <xf numFmtId="0" fontId="1" fillId="9" borderId="11" xfId="0" applyFont="1" applyFill="1" applyBorder="1" applyAlignment="1">
      <alignment horizontal="center"/>
    </xf>
    <xf numFmtId="0" fontId="1" fillId="9" borderId="3" xfId="0" applyFont="1" applyFill="1" applyBorder="1" applyAlignment="1">
      <alignment horizontal="center"/>
    </xf>
    <xf numFmtId="166" fontId="1" fillId="3" borderId="10" xfId="0" applyNumberFormat="1" applyFont="1" applyFill="1" applyBorder="1"/>
    <xf numFmtId="0" fontId="0" fillId="9" borderId="10" xfId="0" applyFill="1" applyBorder="1"/>
    <xf numFmtId="0" fontId="1" fillId="9" borderId="10" xfId="0" applyFont="1" applyFill="1" applyBorder="1"/>
    <xf numFmtId="0" fontId="3" fillId="0" borderId="10" xfId="0" applyFont="1" applyBorder="1"/>
    <xf numFmtId="0" fontId="3" fillId="2" borderId="10" xfId="0" applyFont="1" applyFill="1" applyBorder="1"/>
    <xf numFmtId="165" fontId="3" fillId="2" borderId="10" xfId="0" applyNumberFormat="1" applyFont="1" applyFill="1" applyBorder="1"/>
    <xf numFmtId="2" fontId="1" fillId="3" borderId="10" xfId="0" applyNumberFormat="1" applyFont="1" applyFill="1" applyBorder="1" applyAlignment="1">
      <alignment horizontal="right" indent="1"/>
    </xf>
    <xf numFmtId="0" fontId="1" fillId="9" borderId="3" xfId="0" applyFont="1" applyFill="1" applyBorder="1" applyAlignment="1">
      <alignment horizontal="center" wrapText="1"/>
    </xf>
    <xf numFmtId="2" fontId="1" fillId="3" borderId="10" xfId="0" applyNumberFormat="1" applyFont="1" applyFill="1" applyBorder="1"/>
    <xf numFmtId="0" fontId="1" fillId="9" borderId="2" xfId="0" applyFont="1" applyFill="1" applyBorder="1"/>
    <xf numFmtId="0" fontId="2" fillId="9" borderId="10" xfId="0" applyFont="1" applyFill="1" applyBorder="1"/>
    <xf numFmtId="0" fontId="3" fillId="2" borderId="0" xfId="0" applyFont="1" applyFill="1"/>
    <xf numFmtId="0" fontId="0" fillId="2" borderId="0" xfId="0" applyFill="1"/>
    <xf numFmtId="0" fontId="0" fillId="10" borderId="0" xfId="0" applyFill="1"/>
    <xf numFmtId="0" fontId="3" fillId="10" borderId="0" xfId="0" applyFont="1" applyFill="1"/>
    <xf numFmtId="0" fontId="3" fillId="7" borderId="0" xfId="0" applyFont="1" applyFill="1"/>
    <xf numFmtId="0" fontId="0" fillId="11" borderId="0" xfId="0" applyFill="1"/>
    <xf numFmtId="0" fontId="0" fillId="7" borderId="10" xfId="0" applyFill="1" applyBorder="1"/>
    <xf numFmtId="0" fontId="3" fillId="7" borderId="10" xfId="0" applyFont="1" applyFill="1" applyBorder="1"/>
    <xf numFmtId="0" fontId="1" fillId="0" borderId="1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9" borderId="10" xfId="0" applyFont="1" applyFill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2" xfId="0" applyFont="1" applyFill="1" applyBorder="1" applyAlignment="1">
      <alignment horizontal="center"/>
    </xf>
  </cellXfs>
  <cellStyles count="2109">
    <cellStyle name="Hipervínculo" xfId="2" builtinId="8" hidden="1"/>
    <cellStyle name="Hipervínculo" xfId="4" builtinId="8" hidden="1"/>
    <cellStyle name="Hipervínculo" xfId="6" builtinId="8" hidden="1"/>
    <cellStyle name="Hipervínculo" xfId="8" builtinId="8" hidden="1"/>
    <cellStyle name="Hipervínculo" xfId="10" builtinId="8" hidden="1"/>
    <cellStyle name="Hipervínculo" xfId="12" builtinId="8" hidden="1"/>
    <cellStyle name="Hipervínculo" xfId="14" builtinId="8" hidden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" xfId="484" builtinId="8" hidden="1"/>
    <cellStyle name="Hipervínculo" xfId="486" builtinId="8" hidden="1"/>
    <cellStyle name="Hipervínculo" xfId="488" builtinId="8" hidden="1"/>
    <cellStyle name="Hipervínculo" xfId="490" builtinId="8" hidden="1"/>
    <cellStyle name="Hipervínculo" xfId="492" builtinId="8" hidden="1"/>
    <cellStyle name="Hipervínculo" xfId="494" builtinId="8" hidden="1"/>
    <cellStyle name="Hipervínculo" xfId="496" builtinId="8" hidden="1"/>
    <cellStyle name="Hipervínculo" xfId="498" builtinId="8" hidden="1"/>
    <cellStyle name="Hipervínculo" xfId="500" builtinId="8" hidden="1"/>
    <cellStyle name="Hipervínculo" xfId="502" builtinId="8" hidden="1"/>
    <cellStyle name="Hipervínculo" xfId="504" builtinId="8" hidden="1"/>
    <cellStyle name="Hipervínculo" xfId="506" builtinId="8" hidden="1"/>
    <cellStyle name="Hipervínculo" xfId="508" builtinId="8" hidden="1"/>
    <cellStyle name="Hipervínculo" xfId="510" builtinId="8" hidden="1"/>
    <cellStyle name="Hipervínculo" xfId="512" builtinId="8" hidden="1"/>
    <cellStyle name="Hipervínculo" xfId="514" builtinId="8" hidden="1"/>
    <cellStyle name="Hipervínculo" xfId="516" builtinId="8" hidden="1"/>
    <cellStyle name="Hipervínculo" xfId="518" builtinId="8" hidden="1"/>
    <cellStyle name="Hipervínculo" xfId="520" builtinId="8" hidden="1"/>
    <cellStyle name="Hipervínculo" xfId="522" builtinId="8" hidden="1"/>
    <cellStyle name="Hipervínculo" xfId="524" builtinId="8" hidden="1"/>
    <cellStyle name="Hipervínculo" xfId="526" builtinId="8" hidden="1"/>
    <cellStyle name="Hipervínculo" xfId="528" builtinId="8" hidden="1"/>
    <cellStyle name="Hipervínculo" xfId="530" builtinId="8" hidden="1"/>
    <cellStyle name="Hipervínculo" xfId="532" builtinId="8" hidden="1"/>
    <cellStyle name="Hipervínculo" xfId="534" builtinId="8" hidden="1"/>
    <cellStyle name="Hipervínculo" xfId="536" builtinId="8" hidden="1"/>
    <cellStyle name="Hipervínculo" xfId="538" builtinId="8" hidden="1"/>
    <cellStyle name="Hipervínculo" xfId="540" builtinId="8" hidden="1"/>
    <cellStyle name="Hipervínculo" xfId="542" builtinId="8" hidden="1"/>
    <cellStyle name="Hipervínculo" xfId="544" builtinId="8" hidden="1"/>
    <cellStyle name="Hipervínculo" xfId="546" builtinId="8" hidden="1"/>
    <cellStyle name="Hipervínculo" xfId="548" builtinId="8" hidden="1"/>
    <cellStyle name="Hipervínculo" xfId="550" builtinId="8" hidden="1"/>
    <cellStyle name="Hipervínculo" xfId="552" builtinId="8" hidden="1"/>
    <cellStyle name="Hipervínculo" xfId="554" builtinId="8" hidden="1"/>
    <cellStyle name="Hipervínculo" xfId="556" builtinId="8" hidden="1"/>
    <cellStyle name="Hipervínculo" xfId="558" builtinId="8" hidden="1"/>
    <cellStyle name="Hipervínculo" xfId="560" builtinId="8" hidden="1"/>
    <cellStyle name="Hipervínculo" xfId="562" builtinId="8" hidden="1"/>
    <cellStyle name="Hipervínculo" xfId="564" builtinId="8" hidden="1"/>
    <cellStyle name="Hipervínculo" xfId="566" builtinId="8" hidden="1"/>
    <cellStyle name="Hipervínculo" xfId="568" builtinId="8" hidden="1"/>
    <cellStyle name="Hipervínculo" xfId="570" builtinId="8" hidden="1"/>
    <cellStyle name="Hipervínculo" xfId="572" builtinId="8" hidden="1"/>
    <cellStyle name="Hipervínculo" xfId="574" builtinId="8" hidden="1"/>
    <cellStyle name="Hipervínculo" xfId="576" builtinId="8" hidden="1"/>
    <cellStyle name="Hipervínculo" xfId="578" builtinId="8" hidden="1"/>
    <cellStyle name="Hipervínculo" xfId="580" builtinId="8" hidden="1"/>
    <cellStyle name="Hipervínculo" xfId="582" builtinId="8" hidden="1"/>
    <cellStyle name="Hipervínculo" xfId="584" builtinId="8" hidden="1"/>
    <cellStyle name="Hipervínculo" xfId="586" builtinId="8" hidden="1"/>
    <cellStyle name="Hipervínculo" xfId="588" builtinId="8" hidden="1"/>
    <cellStyle name="Hipervínculo" xfId="590" builtinId="8" hidden="1"/>
    <cellStyle name="Hipervínculo" xfId="592" builtinId="8" hidden="1"/>
    <cellStyle name="Hipervínculo" xfId="594" builtinId="8" hidden="1"/>
    <cellStyle name="Hipervínculo" xfId="596" builtinId="8" hidden="1"/>
    <cellStyle name="Hipervínculo" xfId="598" builtinId="8" hidden="1"/>
    <cellStyle name="Hipervínculo" xfId="600" builtinId="8" hidden="1"/>
    <cellStyle name="Hipervínculo" xfId="602" builtinId="8" hidden="1"/>
    <cellStyle name="Hipervínculo" xfId="604" builtinId="8" hidden="1"/>
    <cellStyle name="Hipervínculo" xfId="606" builtinId="8" hidden="1"/>
    <cellStyle name="Hipervínculo" xfId="608" builtinId="8" hidden="1"/>
    <cellStyle name="Hipervínculo" xfId="610" builtinId="8" hidden="1"/>
    <cellStyle name="Hipervínculo" xfId="612" builtinId="8" hidden="1"/>
    <cellStyle name="Hipervínculo" xfId="614" builtinId="8" hidden="1"/>
    <cellStyle name="Hipervínculo" xfId="616" builtinId="8" hidden="1"/>
    <cellStyle name="Hipervínculo" xfId="618" builtinId="8" hidden="1"/>
    <cellStyle name="Hipervínculo" xfId="620" builtinId="8" hidden="1"/>
    <cellStyle name="Hipervínculo" xfId="622" builtinId="8" hidden="1"/>
    <cellStyle name="Hipervínculo" xfId="624" builtinId="8" hidden="1"/>
    <cellStyle name="Hipervínculo" xfId="626" builtinId="8" hidden="1"/>
    <cellStyle name="Hipervínculo" xfId="628" builtinId="8" hidden="1"/>
    <cellStyle name="Hipervínculo" xfId="630" builtinId="8" hidden="1"/>
    <cellStyle name="Hipervínculo" xfId="632" builtinId="8" hidden="1"/>
    <cellStyle name="Hipervínculo" xfId="634" builtinId="8" hidden="1"/>
    <cellStyle name="Hipervínculo" xfId="636" builtinId="8" hidden="1"/>
    <cellStyle name="Hipervínculo" xfId="638" builtinId="8" hidden="1"/>
    <cellStyle name="Hipervínculo" xfId="640" builtinId="8" hidden="1"/>
    <cellStyle name="Hipervínculo" xfId="642" builtinId="8" hidden="1"/>
    <cellStyle name="Hipervínculo" xfId="644" builtinId="8" hidden="1"/>
    <cellStyle name="Hipervínculo" xfId="646" builtinId="8" hidden="1"/>
    <cellStyle name="Hipervínculo" xfId="648" builtinId="8" hidden="1"/>
    <cellStyle name="Hipervínculo" xfId="650" builtinId="8" hidden="1"/>
    <cellStyle name="Hipervínculo" xfId="652" builtinId="8" hidden="1"/>
    <cellStyle name="Hipervínculo" xfId="654" builtinId="8" hidden="1"/>
    <cellStyle name="Hipervínculo" xfId="656" builtinId="8" hidden="1"/>
    <cellStyle name="Hipervínculo" xfId="658" builtinId="8" hidden="1"/>
    <cellStyle name="Hipervínculo" xfId="660" builtinId="8" hidden="1"/>
    <cellStyle name="Hipervínculo" xfId="662" builtinId="8" hidden="1"/>
    <cellStyle name="Hipervínculo" xfId="664" builtinId="8" hidden="1"/>
    <cellStyle name="Hipervínculo" xfId="666" builtinId="8" hidden="1"/>
    <cellStyle name="Hipervínculo" xfId="668" builtinId="8" hidden="1"/>
    <cellStyle name="Hipervínculo" xfId="670" builtinId="8" hidden="1"/>
    <cellStyle name="Hipervínculo" xfId="672" builtinId="8" hidden="1"/>
    <cellStyle name="Hipervínculo" xfId="674" builtinId="8" hidden="1"/>
    <cellStyle name="Hipervínculo" xfId="676" builtinId="8" hidden="1"/>
    <cellStyle name="Hipervínculo" xfId="678" builtinId="8" hidden="1"/>
    <cellStyle name="Hipervínculo" xfId="680" builtinId="8" hidden="1"/>
    <cellStyle name="Hipervínculo" xfId="682" builtinId="8" hidden="1"/>
    <cellStyle name="Hipervínculo" xfId="684" builtinId="8" hidden="1"/>
    <cellStyle name="Hipervínculo" xfId="686" builtinId="8" hidden="1"/>
    <cellStyle name="Hipervínculo" xfId="688" builtinId="8" hidden="1"/>
    <cellStyle name="Hipervínculo" xfId="690" builtinId="8" hidden="1"/>
    <cellStyle name="Hipervínculo" xfId="692" builtinId="8" hidden="1"/>
    <cellStyle name="Hipervínculo" xfId="694" builtinId="8" hidden="1"/>
    <cellStyle name="Hipervínculo" xfId="696" builtinId="8" hidden="1"/>
    <cellStyle name="Hipervínculo" xfId="698" builtinId="8" hidden="1"/>
    <cellStyle name="Hipervínculo" xfId="700" builtinId="8" hidden="1"/>
    <cellStyle name="Hipervínculo" xfId="702" builtinId="8" hidden="1"/>
    <cellStyle name="Hipervínculo" xfId="704" builtinId="8" hidden="1"/>
    <cellStyle name="Hipervínculo" xfId="706" builtinId="8" hidden="1"/>
    <cellStyle name="Hipervínculo" xfId="708" builtinId="8" hidden="1"/>
    <cellStyle name="Hipervínculo" xfId="710" builtinId="8" hidden="1"/>
    <cellStyle name="Hipervínculo" xfId="712" builtinId="8" hidden="1"/>
    <cellStyle name="Hipervínculo" xfId="714" builtinId="8" hidden="1"/>
    <cellStyle name="Hipervínculo" xfId="716" builtinId="8" hidden="1"/>
    <cellStyle name="Hipervínculo" xfId="719" builtinId="8" hidden="1"/>
    <cellStyle name="Hipervínculo" xfId="721" builtinId="8" hidden="1"/>
    <cellStyle name="Hipervínculo" xfId="723" builtinId="8" hidden="1"/>
    <cellStyle name="Hipervínculo" xfId="725" builtinId="8" hidden="1"/>
    <cellStyle name="Hipervínculo" xfId="727" builtinId="8" hidden="1"/>
    <cellStyle name="Hipervínculo" xfId="729" builtinId="8" hidden="1"/>
    <cellStyle name="Hipervínculo" xfId="731" builtinId="8" hidden="1"/>
    <cellStyle name="Hipervínculo" xfId="733" builtinId="8" hidden="1"/>
    <cellStyle name="Hipervínculo" xfId="735" builtinId="8" hidden="1"/>
    <cellStyle name="Hipervínculo" xfId="737" builtinId="8" hidden="1"/>
    <cellStyle name="Hipervínculo" xfId="739" builtinId="8" hidden="1"/>
    <cellStyle name="Hipervínculo" xfId="741" builtinId="8" hidden="1"/>
    <cellStyle name="Hipervínculo" xfId="743" builtinId="8" hidden="1"/>
    <cellStyle name="Hipervínculo" xfId="745" builtinId="8" hidden="1"/>
    <cellStyle name="Hipervínculo" xfId="747" builtinId="8" hidden="1"/>
    <cellStyle name="Hipervínculo" xfId="749" builtinId="8" hidden="1"/>
    <cellStyle name="Hipervínculo" xfId="751" builtinId="8" hidden="1"/>
    <cellStyle name="Hipervínculo" xfId="753" builtinId="8" hidden="1"/>
    <cellStyle name="Hipervínculo" xfId="755" builtinId="8" hidden="1"/>
    <cellStyle name="Hipervínculo" xfId="757" builtinId="8" hidden="1"/>
    <cellStyle name="Hipervínculo" xfId="759" builtinId="8" hidden="1"/>
    <cellStyle name="Hipervínculo" xfId="761" builtinId="8" hidden="1"/>
    <cellStyle name="Hipervínculo" xfId="763" builtinId="8" hidden="1"/>
    <cellStyle name="Hipervínculo" xfId="765" builtinId="8" hidden="1"/>
    <cellStyle name="Hipervínculo" xfId="767" builtinId="8" hidden="1"/>
    <cellStyle name="Hipervínculo" xfId="769" builtinId="8" hidden="1"/>
    <cellStyle name="Hipervínculo" xfId="771" builtinId="8" hidden="1"/>
    <cellStyle name="Hipervínculo" xfId="773" builtinId="8" hidden="1"/>
    <cellStyle name="Hipervínculo" xfId="775" builtinId="8" hidden="1"/>
    <cellStyle name="Hipervínculo" xfId="777" builtinId="8" hidden="1"/>
    <cellStyle name="Hipervínculo" xfId="779" builtinId="8" hidden="1"/>
    <cellStyle name="Hipervínculo" xfId="781" builtinId="8" hidden="1"/>
    <cellStyle name="Hipervínculo" xfId="783" builtinId="8" hidden="1"/>
    <cellStyle name="Hipervínculo" xfId="785" builtinId="8" hidden="1"/>
    <cellStyle name="Hipervínculo" xfId="787" builtinId="8" hidden="1"/>
    <cellStyle name="Hipervínculo" xfId="789" builtinId="8" hidden="1"/>
    <cellStyle name="Hipervínculo" xfId="791" builtinId="8" hidden="1"/>
    <cellStyle name="Hipervínculo" xfId="793" builtinId="8" hidden="1"/>
    <cellStyle name="Hipervínculo" xfId="795" builtinId="8" hidden="1"/>
    <cellStyle name="Hipervínculo" xfId="797" builtinId="8" hidden="1"/>
    <cellStyle name="Hipervínculo" xfId="799" builtinId="8" hidden="1"/>
    <cellStyle name="Hipervínculo" xfId="801" builtinId="8" hidden="1"/>
    <cellStyle name="Hipervínculo" xfId="803" builtinId="8" hidden="1"/>
    <cellStyle name="Hipervínculo" xfId="805" builtinId="8" hidden="1"/>
    <cellStyle name="Hipervínculo" xfId="807" builtinId="8" hidden="1"/>
    <cellStyle name="Hipervínculo" xfId="809" builtinId="8" hidden="1"/>
    <cellStyle name="Hipervínculo" xfId="811" builtinId="8" hidden="1"/>
    <cellStyle name="Hipervínculo" xfId="813" builtinId="8" hidden="1"/>
    <cellStyle name="Hipervínculo" xfId="815" builtinId="8" hidden="1"/>
    <cellStyle name="Hipervínculo" xfId="817" builtinId="8" hidden="1"/>
    <cellStyle name="Hipervínculo" xfId="819" builtinId="8" hidden="1"/>
    <cellStyle name="Hipervínculo" xfId="821" builtinId="8" hidden="1"/>
    <cellStyle name="Hipervínculo" xfId="823" builtinId="8" hidden="1"/>
    <cellStyle name="Hipervínculo" xfId="825" builtinId="8" hidden="1"/>
    <cellStyle name="Hipervínculo" xfId="827" builtinId="8" hidden="1"/>
    <cellStyle name="Hipervínculo" xfId="829" builtinId="8" hidden="1"/>
    <cellStyle name="Hipervínculo" xfId="831" builtinId="8" hidden="1"/>
    <cellStyle name="Hipervínculo" xfId="833" builtinId="8" hidden="1"/>
    <cellStyle name="Hipervínculo" xfId="835" builtinId="8" hidden="1"/>
    <cellStyle name="Hipervínculo" xfId="837" builtinId="8" hidden="1"/>
    <cellStyle name="Hipervínculo" xfId="839" builtinId="8" hidden="1"/>
    <cellStyle name="Hipervínculo" xfId="841" builtinId="8" hidden="1"/>
    <cellStyle name="Hipervínculo" xfId="843" builtinId="8" hidden="1"/>
    <cellStyle name="Hipervínculo" xfId="845" builtinId="8" hidden="1"/>
    <cellStyle name="Hipervínculo" xfId="847" builtinId="8" hidden="1"/>
    <cellStyle name="Hipervínculo" xfId="849" builtinId="8" hidden="1"/>
    <cellStyle name="Hipervínculo" xfId="851" builtinId="8" hidden="1"/>
    <cellStyle name="Hipervínculo" xfId="853" builtinId="8" hidden="1"/>
    <cellStyle name="Hipervínculo" xfId="855" builtinId="8" hidden="1"/>
    <cellStyle name="Hipervínculo" xfId="857" builtinId="8" hidden="1"/>
    <cellStyle name="Hipervínculo" xfId="859" builtinId="8" hidden="1"/>
    <cellStyle name="Hipervínculo" xfId="861" builtinId="8" hidden="1"/>
    <cellStyle name="Hipervínculo" xfId="863" builtinId="8" hidden="1"/>
    <cellStyle name="Hipervínculo" xfId="865" builtinId="8" hidden="1"/>
    <cellStyle name="Hipervínculo" xfId="867" builtinId="8" hidden="1"/>
    <cellStyle name="Hipervínculo" xfId="869" builtinId="8" hidden="1"/>
    <cellStyle name="Hipervínculo" xfId="871" builtinId="8" hidden="1"/>
    <cellStyle name="Hipervínculo" xfId="873" builtinId="8" hidden="1"/>
    <cellStyle name="Hipervínculo" xfId="875" builtinId="8" hidden="1"/>
    <cellStyle name="Hipervínculo" xfId="877" builtinId="8" hidden="1"/>
    <cellStyle name="Hipervínculo" xfId="879" builtinId="8" hidden="1"/>
    <cellStyle name="Hipervínculo" xfId="881" builtinId="8" hidden="1"/>
    <cellStyle name="Hipervínculo" xfId="883" builtinId="8" hidden="1"/>
    <cellStyle name="Hipervínculo" xfId="885" builtinId="8" hidden="1"/>
    <cellStyle name="Hipervínculo" xfId="887" builtinId="8" hidden="1"/>
    <cellStyle name="Hipervínculo" xfId="889" builtinId="8" hidden="1"/>
    <cellStyle name="Hipervínculo" xfId="891" builtinId="8" hidden="1"/>
    <cellStyle name="Hipervínculo" xfId="893" builtinId="8" hidden="1"/>
    <cellStyle name="Hipervínculo" xfId="895" builtinId="8" hidden="1"/>
    <cellStyle name="Hipervínculo" xfId="897" builtinId="8" hidden="1"/>
    <cellStyle name="Hipervínculo" xfId="899" builtinId="8" hidden="1"/>
    <cellStyle name="Hipervínculo" xfId="901" builtinId="8" hidden="1"/>
    <cellStyle name="Hipervínculo" xfId="903" builtinId="8" hidden="1"/>
    <cellStyle name="Hipervínculo" xfId="905" builtinId="8" hidden="1"/>
    <cellStyle name="Hipervínculo" xfId="907" builtinId="8" hidden="1"/>
    <cellStyle name="Hipervínculo" xfId="909" builtinId="8" hidden="1"/>
    <cellStyle name="Hipervínculo" xfId="911" builtinId="8" hidden="1"/>
    <cellStyle name="Hipervínculo" xfId="913" builtinId="8" hidden="1"/>
    <cellStyle name="Hipervínculo" xfId="915" builtinId="8" hidden="1"/>
    <cellStyle name="Hipervínculo" xfId="917" builtinId="8" hidden="1"/>
    <cellStyle name="Hipervínculo" xfId="919" builtinId="8" hidden="1"/>
    <cellStyle name="Hipervínculo" xfId="921" builtinId="8" hidden="1"/>
    <cellStyle name="Hipervínculo" xfId="923" builtinId="8" hidden="1"/>
    <cellStyle name="Hipervínculo" xfId="925" builtinId="8" hidden="1"/>
    <cellStyle name="Hipervínculo" xfId="927" builtinId="8" hidden="1"/>
    <cellStyle name="Hipervínculo" xfId="929" builtinId="8" hidden="1"/>
    <cellStyle name="Hipervínculo" xfId="931" builtinId="8" hidden="1"/>
    <cellStyle name="Hipervínculo" xfId="933" builtinId="8" hidden="1"/>
    <cellStyle name="Hipervínculo" xfId="935" builtinId="8" hidden="1"/>
    <cellStyle name="Hipervínculo" xfId="937" builtinId="8" hidden="1"/>
    <cellStyle name="Hipervínculo" xfId="939" builtinId="8" hidden="1"/>
    <cellStyle name="Hipervínculo" xfId="941" builtinId="8" hidden="1"/>
    <cellStyle name="Hipervínculo" xfId="943" builtinId="8" hidden="1"/>
    <cellStyle name="Hipervínculo" xfId="945" builtinId="8" hidden="1"/>
    <cellStyle name="Hipervínculo" xfId="947" builtinId="8" hidden="1"/>
    <cellStyle name="Hipervínculo" xfId="949" builtinId="8" hidden="1"/>
    <cellStyle name="Hipervínculo" xfId="951" builtinId="8" hidden="1"/>
    <cellStyle name="Hipervínculo" xfId="953" builtinId="8" hidden="1"/>
    <cellStyle name="Hipervínculo" xfId="955" builtinId="8" hidden="1"/>
    <cellStyle name="Hipervínculo" xfId="957" builtinId="8" hidden="1"/>
    <cellStyle name="Hipervínculo" xfId="959" builtinId="8" hidden="1"/>
    <cellStyle name="Hipervínculo" xfId="961" builtinId="8" hidden="1"/>
    <cellStyle name="Hipervínculo" xfId="963" builtinId="8" hidden="1"/>
    <cellStyle name="Hipervínculo" xfId="965" builtinId="8" hidden="1"/>
    <cellStyle name="Hipervínculo" xfId="967" builtinId="8" hidden="1"/>
    <cellStyle name="Hipervínculo" xfId="969" builtinId="8" hidden="1"/>
    <cellStyle name="Hipervínculo" xfId="971" builtinId="8" hidden="1"/>
    <cellStyle name="Hipervínculo" xfId="973" builtinId="8" hidden="1"/>
    <cellStyle name="Hipervínculo" xfId="975" builtinId="8" hidden="1"/>
    <cellStyle name="Hipervínculo" xfId="977" builtinId="8" hidden="1"/>
    <cellStyle name="Hipervínculo" xfId="979" builtinId="8" hidden="1"/>
    <cellStyle name="Hipervínculo" xfId="981" builtinId="8" hidden="1"/>
    <cellStyle name="Hipervínculo" xfId="983" builtinId="8" hidden="1"/>
    <cellStyle name="Hipervínculo" xfId="985" builtinId="8" hidden="1"/>
    <cellStyle name="Hipervínculo" xfId="987" builtinId="8" hidden="1"/>
    <cellStyle name="Hipervínculo" xfId="989" builtinId="8" hidden="1"/>
    <cellStyle name="Hipervínculo" xfId="991" builtinId="8" hidden="1"/>
    <cellStyle name="Hipervínculo" xfId="993" builtinId="8" hidden="1"/>
    <cellStyle name="Hipervínculo" xfId="995" builtinId="8" hidden="1"/>
    <cellStyle name="Hipervínculo" xfId="997" builtinId="8" hidden="1"/>
    <cellStyle name="Hipervínculo" xfId="999" builtinId="8" hidden="1"/>
    <cellStyle name="Hipervínculo" xfId="1001" builtinId="8" hidden="1"/>
    <cellStyle name="Hipervínculo" xfId="1003" builtinId="8" hidden="1"/>
    <cellStyle name="Hipervínculo" xfId="1005" builtinId="8" hidden="1"/>
    <cellStyle name="Hipervínculo" xfId="1007" builtinId="8" hidden="1"/>
    <cellStyle name="Hipervínculo" xfId="1009" builtinId="8" hidden="1"/>
    <cellStyle name="Hipervínculo" xfId="1011" builtinId="8" hidden="1"/>
    <cellStyle name="Hipervínculo" xfId="1013" builtinId="8" hidden="1"/>
    <cellStyle name="Hipervínculo" xfId="1015" builtinId="8" hidden="1"/>
    <cellStyle name="Hipervínculo" xfId="1017" builtinId="8" hidden="1"/>
    <cellStyle name="Hipervínculo" xfId="1019" builtinId="8" hidden="1"/>
    <cellStyle name="Hipervínculo" xfId="1021" builtinId="8" hidden="1"/>
    <cellStyle name="Hipervínculo" xfId="1023" builtinId="8" hidden="1"/>
    <cellStyle name="Hipervínculo" xfId="1025" builtinId="8" hidden="1"/>
    <cellStyle name="Hipervínculo" xfId="1027" builtinId="8" hidden="1"/>
    <cellStyle name="Hipervínculo" xfId="1029" builtinId="8" hidden="1"/>
    <cellStyle name="Hipervínculo" xfId="1031" builtinId="8" hidden="1"/>
    <cellStyle name="Hipervínculo" xfId="1033" builtinId="8" hidden="1"/>
    <cellStyle name="Hipervínculo" xfId="1035" builtinId="8" hidden="1"/>
    <cellStyle name="Hipervínculo" xfId="1037" builtinId="8" hidden="1"/>
    <cellStyle name="Hipervínculo" xfId="1039" builtinId="8" hidden="1"/>
    <cellStyle name="Hipervínculo" xfId="1041" builtinId="8" hidden="1"/>
    <cellStyle name="Hipervínculo" xfId="1043" builtinId="8" hidden="1"/>
    <cellStyle name="Hipervínculo" xfId="1045" builtinId="8" hidden="1"/>
    <cellStyle name="Hipervínculo" xfId="1047" builtinId="8" hidden="1"/>
    <cellStyle name="Hipervínculo" xfId="1049" builtinId="8" hidden="1"/>
    <cellStyle name="Hipervínculo" xfId="1051" builtinId="8" hidden="1"/>
    <cellStyle name="Hipervínculo" xfId="1053" builtinId="8" hidden="1"/>
    <cellStyle name="Hipervínculo" xfId="1055" builtinId="8" hidden="1"/>
    <cellStyle name="Hipervínculo" xfId="1057" builtinId="8" hidden="1"/>
    <cellStyle name="Hipervínculo" xfId="1059" builtinId="8" hidden="1"/>
    <cellStyle name="Hipervínculo" xfId="1061" builtinId="8" hidden="1"/>
    <cellStyle name="Hipervínculo" xfId="1063" builtinId="8" hidden="1"/>
    <cellStyle name="Hipervínculo" xfId="1065" builtinId="8" hidden="1"/>
    <cellStyle name="Hipervínculo" xfId="1067" builtinId="8" hidden="1"/>
    <cellStyle name="Hipervínculo" xfId="1069" builtinId="8" hidden="1"/>
    <cellStyle name="Hipervínculo" xfId="1071" builtinId="8" hidden="1"/>
    <cellStyle name="Hipervínculo" xfId="1073" builtinId="8" hidden="1"/>
    <cellStyle name="Hipervínculo" xfId="1075" builtinId="8" hidden="1"/>
    <cellStyle name="Hipervínculo" xfId="1077" builtinId="8" hidden="1"/>
    <cellStyle name="Hipervínculo" xfId="1079" builtinId="8" hidden="1"/>
    <cellStyle name="Hipervínculo" xfId="1081" builtinId="8" hidden="1"/>
    <cellStyle name="Hipervínculo" xfId="1083" builtinId="8" hidden="1"/>
    <cellStyle name="Hipervínculo" xfId="1085" builtinId="8" hidden="1"/>
    <cellStyle name="Hipervínculo" xfId="1087" builtinId="8" hidden="1"/>
    <cellStyle name="Hipervínculo" xfId="1089" builtinId="8" hidden="1"/>
    <cellStyle name="Hipervínculo" xfId="1091" builtinId="8" hidden="1"/>
    <cellStyle name="Hipervínculo" xfId="1093" builtinId="8" hidden="1"/>
    <cellStyle name="Hipervínculo" xfId="1095" builtinId="8" hidden="1"/>
    <cellStyle name="Hipervínculo" xfId="1097" builtinId="8" hidden="1"/>
    <cellStyle name="Hipervínculo" xfId="1099" builtinId="8" hidden="1"/>
    <cellStyle name="Hipervínculo" xfId="1101" builtinId="8" hidden="1"/>
    <cellStyle name="Hipervínculo" xfId="1103" builtinId="8" hidden="1"/>
    <cellStyle name="Hipervínculo" xfId="1105" builtinId="8" hidden="1"/>
    <cellStyle name="Hipervínculo" xfId="1107" builtinId="8" hidden="1"/>
    <cellStyle name="Hipervínculo" xfId="1109" builtinId="8" hidden="1"/>
    <cellStyle name="Hipervínculo" xfId="1111" builtinId="8" hidden="1"/>
    <cellStyle name="Hipervínculo" xfId="1113" builtinId="8" hidden="1"/>
    <cellStyle name="Hipervínculo" xfId="1115" builtinId="8" hidden="1"/>
    <cellStyle name="Hipervínculo" xfId="1117" builtinId="8" hidden="1"/>
    <cellStyle name="Hipervínculo" xfId="1119" builtinId="8" hidden="1"/>
    <cellStyle name="Hipervínculo" xfId="1121" builtinId="8" hidden="1"/>
    <cellStyle name="Hipervínculo" xfId="1123" builtinId="8" hidden="1"/>
    <cellStyle name="Hipervínculo" xfId="1125" builtinId="8" hidden="1"/>
    <cellStyle name="Hipervínculo" xfId="1127" builtinId="8" hidden="1"/>
    <cellStyle name="Hipervínculo" xfId="1129" builtinId="8" hidden="1"/>
    <cellStyle name="Hipervínculo" xfId="1131" builtinId="8" hidden="1"/>
    <cellStyle name="Hipervínculo" xfId="1133" builtinId="8" hidden="1"/>
    <cellStyle name="Hipervínculo" xfId="1135" builtinId="8" hidden="1"/>
    <cellStyle name="Hipervínculo" xfId="1137" builtinId="8" hidden="1"/>
    <cellStyle name="Hipervínculo" xfId="1139" builtinId="8" hidden="1"/>
    <cellStyle name="Hipervínculo" xfId="1141" builtinId="8" hidden="1"/>
    <cellStyle name="Hipervínculo" xfId="1143" builtinId="8" hidden="1"/>
    <cellStyle name="Hipervínculo" xfId="1145" builtinId="8" hidden="1"/>
    <cellStyle name="Hipervínculo" xfId="1147" builtinId="8" hidden="1"/>
    <cellStyle name="Hipervínculo" xfId="1149" builtinId="8" hidden="1"/>
    <cellStyle name="Hipervínculo" xfId="1151" builtinId="8" hidden="1"/>
    <cellStyle name="Hipervínculo" xfId="1153" builtinId="8" hidden="1"/>
    <cellStyle name="Hipervínculo" xfId="1155" builtinId="8" hidden="1"/>
    <cellStyle name="Hipervínculo" xfId="1157" builtinId="8" hidden="1"/>
    <cellStyle name="Hipervínculo" xfId="1159" builtinId="8" hidden="1"/>
    <cellStyle name="Hipervínculo" xfId="1161" builtinId="8" hidden="1"/>
    <cellStyle name="Hipervínculo" xfId="1163" builtinId="8" hidden="1"/>
    <cellStyle name="Hipervínculo" xfId="1165" builtinId="8" hidden="1"/>
    <cellStyle name="Hipervínculo" xfId="1167" builtinId="8" hidden="1"/>
    <cellStyle name="Hipervínculo" xfId="1169" builtinId="8" hidden="1"/>
    <cellStyle name="Hipervínculo" xfId="1171" builtinId="8" hidden="1"/>
    <cellStyle name="Hipervínculo" xfId="1173" builtinId="8" hidden="1"/>
    <cellStyle name="Hipervínculo" xfId="1175" builtinId="8" hidden="1"/>
    <cellStyle name="Hipervínculo" xfId="1177" builtinId="8" hidden="1"/>
    <cellStyle name="Hipervínculo" xfId="1179" builtinId="8" hidden="1"/>
    <cellStyle name="Hipervínculo" xfId="1181" builtinId="8" hidden="1"/>
    <cellStyle name="Hipervínculo" xfId="1183" builtinId="8" hidden="1"/>
    <cellStyle name="Hipervínculo" xfId="1185" builtinId="8" hidden="1"/>
    <cellStyle name="Hipervínculo" xfId="1187" builtinId="8" hidden="1"/>
    <cellStyle name="Hipervínculo" xfId="1189" builtinId="8" hidden="1"/>
    <cellStyle name="Hipervínculo" xfId="1191" builtinId="8" hidden="1"/>
    <cellStyle name="Hipervínculo" xfId="1193" builtinId="8" hidden="1"/>
    <cellStyle name="Hipervínculo" xfId="1195" builtinId="8" hidden="1"/>
    <cellStyle name="Hipervínculo" xfId="1197" builtinId="8" hidden="1"/>
    <cellStyle name="Hipervínculo" xfId="1199" builtinId="8" hidden="1"/>
    <cellStyle name="Hipervínculo" xfId="1201" builtinId="8" hidden="1"/>
    <cellStyle name="Hipervínculo" xfId="1203" builtinId="8" hidden="1"/>
    <cellStyle name="Hipervínculo" xfId="1205" builtinId="8" hidden="1"/>
    <cellStyle name="Hipervínculo" xfId="1207" builtinId="8" hidden="1"/>
    <cellStyle name="Hipervínculo" xfId="1209" builtinId="8" hidden="1"/>
    <cellStyle name="Hipervínculo" xfId="1211" builtinId="8" hidden="1"/>
    <cellStyle name="Hipervínculo" xfId="1213" builtinId="8" hidden="1"/>
    <cellStyle name="Hipervínculo" xfId="1215" builtinId="8" hidden="1"/>
    <cellStyle name="Hipervínculo" xfId="1217" builtinId="8" hidden="1"/>
    <cellStyle name="Hipervínculo" xfId="1219" builtinId="8" hidden="1"/>
    <cellStyle name="Hipervínculo" xfId="1221" builtinId="8" hidden="1"/>
    <cellStyle name="Hipervínculo" xfId="1223" builtinId="8" hidden="1"/>
    <cellStyle name="Hipervínculo" xfId="1225" builtinId="8" hidden="1"/>
    <cellStyle name="Hipervínculo" xfId="1227" builtinId="8" hidden="1"/>
    <cellStyle name="Hipervínculo" xfId="1229" builtinId="8" hidden="1"/>
    <cellStyle name="Hipervínculo" xfId="1231" builtinId="8" hidden="1"/>
    <cellStyle name="Hipervínculo" xfId="1233" builtinId="8" hidden="1"/>
    <cellStyle name="Hipervínculo" xfId="1235" builtinId="8" hidden="1"/>
    <cellStyle name="Hipervínculo" xfId="1237" builtinId="8" hidden="1"/>
    <cellStyle name="Hipervínculo" xfId="1239" builtinId="8" hidden="1"/>
    <cellStyle name="Hipervínculo" xfId="1241" builtinId="8" hidden="1"/>
    <cellStyle name="Hipervínculo" xfId="1243" builtinId="8" hidden="1"/>
    <cellStyle name="Hipervínculo" xfId="1245" builtinId="8" hidden="1"/>
    <cellStyle name="Hipervínculo" xfId="1247" builtinId="8" hidden="1"/>
    <cellStyle name="Hipervínculo" xfId="1249" builtinId="8" hidden="1"/>
    <cellStyle name="Hipervínculo" xfId="1251" builtinId="8" hidden="1"/>
    <cellStyle name="Hipervínculo" xfId="1253" builtinId="8" hidden="1"/>
    <cellStyle name="Hipervínculo" xfId="1255" builtinId="8" hidden="1"/>
    <cellStyle name="Hipervínculo" xfId="1257" builtinId="8" hidden="1"/>
    <cellStyle name="Hipervínculo" xfId="1259" builtinId="8" hidden="1"/>
    <cellStyle name="Hipervínculo" xfId="1261" builtinId="8" hidden="1"/>
    <cellStyle name="Hipervínculo" xfId="1263" builtinId="8" hidden="1"/>
    <cellStyle name="Hipervínculo" xfId="1265" builtinId="8" hidden="1"/>
    <cellStyle name="Hipervínculo" xfId="1267" builtinId="8" hidden="1"/>
    <cellStyle name="Hipervínculo" xfId="1269" builtinId="8" hidden="1"/>
    <cellStyle name="Hipervínculo" xfId="1271" builtinId="8" hidden="1"/>
    <cellStyle name="Hipervínculo" xfId="1273" builtinId="8" hidden="1"/>
    <cellStyle name="Hipervínculo" xfId="1275" builtinId="8" hidden="1"/>
    <cellStyle name="Hipervínculo" xfId="1277" builtinId="8" hidden="1"/>
    <cellStyle name="Hipervínculo" xfId="1279" builtinId="8" hidden="1"/>
    <cellStyle name="Hipervínculo" xfId="1281" builtinId="8" hidden="1"/>
    <cellStyle name="Hipervínculo" xfId="1283" builtinId="8" hidden="1"/>
    <cellStyle name="Hipervínculo" xfId="1285" builtinId="8" hidden="1"/>
    <cellStyle name="Hipervínculo" xfId="1287" builtinId="8" hidden="1"/>
    <cellStyle name="Hipervínculo" xfId="1289" builtinId="8" hidden="1"/>
    <cellStyle name="Hipervínculo" xfId="1291" builtinId="8" hidden="1"/>
    <cellStyle name="Hipervínculo" xfId="1293" builtinId="8" hidden="1"/>
    <cellStyle name="Hipervínculo" xfId="1295" builtinId="8" hidden="1"/>
    <cellStyle name="Hipervínculo" xfId="1297" builtinId="8" hidden="1"/>
    <cellStyle name="Hipervínculo" xfId="1299" builtinId="8" hidden="1"/>
    <cellStyle name="Hipervínculo" xfId="1301" builtinId="8" hidden="1"/>
    <cellStyle name="Hipervínculo" xfId="1303" builtinId="8" hidden="1"/>
    <cellStyle name="Hipervínculo" xfId="1305" builtinId="8" hidden="1"/>
    <cellStyle name="Hipervínculo" xfId="1307" builtinId="8" hidden="1"/>
    <cellStyle name="Hipervínculo" xfId="1309" builtinId="8" hidden="1"/>
    <cellStyle name="Hipervínculo" xfId="1311" builtinId="8" hidden="1"/>
    <cellStyle name="Hipervínculo" xfId="1313" builtinId="8" hidden="1"/>
    <cellStyle name="Hipervínculo" xfId="1315" builtinId="8" hidden="1"/>
    <cellStyle name="Hipervínculo" xfId="1317" builtinId="8" hidden="1"/>
    <cellStyle name="Hipervínculo" xfId="1319" builtinId="8" hidden="1"/>
    <cellStyle name="Hipervínculo" xfId="1321" builtinId="8" hidden="1"/>
    <cellStyle name="Hipervínculo" xfId="1323" builtinId="8" hidden="1"/>
    <cellStyle name="Hipervínculo" xfId="1325" builtinId="8" hidden="1"/>
    <cellStyle name="Hipervínculo" xfId="1327" builtinId="8" hidden="1"/>
    <cellStyle name="Hipervínculo" xfId="1329" builtinId="8" hidden="1"/>
    <cellStyle name="Hipervínculo" xfId="1331" builtinId="8" hidden="1"/>
    <cellStyle name="Hipervínculo" xfId="1333" builtinId="8" hidden="1"/>
    <cellStyle name="Hipervínculo" xfId="1335" builtinId="8" hidden="1"/>
    <cellStyle name="Hipervínculo" xfId="1337" builtinId="8" hidden="1"/>
    <cellStyle name="Hipervínculo" xfId="1339" builtinId="8" hidden="1"/>
    <cellStyle name="Hipervínculo" xfId="1341" builtinId="8" hidden="1"/>
    <cellStyle name="Hipervínculo" xfId="1343" builtinId="8" hidden="1"/>
    <cellStyle name="Hipervínculo" xfId="1345" builtinId="8" hidden="1"/>
    <cellStyle name="Hipervínculo" xfId="1347" builtinId="8" hidden="1"/>
    <cellStyle name="Hipervínculo" xfId="1349" builtinId="8" hidden="1"/>
    <cellStyle name="Hipervínculo" xfId="1351" builtinId="8" hidden="1"/>
    <cellStyle name="Hipervínculo" xfId="1353" builtinId="8" hidden="1"/>
    <cellStyle name="Hipervínculo" xfId="1355" builtinId="8" hidden="1"/>
    <cellStyle name="Hipervínculo" xfId="1357" builtinId="8" hidden="1"/>
    <cellStyle name="Hipervínculo" xfId="1359" builtinId="8" hidden="1"/>
    <cellStyle name="Hipervínculo" xfId="1361" builtinId="8" hidden="1"/>
    <cellStyle name="Hipervínculo" xfId="1363" builtinId="8" hidden="1"/>
    <cellStyle name="Hipervínculo" xfId="1365" builtinId="8" hidden="1"/>
    <cellStyle name="Hipervínculo" xfId="1367" builtinId="8" hidden="1"/>
    <cellStyle name="Hipervínculo" xfId="1369" builtinId="8" hidden="1"/>
    <cellStyle name="Hipervínculo" xfId="1371" builtinId="8" hidden="1"/>
    <cellStyle name="Hipervínculo" xfId="1373" builtinId="8" hidden="1"/>
    <cellStyle name="Hipervínculo" xfId="1375" builtinId="8" hidden="1"/>
    <cellStyle name="Hipervínculo" xfId="1377" builtinId="8" hidden="1"/>
    <cellStyle name="Hipervínculo" xfId="1379" builtinId="8" hidden="1"/>
    <cellStyle name="Hipervínculo" xfId="1381" builtinId="8" hidden="1"/>
    <cellStyle name="Hipervínculo" xfId="1383" builtinId="8" hidden="1"/>
    <cellStyle name="Hipervínculo" xfId="1385" builtinId="8" hidden="1"/>
    <cellStyle name="Hipervínculo" xfId="1387" builtinId="8" hidden="1"/>
    <cellStyle name="Hipervínculo" xfId="1389" builtinId="8" hidden="1"/>
    <cellStyle name="Hipervínculo" xfId="1391" builtinId="8" hidden="1"/>
    <cellStyle name="Hipervínculo" xfId="1393" builtinId="8" hidden="1"/>
    <cellStyle name="Hipervínculo" xfId="1395" builtinId="8" hidden="1"/>
    <cellStyle name="Hipervínculo" xfId="1397" builtinId="8" hidden="1"/>
    <cellStyle name="Hipervínculo" xfId="1399" builtinId="8" hidden="1"/>
    <cellStyle name="Hipervínculo" xfId="1401" builtinId="8" hidden="1"/>
    <cellStyle name="Hipervínculo" xfId="1403" builtinId="8" hidden="1"/>
    <cellStyle name="Hipervínculo" xfId="1405" builtinId="8" hidden="1"/>
    <cellStyle name="Hipervínculo" xfId="1407" builtinId="8" hidden="1"/>
    <cellStyle name="Hipervínculo" xfId="1409" builtinId="8" hidden="1"/>
    <cellStyle name="Hipervínculo" xfId="1411" builtinId="8" hidden="1"/>
    <cellStyle name="Hipervínculo" xfId="1413" builtinId="8" hidden="1"/>
    <cellStyle name="Hipervínculo" xfId="1415" builtinId="8" hidden="1"/>
    <cellStyle name="Hipervínculo" xfId="1417" builtinId="8" hidden="1"/>
    <cellStyle name="Hipervínculo" xfId="1419" builtinId="8" hidden="1"/>
    <cellStyle name="Hipervínculo" xfId="1421" builtinId="8" hidden="1"/>
    <cellStyle name="Hipervínculo" xfId="1423" builtinId="8" hidden="1"/>
    <cellStyle name="Hipervínculo" xfId="1425" builtinId="8" hidden="1"/>
    <cellStyle name="Hipervínculo" xfId="1427" builtinId="8" hidden="1"/>
    <cellStyle name="Hipervínculo" xfId="1429" builtinId="8" hidden="1"/>
    <cellStyle name="Hipervínculo" xfId="1431" builtinId="8" hidden="1"/>
    <cellStyle name="Hipervínculo" xfId="1433" builtinId="8" hidden="1"/>
    <cellStyle name="Hipervínculo" xfId="1435" builtinId="8" hidden="1"/>
    <cellStyle name="Hipervínculo" xfId="1437" builtinId="8" hidden="1"/>
    <cellStyle name="Hipervínculo" xfId="1439" builtinId="8" hidden="1"/>
    <cellStyle name="Hipervínculo" xfId="1441" builtinId="8" hidden="1"/>
    <cellStyle name="Hipervínculo" xfId="1443" builtinId="8" hidden="1"/>
    <cellStyle name="Hipervínculo" xfId="1445" builtinId="8" hidden="1"/>
    <cellStyle name="Hipervínculo" xfId="1447" builtinId="8" hidden="1"/>
    <cellStyle name="Hipervínculo" xfId="1449" builtinId="8" hidden="1"/>
    <cellStyle name="Hipervínculo" xfId="1451" builtinId="8" hidden="1"/>
    <cellStyle name="Hipervínculo" xfId="1453" builtinId="8" hidden="1"/>
    <cellStyle name="Hipervínculo" xfId="1455" builtinId="8" hidden="1"/>
    <cellStyle name="Hipervínculo" xfId="1457" builtinId="8" hidden="1"/>
    <cellStyle name="Hipervínculo" xfId="1459" builtinId="8" hidden="1"/>
    <cellStyle name="Hipervínculo" xfId="1461" builtinId="8" hidden="1"/>
    <cellStyle name="Hipervínculo" xfId="1463" builtinId="8" hidden="1"/>
    <cellStyle name="Hipervínculo" xfId="1465" builtinId="8" hidden="1"/>
    <cellStyle name="Hipervínculo" xfId="1467" builtinId="8" hidden="1"/>
    <cellStyle name="Hipervínculo" xfId="1469" builtinId="8" hidden="1"/>
    <cellStyle name="Hipervínculo" xfId="1471" builtinId="8" hidden="1"/>
    <cellStyle name="Hipervínculo" xfId="1473" builtinId="8" hidden="1"/>
    <cellStyle name="Hipervínculo" xfId="1475" builtinId="8" hidden="1"/>
    <cellStyle name="Hipervínculo" xfId="1477" builtinId="8" hidden="1"/>
    <cellStyle name="Hipervínculo" xfId="1479" builtinId="8" hidden="1"/>
    <cellStyle name="Hipervínculo" xfId="1481" builtinId="8" hidden="1"/>
    <cellStyle name="Hipervínculo" xfId="1483" builtinId="8" hidden="1"/>
    <cellStyle name="Hipervínculo" xfId="1485" builtinId="8" hidden="1"/>
    <cellStyle name="Hipervínculo" xfId="1487" builtinId="8" hidden="1"/>
    <cellStyle name="Hipervínculo" xfId="1489" builtinId="8" hidden="1"/>
    <cellStyle name="Hipervínculo" xfId="1491" builtinId="8" hidden="1"/>
    <cellStyle name="Hipervínculo" xfId="1493" builtinId="8" hidden="1"/>
    <cellStyle name="Hipervínculo" xfId="1495" builtinId="8" hidden="1"/>
    <cellStyle name="Hipervínculo" xfId="1497" builtinId="8" hidden="1"/>
    <cellStyle name="Hipervínculo" xfId="1499" builtinId="8" hidden="1"/>
    <cellStyle name="Hipervínculo" xfId="1501" builtinId="8" hidden="1"/>
    <cellStyle name="Hipervínculo" xfId="1503" builtinId="8" hidden="1"/>
    <cellStyle name="Hipervínculo" xfId="1505" builtinId="8" hidden="1"/>
    <cellStyle name="Hipervínculo" xfId="1507" builtinId="8" hidden="1"/>
    <cellStyle name="Hipervínculo" xfId="1509" builtinId="8" hidden="1"/>
    <cellStyle name="Hipervínculo" xfId="1511" builtinId="8" hidden="1"/>
    <cellStyle name="Hipervínculo" xfId="1513" builtinId="8" hidden="1"/>
    <cellStyle name="Hipervínculo" xfId="1515" builtinId="8" hidden="1"/>
    <cellStyle name="Hipervínculo" xfId="1517" builtinId="8" hidden="1"/>
    <cellStyle name="Hipervínculo" xfId="1519" builtinId="8" hidden="1"/>
    <cellStyle name="Hipervínculo" xfId="1521" builtinId="8" hidden="1"/>
    <cellStyle name="Hipervínculo" xfId="1523" builtinId="8" hidden="1"/>
    <cellStyle name="Hipervínculo" xfId="1525" builtinId="8" hidden="1"/>
    <cellStyle name="Hipervínculo" xfId="1527" builtinId="8" hidden="1"/>
    <cellStyle name="Hipervínculo" xfId="1529" builtinId="8" hidden="1"/>
    <cellStyle name="Hipervínculo" xfId="1531" builtinId="8" hidden="1"/>
    <cellStyle name="Hipervínculo" xfId="1533" builtinId="8" hidden="1"/>
    <cellStyle name="Hipervínculo" xfId="1535" builtinId="8" hidden="1"/>
    <cellStyle name="Hipervínculo" xfId="1537" builtinId="8" hidden="1"/>
    <cellStyle name="Hipervínculo" xfId="1539" builtinId="8" hidden="1"/>
    <cellStyle name="Hipervínculo" xfId="1541" builtinId="8" hidden="1"/>
    <cellStyle name="Hipervínculo" xfId="1543" builtinId="8" hidden="1"/>
    <cellStyle name="Hipervínculo" xfId="1545" builtinId="8" hidden="1"/>
    <cellStyle name="Hipervínculo" xfId="1547" builtinId="8" hidden="1"/>
    <cellStyle name="Hipervínculo" xfId="1549" builtinId="8" hidden="1"/>
    <cellStyle name="Hipervínculo" xfId="1551" builtinId="8" hidden="1"/>
    <cellStyle name="Hipervínculo" xfId="1553" builtinId="8" hidden="1"/>
    <cellStyle name="Hipervínculo" xfId="1555" builtinId="8" hidden="1"/>
    <cellStyle name="Hipervínculo" xfId="1557" builtinId="8" hidden="1"/>
    <cellStyle name="Hipervínculo" xfId="1559" builtinId="8" hidden="1"/>
    <cellStyle name="Hipervínculo" xfId="1561" builtinId="8" hidden="1"/>
    <cellStyle name="Hipervínculo" xfId="1563" builtinId="8" hidden="1"/>
    <cellStyle name="Hipervínculo" xfId="1565" builtinId="8" hidden="1"/>
    <cellStyle name="Hipervínculo" xfId="1567" builtinId="8" hidden="1"/>
    <cellStyle name="Hipervínculo" xfId="1569" builtinId="8" hidden="1"/>
    <cellStyle name="Hipervínculo" xfId="1571" builtinId="8" hidden="1"/>
    <cellStyle name="Hipervínculo" xfId="1573" builtinId="8" hidden="1"/>
    <cellStyle name="Hipervínculo" xfId="1575" builtinId="8" hidden="1"/>
    <cellStyle name="Hipervínculo" xfId="1577" builtinId="8" hidden="1"/>
    <cellStyle name="Hipervínculo" xfId="1579" builtinId="8" hidden="1"/>
    <cellStyle name="Hipervínculo" xfId="1581" builtinId="8" hidden="1"/>
    <cellStyle name="Hipervínculo" xfId="1583" builtinId="8" hidden="1"/>
    <cellStyle name="Hipervínculo" xfId="1585" builtinId="8" hidden="1"/>
    <cellStyle name="Hipervínculo" xfId="1587" builtinId="8" hidden="1"/>
    <cellStyle name="Hipervínculo" xfId="1589" builtinId="8" hidden="1"/>
    <cellStyle name="Hipervínculo" xfId="1591" builtinId="8" hidden="1"/>
    <cellStyle name="Hipervínculo" xfId="1593" builtinId="8" hidden="1"/>
    <cellStyle name="Hipervínculo" xfId="1595" builtinId="8" hidden="1"/>
    <cellStyle name="Hipervínculo" xfId="1597" builtinId="8" hidden="1"/>
    <cellStyle name="Hipervínculo" xfId="1599" builtinId="8" hidden="1"/>
    <cellStyle name="Hipervínculo" xfId="1601" builtinId="8" hidden="1"/>
    <cellStyle name="Hipervínculo" xfId="1603" builtinId="8" hidden="1"/>
    <cellStyle name="Hipervínculo" xfId="1605" builtinId="8" hidden="1"/>
    <cellStyle name="Hipervínculo" xfId="1607" builtinId="8" hidden="1"/>
    <cellStyle name="Hipervínculo" xfId="1609" builtinId="8" hidden="1"/>
    <cellStyle name="Hipervínculo" xfId="1611" builtinId="8" hidden="1"/>
    <cellStyle name="Hipervínculo" xfId="1613" builtinId="8" hidden="1"/>
    <cellStyle name="Hipervínculo" xfId="1615" builtinId="8" hidden="1"/>
    <cellStyle name="Hipervínculo" xfId="1617" builtinId="8" hidden="1"/>
    <cellStyle name="Hipervínculo" xfId="1619" builtinId="8" hidden="1"/>
    <cellStyle name="Hipervínculo" xfId="1621" builtinId="8" hidden="1"/>
    <cellStyle name="Hipervínculo" xfId="1623" builtinId="8" hidden="1"/>
    <cellStyle name="Hipervínculo" xfId="1625" builtinId="8" hidden="1"/>
    <cellStyle name="Hipervínculo" xfId="1627" builtinId="8" hidden="1"/>
    <cellStyle name="Hipervínculo" xfId="1629" builtinId="8" hidden="1"/>
    <cellStyle name="Hipervínculo" xfId="1631" builtinId="8" hidden="1"/>
    <cellStyle name="Hipervínculo" xfId="1633" builtinId="8" hidden="1"/>
    <cellStyle name="Hipervínculo" xfId="1635" builtinId="8" hidden="1"/>
    <cellStyle name="Hipervínculo" xfId="1637" builtinId="8" hidden="1"/>
    <cellStyle name="Hipervínculo" xfId="1639" builtinId="8" hidden="1"/>
    <cellStyle name="Hipervínculo" xfId="1641" builtinId="8" hidden="1"/>
    <cellStyle name="Hipervínculo" xfId="1643" builtinId="8" hidden="1"/>
    <cellStyle name="Hipervínculo" xfId="1645" builtinId="8" hidden="1"/>
    <cellStyle name="Hipervínculo" xfId="1647" builtinId="8" hidden="1"/>
    <cellStyle name="Hipervínculo" xfId="1649" builtinId="8" hidden="1"/>
    <cellStyle name="Hipervínculo" xfId="1651" builtinId="8" hidden="1"/>
    <cellStyle name="Hipervínculo" xfId="1653" builtinId="8" hidden="1"/>
    <cellStyle name="Hipervínculo" xfId="1655" builtinId="8" hidden="1"/>
    <cellStyle name="Hipervínculo" xfId="1657" builtinId="8" hidden="1"/>
    <cellStyle name="Hipervínculo" xfId="1659" builtinId="8" hidden="1"/>
    <cellStyle name="Hipervínculo" xfId="1661" builtinId="8" hidden="1"/>
    <cellStyle name="Hipervínculo" xfId="1663" builtinId="8" hidden="1"/>
    <cellStyle name="Hipervínculo" xfId="1665" builtinId="8" hidden="1"/>
    <cellStyle name="Hipervínculo" xfId="1667" builtinId="8" hidden="1"/>
    <cellStyle name="Hipervínculo" xfId="1669" builtinId="8" hidden="1"/>
    <cellStyle name="Hipervínculo" xfId="1671" builtinId="8" hidden="1"/>
    <cellStyle name="Hipervínculo" xfId="1673" builtinId="8" hidden="1"/>
    <cellStyle name="Hipervínculo" xfId="1675" builtinId="8" hidden="1"/>
    <cellStyle name="Hipervínculo" xfId="1677" builtinId="8" hidden="1"/>
    <cellStyle name="Hipervínculo" xfId="1679" builtinId="8" hidden="1"/>
    <cellStyle name="Hipervínculo" xfId="1681" builtinId="8" hidden="1"/>
    <cellStyle name="Hipervínculo" xfId="1683" builtinId="8" hidden="1"/>
    <cellStyle name="Hipervínculo" xfId="1685" builtinId="8" hidden="1"/>
    <cellStyle name="Hipervínculo" xfId="1687" builtinId="8" hidden="1"/>
    <cellStyle name="Hipervínculo" xfId="1689" builtinId="8" hidden="1"/>
    <cellStyle name="Hipervínculo" xfId="1691" builtinId="8" hidden="1"/>
    <cellStyle name="Hipervínculo" xfId="1693" builtinId="8" hidden="1"/>
    <cellStyle name="Hipervínculo" xfId="1695" builtinId="8" hidden="1"/>
    <cellStyle name="Hipervínculo" xfId="1697" builtinId="8" hidden="1"/>
    <cellStyle name="Hipervínculo" xfId="1699" builtinId="8" hidden="1"/>
    <cellStyle name="Hipervínculo" xfId="1701" builtinId="8" hidden="1"/>
    <cellStyle name="Hipervínculo" xfId="1703" builtinId="8" hidden="1"/>
    <cellStyle name="Hipervínculo" xfId="1705" builtinId="8" hidden="1"/>
    <cellStyle name="Hipervínculo" xfId="1707" builtinId="8" hidden="1"/>
    <cellStyle name="Hipervínculo" xfId="1709" builtinId="8" hidden="1"/>
    <cellStyle name="Hipervínculo" xfId="1711" builtinId="8" hidden="1"/>
    <cellStyle name="Hipervínculo" xfId="1713" builtinId="8" hidden="1"/>
    <cellStyle name="Hipervínculo" xfId="1715" builtinId="8" hidden="1"/>
    <cellStyle name="Hipervínculo" xfId="1717" builtinId="8" hidden="1"/>
    <cellStyle name="Hipervínculo" xfId="1719" builtinId="8" hidden="1"/>
    <cellStyle name="Hipervínculo" xfId="1721" builtinId="8" hidden="1"/>
    <cellStyle name="Hipervínculo" xfId="1723" builtinId="8" hidden="1"/>
    <cellStyle name="Hipervínculo" xfId="1725" builtinId="8" hidden="1"/>
    <cellStyle name="Hipervínculo" xfId="1727" builtinId="8" hidden="1"/>
    <cellStyle name="Hipervínculo" xfId="1729" builtinId="8" hidden="1"/>
    <cellStyle name="Hipervínculo" xfId="1731" builtinId="8" hidden="1"/>
    <cellStyle name="Hipervínculo" xfId="1733" builtinId="8" hidden="1"/>
    <cellStyle name="Hipervínculo" xfId="1735" builtinId="8" hidden="1"/>
    <cellStyle name="Hipervínculo" xfId="1737" builtinId="8" hidden="1"/>
    <cellStyle name="Hipervínculo" xfId="1739" builtinId="8" hidden="1"/>
    <cellStyle name="Hipervínculo" xfId="1741" builtinId="8" hidden="1"/>
    <cellStyle name="Hipervínculo" xfId="1743" builtinId="8" hidden="1"/>
    <cellStyle name="Hipervínculo" xfId="1745" builtinId="8" hidden="1"/>
    <cellStyle name="Hipervínculo" xfId="1747" builtinId="8" hidden="1"/>
    <cellStyle name="Hipervínculo" xfId="1749" builtinId="8" hidden="1"/>
    <cellStyle name="Hipervínculo" xfId="1751" builtinId="8" hidden="1"/>
    <cellStyle name="Hipervínculo" xfId="1753" builtinId="8" hidden="1"/>
    <cellStyle name="Hipervínculo" xfId="1755" builtinId="8" hidden="1"/>
    <cellStyle name="Hipervínculo" xfId="1757" builtinId="8" hidden="1"/>
    <cellStyle name="Hipervínculo" xfId="1759" builtinId="8" hidden="1"/>
    <cellStyle name="Hipervínculo" xfId="1761" builtinId="8" hidden="1"/>
    <cellStyle name="Hipervínculo" xfId="1763" builtinId="8" hidden="1"/>
    <cellStyle name="Hipervínculo" xfId="1765" builtinId="8" hidden="1"/>
    <cellStyle name="Hipervínculo" xfId="1767" builtinId="8" hidden="1"/>
    <cellStyle name="Hipervínculo" xfId="1769" builtinId="8" hidden="1"/>
    <cellStyle name="Hipervínculo" xfId="1771" builtinId="8" hidden="1"/>
    <cellStyle name="Hipervínculo" xfId="1773" builtinId="8" hidden="1"/>
    <cellStyle name="Hipervínculo" xfId="1775" builtinId="8" hidden="1"/>
    <cellStyle name="Hipervínculo" xfId="1777" builtinId="8" hidden="1"/>
    <cellStyle name="Hipervínculo" xfId="1779" builtinId="8" hidden="1"/>
    <cellStyle name="Hipervínculo" xfId="1781" builtinId="8" hidden="1"/>
    <cellStyle name="Hipervínculo" xfId="1783" builtinId="8" hidden="1"/>
    <cellStyle name="Hipervínculo" xfId="1785" builtinId="8" hidden="1"/>
    <cellStyle name="Hipervínculo" xfId="1787" builtinId="8" hidden="1"/>
    <cellStyle name="Hipervínculo" xfId="1789" builtinId="8" hidden="1"/>
    <cellStyle name="Hipervínculo" xfId="1791" builtinId="8" hidden="1"/>
    <cellStyle name="Hipervínculo" xfId="1793" builtinId="8" hidden="1"/>
    <cellStyle name="Hipervínculo" xfId="1795" builtinId="8" hidden="1"/>
    <cellStyle name="Hipervínculo" xfId="1797" builtinId="8" hidden="1"/>
    <cellStyle name="Hipervínculo" xfId="1799" builtinId="8" hidden="1"/>
    <cellStyle name="Hipervínculo" xfId="1801" builtinId="8" hidden="1"/>
    <cellStyle name="Hipervínculo" xfId="1803" builtinId="8" hidden="1"/>
    <cellStyle name="Hipervínculo" xfId="1805" builtinId="8" hidden="1"/>
    <cellStyle name="Hipervínculo" xfId="1807" builtinId="8" hidden="1"/>
    <cellStyle name="Hipervínculo" xfId="1809" builtinId="8" hidden="1"/>
    <cellStyle name="Hipervínculo" xfId="1811" builtinId="8" hidden="1"/>
    <cellStyle name="Hipervínculo" xfId="1813" builtinId="8" hidden="1"/>
    <cellStyle name="Hipervínculo" xfId="1815" builtinId="8" hidden="1"/>
    <cellStyle name="Hipervínculo" xfId="1817" builtinId="8" hidden="1"/>
    <cellStyle name="Hipervínculo" xfId="1819" builtinId="8" hidden="1"/>
    <cellStyle name="Hipervínculo" xfId="1821" builtinId="8" hidden="1"/>
    <cellStyle name="Hipervínculo" xfId="1823" builtinId="8" hidden="1"/>
    <cellStyle name="Hipervínculo" xfId="1825" builtinId="8" hidden="1"/>
    <cellStyle name="Hipervínculo" xfId="1827" builtinId="8" hidden="1"/>
    <cellStyle name="Hipervínculo" xfId="1829" builtinId="8" hidden="1"/>
    <cellStyle name="Hipervínculo" xfId="1831" builtinId="8" hidden="1"/>
    <cellStyle name="Hipervínculo" xfId="1833" builtinId="8" hidden="1"/>
    <cellStyle name="Hipervínculo" xfId="1835" builtinId="8" hidden="1"/>
    <cellStyle name="Hipervínculo" xfId="1837" builtinId="8" hidden="1"/>
    <cellStyle name="Hipervínculo" xfId="1839" builtinId="8" hidden="1"/>
    <cellStyle name="Hipervínculo" xfId="1841" builtinId="8" hidden="1"/>
    <cellStyle name="Hipervínculo" xfId="1843" builtinId="8" hidden="1"/>
    <cellStyle name="Hipervínculo" xfId="1845" builtinId="8" hidden="1"/>
    <cellStyle name="Hipervínculo" xfId="1847" builtinId="8" hidden="1"/>
    <cellStyle name="Hipervínculo" xfId="1849" builtinId="8" hidden="1"/>
    <cellStyle name="Hipervínculo" xfId="1851" builtinId="8" hidden="1"/>
    <cellStyle name="Hipervínculo" xfId="1853" builtinId="8" hidden="1"/>
    <cellStyle name="Hipervínculo" xfId="1855" builtinId="8" hidden="1"/>
    <cellStyle name="Hipervínculo" xfId="1857" builtinId="8" hidden="1"/>
    <cellStyle name="Hipervínculo" xfId="1859" builtinId="8" hidden="1"/>
    <cellStyle name="Hipervínculo" xfId="1861" builtinId="8" hidden="1"/>
    <cellStyle name="Hipervínculo" xfId="1863" builtinId="8" hidden="1"/>
    <cellStyle name="Hipervínculo" xfId="1865" builtinId="8" hidden="1"/>
    <cellStyle name="Hipervínculo" xfId="1867" builtinId="8" hidden="1"/>
    <cellStyle name="Hipervínculo" xfId="1869" builtinId="8" hidden="1"/>
    <cellStyle name="Hipervínculo" xfId="1871" builtinId="8" hidden="1"/>
    <cellStyle name="Hipervínculo" xfId="1873" builtinId="8" hidden="1"/>
    <cellStyle name="Hipervínculo" xfId="1875" builtinId="8" hidden="1"/>
    <cellStyle name="Hipervínculo" xfId="1877" builtinId="8" hidden="1"/>
    <cellStyle name="Hipervínculo" xfId="1879" builtinId="8" hidden="1"/>
    <cellStyle name="Hipervínculo" xfId="1881" builtinId="8" hidden="1"/>
    <cellStyle name="Hipervínculo" xfId="1883" builtinId="8" hidden="1"/>
    <cellStyle name="Hipervínculo" xfId="1885" builtinId="8" hidden="1"/>
    <cellStyle name="Hipervínculo" xfId="1887" builtinId="8" hidden="1"/>
    <cellStyle name="Hipervínculo" xfId="1889" builtinId="8" hidden="1"/>
    <cellStyle name="Hipervínculo" xfId="1891" builtinId="8" hidden="1"/>
    <cellStyle name="Hipervínculo" xfId="1893" builtinId="8" hidden="1"/>
    <cellStyle name="Hipervínculo" xfId="1895" builtinId="8" hidden="1"/>
    <cellStyle name="Hipervínculo" xfId="1897" builtinId="8" hidden="1"/>
    <cellStyle name="Hipervínculo" xfId="1899" builtinId="8" hidden="1"/>
    <cellStyle name="Hipervínculo" xfId="1901" builtinId="8" hidden="1"/>
    <cellStyle name="Hipervínculo" xfId="1903" builtinId="8" hidden="1"/>
    <cellStyle name="Hipervínculo" xfId="1905" builtinId="8" hidden="1"/>
    <cellStyle name="Hipervínculo" xfId="1907" builtinId="8" hidden="1"/>
    <cellStyle name="Hipervínculo" xfId="1909" builtinId="8" hidden="1"/>
    <cellStyle name="Hipervínculo" xfId="1911" builtinId="8" hidden="1"/>
    <cellStyle name="Hipervínculo" xfId="1913" builtinId="8" hidden="1"/>
    <cellStyle name="Hipervínculo" xfId="1915" builtinId="8" hidden="1"/>
    <cellStyle name="Hipervínculo" xfId="1917" builtinId="8" hidden="1"/>
    <cellStyle name="Hipervínculo" xfId="1919" builtinId="8" hidden="1"/>
    <cellStyle name="Hipervínculo" xfId="1921" builtinId="8" hidden="1"/>
    <cellStyle name="Hipervínculo" xfId="1923" builtinId="8" hidden="1"/>
    <cellStyle name="Hipervínculo" xfId="1925" builtinId="8" hidden="1"/>
    <cellStyle name="Hipervínculo" xfId="1927" builtinId="8" hidden="1"/>
    <cellStyle name="Hipervínculo" xfId="1929" builtinId="8" hidden="1"/>
    <cellStyle name="Hipervínculo" xfId="1931" builtinId="8" hidden="1"/>
    <cellStyle name="Hipervínculo" xfId="1933" builtinId="8" hidden="1"/>
    <cellStyle name="Hipervínculo" xfId="1935" builtinId="8" hidden="1"/>
    <cellStyle name="Hipervínculo" xfId="1937" builtinId="8" hidden="1"/>
    <cellStyle name="Hipervínculo" xfId="1939" builtinId="8" hidden="1"/>
    <cellStyle name="Hipervínculo" xfId="1941" builtinId="8" hidden="1"/>
    <cellStyle name="Hipervínculo" xfId="1943" builtinId="8" hidden="1"/>
    <cellStyle name="Hipervínculo" xfId="1945" builtinId="8" hidden="1"/>
    <cellStyle name="Hipervínculo" xfId="1947" builtinId="8" hidden="1"/>
    <cellStyle name="Hipervínculo" xfId="1949" builtinId="8" hidden="1"/>
    <cellStyle name="Hipervínculo" xfId="1951" builtinId="8" hidden="1"/>
    <cellStyle name="Hipervínculo" xfId="1953" builtinId="8" hidden="1"/>
    <cellStyle name="Hipervínculo" xfId="1955" builtinId="8" hidden="1"/>
    <cellStyle name="Hipervínculo" xfId="1957" builtinId="8" hidden="1"/>
    <cellStyle name="Hipervínculo" xfId="1959" builtinId="8" hidden="1"/>
    <cellStyle name="Hipervínculo" xfId="1961" builtinId="8" hidden="1"/>
    <cellStyle name="Hipervínculo" xfId="1963" builtinId="8" hidden="1"/>
    <cellStyle name="Hipervínculo" xfId="1965" builtinId="8" hidden="1"/>
    <cellStyle name="Hipervínculo" xfId="1967" builtinId="8" hidden="1"/>
    <cellStyle name="Hipervínculo" xfId="1969" builtinId="8" hidden="1"/>
    <cellStyle name="Hipervínculo" xfId="1971" builtinId="8" hidden="1"/>
    <cellStyle name="Hipervínculo" xfId="1973" builtinId="8" hidden="1"/>
    <cellStyle name="Hipervínculo" xfId="1975" builtinId="8" hidden="1"/>
    <cellStyle name="Hipervínculo" xfId="1977" builtinId="8" hidden="1"/>
    <cellStyle name="Hipervínculo" xfId="1979" builtinId="8" hidden="1"/>
    <cellStyle name="Hipervínculo" xfId="1981" builtinId="8" hidden="1"/>
    <cellStyle name="Hipervínculo" xfId="1983" builtinId="8" hidden="1"/>
    <cellStyle name="Hipervínculo" xfId="1985" builtinId="8" hidden="1"/>
    <cellStyle name="Hipervínculo" xfId="1987" builtinId="8" hidden="1"/>
    <cellStyle name="Hipervínculo" xfId="1989" builtinId="8" hidden="1"/>
    <cellStyle name="Hipervínculo" xfId="1991" builtinId="8" hidden="1"/>
    <cellStyle name="Hipervínculo" xfId="1993" builtinId="8" hidden="1"/>
    <cellStyle name="Hipervínculo" xfId="1995" builtinId="8" hidden="1"/>
    <cellStyle name="Hipervínculo" xfId="1997" builtinId="8" hidden="1"/>
    <cellStyle name="Hipervínculo" xfId="1999" builtinId="8" hidden="1"/>
    <cellStyle name="Hipervínculo" xfId="2001" builtinId="8" hidden="1"/>
    <cellStyle name="Hipervínculo" xfId="2003" builtinId="8" hidden="1"/>
    <cellStyle name="Hipervínculo" xfId="2005" builtinId="8" hidden="1"/>
    <cellStyle name="Hipervínculo" xfId="2007" builtinId="8" hidden="1"/>
    <cellStyle name="Hipervínculo" xfId="2009" builtinId="8" hidden="1"/>
    <cellStyle name="Hipervínculo" xfId="2011" builtinId="8" hidden="1"/>
    <cellStyle name="Hipervínculo" xfId="2013" builtinId="8" hidden="1"/>
    <cellStyle name="Hipervínculo" xfId="2015" builtinId="8" hidden="1"/>
    <cellStyle name="Hipervínculo" xfId="2017" builtinId="8" hidden="1"/>
    <cellStyle name="Hipervínculo" xfId="2019" builtinId="8" hidden="1"/>
    <cellStyle name="Hipervínculo" xfId="2021" builtinId="8" hidden="1"/>
    <cellStyle name="Hipervínculo" xfId="2023" builtinId="8" hidden="1"/>
    <cellStyle name="Hipervínculo" xfId="2025" builtinId="8" hidden="1"/>
    <cellStyle name="Hipervínculo" xfId="2027" builtinId="8" hidden="1"/>
    <cellStyle name="Hipervínculo" xfId="2029" builtinId="8" hidden="1"/>
    <cellStyle name="Hipervínculo" xfId="2031" builtinId="8" hidden="1"/>
    <cellStyle name="Hipervínculo" xfId="2033" builtinId="8" hidden="1"/>
    <cellStyle name="Hipervínculo" xfId="2035" builtinId="8" hidden="1"/>
    <cellStyle name="Hipervínculo" xfId="2037" builtinId="8" hidden="1"/>
    <cellStyle name="Hipervínculo" xfId="2039" builtinId="8" hidden="1"/>
    <cellStyle name="Hipervínculo" xfId="2041" builtinId="8" hidden="1"/>
    <cellStyle name="Hipervínculo" xfId="2043" builtinId="8" hidden="1"/>
    <cellStyle name="Hipervínculo" xfId="2045" builtinId="8" hidden="1"/>
    <cellStyle name="Hipervínculo" xfId="2047" builtinId="8" hidden="1"/>
    <cellStyle name="Hipervínculo" xfId="2049" builtinId="8" hidden="1"/>
    <cellStyle name="Hipervínculo" xfId="2051" builtinId="8" hidden="1"/>
    <cellStyle name="Hipervínculo" xfId="2053" builtinId="8" hidden="1"/>
    <cellStyle name="Hipervínculo" xfId="2055" builtinId="8" hidden="1"/>
    <cellStyle name="Hipervínculo" xfId="2057" builtinId="8" hidden="1"/>
    <cellStyle name="Hipervínculo" xfId="2059" builtinId="8" hidden="1"/>
    <cellStyle name="Hipervínculo" xfId="2061" builtinId="8" hidden="1"/>
    <cellStyle name="Hipervínculo" xfId="2063" builtinId="8" hidden="1"/>
    <cellStyle name="Hipervínculo" xfId="2065" builtinId="8" hidden="1"/>
    <cellStyle name="Hipervínculo" xfId="2067" builtinId="8" hidden="1"/>
    <cellStyle name="Hipervínculo" xfId="2069" builtinId="8" hidden="1"/>
    <cellStyle name="Hipervínculo" xfId="2071" builtinId="8" hidden="1"/>
    <cellStyle name="Hipervínculo" xfId="2073" builtinId="8" hidden="1"/>
    <cellStyle name="Hipervínculo" xfId="2075" builtinId="8" hidden="1"/>
    <cellStyle name="Hipervínculo" xfId="2077" builtinId="8" hidden="1"/>
    <cellStyle name="Hipervínculo" xfId="2079" builtinId="8" hidden="1"/>
    <cellStyle name="Hipervínculo" xfId="2081" builtinId="8" hidden="1"/>
    <cellStyle name="Hipervínculo" xfId="2083" builtinId="8" hidden="1"/>
    <cellStyle name="Hipervínculo" xfId="2085" builtinId="8" hidden="1"/>
    <cellStyle name="Hipervínculo" xfId="2087" builtinId="8" hidden="1"/>
    <cellStyle name="Hipervínculo" xfId="2089" builtinId="8" hidden="1"/>
    <cellStyle name="Hipervínculo" xfId="2091" builtinId="8" hidden="1"/>
    <cellStyle name="Hipervínculo" xfId="2093" builtinId="8" hidden="1"/>
    <cellStyle name="Hipervínculo" xfId="2095" builtinId="8" hidden="1"/>
    <cellStyle name="Hipervínculo" xfId="2097" builtinId="8" hidden="1"/>
    <cellStyle name="Hipervínculo" xfId="2099" builtinId="8" hidden="1"/>
    <cellStyle name="Hipervínculo" xfId="2101" builtinId="8" hidden="1"/>
    <cellStyle name="Hipervínculo" xfId="2103" builtinId="8" hidden="1"/>
    <cellStyle name="Hipervínculo" xfId="2105" builtinId="8" hidden="1"/>
    <cellStyle name="Hipervínculo" xfId="2107" builtinId="8" hidden="1"/>
    <cellStyle name="Hipervínculo visitado" xfId="3" builtinId="9" hidden="1"/>
    <cellStyle name="Hipervínculo visitado" xfId="5" builtinId="9" hidden="1"/>
    <cellStyle name="Hipervínculo visitado" xfId="7" builtinId="9" hidden="1"/>
    <cellStyle name="Hipervínculo visitado" xfId="9" builtinId="9" hidden="1"/>
    <cellStyle name="Hipervínculo visitado" xfId="11" builtinId="9" hidden="1"/>
    <cellStyle name="Hipervínculo visitado" xfId="13" builtinId="9" hidden="1"/>
    <cellStyle name="Hipervínculo visitado" xfId="15" builtinId="9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Hipervínculo visitado" xfId="485" builtinId="9" hidden="1"/>
    <cellStyle name="Hipervínculo visitado" xfId="487" builtinId="9" hidden="1"/>
    <cellStyle name="Hipervínculo visitado" xfId="489" builtinId="9" hidden="1"/>
    <cellStyle name="Hipervínculo visitado" xfId="491" builtinId="9" hidden="1"/>
    <cellStyle name="Hipervínculo visitado" xfId="493" builtinId="9" hidden="1"/>
    <cellStyle name="Hipervínculo visitado" xfId="495" builtinId="9" hidden="1"/>
    <cellStyle name="Hipervínculo visitado" xfId="497" builtinId="9" hidden="1"/>
    <cellStyle name="Hipervínculo visitado" xfId="499" builtinId="9" hidden="1"/>
    <cellStyle name="Hipervínculo visitado" xfId="501" builtinId="9" hidden="1"/>
    <cellStyle name="Hipervínculo visitado" xfId="503" builtinId="9" hidden="1"/>
    <cellStyle name="Hipervínculo visitado" xfId="505" builtinId="9" hidden="1"/>
    <cellStyle name="Hipervínculo visitado" xfId="507" builtinId="9" hidden="1"/>
    <cellStyle name="Hipervínculo visitado" xfId="509" builtinId="9" hidden="1"/>
    <cellStyle name="Hipervínculo visitado" xfId="511" builtinId="9" hidden="1"/>
    <cellStyle name="Hipervínculo visitado" xfId="513" builtinId="9" hidden="1"/>
    <cellStyle name="Hipervínculo visitado" xfId="515" builtinId="9" hidden="1"/>
    <cellStyle name="Hipervínculo visitado" xfId="517" builtinId="9" hidden="1"/>
    <cellStyle name="Hipervínculo visitado" xfId="519" builtinId="9" hidden="1"/>
    <cellStyle name="Hipervínculo visitado" xfId="521" builtinId="9" hidden="1"/>
    <cellStyle name="Hipervínculo visitado" xfId="523" builtinId="9" hidden="1"/>
    <cellStyle name="Hipervínculo visitado" xfId="525" builtinId="9" hidden="1"/>
    <cellStyle name="Hipervínculo visitado" xfId="527" builtinId="9" hidden="1"/>
    <cellStyle name="Hipervínculo visitado" xfId="529" builtinId="9" hidden="1"/>
    <cellStyle name="Hipervínculo visitado" xfId="531" builtinId="9" hidden="1"/>
    <cellStyle name="Hipervínculo visitado" xfId="533" builtinId="9" hidden="1"/>
    <cellStyle name="Hipervínculo visitado" xfId="535" builtinId="9" hidden="1"/>
    <cellStyle name="Hipervínculo visitado" xfId="537" builtinId="9" hidden="1"/>
    <cellStyle name="Hipervínculo visitado" xfId="539" builtinId="9" hidden="1"/>
    <cellStyle name="Hipervínculo visitado" xfId="541" builtinId="9" hidden="1"/>
    <cellStyle name="Hipervínculo visitado" xfId="543" builtinId="9" hidden="1"/>
    <cellStyle name="Hipervínculo visitado" xfId="545" builtinId="9" hidden="1"/>
    <cellStyle name="Hipervínculo visitado" xfId="547" builtinId="9" hidden="1"/>
    <cellStyle name="Hipervínculo visitado" xfId="549" builtinId="9" hidden="1"/>
    <cellStyle name="Hipervínculo visitado" xfId="551" builtinId="9" hidden="1"/>
    <cellStyle name="Hipervínculo visitado" xfId="553" builtinId="9" hidden="1"/>
    <cellStyle name="Hipervínculo visitado" xfId="555" builtinId="9" hidden="1"/>
    <cellStyle name="Hipervínculo visitado" xfId="557" builtinId="9" hidden="1"/>
    <cellStyle name="Hipervínculo visitado" xfId="559" builtinId="9" hidden="1"/>
    <cellStyle name="Hipervínculo visitado" xfId="561" builtinId="9" hidden="1"/>
    <cellStyle name="Hipervínculo visitado" xfId="563" builtinId="9" hidden="1"/>
    <cellStyle name="Hipervínculo visitado" xfId="565" builtinId="9" hidden="1"/>
    <cellStyle name="Hipervínculo visitado" xfId="567" builtinId="9" hidden="1"/>
    <cellStyle name="Hipervínculo visitado" xfId="569" builtinId="9" hidden="1"/>
    <cellStyle name="Hipervínculo visitado" xfId="571" builtinId="9" hidden="1"/>
    <cellStyle name="Hipervínculo visitado" xfId="573" builtinId="9" hidden="1"/>
    <cellStyle name="Hipervínculo visitado" xfId="575" builtinId="9" hidden="1"/>
    <cellStyle name="Hipervínculo visitado" xfId="577" builtinId="9" hidden="1"/>
    <cellStyle name="Hipervínculo visitado" xfId="579" builtinId="9" hidden="1"/>
    <cellStyle name="Hipervínculo visitado" xfId="581" builtinId="9" hidden="1"/>
    <cellStyle name="Hipervínculo visitado" xfId="583" builtinId="9" hidden="1"/>
    <cellStyle name="Hipervínculo visitado" xfId="585" builtinId="9" hidden="1"/>
    <cellStyle name="Hipervínculo visitado" xfId="587" builtinId="9" hidden="1"/>
    <cellStyle name="Hipervínculo visitado" xfId="589" builtinId="9" hidden="1"/>
    <cellStyle name="Hipervínculo visitado" xfId="591" builtinId="9" hidden="1"/>
    <cellStyle name="Hipervínculo visitado" xfId="593" builtinId="9" hidden="1"/>
    <cellStyle name="Hipervínculo visitado" xfId="595" builtinId="9" hidden="1"/>
    <cellStyle name="Hipervínculo visitado" xfId="597" builtinId="9" hidden="1"/>
    <cellStyle name="Hipervínculo visitado" xfId="599" builtinId="9" hidden="1"/>
    <cellStyle name="Hipervínculo visitado" xfId="601" builtinId="9" hidden="1"/>
    <cellStyle name="Hipervínculo visitado" xfId="603" builtinId="9" hidden="1"/>
    <cellStyle name="Hipervínculo visitado" xfId="605" builtinId="9" hidden="1"/>
    <cellStyle name="Hipervínculo visitado" xfId="607" builtinId="9" hidden="1"/>
    <cellStyle name="Hipervínculo visitado" xfId="609" builtinId="9" hidden="1"/>
    <cellStyle name="Hipervínculo visitado" xfId="611" builtinId="9" hidden="1"/>
    <cellStyle name="Hipervínculo visitado" xfId="613" builtinId="9" hidden="1"/>
    <cellStyle name="Hipervínculo visitado" xfId="615" builtinId="9" hidden="1"/>
    <cellStyle name="Hipervínculo visitado" xfId="617" builtinId="9" hidden="1"/>
    <cellStyle name="Hipervínculo visitado" xfId="619" builtinId="9" hidden="1"/>
    <cellStyle name="Hipervínculo visitado" xfId="621" builtinId="9" hidden="1"/>
    <cellStyle name="Hipervínculo visitado" xfId="623" builtinId="9" hidden="1"/>
    <cellStyle name="Hipervínculo visitado" xfId="625" builtinId="9" hidden="1"/>
    <cellStyle name="Hipervínculo visitado" xfId="627" builtinId="9" hidden="1"/>
    <cellStyle name="Hipervínculo visitado" xfId="629" builtinId="9" hidden="1"/>
    <cellStyle name="Hipervínculo visitado" xfId="631" builtinId="9" hidden="1"/>
    <cellStyle name="Hipervínculo visitado" xfId="633" builtinId="9" hidden="1"/>
    <cellStyle name="Hipervínculo visitado" xfId="635" builtinId="9" hidden="1"/>
    <cellStyle name="Hipervínculo visitado" xfId="637" builtinId="9" hidden="1"/>
    <cellStyle name="Hipervínculo visitado" xfId="639" builtinId="9" hidden="1"/>
    <cellStyle name="Hipervínculo visitado" xfId="641" builtinId="9" hidden="1"/>
    <cellStyle name="Hipervínculo visitado" xfId="643" builtinId="9" hidden="1"/>
    <cellStyle name="Hipervínculo visitado" xfId="645" builtinId="9" hidden="1"/>
    <cellStyle name="Hipervínculo visitado" xfId="647" builtinId="9" hidden="1"/>
    <cellStyle name="Hipervínculo visitado" xfId="649" builtinId="9" hidden="1"/>
    <cellStyle name="Hipervínculo visitado" xfId="651" builtinId="9" hidden="1"/>
    <cellStyle name="Hipervínculo visitado" xfId="653" builtinId="9" hidden="1"/>
    <cellStyle name="Hipervínculo visitado" xfId="655" builtinId="9" hidden="1"/>
    <cellStyle name="Hipervínculo visitado" xfId="657" builtinId="9" hidden="1"/>
    <cellStyle name="Hipervínculo visitado" xfId="659" builtinId="9" hidden="1"/>
    <cellStyle name="Hipervínculo visitado" xfId="661" builtinId="9" hidden="1"/>
    <cellStyle name="Hipervínculo visitado" xfId="663" builtinId="9" hidden="1"/>
    <cellStyle name="Hipervínculo visitado" xfId="665" builtinId="9" hidden="1"/>
    <cellStyle name="Hipervínculo visitado" xfId="667" builtinId="9" hidden="1"/>
    <cellStyle name="Hipervínculo visitado" xfId="669" builtinId="9" hidden="1"/>
    <cellStyle name="Hipervínculo visitado" xfId="671" builtinId="9" hidden="1"/>
    <cellStyle name="Hipervínculo visitado" xfId="673" builtinId="9" hidden="1"/>
    <cellStyle name="Hipervínculo visitado" xfId="675" builtinId="9" hidden="1"/>
    <cellStyle name="Hipervínculo visitado" xfId="677" builtinId="9" hidden="1"/>
    <cellStyle name="Hipervínculo visitado" xfId="679" builtinId="9" hidden="1"/>
    <cellStyle name="Hipervínculo visitado" xfId="681" builtinId="9" hidden="1"/>
    <cellStyle name="Hipervínculo visitado" xfId="683" builtinId="9" hidden="1"/>
    <cellStyle name="Hipervínculo visitado" xfId="685" builtinId="9" hidden="1"/>
    <cellStyle name="Hipervínculo visitado" xfId="687" builtinId="9" hidden="1"/>
    <cellStyle name="Hipervínculo visitado" xfId="689" builtinId="9" hidden="1"/>
    <cellStyle name="Hipervínculo visitado" xfId="691" builtinId="9" hidden="1"/>
    <cellStyle name="Hipervínculo visitado" xfId="693" builtinId="9" hidden="1"/>
    <cellStyle name="Hipervínculo visitado" xfId="695" builtinId="9" hidden="1"/>
    <cellStyle name="Hipervínculo visitado" xfId="697" builtinId="9" hidden="1"/>
    <cellStyle name="Hipervínculo visitado" xfId="699" builtinId="9" hidden="1"/>
    <cellStyle name="Hipervínculo visitado" xfId="701" builtinId="9" hidden="1"/>
    <cellStyle name="Hipervínculo visitado" xfId="703" builtinId="9" hidden="1"/>
    <cellStyle name="Hipervínculo visitado" xfId="705" builtinId="9" hidden="1"/>
    <cellStyle name="Hipervínculo visitado" xfId="707" builtinId="9" hidden="1"/>
    <cellStyle name="Hipervínculo visitado" xfId="709" builtinId="9" hidden="1"/>
    <cellStyle name="Hipervínculo visitado" xfId="711" builtinId="9" hidden="1"/>
    <cellStyle name="Hipervínculo visitado" xfId="713" builtinId="9" hidden="1"/>
    <cellStyle name="Hipervínculo visitado" xfId="715" builtinId="9" hidden="1"/>
    <cellStyle name="Hipervínculo visitado" xfId="717" builtinId="9" hidden="1"/>
    <cellStyle name="Hipervínculo visitado" xfId="720" builtinId="9" hidden="1"/>
    <cellStyle name="Hipervínculo visitado" xfId="722" builtinId="9" hidden="1"/>
    <cellStyle name="Hipervínculo visitado" xfId="724" builtinId="9" hidden="1"/>
    <cellStyle name="Hipervínculo visitado" xfId="726" builtinId="9" hidden="1"/>
    <cellStyle name="Hipervínculo visitado" xfId="728" builtinId="9" hidden="1"/>
    <cellStyle name="Hipervínculo visitado" xfId="730" builtinId="9" hidden="1"/>
    <cellStyle name="Hipervínculo visitado" xfId="732" builtinId="9" hidden="1"/>
    <cellStyle name="Hipervínculo visitado" xfId="734" builtinId="9" hidden="1"/>
    <cellStyle name="Hipervínculo visitado" xfId="736" builtinId="9" hidden="1"/>
    <cellStyle name="Hipervínculo visitado" xfId="738" builtinId="9" hidden="1"/>
    <cellStyle name="Hipervínculo visitado" xfId="740" builtinId="9" hidden="1"/>
    <cellStyle name="Hipervínculo visitado" xfId="742" builtinId="9" hidden="1"/>
    <cellStyle name="Hipervínculo visitado" xfId="744" builtinId="9" hidden="1"/>
    <cellStyle name="Hipervínculo visitado" xfId="746" builtinId="9" hidden="1"/>
    <cellStyle name="Hipervínculo visitado" xfId="748" builtinId="9" hidden="1"/>
    <cellStyle name="Hipervínculo visitado" xfId="750" builtinId="9" hidden="1"/>
    <cellStyle name="Hipervínculo visitado" xfId="752" builtinId="9" hidden="1"/>
    <cellStyle name="Hipervínculo visitado" xfId="754" builtinId="9" hidden="1"/>
    <cellStyle name="Hipervínculo visitado" xfId="756" builtinId="9" hidden="1"/>
    <cellStyle name="Hipervínculo visitado" xfId="758" builtinId="9" hidden="1"/>
    <cellStyle name="Hipervínculo visitado" xfId="760" builtinId="9" hidden="1"/>
    <cellStyle name="Hipervínculo visitado" xfId="762" builtinId="9" hidden="1"/>
    <cellStyle name="Hipervínculo visitado" xfId="764" builtinId="9" hidden="1"/>
    <cellStyle name="Hipervínculo visitado" xfId="766" builtinId="9" hidden="1"/>
    <cellStyle name="Hipervínculo visitado" xfId="768" builtinId="9" hidden="1"/>
    <cellStyle name="Hipervínculo visitado" xfId="770" builtinId="9" hidden="1"/>
    <cellStyle name="Hipervínculo visitado" xfId="772" builtinId="9" hidden="1"/>
    <cellStyle name="Hipervínculo visitado" xfId="774" builtinId="9" hidden="1"/>
    <cellStyle name="Hipervínculo visitado" xfId="776" builtinId="9" hidden="1"/>
    <cellStyle name="Hipervínculo visitado" xfId="778" builtinId="9" hidden="1"/>
    <cellStyle name="Hipervínculo visitado" xfId="780" builtinId="9" hidden="1"/>
    <cellStyle name="Hipervínculo visitado" xfId="782" builtinId="9" hidden="1"/>
    <cellStyle name="Hipervínculo visitado" xfId="784" builtinId="9" hidden="1"/>
    <cellStyle name="Hipervínculo visitado" xfId="786" builtinId="9" hidden="1"/>
    <cellStyle name="Hipervínculo visitado" xfId="788" builtinId="9" hidden="1"/>
    <cellStyle name="Hipervínculo visitado" xfId="790" builtinId="9" hidden="1"/>
    <cellStyle name="Hipervínculo visitado" xfId="792" builtinId="9" hidden="1"/>
    <cellStyle name="Hipervínculo visitado" xfId="794" builtinId="9" hidden="1"/>
    <cellStyle name="Hipervínculo visitado" xfId="796" builtinId="9" hidden="1"/>
    <cellStyle name="Hipervínculo visitado" xfId="798" builtinId="9" hidden="1"/>
    <cellStyle name="Hipervínculo visitado" xfId="800" builtinId="9" hidden="1"/>
    <cellStyle name="Hipervínculo visitado" xfId="802" builtinId="9" hidden="1"/>
    <cellStyle name="Hipervínculo visitado" xfId="804" builtinId="9" hidden="1"/>
    <cellStyle name="Hipervínculo visitado" xfId="806" builtinId="9" hidden="1"/>
    <cellStyle name="Hipervínculo visitado" xfId="808" builtinId="9" hidden="1"/>
    <cellStyle name="Hipervínculo visitado" xfId="810" builtinId="9" hidden="1"/>
    <cellStyle name="Hipervínculo visitado" xfId="812" builtinId="9" hidden="1"/>
    <cellStyle name="Hipervínculo visitado" xfId="814" builtinId="9" hidden="1"/>
    <cellStyle name="Hipervínculo visitado" xfId="816" builtinId="9" hidden="1"/>
    <cellStyle name="Hipervínculo visitado" xfId="818" builtinId="9" hidden="1"/>
    <cellStyle name="Hipervínculo visitado" xfId="820" builtinId="9" hidden="1"/>
    <cellStyle name="Hipervínculo visitado" xfId="822" builtinId="9" hidden="1"/>
    <cellStyle name="Hipervínculo visitado" xfId="824" builtinId="9" hidden="1"/>
    <cellStyle name="Hipervínculo visitado" xfId="826" builtinId="9" hidden="1"/>
    <cellStyle name="Hipervínculo visitado" xfId="828" builtinId="9" hidden="1"/>
    <cellStyle name="Hipervínculo visitado" xfId="830" builtinId="9" hidden="1"/>
    <cellStyle name="Hipervínculo visitado" xfId="832" builtinId="9" hidden="1"/>
    <cellStyle name="Hipervínculo visitado" xfId="834" builtinId="9" hidden="1"/>
    <cellStyle name="Hipervínculo visitado" xfId="836" builtinId="9" hidden="1"/>
    <cellStyle name="Hipervínculo visitado" xfId="838" builtinId="9" hidden="1"/>
    <cellStyle name="Hipervínculo visitado" xfId="840" builtinId="9" hidden="1"/>
    <cellStyle name="Hipervínculo visitado" xfId="842" builtinId="9" hidden="1"/>
    <cellStyle name="Hipervínculo visitado" xfId="844" builtinId="9" hidden="1"/>
    <cellStyle name="Hipervínculo visitado" xfId="846" builtinId="9" hidden="1"/>
    <cellStyle name="Hipervínculo visitado" xfId="848" builtinId="9" hidden="1"/>
    <cellStyle name="Hipervínculo visitado" xfId="850" builtinId="9" hidden="1"/>
    <cellStyle name="Hipervínculo visitado" xfId="852" builtinId="9" hidden="1"/>
    <cellStyle name="Hipervínculo visitado" xfId="854" builtinId="9" hidden="1"/>
    <cellStyle name="Hipervínculo visitado" xfId="856" builtinId="9" hidden="1"/>
    <cellStyle name="Hipervínculo visitado" xfId="858" builtinId="9" hidden="1"/>
    <cellStyle name="Hipervínculo visitado" xfId="860" builtinId="9" hidden="1"/>
    <cellStyle name="Hipervínculo visitado" xfId="862" builtinId="9" hidden="1"/>
    <cellStyle name="Hipervínculo visitado" xfId="864" builtinId="9" hidden="1"/>
    <cellStyle name="Hipervínculo visitado" xfId="866" builtinId="9" hidden="1"/>
    <cellStyle name="Hipervínculo visitado" xfId="868" builtinId="9" hidden="1"/>
    <cellStyle name="Hipervínculo visitado" xfId="870" builtinId="9" hidden="1"/>
    <cellStyle name="Hipervínculo visitado" xfId="872" builtinId="9" hidden="1"/>
    <cellStyle name="Hipervínculo visitado" xfId="874" builtinId="9" hidden="1"/>
    <cellStyle name="Hipervínculo visitado" xfId="876" builtinId="9" hidden="1"/>
    <cellStyle name="Hipervínculo visitado" xfId="878" builtinId="9" hidden="1"/>
    <cellStyle name="Hipervínculo visitado" xfId="880" builtinId="9" hidden="1"/>
    <cellStyle name="Hipervínculo visitado" xfId="882" builtinId="9" hidden="1"/>
    <cellStyle name="Hipervínculo visitado" xfId="884" builtinId="9" hidden="1"/>
    <cellStyle name="Hipervínculo visitado" xfId="886" builtinId="9" hidden="1"/>
    <cellStyle name="Hipervínculo visitado" xfId="888" builtinId="9" hidden="1"/>
    <cellStyle name="Hipervínculo visitado" xfId="890" builtinId="9" hidden="1"/>
    <cellStyle name="Hipervínculo visitado" xfId="892" builtinId="9" hidden="1"/>
    <cellStyle name="Hipervínculo visitado" xfId="894" builtinId="9" hidden="1"/>
    <cellStyle name="Hipervínculo visitado" xfId="896" builtinId="9" hidden="1"/>
    <cellStyle name="Hipervínculo visitado" xfId="898" builtinId="9" hidden="1"/>
    <cellStyle name="Hipervínculo visitado" xfId="900" builtinId="9" hidden="1"/>
    <cellStyle name="Hipervínculo visitado" xfId="902" builtinId="9" hidden="1"/>
    <cellStyle name="Hipervínculo visitado" xfId="904" builtinId="9" hidden="1"/>
    <cellStyle name="Hipervínculo visitado" xfId="906" builtinId="9" hidden="1"/>
    <cellStyle name="Hipervínculo visitado" xfId="908" builtinId="9" hidden="1"/>
    <cellStyle name="Hipervínculo visitado" xfId="910" builtinId="9" hidden="1"/>
    <cellStyle name="Hipervínculo visitado" xfId="912" builtinId="9" hidden="1"/>
    <cellStyle name="Hipervínculo visitado" xfId="914" builtinId="9" hidden="1"/>
    <cellStyle name="Hipervínculo visitado" xfId="916" builtinId="9" hidden="1"/>
    <cellStyle name="Hipervínculo visitado" xfId="918" builtinId="9" hidden="1"/>
    <cellStyle name="Hipervínculo visitado" xfId="920" builtinId="9" hidden="1"/>
    <cellStyle name="Hipervínculo visitado" xfId="922" builtinId="9" hidden="1"/>
    <cellStyle name="Hipervínculo visitado" xfId="924" builtinId="9" hidden="1"/>
    <cellStyle name="Hipervínculo visitado" xfId="926" builtinId="9" hidden="1"/>
    <cellStyle name="Hipervínculo visitado" xfId="928" builtinId="9" hidden="1"/>
    <cellStyle name="Hipervínculo visitado" xfId="930" builtinId="9" hidden="1"/>
    <cellStyle name="Hipervínculo visitado" xfId="932" builtinId="9" hidden="1"/>
    <cellStyle name="Hipervínculo visitado" xfId="934" builtinId="9" hidden="1"/>
    <cellStyle name="Hipervínculo visitado" xfId="936" builtinId="9" hidden="1"/>
    <cellStyle name="Hipervínculo visitado" xfId="938" builtinId="9" hidden="1"/>
    <cellStyle name="Hipervínculo visitado" xfId="940" builtinId="9" hidden="1"/>
    <cellStyle name="Hipervínculo visitado" xfId="942" builtinId="9" hidden="1"/>
    <cellStyle name="Hipervínculo visitado" xfId="944" builtinId="9" hidden="1"/>
    <cellStyle name="Hipervínculo visitado" xfId="946" builtinId="9" hidden="1"/>
    <cellStyle name="Hipervínculo visitado" xfId="948" builtinId="9" hidden="1"/>
    <cellStyle name="Hipervínculo visitado" xfId="950" builtinId="9" hidden="1"/>
    <cellStyle name="Hipervínculo visitado" xfId="952" builtinId="9" hidden="1"/>
    <cellStyle name="Hipervínculo visitado" xfId="954" builtinId="9" hidden="1"/>
    <cellStyle name="Hipervínculo visitado" xfId="956" builtinId="9" hidden="1"/>
    <cellStyle name="Hipervínculo visitado" xfId="958" builtinId="9" hidden="1"/>
    <cellStyle name="Hipervínculo visitado" xfId="960" builtinId="9" hidden="1"/>
    <cellStyle name="Hipervínculo visitado" xfId="962" builtinId="9" hidden="1"/>
    <cellStyle name="Hipervínculo visitado" xfId="964" builtinId="9" hidden="1"/>
    <cellStyle name="Hipervínculo visitado" xfId="966" builtinId="9" hidden="1"/>
    <cellStyle name="Hipervínculo visitado" xfId="968" builtinId="9" hidden="1"/>
    <cellStyle name="Hipervínculo visitado" xfId="970" builtinId="9" hidden="1"/>
    <cellStyle name="Hipervínculo visitado" xfId="972" builtinId="9" hidden="1"/>
    <cellStyle name="Hipervínculo visitado" xfId="974" builtinId="9" hidden="1"/>
    <cellStyle name="Hipervínculo visitado" xfId="976" builtinId="9" hidden="1"/>
    <cellStyle name="Hipervínculo visitado" xfId="978" builtinId="9" hidden="1"/>
    <cellStyle name="Hipervínculo visitado" xfId="980" builtinId="9" hidden="1"/>
    <cellStyle name="Hipervínculo visitado" xfId="982" builtinId="9" hidden="1"/>
    <cellStyle name="Hipervínculo visitado" xfId="984" builtinId="9" hidden="1"/>
    <cellStyle name="Hipervínculo visitado" xfId="986" builtinId="9" hidden="1"/>
    <cellStyle name="Hipervínculo visitado" xfId="988" builtinId="9" hidden="1"/>
    <cellStyle name="Hipervínculo visitado" xfId="990" builtinId="9" hidden="1"/>
    <cellStyle name="Hipervínculo visitado" xfId="992" builtinId="9" hidden="1"/>
    <cellStyle name="Hipervínculo visitado" xfId="994" builtinId="9" hidden="1"/>
    <cellStyle name="Hipervínculo visitado" xfId="996" builtinId="9" hidden="1"/>
    <cellStyle name="Hipervínculo visitado" xfId="998" builtinId="9" hidden="1"/>
    <cellStyle name="Hipervínculo visitado" xfId="1000" builtinId="9" hidden="1"/>
    <cellStyle name="Hipervínculo visitado" xfId="1002" builtinId="9" hidden="1"/>
    <cellStyle name="Hipervínculo visitado" xfId="1004" builtinId="9" hidden="1"/>
    <cellStyle name="Hipervínculo visitado" xfId="1006" builtinId="9" hidden="1"/>
    <cellStyle name="Hipervínculo visitado" xfId="1008" builtinId="9" hidden="1"/>
    <cellStyle name="Hipervínculo visitado" xfId="1010" builtinId="9" hidden="1"/>
    <cellStyle name="Hipervínculo visitado" xfId="1012" builtinId="9" hidden="1"/>
    <cellStyle name="Hipervínculo visitado" xfId="1014" builtinId="9" hidden="1"/>
    <cellStyle name="Hipervínculo visitado" xfId="1016" builtinId="9" hidden="1"/>
    <cellStyle name="Hipervínculo visitado" xfId="1018" builtinId="9" hidden="1"/>
    <cellStyle name="Hipervínculo visitado" xfId="1020" builtinId="9" hidden="1"/>
    <cellStyle name="Hipervínculo visitado" xfId="1022" builtinId="9" hidden="1"/>
    <cellStyle name="Hipervínculo visitado" xfId="1024" builtinId="9" hidden="1"/>
    <cellStyle name="Hipervínculo visitado" xfId="1026" builtinId="9" hidden="1"/>
    <cellStyle name="Hipervínculo visitado" xfId="1028" builtinId="9" hidden="1"/>
    <cellStyle name="Hipervínculo visitado" xfId="1030" builtinId="9" hidden="1"/>
    <cellStyle name="Hipervínculo visitado" xfId="1032" builtinId="9" hidden="1"/>
    <cellStyle name="Hipervínculo visitado" xfId="1034" builtinId="9" hidden="1"/>
    <cellStyle name="Hipervínculo visitado" xfId="1036" builtinId="9" hidden="1"/>
    <cellStyle name="Hipervínculo visitado" xfId="1038" builtinId="9" hidden="1"/>
    <cellStyle name="Hipervínculo visitado" xfId="1040" builtinId="9" hidden="1"/>
    <cellStyle name="Hipervínculo visitado" xfId="1042" builtinId="9" hidden="1"/>
    <cellStyle name="Hipervínculo visitado" xfId="1044" builtinId="9" hidden="1"/>
    <cellStyle name="Hipervínculo visitado" xfId="1046" builtinId="9" hidden="1"/>
    <cellStyle name="Hipervínculo visitado" xfId="1048" builtinId="9" hidden="1"/>
    <cellStyle name="Hipervínculo visitado" xfId="1050" builtinId="9" hidden="1"/>
    <cellStyle name="Hipervínculo visitado" xfId="1052" builtinId="9" hidden="1"/>
    <cellStyle name="Hipervínculo visitado" xfId="1054" builtinId="9" hidden="1"/>
    <cellStyle name="Hipervínculo visitado" xfId="1056" builtinId="9" hidden="1"/>
    <cellStyle name="Hipervínculo visitado" xfId="1058" builtinId="9" hidden="1"/>
    <cellStyle name="Hipervínculo visitado" xfId="1060" builtinId="9" hidden="1"/>
    <cellStyle name="Hipervínculo visitado" xfId="1062" builtinId="9" hidden="1"/>
    <cellStyle name="Hipervínculo visitado" xfId="1064" builtinId="9" hidden="1"/>
    <cellStyle name="Hipervínculo visitado" xfId="1066" builtinId="9" hidden="1"/>
    <cellStyle name="Hipervínculo visitado" xfId="1068" builtinId="9" hidden="1"/>
    <cellStyle name="Hipervínculo visitado" xfId="1070" builtinId="9" hidden="1"/>
    <cellStyle name="Hipervínculo visitado" xfId="1072" builtinId="9" hidden="1"/>
    <cellStyle name="Hipervínculo visitado" xfId="1074" builtinId="9" hidden="1"/>
    <cellStyle name="Hipervínculo visitado" xfId="1076" builtinId="9" hidden="1"/>
    <cellStyle name="Hipervínculo visitado" xfId="1078" builtinId="9" hidden="1"/>
    <cellStyle name="Hipervínculo visitado" xfId="1080" builtinId="9" hidden="1"/>
    <cellStyle name="Hipervínculo visitado" xfId="1082" builtinId="9" hidden="1"/>
    <cellStyle name="Hipervínculo visitado" xfId="1084" builtinId="9" hidden="1"/>
    <cellStyle name="Hipervínculo visitado" xfId="1086" builtinId="9" hidden="1"/>
    <cellStyle name="Hipervínculo visitado" xfId="1088" builtinId="9" hidden="1"/>
    <cellStyle name="Hipervínculo visitado" xfId="1090" builtinId="9" hidden="1"/>
    <cellStyle name="Hipervínculo visitado" xfId="1092" builtinId="9" hidden="1"/>
    <cellStyle name="Hipervínculo visitado" xfId="1094" builtinId="9" hidden="1"/>
    <cellStyle name="Hipervínculo visitado" xfId="1096" builtinId="9" hidden="1"/>
    <cellStyle name="Hipervínculo visitado" xfId="1098" builtinId="9" hidden="1"/>
    <cellStyle name="Hipervínculo visitado" xfId="1100" builtinId="9" hidden="1"/>
    <cellStyle name="Hipervínculo visitado" xfId="1102" builtinId="9" hidden="1"/>
    <cellStyle name="Hipervínculo visitado" xfId="1104" builtinId="9" hidden="1"/>
    <cellStyle name="Hipervínculo visitado" xfId="1106" builtinId="9" hidden="1"/>
    <cellStyle name="Hipervínculo visitado" xfId="1108" builtinId="9" hidden="1"/>
    <cellStyle name="Hipervínculo visitado" xfId="1110" builtinId="9" hidden="1"/>
    <cellStyle name="Hipervínculo visitado" xfId="1112" builtinId="9" hidden="1"/>
    <cellStyle name="Hipervínculo visitado" xfId="1114" builtinId="9" hidden="1"/>
    <cellStyle name="Hipervínculo visitado" xfId="1116" builtinId="9" hidden="1"/>
    <cellStyle name="Hipervínculo visitado" xfId="1118" builtinId="9" hidden="1"/>
    <cellStyle name="Hipervínculo visitado" xfId="1120" builtinId="9" hidden="1"/>
    <cellStyle name="Hipervínculo visitado" xfId="1122" builtinId="9" hidden="1"/>
    <cellStyle name="Hipervínculo visitado" xfId="1124" builtinId="9" hidden="1"/>
    <cellStyle name="Hipervínculo visitado" xfId="1126" builtinId="9" hidden="1"/>
    <cellStyle name="Hipervínculo visitado" xfId="1128" builtinId="9" hidden="1"/>
    <cellStyle name="Hipervínculo visitado" xfId="1130" builtinId="9" hidden="1"/>
    <cellStyle name="Hipervínculo visitado" xfId="1132" builtinId="9" hidden="1"/>
    <cellStyle name="Hipervínculo visitado" xfId="1134" builtinId="9" hidden="1"/>
    <cellStyle name="Hipervínculo visitado" xfId="1136" builtinId="9" hidden="1"/>
    <cellStyle name="Hipervínculo visitado" xfId="1138" builtinId="9" hidden="1"/>
    <cellStyle name="Hipervínculo visitado" xfId="1140" builtinId="9" hidden="1"/>
    <cellStyle name="Hipervínculo visitado" xfId="1142" builtinId="9" hidden="1"/>
    <cellStyle name="Hipervínculo visitado" xfId="1144" builtinId="9" hidden="1"/>
    <cellStyle name="Hipervínculo visitado" xfId="1146" builtinId="9" hidden="1"/>
    <cellStyle name="Hipervínculo visitado" xfId="1148" builtinId="9" hidden="1"/>
    <cellStyle name="Hipervínculo visitado" xfId="1150" builtinId="9" hidden="1"/>
    <cellStyle name="Hipervínculo visitado" xfId="1152" builtinId="9" hidden="1"/>
    <cellStyle name="Hipervínculo visitado" xfId="1154" builtinId="9" hidden="1"/>
    <cellStyle name="Hipervínculo visitado" xfId="1156" builtinId="9" hidden="1"/>
    <cellStyle name="Hipervínculo visitado" xfId="1158" builtinId="9" hidden="1"/>
    <cellStyle name="Hipervínculo visitado" xfId="1160" builtinId="9" hidden="1"/>
    <cellStyle name="Hipervínculo visitado" xfId="1162" builtinId="9" hidden="1"/>
    <cellStyle name="Hipervínculo visitado" xfId="1164" builtinId="9" hidden="1"/>
    <cellStyle name="Hipervínculo visitado" xfId="1166" builtinId="9" hidden="1"/>
    <cellStyle name="Hipervínculo visitado" xfId="1168" builtinId="9" hidden="1"/>
    <cellStyle name="Hipervínculo visitado" xfId="1170" builtinId="9" hidden="1"/>
    <cellStyle name="Hipervínculo visitado" xfId="1172" builtinId="9" hidden="1"/>
    <cellStyle name="Hipervínculo visitado" xfId="1174" builtinId="9" hidden="1"/>
    <cellStyle name="Hipervínculo visitado" xfId="1176" builtinId="9" hidden="1"/>
    <cellStyle name="Hipervínculo visitado" xfId="1178" builtinId="9" hidden="1"/>
    <cellStyle name="Hipervínculo visitado" xfId="1180" builtinId="9" hidden="1"/>
    <cellStyle name="Hipervínculo visitado" xfId="1182" builtinId="9" hidden="1"/>
    <cellStyle name="Hipervínculo visitado" xfId="1184" builtinId="9" hidden="1"/>
    <cellStyle name="Hipervínculo visitado" xfId="1186" builtinId="9" hidden="1"/>
    <cellStyle name="Hipervínculo visitado" xfId="1188" builtinId="9" hidden="1"/>
    <cellStyle name="Hipervínculo visitado" xfId="1190" builtinId="9" hidden="1"/>
    <cellStyle name="Hipervínculo visitado" xfId="1192" builtinId="9" hidden="1"/>
    <cellStyle name="Hipervínculo visitado" xfId="1194" builtinId="9" hidden="1"/>
    <cellStyle name="Hipervínculo visitado" xfId="1196" builtinId="9" hidden="1"/>
    <cellStyle name="Hipervínculo visitado" xfId="1198" builtinId="9" hidden="1"/>
    <cellStyle name="Hipervínculo visitado" xfId="1200" builtinId="9" hidden="1"/>
    <cellStyle name="Hipervínculo visitado" xfId="1202" builtinId="9" hidden="1"/>
    <cellStyle name="Hipervínculo visitado" xfId="1204" builtinId="9" hidden="1"/>
    <cellStyle name="Hipervínculo visitado" xfId="1206" builtinId="9" hidden="1"/>
    <cellStyle name="Hipervínculo visitado" xfId="1208" builtinId="9" hidden="1"/>
    <cellStyle name="Hipervínculo visitado" xfId="1210" builtinId="9" hidden="1"/>
    <cellStyle name="Hipervínculo visitado" xfId="1212" builtinId="9" hidden="1"/>
    <cellStyle name="Hipervínculo visitado" xfId="1214" builtinId="9" hidden="1"/>
    <cellStyle name="Hipervínculo visitado" xfId="1216" builtinId="9" hidden="1"/>
    <cellStyle name="Hipervínculo visitado" xfId="1218" builtinId="9" hidden="1"/>
    <cellStyle name="Hipervínculo visitado" xfId="1220" builtinId="9" hidden="1"/>
    <cellStyle name="Hipervínculo visitado" xfId="1222" builtinId="9" hidden="1"/>
    <cellStyle name="Hipervínculo visitado" xfId="1224" builtinId="9" hidden="1"/>
    <cellStyle name="Hipervínculo visitado" xfId="1226" builtinId="9" hidden="1"/>
    <cellStyle name="Hipervínculo visitado" xfId="1228" builtinId="9" hidden="1"/>
    <cellStyle name="Hipervínculo visitado" xfId="1230" builtinId="9" hidden="1"/>
    <cellStyle name="Hipervínculo visitado" xfId="1232" builtinId="9" hidden="1"/>
    <cellStyle name="Hipervínculo visitado" xfId="1234" builtinId="9" hidden="1"/>
    <cellStyle name="Hipervínculo visitado" xfId="1236" builtinId="9" hidden="1"/>
    <cellStyle name="Hipervínculo visitado" xfId="1238" builtinId="9" hidden="1"/>
    <cellStyle name="Hipervínculo visitado" xfId="1240" builtinId="9" hidden="1"/>
    <cellStyle name="Hipervínculo visitado" xfId="1242" builtinId="9" hidden="1"/>
    <cellStyle name="Hipervínculo visitado" xfId="1244" builtinId="9" hidden="1"/>
    <cellStyle name="Hipervínculo visitado" xfId="1246" builtinId="9" hidden="1"/>
    <cellStyle name="Hipervínculo visitado" xfId="1248" builtinId="9" hidden="1"/>
    <cellStyle name="Hipervínculo visitado" xfId="1250" builtinId="9" hidden="1"/>
    <cellStyle name="Hipervínculo visitado" xfId="1252" builtinId="9" hidden="1"/>
    <cellStyle name="Hipervínculo visitado" xfId="1254" builtinId="9" hidden="1"/>
    <cellStyle name="Hipervínculo visitado" xfId="1256" builtinId="9" hidden="1"/>
    <cellStyle name="Hipervínculo visitado" xfId="1258" builtinId="9" hidden="1"/>
    <cellStyle name="Hipervínculo visitado" xfId="1260" builtinId="9" hidden="1"/>
    <cellStyle name="Hipervínculo visitado" xfId="1262" builtinId="9" hidden="1"/>
    <cellStyle name="Hipervínculo visitado" xfId="1264" builtinId="9" hidden="1"/>
    <cellStyle name="Hipervínculo visitado" xfId="1266" builtinId="9" hidden="1"/>
    <cellStyle name="Hipervínculo visitado" xfId="1268" builtinId="9" hidden="1"/>
    <cellStyle name="Hipervínculo visitado" xfId="1270" builtinId="9" hidden="1"/>
    <cellStyle name="Hipervínculo visitado" xfId="1272" builtinId="9" hidden="1"/>
    <cellStyle name="Hipervínculo visitado" xfId="1274" builtinId="9" hidden="1"/>
    <cellStyle name="Hipervínculo visitado" xfId="1276" builtinId="9" hidden="1"/>
    <cellStyle name="Hipervínculo visitado" xfId="1278" builtinId="9" hidden="1"/>
    <cellStyle name="Hipervínculo visitado" xfId="1280" builtinId="9" hidden="1"/>
    <cellStyle name="Hipervínculo visitado" xfId="1282" builtinId="9" hidden="1"/>
    <cellStyle name="Hipervínculo visitado" xfId="1284" builtinId="9" hidden="1"/>
    <cellStyle name="Hipervínculo visitado" xfId="1286" builtinId="9" hidden="1"/>
    <cellStyle name="Hipervínculo visitado" xfId="1288" builtinId="9" hidden="1"/>
    <cellStyle name="Hipervínculo visitado" xfId="1290" builtinId="9" hidden="1"/>
    <cellStyle name="Hipervínculo visitado" xfId="1292" builtinId="9" hidden="1"/>
    <cellStyle name="Hipervínculo visitado" xfId="1294" builtinId="9" hidden="1"/>
    <cellStyle name="Hipervínculo visitado" xfId="1296" builtinId="9" hidden="1"/>
    <cellStyle name="Hipervínculo visitado" xfId="1298" builtinId="9" hidden="1"/>
    <cellStyle name="Hipervínculo visitado" xfId="1300" builtinId="9" hidden="1"/>
    <cellStyle name="Hipervínculo visitado" xfId="1302" builtinId="9" hidden="1"/>
    <cellStyle name="Hipervínculo visitado" xfId="1304" builtinId="9" hidden="1"/>
    <cellStyle name="Hipervínculo visitado" xfId="1306" builtinId="9" hidden="1"/>
    <cellStyle name="Hipervínculo visitado" xfId="1308" builtinId="9" hidden="1"/>
    <cellStyle name="Hipervínculo visitado" xfId="1310" builtinId="9" hidden="1"/>
    <cellStyle name="Hipervínculo visitado" xfId="1312" builtinId="9" hidden="1"/>
    <cellStyle name="Hipervínculo visitado" xfId="1314" builtinId="9" hidden="1"/>
    <cellStyle name="Hipervínculo visitado" xfId="1316" builtinId="9" hidden="1"/>
    <cellStyle name="Hipervínculo visitado" xfId="1318" builtinId="9" hidden="1"/>
    <cellStyle name="Hipervínculo visitado" xfId="1320" builtinId="9" hidden="1"/>
    <cellStyle name="Hipervínculo visitado" xfId="1322" builtinId="9" hidden="1"/>
    <cellStyle name="Hipervínculo visitado" xfId="1324" builtinId="9" hidden="1"/>
    <cellStyle name="Hipervínculo visitado" xfId="1326" builtinId="9" hidden="1"/>
    <cellStyle name="Hipervínculo visitado" xfId="1328" builtinId="9" hidden="1"/>
    <cellStyle name="Hipervínculo visitado" xfId="1330" builtinId="9" hidden="1"/>
    <cellStyle name="Hipervínculo visitado" xfId="1332" builtinId="9" hidden="1"/>
    <cellStyle name="Hipervínculo visitado" xfId="1334" builtinId="9" hidden="1"/>
    <cellStyle name="Hipervínculo visitado" xfId="1336" builtinId="9" hidden="1"/>
    <cellStyle name="Hipervínculo visitado" xfId="1338" builtinId="9" hidden="1"/>
    <cellStyle name="Hipervínculo visitado" xfId="1340" builtinId="9" hidden="1"/>
    <cellStyle name="Hipervínculo visitado" xfId="1342" builtinId="9" hidden="1"/>
    <cellStyle name="Hipervínculo visitado" xfId="1344" builtinId="9" hidden="1"/>
    <cellStyle name="Hipervínculo visitado" xfId="1346" builtinId="9" hidden="1"/>
    <cellStyle name="Hipervínculo visitado" xfId="1348" builtinId="9" hidden="1"/>
    <cellStyle name="Hipervínculo visitado" xfId="1350" builtinId="9" hidden="1"/>
    <cellStyle name="Hipervínculo visitado" xfId="1352" builtinId="9" hidden="1"/>
    <cellStyle name="Hipervínculo visitado" xfId="1354" builtinId="9" hidden="1"/>
    <cellStyle name="Hipervínculo visitado" xfId="1356" builtinId="9" hidden="1"/>
    <cellStyle name="Hipervínculo visitado" xfId="1358" builtinId="9" hidden="1"/>
    <cellStyle name="Hipervínculo visitado" xfId="1360" builtinId="9" hidden="1"/>
    <cellStyle name="Hipervínculo visitado" xfId="1362" builtinId="9" hidden="1"/>
    <cellStyle name="Hipervínculo visitado" xfId="1364" builtinId="9" hidden="1"/>
    <cellStyle name="Hipervínculo visitado" xfId="1366" builtinId="9" hidden="1"/>
    <cellStyle name="Hipervínculo visitado" xfId="1368" builtinId="9" hidden="1"/>
    <cellStyle name="Hipervínculo visitado" xfId="1370" builtinId="9" hidden="1"/>
    <cellStyle name="Hipervínculo visitado" xfId="1372" builtinId="9" hidden="1"/>
    <cellStyle name="Hipervínculo visitado" xfId="1374" builtinId="9" hidden="1"/>
    <cellStyle name="Hipervínculo visitado" xfId="1376" builtinId="9" hidden="1"/>
    <cellStyle name="Hipervínculo visitado" xfId="1378" builtinId="9" hidden="1"/>
    <cellStyle name="Hipervínculo visitado" xfId="1380" builtinId="9" hidden="1"/>
    <cellStyle name="Hipervínculo visitado" xfId="1382" builtinId="9" hidden="1"/>
    <cellStyle name="Hipervínculo visitado" xfId="1384" builtinId="9" hidden="1"/>
    <cellStyle name="Hipervínculo visitado" xfId="1386" builtinId="9" hidden="1"/>
    <cellStyle name="Hipervínculo visitado" xfId="1388" builtinId="9" hidden="1"/>
    <cellStyle name="Hipervínculo visitado" xfId="1390" builtinId="9" hidden="1"/>
    <cellStyle name="Hipervínculo visitado" xfId="1392" builtinId="9" hidden="1"/>
    <cellStyle name="Hipervínculo visitado" xfId="1394" builtinId="9" hidden="1"/>
    <cellStyle name="Hipervínculo visitado" xfId="1396" builtinId="9" hidden="1"/>
    <cellStyle name="Hipervínculo visitado" xfId="1398" builtinId="9" hidden="1"/>
    <cellStyle name="Hipervínculo visitado" xfId="1400" builtinId="9" hidden="1"/>
    <cellStyle name="Hipervínculo visitado" xfId="1402" builtinId="9" hidden="1"/>
    <cellStyle name="Hipervínculo visitado" xfId="1404" builtinId="9" hidden="1"/>
    <cellStyle name="Hipervínculo visitado" xfId="1406" builtinId="9" hidden="1"/>
    <cellStyle name="Hipervínculo visitado" xfId="1408" builtinId="9" hidden="1"/>
    <cellStyle name="Hipervínculo visitado" xfId="1410" builtinId="9" hidden="1"/>
    <cellStyle name="Hipervínculo visitado" xfId="1412" builtinId="9" hidden="1"/>
    <cellStyle name="Hipervínculo visitado" xfId="1414" builtinId="9" hidden="1"/>
    <cellStyle name="Hipervínculo visitado" xfId="1416" builtinId="9" hidden="1"/>
    <cellStyle name="Hipervínculo visitado" xfId="1418" builtinId="9" hidden="1"/>
    <cellStyle name="Hipervínculo visitado" xfId="1420" builtinId="9" hidden="1"/>
    <cellStyle name="Hipervínculo visitado" xfId="1422" builtinId="9" hidden="1"/>
    <cellStyle name="Hipervínculo visitado" xfId="1424" builtinId="9" hidden="1"/>
    <cellStyle name="Hipervínculo visitado" xfId="1426" builtinId="9" hidden="1"/>
    <cellStyle name="Hipervínculo visitado" xfId="1428" builtinId="9" hidden="1"/>
    <cellStyle name="Hipervínculo visitado" xfId="1430" builtinId="9" hidden="1"/>
    <cellStyle name="Hipervínculo visitado" xfId="1432" builtinId="9" hidden="1"/>
    <cellStyle name="Hipervínculo visitado" xfId="1434" builtinId="9" hidden="1"/>
    <cellStyle name="Hipervínculo visitado" xfId="1436" builtinId="9" hidden="1"/>
    <cellStyle name="Hipervínculo visitado" xfId="1438" builtinId="9" hidden="1"/>
    <cellStyle name="Hipervínculo visitado" xfId="1440" builtinId="9" hidden="1"/>
    <cellStyle name="Hipervínculo visitado" xfId="1442" builtinId="9" hidden="1"/>
    <cellStyle name="Hipervínculo visitado" xfId="1444" builtinId="9" hidden="1"/>
    <cellStyle name="Hipervínculo visitado" xfId="1446" builtinId="9" hidden="1"/>
    <cellStyle name="Hipervínculo visitado" xfId="1448" builtinId="9" hidden="1"/>
    <cellStyle name="Hipervínculo visitado" xfId="1450" builtinId="9" hidden="1"/>
    <cellStyle name="Hipervínculo visitado" xfId="1452" builtinId="9" hidden="1"/>
    <cellStyle name="Hipervínculo visitado" xfId="1454" builtinId="9" hidden="1"/>
    <cellStyle name="Hipervínculo visitado" xfId="1456" builtinId="9" hidden="1"/>
    <cellStyle name="Hipervínculo visitado" xfId="1458" builtinId="9" hidden="1"/>
    <cellStyle name="Hipervínculo visitado" xfId="1460" builtinId="9" hidden="1"/>
    <cellStyle name="Hipervínculo visitado" xfId="1462" builtinId="9" hidden="1"/>
    <cellStyle name="Hipervínculo visitado" xfId="1464" builtinId="9" hidden="1"/>
    <cellStyle name="Hipervínculo visitado" xfId="1466" builtinId="9" hidden="1"/>
    <cellStyle name="Hipervínculo visitado" xfId="1468" builtinId="9" hidden="1"/>
    <cellStyle name="Hipervínculo visitado" xfId="1470" builtinId="9" hidden="1"/>
    <cellStyle name="Hipervínculo visitado" xfId="1472" builtinId="9" hidden="1"/>
    <cellStyle name="Hipervínculo visitado" xfId="1474" builtinId="9" hidden="1"/>
    <cellStyle name="Hipervínculo visitado" xfId="1476" builtinId="9" hidden="1"/>
    <cellStyle name="Hipervínculo visitado" xfId="1478" builtinId="9" hidden="1"/>
    <cellStyle name="Hipervínculo visitado" xfId="1480" builtinId="9" hidden="1"/>
    <cellStyle name="Hipervínculo visitado" xfId="1482" builtinId="9" hidden="1"/>
    <cellStyle name="Hipervínculo visitado" xfId="1484" builtinId="9" hidden="1"/>
    <cellStyle name="Hipervínculo visitado" xfId="1486" builtinId="9" hidden="1"/>
    <cellStyle name="Hipervínculo visitado" xfId="1488" builtinId="9" hidden="1"/>
    <cellStyle name="Hipervínculo visitado" xfId="1490" builtinId="9" hidden="1"/>
    <cellStyle name="Hipervínculo visitado" xfId="1492" builtinId="9" hidden="1"/>
    <cellStyle name="Hipervínculo visitado" xfId="1494" builtinId="9" hidden="1"/>
    <cellStyle name="Hipervínculo visitado" xfId="1496" builtinId="9" hidden="1"/>
    <cellStyle name="Hipervínculo visitado" xfId="1498" builtinId="9" hidden="1"/>
    <cellStyle name="Hipervínculo visitado" xfId="1500" builtinId="9" hidden="1"/>
    <cellStyle name="Hipervínculo visitado" xfId="1502" builtinId="9" hidden="1"/>
    <cellStyle name="Hipervínculo visitado" xfId="1504" builtinId="9" hidden="1"/>
    <cellStyle name="Hipervínculo visitado" xfId="1506" builtinId="9" hidden="1"/>
    <cellStyle name="Hipervínculo visitado" xfId="1508" builtinId="9" hidden="1"/>
    <cellStyle name="Hipervínculo visitado" xfId="1510" builtinId="9" hidden="1"/>
    <cellStyle name="Hipervínculo visitado" xfId="1512" builtinId="9" hidden="1"/>
    <cellStyle name="Hipervínculo visitado" xfId="1514" builtinId="9" hidden="1"/>
    <cellStyle name="Hipervínculo visitado" xfId="1516" builtinId="9" hidden="1"/>
    <cellStyle name="Hipervínculo visitado" xfId="1518" builtinId="9" hidden="1"/>
    <cellStyle name="Hipervínculo visitado" xfId="1520" builtinId="9" hidden="1"/>
    <cellStyle name="Hipervínculo visitado" xfId="1522" builtinId="9" hidden="1"/>
    <cellStyle name="Hipervínculo visitado" xfId="1524" builtinId="9" hidden="1"/>
    <cellStyle name="Hipervínculo visitado" xfId="1526" builtinId="9" hidden="1"/>
    <cellStyle name="Hipervínculo visitado" xfId="1528" builtinId="9" hidden="1"/>
    <cellStyle name="Hipervínculo visitado" xfId="1530" builtinId="9" hidden="1"/>
    <cellStyle name="Hipervínculo visitado" xfId="1532" builtinId="9" hidden="1"/>
    <cellStyle name="Hipervínculo visitado" xfId="1534" builtinId="9" hidden="1"/>
    <cellStyle name="Hipervínculo visitado" xfId="1536" builtinId="9" hidden="1"/>
    <cellStyle name="Hipervínculo visitado" xfId="1538" builtinId="9" hidden="1"/>
    <cellStyle name="Hipervínculo visitado" xfId="1540" builtinId="9" hidden="1"/>
    <cellStyle name="Hipervínculo visitado" xfId="1542" builtinId="9" hidden="1"/>
    <cellStyle name="Hipervínculo visitado" xfId="1544" builtinId="9" hidden="1"/>
    <cellStyle name="Hipervínculo visitado" xfId="1546" builtinId="9" hidden="1"/>
    <cellStyle name="Hipervínculo visitado" xfId="1548" builtinId="9" hidden="1"/>
    <cellStyle name="Hipervínculo visitado" xfId="1550" builtinId="9" hidden="1"/>
    <cellStyle name="Hipervínculo visitado" xfId="1552" builtinId="9" hidden="1"/>
    <cellStyle name="Hipervínculo visitado" xfId="1554" builtinId="9" hidden="1"/>
    <cellStyle name="Hipervínculo visitado" xfId="1556" builtinId="9" hidden="1"/>
    <cellStyle name="Hipervínculo visitado" xfId="1558" builtinId="9" hidden="1"/>
    <cellStyle name="Hipervínculo visitado" xfId="1560" builtinId="9" hidden="1"/>
    <cellStyle name="Hipervínculo visitado" xfId="1562" builtinId="9" hidden="1"/>
    <cellStyle name="Hipervínculo visitado" xfId="1564" builtinId="9" hidden="1"/>
    <cellStyle name="Hipervínculo visitado" xfId="1566" builtinId="9" hidden="1"/>
    <cellStyle name="Hipervínculo visitado" xfId="1568" builtinId="9" hidden="1"/>
    <cellStyle name="Hipervínculo visitado" xfId="1570" builtinId="9" hidden="1"/>
    <cellStyle name="Hipervínculo visitado" xfId="1572" builtinId="9" hidden="1"/>
    <cellStyle name="Hipervínculo visitado" xfId="1574" builtinId="9" hidden="1"/>
    <cellStyle name="Hipervínculo visitado" xfId="1576" builtinId="9" hidden="1"/>
    <cellStyle name="Hipervínculo visitado" xfId="1578" builtinId="9" hidden="1"/>
    <cellStyle name="Hipervínculo visitado" xfId="1580" builtinId="9" hidden="1"/>
    <cellStyle name="Hipervínculo visitado" xfId="1582" builtinId="9" hidden="1"/>
    <cellStyle name="Hipervínculo visitado" xfId="1584" builtinId="9" hidden="1"/>
    <cellStyle name="Hipervínculo visitado" xfId="1586" builtinId="9" hidden="1"/>
    <cellStyle name="Hipervínculo visitado" xfId="1588" builtinId="9" hidden="1"/>
    <cellStyle name="Hipervínculo visitado" xfId="1590" builtinId="9" hidden="1"/>
    <cellStyle name="Hipervínculo visitado" xfId="1592" builtinId="9" hidden="1"/>
    <cellStyle name="Hipervínculo visitado" xfId="1594" builtinId="9" hidden="1"/>
    <cellStyle name="Hipervínculo visitado" xfId="1596" builtinId="9" hidden="1"/>
    <cellStyle name="Hipervínculo visitado" xfId="1598" builtinId="9" hidden="1"/>
    <cellStyle name="Hipervínculo visitado" xfId="1600" builtinId="9" hidden="1"/>
    <cellStyle name="Hipervínculo visitado" xfId="1602" builtinId="9" hidden="1"/>
    <cellStyle name="Hipervínculo visitado" xfId="1604" builtinId="9" hidden="1"/>
    <cellStyle name="Hipervínculo visitado" xfId="1606" builtinId="9" hidden="1"/>
    <cellStyle name="Hipervínculo visitado" xfId="1608" builtinId="9" hidden="1"/>
    <cellStyle name="Hipervínculo visitado" xfId="1610" builtinId="9" hidden="1"/>
    <cellStyle name="Hipervínculo visitado" xfId="1612" builtinId="9" hidden="1"/>
    <cellStyle name="Hipervínculo visitado" xfId="1614" builtinId="9" hidden="1"/>
    <cellStyle name="Hipervínculo visitado" xfId="1616" builtinId="9" hidden="1"/>
    <cellStyle name="Hipervínculo visitado" xfId="1618" builtinId="9" hidden="1"/>
    <cellStyle name="Hipervínculo visitado" xfId="1620" builtinId="9" hidden="1"/>
    <cellStyle name="Hipervínculo visitado" xfId="1622" builtinId="9" hidden="1"/>
    <cellStyle name="Hipervínculo visitado" xfId="1624" builtinId="9" hidden="1"/>
    <cellStyle name="Hipervínculo visitado" xfId="1626" builtinId="9" hidden="1"/>
    <cellStyle name="Hipervínculo visitado" xfId="1628" builtinId="9" hidden="1"/>
    <cellStyle name="Hipervínculo visitado" xfId="1630" builtinId="9" hidden="1"/>
    <cellStyle name="Hipervínculo visitado" xfId="1632" builtinId="9" hidden="1"/>
    <cellStyle name="Hipervínculo visitado" xfId="1634" builtinId="9" hidden="1"/>
    <cellStyle name="Hipervínculo visitado" xfId="1636" builtinId="9" hidden="1"/>
    <cellStyle name="Hipervínculo visitado" xfId="1638" builtinId="9" hidden="1"/>
    <cellStyle name="Hipervínculo visitado" xfId="1640" builtinId="9" hidden="1"/>
    <cellStyle name="Hipervínculo visitado" xfId="1642" builtinId="9" hidden="1"/>
    <cellStyle name="Hipervínculo visitado" xfId="1644" builtinId="9" hidden="1"/>
    <cellStyle name="Hipervínculo visitado" xfId="1646" builtinId="9" hidden="1"/>
    <cellStyle name="Hipervínculo visitado" xfId="1648" builtinId="9" hidden="1"/>
    <cellStyle name="Hipervínculo visitado" xfId="1650" builtinId="9" hidden="1"/>
    <cellStyle name="Hipervínculo visitado" xfId="1652" builtinId="9" hidden="1"/>
    <cellStyle name="Hipervínculo visitado" xfId="1654" builtinId="9" hidden="1"/>
    <cellStyle name="Hipervínculo visitado" xfId="1656" builtinId="9" hidden="1"/>
    <cellStyle name="Hipervínculo visitado" xfId="1658" builtinId="9" hidden="1"/>
    <cellStyle name="Hipervínculo visitado" xfId="1660" builtinId="9" hidden="1"/>
    <cellStyle name="Hipervínculo visitado" xfId="1662" builtinId="9" hidden="1"/>
    <cellStyle name="Hipervínculo visitado" xfId="1664" builtinId="9" hidden="1"/>
    <cellStyle name="Hipervínculo visitado" xfId="1666" builtinId="9" hidden="1"/>
    <cellStyle name="Hipervínculo visitado" xfId="1668" builtinId="9" hidden="1"/>
    <cellStyle name="Hipervínculo visitado" xfId="1670" builtinId="9" hidden="1"/>
    <cellStyle name="Hipervínculo visitado" xfId="1672" builtinId="9" hidden="1"/>
    <cellStyle name="Hipervínculo visitado" xfId="1674" builtinId="9" hidden="1"/>
    <cellStyle name="Hipervínculo visitado" xfId="1676" builtinId="9" hidden="1"/>
    <cellStyle name="Hipervínculo visitado" xfId="1678" builtinId="9" hidden="1"/>
    <cellStyle name="Hipervínculo visitado" xfId="1680" builtinId="9" hidden="1"/>
    <cellStyle name="Hipervínculo visitado" xfId="1682" builtinId="9" hidden="1"/>
    <cellStyle name="Hipervínculo visitado" xfId="1684" builtinId="9" hidden="1"/>
    <cellStyle name="Hipervínculo visitado" xfId="1686" builtinId="9" hidden="1"/>
    <cellStyle name="Hipervínculo visitado" xfId="1688" builtinId="9" hidden="1"/>
    <cellStyle name="Hipervínculo visitado" xfId="1690" builtinId="9" hidden="1"/>
    <cellStyle name="Hipervínculo visitado" xfId="1692" builtinId="9" hidden="1"/>
    <cellStyle name="Hipervínculo visitado" xfId="1694" builtinId="9" hidden="1"/>
    <cellStyle name="Hipervínculo visitado" xfId="1696" builtinId="9" hidden="1"/>
    <cellStyle name="Hipervínculo visitado" xfId="1698" builtinId="9" hidden="1"/>
    <cellStyle name="Hipervínculo visitado" xfId="1700" builtinId="9" hidden="1"/>
    <cellStyle name="Hipervínculo visitado" xfId="1702" builtinId="9" hidden="1"/>
    <cellStyle name="Hipervínculo visitado" xfId="1704" builtinId="9" hidden="1"/>
    <cellStyle name="Hipervínculo visitado" xfId="1706" builtinId="9" hidden="1"/>
    <cellStyle name="Hipervínculo visitado" xfId="1708" builtinId="9" hidden="1"/>
    <cellStyle name="Hipervínculo visitado" xfId="1710" builtinId="9" hidden="1"/>
    <cellStyle name="Hipervínculo visitado" xfId="1712" builtinId="9" hidden="1"/>
    <cellStyle name="Hipervínculo visitado" xfId="1714" builtinId="9" hidden="1"/>
    <cellStyle name="Hipervínculo visitado" xfId="1716" builtinId="9" hidden="1"/>
    <cellStyle name="Hipervínculo visitado" xfId="1718" builtinId="9" hidden="1"/>
    <cellStyle name="Hipervínculo visitado" xfId="1720" builtinId="9" hidden="1"/>
    <cellStyle name="Hipervínculo visitado" xfId="1722" builtinId="9" hidden="1"/>
    <cellStyle name="Hipervínculo visitado" xfId="1724" builtinId="9" hidden="1"/>
    <cellStyle name="Hipervínculo visitado" xfId="1726" builtinId="9" hidden="1"/>
    <cellStyle name="Hipervínculo visitado" xfId="1728" builtinId="9" hidden="1"/>
    <cellStyle name="Hipervínculo visitado" xfId="1730" builtinId="9" hidden="1"/>
    <cellStyle name="Hipervínculo visitado" xfId="1732" builtinId="9" hidden="1"/>
    <cellStyle name="Hipervínculo visitado" xfId="1734" builtinId="9" hidden="1"/>
    <cellStyle name="Hipervínculo visitado" xfId="1736" builtinId="9" hidden="1"/>
    <cellStyle name="Hipervínculo visitado" xfId="1738" builtinId="9" hidden="1"/>
    <cellStyle name="Hipervínculo visitado" xfId="1740" builtinId="9" hidden="1"/>
    <cellStyle name="Hipervínculo visitado" xfId="1742" builtinId="9" hidden="1"/>
    <cellStyle name="Hipervínculo visitado" xfId="1744" builtinId="9" hidden="1"/>
    <cellStyle name="Hipervínculo visitado" xfId="1746" builtinId="9" hidden="1"/>
    <cellStyle name="Hipervínculo visitado" xfId="1748" builtinId="9" hidden="1"/>
    <cellStyle name="Hipervínculo visitado" xfId="1750" builtinId="9" hidden="1"/>
    <cellStyle name="Hipervínculo visitado" xfId="1752" builtinId="9" hidden="1"/>
    <cellStyle name="Hipervínculo visitado" xfId="1754" builtinId="9" hidden="1"/>
    <cellStyle name="Hipervínculo visitado" xfId="1756" builtinId="9" hidden="1"/>
    <cellStyle name="Hipervínculo visitado" xfId="1758" builtinId="9" hidden="1"/>
    <cellStyle name="Hipervínculo visitado" xfId="1760" builtinId="9" hidden="1"/>
    <cellStyle name="Hipervínculo visitado" xfId="1762" builtinId="9" hidden="1"/>
    <cellStyle name="Hipervínculo visitado" xfId="1764" builtinId="9" hidden="1"/>
    <cellStyle name="Hipervínculo visitado" xfId="1766" builtinId="9" hidden="1"/>
    <cellStyle name="Hipervínculo visitado" xfId="1768" builtinId="9" hidden="1"/>
    <cellStyle name="Hipervínculo visitado" xfId="1770" builtinId="9" hidden="1"/>
    <cellStyle name="Hipervínculo visitado" xfId="1772" builtinId="9" hidden="1"/>
    <cellStyle name="Hipervínculo visitado" xfId="1774" builtinId="9" hidden="1"/>
    <cellStyle name="Hipervínculo visitado" xfId="1776" builtinId="9" hidden="1"/>
    <cellStyle name="Hipervínculo visitado" xfId="1778" builtinId="9" hidden="1"/>
    <cellStyle name="Hipervínculo visitado" xfId="1780" builtinId="9" hidden="1"/>
    <cellStyle name="Hipervínculo visitado" xfId="1782" builtinId="9" hidden="1"/>
    <cellStyle name="Hipervínculo visitado" xfId="1784" builtinId="9" hidden="1"/>
    <cellStyle name="Hipervínculo visitado" xfId="1786" builtinId="9" hidden="1"/>
    <cellStyle name="Hipervínculo visitado" xfId="1788" builtinId="9" hidden="1"/>
    <cellStyle name="Hipervínculo visitado" xfId="1790" builtinId="9" hidden="1"/>
    <cellStyle name="Hipervínculo visitado" xfId="1792" builtinId="9" hidden="1"/>
    <cellStyle name="Hipervínculo visitado" xfId="1794" builtinId="9" hidden="1"/>
    <cellStyle name="Hipervínculo visitado" xfId="1796" builtinId="9" hidden="1"/>
    <cellStyle name="Hipervínculo visitado" xfId="1798" builtinId="9" hidden="1"/>
    <cellStyle name="Hipervínculo visitado" xfId="1800" builtinId="9" hidden="1"/>
    <cellStyle name="Hipervínculo visitado" xfId="1802" builtinId="9" hidden="1"/>
    <cellStyle name="Hipervínculo visitado" xfId="1804" builtinId="9" hidden="1"/>
    <cellStyle name="Hipervínculo visitado" xfId="1806" builtinId="9" hidden="1"/>
    <cellStyle name="Hipervínculo visitado" xfId="1808" builtinId="9" hidden="1"/>
    <cellStyle name="Hipervínculo visitado" xfId="1810" builtinId="9" hidden="1"/>
    <cellStyle name="Hipervínculo visitado" xfId="1812" builtinId="9" hidden="1"/>
    <cellStyle name="Hipervínculo visitado" xfId="1814" builtinId="9" hidden="1"/>
    <cellStyle name="Hipervínculo visitado" xfId="1816" builtinId="9" hidden="1"/>
    <cellStyle name="Hipervínculo visitado" xfId="1818" builtinId="9" hidden="1"/>
    <cellStyle name="Hipervínculo visitado" xfId="1820" builtinId="9" hidden="1"/>
    <cellStyle name="Hipervínculo visitado" xfId="1822" builtinId="9" hidden="1"/>
    <cellStyle name="Hipervínculo visitado" xfId="1824" builtinId="9" hidden="1"/>
    <cellStyle name="Hipervínculo visitado" xfId="1826" builtinId="9" hidden="1"/>
    <cellStyle name="Hipervínculo visitado" xfId="1828" builtinId="9" hidden="1"/>
    <cellStyle name="Hipervínculo visitado" xfId="1830" builtinId="9" hidden="1"/>
    <cellStyle name="Hipervínculo visitado" xfId="1832" builtinId="9" hidden="1"/>
    <cellStyle name="Hipervínculo visitado" xfId="1834" builtinId="9" hidden="1"/>
    <cellStyle name="Hipervínculo visitado" xfId="1836" builtinId="9" hidden="1"/>
    <cellStyle name="Hipervínculo visitado" xfId="1838" builtinId="9" hidden="1"/>
    <cellStyle name="Hipervínculo visitado" xfId="1840" builtinId="9" hidden="1"/>
    <cellStyle name="Hipervínculo visitado" xfId="1842" builtinId="9" hidden="1"/>
    <cellStyle name="Hipervínculo visitado" xfId="1844" builtinId="9" hidden="1"/>
    <cellStyle name="Hipervínculo visitado" xfId="1846" builtinId="9" hidden="1"/>
    <cellStyle name="Hipervínculo visitado" xfId="1848" builtinId="9" hidden="1"/>
    <cellStyle name="Hipervínculo visitado" xfId="1850" builtinId="9" hidden="1"/>
    <cellStyle name="Hipervínculo visitado" xfId="1852" builtinId="9" hidden="1"/>
    <cellStyle name="Hipervínculo visitado" xfId="1854" builtinId="9" hidden="1"/>
    <cellStyle name="Hipervínculo visitado" xfId="1856" builtinId="9" hidden="1"/>
    <cellStyle name="Hipervínculo visitado" xfId="1858" builtinId="9" hidden="1"/>
    <cellStyle name="Hipervínculo visitado" xfId="1860" builtinId="9" hidden="1"/>
    <cellStyle name="Hipervínculo visitado" xfId="1862" builtinId="9" hidden="1"/>
    <cellStyle name="Hipervínculo visitado" xfId="1864" builtinId="9" hidden="1"/>
    <cellStyle name="Hipervínculo visitado" xfId="1866" builtinId="9" hidden="1"/>
    <cellStyle name="Hipervínculo visitado" xfId="1868" builtinId="9" hidden="1"/>
    <cellStyle name="Hipervínculo visitado" xfId="1870" builtinId="9" hidden="1"/>
    <cellStyle name="Hipervínculo visitado" xfId="1872" builtinId="9" hidden="1"/>
    <cellStyle name="Hipervínculo visitado" xfId="1874" builtinId="9" hidden="1"/>
    <cellStyle name="Hipervínculo visitado" xfId="1876" builtinId="9" hidden="1"/>
    <cellStyle name="Hipervínculo visitado" xfId="1878" builtinId="9" hidden="1"/>
    <cellStyle name="Hipervínculo visitado" xfId="1880" builtinId="9" hidden="1"/>
    <cellStyle name="Hipervínculo visitado" xfId="1882" builtinId="9" hidden="1"/>
    <cellStyle name="Hipervínculo visitado" xfId="1884" builtinId="9" hidden="1"/>
    <cellStyle name="Hipervínculo visitado" xfId="1886" builtinId="9" hidden="1"/>
    <cellStyle name="Hipervínculo visitado" xfId="1888" builtinId="9" hidden="1"/>
    <cellStyle name="Hipervínculo visitado" xfId="1890" builtinId="9" hidden="1"/>
    <cellStyle name="Hipervínculo visitado" xfId="1892" builtinId="9" hidden="1"/>
    <cellStyle name="Hipervínculo visitado" xfId="1894" builtinId="9" hidden="1"/>
    <cellStyle name="Hipervínculo visitado" xfId="1896" builtinId="9" hidden="1"/>
    <cellStyle name="Hipervínculo visitado" xfId="1898" builtinId="9" hidden="1"/>
    <cellStyle name="Hipervínculo visitado" xfId="1900" builtinId="9" hidden="1"/>
    <cellStyle name="Hipervínculo visitado" xfId="1902" builtinId="9" hidden="1"/>
    <cellStyle name="Hipervínculo visitado" xfId="1904" builtinId="9" hidden="1"/>
    <cellStyle name="Hipervínculo visitado" xfId="1906" builtinId="9" hidden="1"/>
    <cellStyle name="Hipervínculo visitado" xfId="1908" builtinId="9" hidden="1"/>
    <cellStyle name="Hipervínculo visitado" xfId="1910" builtinId="9" hidden="1"/>
    <cellStyle name="Hipervínculo visitado" xfId="1912" builtinId="9" hidden="1"/>
    <cellStyle name="Hipervínculo visitado" xfId="1914" builtinId="9" hidden="1"/>
    <cellStyle name="Hipervínculo visitado" xfId="1916" builtinId="9" hidden="1"/>
    <cellStyle name="Hipervínculo visitado" xfId="1918" builtinId="9" hidden="1"/>
    <cellStyle name="Hipervínculo visitado" xfId="1920" builtinId="9" hidden="1"/>
    <cellStyle name="Hipervínculo visitado" xfId="1922" builtinId="9" hidden="1"/>
    <cellStyle name="Hipervínculo visitado" xfId="1924" builtinId="9" hidden="1"/>
    <cellStyle name="Hipervínculo visitado" xfId="1926" builtinId="9" hidden="1"/>
    <cellStyle name="Hipervínculo visitado" xfId="1928" builtinId="9" hidden="1"/>
    <cellStyle name="Hipervínculo visitado" xfId="1930" builtinId="9" hidden="1"/>
    <cellStyle name="Hipervínculo visitado" xfId="1932" builtinId="9" hidden="1"/>
    <cellStyle name="Hipervínculo visitado" xfId="1934" builtinId="9" hidden="1"/>
    <cellStyle name="Hipervínculo visitado" xfId="1936" builtinId="9" hidden="1"/>
    <cellStyle name="Hipervínculo visitado" xfId="1938" builtinId="9" hidden="1"/>
    <cellStyle name="Hipervínculo visitado" xfId="1940" builtinId="9" hidden="1"/>
    <cellStyle name="Hipervínculo visitado" xfId="1942" builtinId="9" hidden="1"/>
    <cellStyle name="Hipervínculo visitado" xfId="1944" builtinId="9" hidden="1"/>
    <cellStyle name="Hipervínculo visitado" xfId="1946" builtinId="9" hidden="1"/>
    <cellStyle name="Hipervínculo visitado" xfId="1948" builtinId="9" hidden="1"/>
    <cellStyle name="Hipervínculo visitado" xfId="1950" builtinId="9" hidden="1"/>
    <cellStyle name="Hipervínculo visitado" xfId="1952" builtinId="9" hidden="1"/>
    <cellStyle name="Hipervínculo visitado" xfId="1954" builtinId="9" hidden="1"/>
    <cellStyle name="Hipervínculo visitado" xfId="1956" builtinId="9" hidden="1"/>
    <cellStyle name="Hipervínculo visitado" xfId="1958" builtinId="9" hidden="1"/>
    <cellStyle name="Hipervínculo visitado" xfId="1960" builtinId="9" hidden="1"/>
    <cellStyle name="Hipervínculo visitado" xfId="1962" builtinId="9" hidden="1"/>
    <cellStyle name="Hipervínculo visitado" xfId="1964" builtinId="9" hidden="1"/>
    <cellStyle name="Hipervínculo visitado" xfId="1966" builtinId="9" hidden="1"/>
    <cellStyle name="Hipervínculo visitado" xfId="1968" builtinId="9" hidden="1"/>
    <cellStyle name="Hipervínculo visitado" xfId="1970" builtinId="9" hidden="1"/>
    <cellStyle name="Hipervínculo visitado" xfId="1972" builtinId="9" hidden="1"/>
    <cellStyle name="Hipervínculo visitado" xfId="1974" builtinId="9" hidden="1"/>
    <cellStyle name="Hipervínculo visitado" xfId="1976" builtinId="9" hidden="1"/>
    <cellStyle name="Hipervínculo visitado" xfId="1978" builtinId="9" hidden="1"/>
    <cellStyle name="Hipervínculo visitado" xfId="1980" builtinId="9" hidden="1"/>
    <cellStyle name="Hipervínculo visitado" xfId="1982" builtinId="9" hidden="1"/>
    <cellStyle name="Hipervínculo visitado" xfId="1984" builtinId="9" hidden="1"/>
    <cellStyle name="Hipervínculo visitado" xfId="1986" builtinId="9" hidden="1"/>
    <cellStyle name="Hipervínculo visitado" xfId="1988" builtinId="9" hidden="1"/>
    <cellStyle name="Hipervínculo visitado" xfId="1990" builtinId="9" hidden="1"/>
    <cellStyle name="Hipervínculo visitado" xfId="1992" builtinId="9" hidden="1"/>
    <cellStyle name="Hipervínculo visitado" xfId="1994" builtinId="9" hidden="1"/>
    <cellStyle name="Hipervínculo visitado" xfId="1996" builtinId="9" hidden="1"/>
    <cellStyle name="Hipervínculo visitado" xfId="1998" builtinId="9" hidden="1"/>
    <cellStyle name="Hipervínculo visitado" xfId="2000" builtinId="9" hidden="1"/>
    <cellStyle name="Hipervínculo visitado" xfId="2002" builtinId="9" hidden="1"/>
    <cellStyle name="Hipervínculo visitado" xfId="2004" builtinId="9" hidden="1"/>
    <cellStyle name="Hipervínculo visitado" xfId="2006" builtinId="9" hidden="1"/>
    <cellStyle name="Hipervínculo visitado" xfId="2008" builtinId="9" hidden="1"/>
    <cellStyle name="Hipervínculo visitado" xfId="2010" builtinId="9" hidden="1"/>
    <cellStyle name="Hipervínculo visitado" xfId="2012" builtinId="9" hidden="1"/>
    <cellStyle name="Hipervínculo visitado" xfId="2014" builtinId="9" hidden="1"/>
    <cellStyle name="Hipervínculo visitado" xfId="2016" builtinId="9" hidden="1"/>
    <cellStyle name="Hipervínculo visitado" xfId="2018" builtinId="9" hidden="1"/>
    <cellStyle name="Hipervínculo visitado" xfId="2020" builtinId="9" hidden="1"/>
    <cellStyle name="Hipervínculo visitado" xfId="2022" builtinId="9" hidden="1"/>
    <cellStyle name="Hipervínculo visitado" xfId="2024" builtinId="9" hidden="1"/>
    <cellStyle name="Hipervínculo visitado" xfId="2026" builtinId="9" hidden="1"/>
    <cellStyle name="Hipervínculo visitado" xfId="2028" builtinId="9" hidden="1"/>
    <cellStyle name="Hipervínculo visitado" xfId="2030" builtinId="9" hidden="1"/>
    <cellStyle name="Hipervínculo visitado" xfId="2032" builtinId="9" hidden="1"/>
    <cellStyle name="Hipervínculo visitado" xfId="2034" builtinId="9" hidden="1"/>
    <cellStyle name="Hipervínculo visitado" xfId="2036" builtinId="9" hidden="1"/>
    <cellStyle name="Hipervínculo visitado" xfId="2038" builtinId="9" hidden="1"/>
    <cellStyle name="Hipervínculo visitado" xfId="2040" builtinId="9" hidden="1"/>
    <cellStyle name="Hipervínculo visitado" xfId="2042" builtinId="9" hidden="1"/>
    <cellStyle name="Hipervínculo visitado" xfId="2044" builtinId="9" hidden="1"/>
    <cellStyle name="Hipervínculo visitado" xfId="2046" builtinId="9" hidden="1"/>
    <cellStyle name="Hipervínculo visitado" xfId="2048" builtinId="9" hidden="1"/>
    <cellStyle name="Hipervínculo visitado" xfId="2050" builtinId="9" hidden="1"/>
    <cellStyle name="Hipervínculo visitado" xfId="2052" builtinId="9" hidden="1"/>
    <cellStyle name="Hipervínculo visitado" xfId="2054" builtinId="9" hidden="1"/>
    <cellStyle name="Hipervínculo visitado" xfId="2056" builtinId="9" hidden="1"/>
    <cellStyle name="Hipervínculo visitado" xfId="2058" builtinId="9" hidden="1"/>
    <cellStyle name="Hipervínculo visitado" xfId="2060" builtinId="9" hidden="1"/>
    <cellStyle name="Hipervínculo visitado" xfId="2062" builtinId="9" hidden="1"/>
    <cellStyle name="Hipervínculo visitado" xfId="2064" builtinId="9" hidden="1"/>
    <cellStyle name="Hipervínculo visitado" xfId="2066" builtinId="9" hidden="1"/>
    <cellStyle name="Hipervínculo visitado" xfId="2068" builtinId="9" hidden="1"/>
    <cellStyle name="Hipervínculo visitado" xfId="2070" builtinId="9" hidden="1"/>
    <cellStyle name="Hipervínculo visitado" xfId="2072" builtinId="9" hidden="1"/>
    <cellStyle name="Hipervínculo visitado" xfId="2074" builtinId="9" hidden="1"/>
    <cellStyle name="Hipervínculo visitado" xfId="2076" builtinId="9" hidden="1"/>
    <cellStyle name="Hipervínculo visitado" xfId="2078" builtinId="9" hidden="1"/>
    <cellStyle name="Hipervínculo visitado" xfId="2080" builtinId="9" hidden="1"/>
    <cellStyle name="Hipervínculo visitado" xfId="2082" builtinId="9" hidden="1"/>
    <cellStyle name="Hipervínculo visitado" xfId="2084" builtinId="9" hidden="1"/>
    <cellStyle name="Hipervínculo visitado" xfId="2086" builtinId="9" hidden="1"/>
    <cellStyle name="Hipervínculo visitado" xfId="2088" builtinId="9" hidden="1"/>
    <cellStyle name="Hipervínculo visitado" xfId="2090" builtinId="9" hidden="1"/>
    <cellStyle name="Hipervínculo visitado" xfId="2092" builtinId="9" hidden="1"/>
    <cellStyle name="Hipervínculo visitado" xfId="2094" builtinId="9" hidden="1"/>
    <cellStyle name="Hipervínculo visitado" xfId="2096" builtinId="9" hidden="1"/>
    <cellStyle name="Hipervínculo visitado" xfId="2098" builtinId="9" hidden="1"/>
    <cellStyle name="Hipervínculo visitado" xfId="2100" builtinId="9" hidden="1"/>
    <cellStyle name="Hipervínculo visitado" xfId="2102" builtinId="9" hidden="1"/>
    <cellStyle name="Hipervínculo visitado" xfId="2104" builtinId="9" hidden="1"/>
    <cellStyle name="Hipervínculo visitado" xfId="2106" builtinId="9" hidden="1"/>
    <cellStyle name="Hipervínculo visitado" xfId="2108" builtinId="9" hidden="1"/>
    <cellStyle name="Normal" xfId="0" builtinId="0"/>
    <cellStyle name="Normal 2" xfId="718"/>
    <cellStyle name="Porcentual" xfId="1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42"/>
  <sheetViews>
    <sheetView zoomScale="80" zoomScaleNormal="80" zoomScalePageLayoutView="90" workbookViewId="0">
      <selection activeCell="A35" sqref="A35:I36"/>
    </sheetView>
  </sheetViews>
  <sheetFormatPr baseColWidth="10" defaultRowHeight="12.75"/>
  <cols>
    <col min="1" max="1" width="35.125" bestFit="1" customWidth="1"/>
    <col min="2" max="2" width="24.375" customWidth="1"/>
    <col min="3" max="3" width="16.5" bestFit="1" customWidth="1"/>
    <col min="4" max="4" width="15.5" bestFit="1" customWidth="1"/>
    <col min="5" max="5" width="16.5" bestFit="1" customWidth="1"/>
    <col min="6" max="7" width="15.5" bestFit="1" customWidth="1"/>
    <col min="8" max="9" width="16.5" bestFit="1" customWidth="1"/>
  </cols>
  <sheetData>
    <row r="1" spans="1:11">
      <c r="A1" s="24" t="s">
        <v>138</v>
      </c>
      <c r="B1" s="3"/>
      <c r="C1" s="3"/>
      <c r="D1" s="3"/>
      <c r="E1" s="3"/>
      <c r="F1" s="3"/>
      <c r="G1" s="3"/>
      <c r="H1" s="3"/>
      <c r="I1" s="3"/>
    </row>
    <row r="2" spans="1:11">
      <c r="A2" s="16" t="s">
        <v>75</v>
      </c>
      <c r="B2" s="16">
        <v>47400000</v>
      </c>
      <c r="C2" s="3"/>
      <c r="D2" s="3"/>
      <c r="E2" s="3"/>
      <c r="F2" s="3"/>
      <c r="G2" s="3"/>
      <c r="H2" s="3"/>
      <c r="I2" s="3"/>
    </row>
    <row r="3" spans="1:11">
      <c r="A3" s="8"/>
      <c r="B3" s="101" t="s">
        <v>64</v>
      </c>
      <c r="C3" s="102"/>
      <c r="D3" s="101" t="s">
        <v>65</v>
      </c>
      <c r="E3" s="102"/>
      <c r="F3" s="101" t="s">
        <v>69</v>
      </c>
      <c r="G3" s="102"/>
      <c r="H3" s="101" t="s">
        <v>90</v>
      </c>
      <c r="I3" s="102"/>
    </row>
    <row r="4" spans="1:11">
      <c r="A4" s="13" t="s">
        <v>21</v>
      </c>
      <c r="B4" s="18">
        <v>0.48</v>
      </c>
      <c r="C4" s="18">
        <v>0.48</v>
      </c>
      <c r="D4" s="18">
        <v>0.25</v>
      </c>
      <c r="E4" s="33">
        <v>0.25</v>
      </c>
      <c r="F4" s="18">
        <v>0.2</v>
      </c>
      <c r="G4" s="19">
        <v>0.2</v>
      </c>
      <c r="H4" s="18">
        <v>7.0000000000000007E-2</v>
      </c>
      <c r="I4" s="19">
        <v>7.0000000000000007E-2</v>
      </c>
    </row>
    <row r="5" spans="1:11">
      <c r="A5" s="9" t="s">
        <v>53</v>
      </c>
      <c r="B5" s="9">
        <f>$B$2*B4</f>
        <v>22752000</v>
      </c>
      <c r="C5" s="9">
        <f t="shared" ref="C5:I5" si="0">$B$2*C4</f>
        <v>22752000</v>
      </c>
      <c r="D5" s="9">
        <f t="shared" si="0"/>
        <v>11850000</v>
      </c>
      <c r="E5" s="9">
        <f t="shared" si="0"/>
        <v>11850000</v>
      </c>
      <c r="F5" s="9">
        <f t="shared" si="0"/>
        <v>9480000</v>
      </c>
      <c r="G5" s="9">
        <f t="shared" si="0"/>
        <v>9480000</v>
      </c>
      <c r="H5" s="9">
        <f t="shared" si="0"/>
        <v>3318000.0000000005</v>
      </c>
      <c r="I5" s="9">
        <f t="shared" si="0"/>
        <v>3318000.0000000005</v>
      </c>
    </row>
    <row r="6" spans="1:11">
      <c r="A6" s="9" t="s">
        <v>54</v>
      </c>
      <c r="B6" s="14">
        <v>1.1000000000000001</v>
      </c>
      <c r="C6" s="14">
        <v>1.1000000000000001</v>
      </c>
      <c r="D6" s="14">
        <v>1.1000000000000001</v>
      </c>
      <c r="E6" s="14">
        <v>1.1000000000000001</v>
      </c>
      <c r="F6" s="14">
        <v>1.1000000000000001</v>
      </c>
      <c r="G6" s="14">
        <v>1.1000000000000001</v>
      </c>
      <c r="H6" s="14">
        <v>1.1000000000000001</v>
      </c>
      <c r="I6" s="14">
        <v>1.1000000000000001</v>
      </c>
    </row>
    <row r="7" spans="1:11">
      <c r="A7" s="9" t="s">
        <v>55</v>
      </c>
      <c r="B7" s="15">
        <v>0.29699999999999999</v>
      </c>
      <c r="C7" s="15">
        <v>0.29699999999999999</v>
      </c>
      <c r="D7" s="15">
        <v>0.29699999999999999</v>
      </c>
      <c r="E7" s="15">
        <v>0.29699999999999999</v>
      </c>
      <c r="F7" s="15">
        <v>0.29699999999999999</v>
      </c>
      <c r="G7" s="15">
        <v>0.29699999999999999</v>
      </c>
      <c r="H7" s="15">
        <v>0.29699999999999999</v>
      </c>
      <c r="I7" s="15">
        <v>0.29699999999999999</v>
      </c>
    </row>
    <row r="8" spans="1:11">
      <c r="A8" s="9" t="s">
        <v>78</v>
      </c>
      <c r="B8" s="15">
        <f>1</f>
        <v>1</v>
      </c>
      <c r="C8" s="15">
        <v>1</v>
      </c>
      <c r="D8" s="15">
        <f>1</f>
        <v>1</v>
      </c>
      <c r="E8" s="17">
        <v>0.9</v>
      </c>
      <c r="F8" s="15">
        <f>1</f>
        <v>1</v>
      </c>
      <c r="G8" s="17">
        <v>0.85</v>
      </c>
      <c r="H8" s="15">
        <f>1</f>
        <v>1</v>
      </c>
      <c r="I8" s="17">
        <v>0.85</v>
      </c>
    </row>
    <row r="9" spans="1:11">
      <c r="A9" s="9" t="s">
        <v>56</v>
      </c>
      <c r="B9" s="9">
        <f>B5*B6*B7*B8</f>
        <v>7433078.4000000004</v>
      </c>
      <c r="C9" s="9">
        <f t="shared" ref="C9:I9" si="1">C5*C6*C7*C8</f>
        <v>7433078.4000000004</v>
      </c>
      <c r="D9" s="9">
        <f t="shared" si="1"/>
        <v>3871395.0000000005</v>
      </c>
      <c r="E9" s="9">
        <f t="shared" si="1"/>
        <v>3484255.5000000005</v>
      </c>
      <c r="F9" s="9">
        <f t="shared" si="1"/>
        <v>3097116</v>
      </c>
      <c r="G9" s="9">
        <f t="shared" si="1"/>
        <v>2632548.6</v>
      </c>
      <c r="H9" s="9">
        <f t="shared" si="1"/>
        <v>1083990.6000000003</v>
      </c>
      <c r="I9" s="9">
        <f t="shared" si="1"/>
        <v>921392.01000000024</v>
      </c>
    </row>
    <row r="10" spans="1:11">
      <c r="A10" s="13" t="s">
        <v>160</v>
      </c>
      <c r="B10" s="39">
        <v>1.0999999999999999E-2</v>
      </c>
      <c r="C10" s="39">
        <v>1.2E-2</v>
      </c>
      <c r="D10" s="39">
        <v>0.01</v>
      </c>
      <c r="E10" s="39">
        <v>0.01</v>
      </c>
      <c r="F10" s="39">
        <v>8.0000000000000002E-3</v>
      </c>
      <c r="G10" s="39">
        <v>1.4999999999999999E-2</v>
      </c>
      <c r="H10" s="39">
        <v>8.0000000000000002E-3</v>
      </c>
      <c r="I10" s="39">
        <v>1.4999999999999999E-2</v>
      </c>
    </row>
    <row r="11" spans="1:11">
      <c r="A11" s="77" t="s">
        <v>161</v>
      </c>
      <c r="B11" s="9">
        <f>B10*60</f>
        <v>0.65999999999999992</v>
      </c>
      <c r="C11" s="9">
        <f t="shared" ref="C11:I11" si="2">C10*60</f>
        <v>0.72</v>
      </c>
      <c r="D11" s="9">
        <f t="shared" si="2"/>
        <v>0.6</v>
      </c>
      <c r="E11" s="9">
        <f t="shared" si="2"/>
        <v>0.6</v>
      </c>
      <c r="F11" s="9">
        <f t="shared" si="2"/>
        <v>0.48</v>
      </c>
      <c r="G11" s="9">
        <f t="shared" si="2"/>
        <v>0.89999999999999991</v>
      </c>
      <c r="H11" s="9">
        <f t="shared" si="2"/>
        <v>0.48</v>
      </c>
      <c r="I11" s="9">
        <f t="shared" si="2"/>
        <v>0.89999999999999991</v>
      </c>
    </row>
    <row r="12" spans="1:11">
      <c r="A12" s="13" t="s">
        <v>77</v>
      </c>
      <c r="B12" s="13">
        <v>9</v>
      </c>
      <c r="C12" s="13">
        <v>12</v>
      </c>
      <c r="D12" s="13">
        <v>9</v>
      </c>
      <c r="E12" s="13">
        <v>12</v>
      </c>
      <c r="F12" s="13">
        <v>9</v>
      </c>
      <c r="G12" s="13">
        <v>12</v>
      </c>
      <c r="H12" s="13">
        <v>9</v>
      </c>
      <c r="I12" s="13">
        <v>12</v>
      </c>
    </row>
    <row r="13" spans="1:11">
      <c r="A13" s="9" t="s">
        <v>76</v>
      </c>
      <c r="B13" s="9">
        <f>B11*B12</f>
        <v>5.9399999999999995</v>
      </c>
      <c r="C13" s="9">
        <f t="shared" ref="C13:I13" si="3">C11*C12</f>
        <v>8.64</v>
      </c>
      <c r="D13" s="9">
        <f t="shared" si="3"/>
        <v>5.3999999999999995</v>
      </c>
      <c r="E13" s="9">
        <f t="shared" si="3"/>
        <v>7.1999999999999993</v>
      </c>
      <c r="F13" s="9">
        <f t="shared" si="3"/>
        <v>4.32</v>
      </c>
      <c r="G13" s="9">
        <f t="shared" si="3"/>
        <v>10.799999999999999</v>
      </c>
      <c r="H13" s="9">
        <f t="shared" si="3"/>
        <v>4.32</v>
      </c>
      <c r="I13" s="9">
        <f t="shared" si="3"/>
        <v>10.799999999999999</v>
      </c>
    </row>
    <row r="14" spans="1:11">
      <c r="A14" s="20" t="s">
        <v>159</v>
      </c>
      <c r="B14" s="20">
        <f>B13*250</f>
        <v>1484.9999999999998</v>
      </c>
      <c r="C14" s="20">
        <f t="shared" ref="C14:I14" si="4">C13*250</f>
        <v>2160</v>
      </c>
      <c r="D14" s="20">
        <f t="shared" si="4"/>
        <v>1349.9999999999998</v>
      </c>
      <c r="E14" s="20">
        <f t="shared" si="4"/>
        <v>1799.9999999999998</v>
      </c>
      <c r="F14" s="20">
        <f t="shared" si="4"/>
        <v>1080</v>
      </c>
      <c r="G14" s="20">
        <f t="shared" si="4"/>
        <v>2699.9999999999995</v>
      </c>
      <c r="H14" s="20">
        <f t="shared" si="4"/>
        <v>1080</v>
      </c>
      <c r="I14" s="20">
        <f t="shared" si="4"/>
        <v>2699.9999999999995</v>
      </c>
      <c r="K14" s="36">
        <v>0.5</v>
      </c>
    </row>
    <row r="15" spans="1:11">
      <c r="A15" s="20" t="s">
        <v>162</v>
      </c>
      <c r="B15" s="20">
        <f t="shared" ref="B15:I15" si="5">B9*B14</f>
        <v>11038121423.999998</v>
      </c>
      <c r="C15" s="20">
        <f t="shared" si="5"/>
        <v>16055449344</v>
      </c>
      <c r="D15" s="20">
        <f t="shared" si="5"/>
        <v>5226383250</v>
      </c>
      <c r="E15" s="20">
        <f t="shared" si="5"/>
        <v>6271659900</v>
      </c>
      <c r="F15" s="20">
        <f t="shared" si="5"/>
        <v>3344885280</v>
      </c>
      <c r="G15" s="20">
        <f t="shared" si="5"/>
        <v>7107881219.999999</v>
      </c>
      <c r="H15" s="20">
        <f t="shared" si="5"/>
        <v>1170709848.0000002</v>
      </c>
      <c r="I15" s="20">
        <f t="shared" si="5"/>
        <v>2487758427</v>
      </c>
    </row>
    <row r="16" spans="1:11">
      <c r="A16" s="75" t="s">
        <v>162</v>
      </c>
      <c r="B16" s="75">
        <v>11038121423.999998</v>
      </c>
      <c r="C16" s="75">
        <v>16055449344</v>
      </c>
      <c r="D16" s="75">
        <v>5226383250</v>
      </c>
      <c r="E16" s="75">
        <v>6271659900</v>
      </c>
      <c r="F16" s="75">
        <v>3344885280</v>
      </c>
      <c r="G16" s="75">
        <v>7107881219.999999</v>
      </c>
      <c r="H16" s="75">
        <v>1170709848.0000002</v>
      </c>
      <c r="I16" s="75">
        <v>2487758427</v>
      </c>
    </row>
    <row r="17" spans="1:9">
      <c r="A17" s="75" t="s">
        <v>193</v>
      </c>
      <c r="B17" s="75">
        <f>B15-B16</f>
        <v>0</v>
      </c>
      <c r="C17" s="75">
        <f t="shared" ref="C17:I17" si="6">C15-C16</f>
        <v>0</v>
      </c>
      <c r="D17" s="75">
        <f t="shared" si="6"/>
        <v>0</v>
      </c>
      <c r="E17" s="75">
        <f t="shared" si="6"/>
        <v>0</v>
      </c>
      <c r="F17" s="75">
        <f t="shared" si="6"/>
        <v>0</v>
      </c>
      <c r="G17" s="75">
        <f t="shared" si="6"/>
        <v>0</v>
      </c>
      <c r="H17" s="75">
        <f t="shared" si="6"/>
        <v>0</v>
      </c>
      <c r="I17" s="75">
        <f t="shared" si="6"/>
        <v>0</v>
      </c>
    </row>
    <row r="19" spans="1:9">
      <c r="A19" s="4"/>
      <c r="B19" s="4"/>
      <c r="C19" s="4"/>
      <c r="D19" s="4"/>
      <c r="E19" s="4"/>
      <c r="F19" s="4"/>
      <c r="G19" s="4"/>
      <c r="H19" s="4"/>
      <c r="I19" s="4"/>
    </row>
    <row r="20" spans="1:9">
      <c r="A20" s="24" t="s">
        <v>139</v>
      </c>
      <c r="B20" s="3"/>
      <c r="C20" s="3"/>
      <c r="D20" s="3"/>
      <c r="E20" s="3"/>
      <c r="F20" s="3"/>
      <c r="G20" s="3"/>
      <c r="H20" s="3"/>
      <c r="I20" s="3"/>
    </row>
    <row r="21" spans="1:9">
      <c r="A21" s="16" t="s">
        <v>75</v>
      </c>
      <c r="B21" s="16">
        <v>47400000</v>
      </c>
      <c r="C21" s="3"/>
      <c r="D21" s="3"/>
      <c r="E21" s="3"/>
      <c r="F21" s="3"/>
      <c r="G21" s="3"/>
      <c r="H21" s="3"/>
      <c r="I21" s="3"/>
    </row>
    <row r="22" spans="1:9">
      <c r="A22" s="8"/>
      <c r="B22" s="101" t="s">
        <v>64</v>
      </c>
      <c r="C22" s="102"/>
      <c r="D22" s="101" t="s">
        <v>65</v>
      </c>
      <c r="E22" s="102"/>
      <c r="F22" s="101" t="s">
        <v>69</v>
      </c>
      <c r="G22" s="102"/>
      <c r="H22" s="101" t="s">
        <v>90</v>
      </c>
      <c r="I22" s="102"/>
    </row>
    <row r="23" spans="1:9">
      <c r="A23" s="13" t="s">
        <v>21</v>
      </c>
      <c r="B23" s="18">
        <v>0.48</v>
      </c>
      <c r="C23" s="18">
        <v>0.48</v>
      </c>
      <c r="D23" s="18">
        <v>0.25</v>
      </c>
      <c r="E23" s="33">
        <v>0.25</v>
      </c>
      <c r="F23" s="18">
        <v>0.2</v>
      </c>
      <c r="G23" s="19">
        <v>0.2</v>
      </c>
      <c r="H23" s="18">
        <v>7.0000000000000007E-2</v>
      </c>
      <c r="I23" s="19">
        <v>7.0000000000000007E-2</v>
      </c>
    </row>
    <row r="24" spans="1:9">
      <c r="A24" s="9" t="s">
        <v>53</v>
      </c>
      <c r="B24" s="9">
        <f>$B$21*B23</f>
        <v>22752000</v>
      </c>
      <c r="C24" s="9">
        <f t="shared" ref="C24:I24" si="7">$B$21*C23</f>
        <v>22752000</v>
      </c>
      <c r="D24" s="9">
        <f t="shared" si="7"/>
        <v>11850000</v>
      </c>
      <c r="E24" s="9">
        <f t="shared" si="7"/>
        <v>11850000</v>
      </c>
      <c r="F24" s="9">
        <f t="shared" si="7"/>
        <v>9480000</v>
      </c>
      <c r="G24" s="9">
        <f t="shared" si="7"/>
        <v>9480000</v>
      </c>
      <c r="H24" s="9">
        <f t="shared" si="7"/>
        <v>3318000.0000000005</v>
      </c>
      <c r="I24" s="9">
        <f t="shared" si="7"/>
        <v>3318000.0000000005</v>
      </c>
    </row>
    <row r="25" spans="1:9">
      <c r="A25" s="9" t="s">
        <v>54</v>
      </c>
      <c r="B25" s="14">
        <v>1.1000000000000001</v>
      </c>
      <c r="C25" s="14">
        <v>1.1000000000000001</v>
      </c>
      <c r="D25" s="14">
        <v>1.1000000000000001</v>
      </c>
      <c r="E25" s="14">
        <v>1.1000000000000001</v>
      </c>
      <c r="F25" s="14">
        <v>1.1000000000000001</v>
      </c>
      <c r="G25" s="14">
        <v>1.1000000000000001</v>
      </c>
      <c r="H25" s="14">
        <v>1.1000000000000001</v>
      </c>
      <c r="I25" s="14">
        <v>1.1000000000000001</v>
      </c>
    </row>
    <row r="26" spans="1:9">
      <c r="A26" s="9" t="s">
        <v>55</v>
      </c>
      <c r="B26" s="15">
        <v>0.29699999999999999</v>
      </c>
      <c r="C26" s="15">
        <v>0.29699999999999999</v>
      </c>
      <c r="D26" s="15">
        <v>0.29699999999999999</v>
      </c>
      <c r="E26" s="15">
        <v>0.29699999999999999</v>
      </c>
      <c r="F26" s="15">
        <v>0.29699999999999999</v>
      </c>
      <c r="G26" s="15">
        <v>0.29699999999999999</v>
      </c>
      <c r="H26" s="15">
        <v>0.29699999999999999</v>
      </c>
      <c r="I26" s="15">
        <v>0.29699999999999999</v>
      </c>
    </row>
    <row r="27" spans="1:9">
      <c r="A27" s="9" t="s">
        <v>78</v>
      </c>
      <c r="B27" s="15">
        <f>1</f>
        <v>1</v>
      </c>
      <c r="C27" s="15">
        <f>1</f>
        <v>1</v>
      </c>
      <c r="D27" s="15">
        <f>1</f>
        <v>1</v>
      </c>
      <c r="E27" s="17">
        <v>0.9</v>
      </c>
      <c r="F27" s="15">
        <v>0.95</v>
      </c>
      <c r="G27" s="17">
        <v>1.05</v>
      </c>
      <c r="H27" s="15">
        <v>0.95</v>
      </c>
      <c r="I27" s="17">
        <v>1.05</v>
      </c>
    </row>
    <row r="28" spans="1:9">
      <c r="A28" s="9" t="s">
        <v>56</v>
      </c>
      <c r="B28" s="9">
        <f>B24*B25*B26*B27</f>
        <v>7433078.4000000004</v>
      </c>
      <c r="C28" s="9">
        <f t="shared" ref="C28:I28" si="8">C24*C25*C26*C27</f>
        <v>7433078.4000000004</v>
      </c>
      <c r="D28" s="9">
        <f t="shared" si="8"/>
        <v>3871395.0000000005</v>
      </c>
      <c r="E28" s="9">
        <f t="shared" si="8"/>
        <v>3484255.5000000005</v>
      </c>
      <c r="F28" s="9">
        <f t="shared" si="8"/>
        <v>2942260.1999999997</v>
      </c>
      <c r="G28" s="9">
        <f t="shared" si="8"/>
        <v>3251971.8000000003</v>
      </c>
      <c r="H28" s="9">
        <f t="shared" si="8"/>
        <v>1029791.0700000003</v>
      </c>
      <c r="I28" s="9">
        <f t="shared" si="8"/>
        <v>1138190.1300000004</v>
      </c>
    </row>
    <row r="29" spans="1:9">
      <c r="A29" s="13" t="s">
        <v>160</v>
      </c>
      <c r="B29" s="13">
        <v>1.2800000000000001E-2</v>
      </c>
      <c r="C29" s="13">
        <v>1.2E-2</v>
      </c>
      <c r="D29" s="13">
        <v>9.4000000000000004E-3</v>
      </c>
      <c r="E29" s="13">
        <v>1.09E-2</v>
      </c>
      <c r="F29" s="13">
        <v>2E-3</v>
      </c>
      <c r="G29" s="13">
        <v>3.0000000000000001E-3</v>
      </c>
      <c r="H29" s="13">
        <v>2E-3</v>
      </c>
      <c r="I29" s="13">
        <v>3.0000000000000001E-3</v>
      </c>
    </row>
    <row r="30" spans="1:9">
      <c r="A30" s="77" t="s">
        <v>161</v>
      </c>
      <c r="B30" s="9">
        <f>B29*60</f>
        <v>0.76800000000000002</v>
      </c>
      <c r="C30" s="9">
        <f t="shared" ref="C30" si="9">C29*60</f>
        <v>0.72</v>
      </c>
      <c r="D30" s="9">
        <f t="shared" ref="D30" si="10">D29*60</f>
        <v>0.56400000000000006</v>
      </c>
      <c r="E30" s="9">
        <f t="shared" ref="E30" si="11">E29*60</f>
        <v>0.65400000000000003</v>
      </c>
      <c r="F30" s="9">
        <f t="shared" ref="F30" si="12">F29*60</f>
        <v>0.12</v>
      </c>
      <c r="G30" s="9">
        <f t="shared" ref="G30" si="13">G29*60</f>
        <v>0.18</v>
      </c>
      <c r="H30" s="9">
        <f t="shared" ref="H30" si="14">H29*60</f>
        <v>0.12</v>
      </c>
      <c r="I30" s="9">
        <f t="shared" ref="I30" si="15">I29*60</f>
        <v>0.18</v>
      </c>
    </row>
    <row r="31" spans="1:9">
      <c r="A31" s="13" t="s">
        <v>77</v>
      </c>
      <c r="B31" s="13">
        <v>9</v>
      </c>
      <c r="C31" s="13">
        <v>12</v>
      </c>
      <c r="D31" s="13">
        <v>9</v>
      </c>
      <c r="E31" s="13">
        <v>12</v>
      </c>
      <c r="F31" s="13">
        <v>9</v>
      </c>
      <c r="G31" s="13">
        <v>12</v>
      </c>
      <c r="H31" s="13">
        <v>9</v>
      </c>
      <c r="I31" s="13">
        <v>12</v>
      </c>
    </row>
    <row r="32" spans="1:9">
      <c r="A32" s="9" t="s">
        <v>76</v>
      </c>
      <c r="B32" s="9">
        <f>B30*B31</f>
        <v>6.9119999999999999</v>
      </c>
      <c r="C32" s="9">
        <f t="shared" ref="C32:I32" si="16">C30*C31</f>
        <v>8.64</v>
      </c>
      <c r="D32" s="9">
        <f t="shared" si="16"/>
        <v>5.0760000000000005</v>
      </c>
      <c r="E32" s="9">
        <f t="shared" si="16"/>
        <v>7.8480000000000008</v>
      </c>
      <c r="F32" s="9">
        <f t="shared" si="16"/>
        <v>1.08</v>
      </c>
      <c r="G32" s="9">
        <f t="shared" si="16"/>
        <v>2.16</v>
      </c>
      <c r="H32" s="9">
        <f t="shared" si="16"/>
        <v>1.08</v>
      </c>
      <c r="I32" s="9">
        <f t="shared" si="16"/>
        <v>2.16</v>
      </c>
    </row>
    <row r="33" spans="1:11">
      <c r="A33" s="20" t="s">
        <v>159</v>
      </c>
      <c r="B33" s="20">
        <f>B32*250</f>
        <v>1728</v>
      </c>
      <c r="C33" s="20">
        <f t="shared" ref="C33" si="17">C32*250</f>
        <v>2160</v>
      </c>
      <c r="D33" s="20">
        <f t="shared" ref="D33" si="18">D32*250</f>
        <v>1269.0000000000002</v>
      </c>
      <c r="E33" s="20">
        <f t="shared" ref="E33" si="19">E32*250</f>
        <v>1962.0000000000002</v>
      </c>
      <c r="F33" s="20">
        <f t="shared" ref="F33" si="20">F32*250</f>
        <v>270</v>
      </c>
      <c r="G33" s="20">
        <f t="shared" ref="G33" si="21">G32*250</f>
        <v>540</v>
      </c>
      <c r="H33" s="20">
        <f t="shared" ref="H33" si="22">H32*250</f>
        <v>270</v>
      </c>
      <c r="I33" s="20">
        <f t="shared" ref="I33" si="23">I32*250</f>
        <v>540</v>
      </c>
      <c r="K33" s="36">
        <v>0.5</v>
      </c>
    </row>
    <row r="34" spans="1:11">
      <c r="A34" s="20" t="s">
        <v>162</v>
      </c>
      <c r="B34" s="20">
        <f t="shared" ref="B34:I34" si="24">B28*B33</f>
        <v>12844359475.200001</v>
      </c>
      <c r="C34" s="20">
        <f t="shared" si="24"/>
        <v>16055449344</v>
      </c>
      <c r="D34" s="20">
        <f t="shared" si="24"/>
        <v>4912800255.0000019</v>
      </c>
      <c r="E34" s="20">
        <f t="shared" si="24"/>
        <v>6836109291.0000019</v>
      </c>
      <c r="F34" s="20">
        <f t="shared" si="24"/>
        <v>794410253.99999988</v>
      </c>
      <c r="G34" s="20">
        <f t="shared" si="24"/>
        <v>1756064772.0000002</v>
      </c>
      <c r="H34" s="20">
        <f t="shared" si="24"/>
        <v>278043588.9000001</v>
      </c>
      <c r="I34" s="20">
        <f t="shared" si="24"/>
        <v>614622670.20000017</v>
      </c>
    </row>
    <row r="35" spans="1:11">
      <c r="A35" s="75" t="s">
        <v>162</v>
      </c>
      <c r="B35" s="75">
        <v>12844359475.200001</v>
      </c>
      <c r="C35" s="75">
        <v>16055449344</v>
      </c>
      <c r="D35" s="75">
        <v>4912800255.0000019</v>
      </c>
      <c r="E35" s="75">
        <v>6836109291.0000019</v>
      </c>
      <c r="F35" s="75">
        <v>2780435888.9999995</v>
      </c>
      <c r="G35" s="75">
        <v>3804807006.0000005</v>
      </c>
      <c r="H35" s="75">
        <v>973152561.15000033</v>
      </c>
      <c r="I35" s="75">
        <v>1331682452.1000004</v>
      </c>
    </row>
    <row r="36" spans="1:11">
      <c r="A36" s="75" t="s">
        <v>193</v>
      </c>
      <c r="B36" s="75">
        <f>B34-B35</f>
        <v>0</v>
      </c>
      <c r="C36" s="75">
        <f t="shared" ref="C36" si="25">C34-C35</f>
        <v>0</v>
      </c>
      <c r="D36" s="75">
        <f t="shared" ref="D36" si="26">D34-D35</f>
        <v>0</v>
      </c>
      <c r="E36" s="75">
        <f t="shared" ref="E36" si="27">E34-E35</f>
        <v>0</v>
      </c>
      <c r="F36" s="75">
        <f t="shared" ref="F36" si="28">F34-F35</f>
        <v>-1986025634.9999995</v>
      </c>
      <c r="G36" s="75">
        <f t="shared" ref="G36" si="29">G34-G35</f>
        <v>-2048742234.0000002</v>
      </c>
      <c r="H36" s="75">
        <f t="shared" ref="H36" si="30">H34-H35</f>
        <v>-695108972.25000024</v>
      </c>
      <c r="I36" s="75">
        <f t="shared" ref="I36" si="31">I34-I35</f>
        <v>-717059781.90000021</v>
      </c>
      <c r="J36" s="36" t="s">
        <v>124</v>
      </c>
      <c r="K36" s="36">
        <f>K14+K33</f>
        <v>1</v>
      </c>
    </row>
    <row r="41" spans="1:11">
      <c r="F41" s="78"/>
      <c r="H41" s="78"/>
    </row>
    <row r="42" spans="1:11">
      <c r="F42" s="78"/>
    </row>
  </sheetData>
  <mergeCells count="8">
    <mergeCell ref="B3:C3"/>
    <mergeCell ref="D3:E3"/>
    <mergeCell ref="F3:G3"/>
    <mergeCell ref="H3:I3"/>
    <mergeCell ref="B22:C22"/>
    <mergeCell ref="D22:E22"/>
    <mergeCell ref="F22:G22"/>
    <mergeCell ref="H22:I22"/>
  </mergeCell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N86"/>
  <sheetViews>
    <sheetView topLeftCell="A51" zoomScale="85" zoomScaleNormal="85" zoomScalePageLayoutView="85" workbookViewId="0">
      <selection activeCell="B84" sqref="B84"/>
    </sheetView>
  </sheetViews>
  <sheetFormatPr baseColWidth="10" defaultRowHeight="12.75"/>
  <cols>
    <col min="1" max="1" width="34.875" customWidth="1"/>
    <col min="2" max="2" width="24" customWidth="1"/>
    <col min="3" max="3" width="18.375" bestFit="1" customWidth="1"/>
    <col min="4" max="4" width="17.125" bestFit="1" customWidth="1"/>
    <col min="5" max="5" width="20.875" customWidth="1"/>
    <col min="6" max="7" width="17.125" bestFit="1" customWidth="1"/>
    <col min="8" max="9" width="16" bestFit="1" customWidth="1"/>
    <col min="10" max="10" width="9.875" bestFit="1" customWidth="1"/>
  </cols>
  <sheetData>
    <row r="1" spans="1:14">
      <c r="A1" s="24" t="s">
        <v>40</v>
      </c>
      <c r="B1" s="2"/>
      <c r="C1" s="2"/>
      <c r="D1" s="2"/>
      <c r="E1" s="2"/>
      <c r="F1" s="2"/>
      <c r="G1" s="2"/>
      <c r="H1" s="2"/>
      <c r="L1" s="36" t="s">
        <v>125</v>
      </c>
      <c r="M1" s="36" t="s">
        <v>194</v>
      </c>
      <c r="N1" s="36" t="s">
        <v>195</v>
      </c>
    </row>
    <row r="2" spans="1:14">
      <c r="A2" s="45"/>
      <c r="B2" s="83"/>
      <c r="C2" s="104" t="s">
        <v>64</v>
      </c>
      <c r="D2" s="104"/>
      <c r="E2" s="104" t="s">
        <v>65</v>
      </c>
      <c r="F2" s="104"/>
      <c r="G2" s="104" t="s">
        <v>69</v>
      </c>
      <c r="H2" s="104"/>
      <c r="I2" s="104" t="s">
        <v>70</v>
      </c>
      <c r="J2" s="104"/>
    </row>
    <row r="3" spans="1:14">
      <c r="A3" s="45"/>
      <c r="B3" s="83"/>
      <c r="C3" s="84" t="s">
        <v>32</v>
      </c>
      <c r="D3" s="84" t="s">
        <v>33</v>
      </c>
      <c r="E3" s="84" t="s">
        <v>34</v>
      </c>
      <c r="F3" s="84" t="s">
        <v>35</v>
      </c>
      <c r="G3" s="84" t="s">
        <v>32</v>
      </c>
      <c r="H3" s="84" t="s">
        <v>33</v>
      </c>
      <c r="I3" s="84" t="s">
        <v>4</v>
      </c>
      <c r="J3" s="84" t="s">
        <v>5</v>
      </c>
    </row>
    <row r="4" spans="1:14">
      <c r="A4" s="39" t="s">
        <v>29</v>
      </c>
      <c r="B4" s="39" t="s">
        <v>42</v>
      </c>
      <c r="C4" s="87">
        <f>10*LOG10(0.125)+30</f>
        <v>20.969100130080562</v>
      </c>
      <c r="D4" s="87">
        <f t="shared" ref="D4:I4" si="0">10*LOG10(0.125)+30</f>
        <v>20.969100130080562</v>
      </c>
      <c r="E4" s="87">
        <f t="shared" si="0"/>
        <v>20.969100130080562</v>
      </c>
      <c r="F4" s="87">
        <f t="shared" si="0"/>
        <v>20.969100130080562</v>
      </c>
      <c r="G4" s="87">
        <f t="shared" si="0"/>
        <v>20.969100130080562</v>
      </c>
      <c r="H4" s="87">
        <f t="shared" si="0"/>
        <v>20.969100130080562</v>
      </c>
      <c r="I4" s="87">
        <f t="shared" si="0"/>
        <v>20.969100130080562</v>
      </c>
      <c r="J4" s="87">
        <f>10*LOG10(0.125)+30</f>
        <v>20.969100130080562</v>
      </c>
    </row>
    <row r="5" spans="1:14">
      <c r="A5" s="39"/>
      <c r="B5" s="39" t="s">
        <v>43</v>
      </c>
      <c r="C5" s="39">
        <v>-3</v>
      </c>
      <c r="D5" s="39">
        <v>-3</v>
      </c>
      <c r="E5" s="39">
        <v>-3</v>
      </c>
      <c r="F5" s="39">
        <v>-3</v>
      </c>
      <c r="G5" s="39">
        <v>-3</v>
      </c>
      <c r="H5" s="39">
        <v>-3</v>
      </c>
      <c r="I5" s="39">
        <v>-3</v>
      </c>
      <c r="J5" s="39">
        <v>-3</v>
      </c>
    </row>
    <row r="6" spans="1:14">
      <c r="A6" s="39"/>
      <c r="B6" s="39" t="s">
        <v>44</v>
      </c>
      <c r="C6" s="39">
        <v>1.5</v>
      </c>
      <c r="D6" s="39">
        <v>1.5</v>
      </c>
      <c r="E6" s="39">
        <v>1.5</v>
      </c>
      <c r="F6" s="39">
        <v>1.5</v>
      </c>
      <c r="G6" s="39">
        <v>1.5</v>
      </c>
      <c r="H6" s="39">
        <v>1.5</v>
      </c>
      <c r="I6" s="39">
        <v>1.5</v>
      </c>
      <c r="J6" s="39">
        <v>1.5</v>
      </c>
    </row>
    <row r="7" spans="1:14">
      <c r="A7" s="39" t="s">
        <v>30</v>
      </c>
      <c r="B7" s="39" t="s">
        <v>45</v>
      </c>
      <c r="C7" s="39">
        <v>-15</v>
      </c>
      <c r="D7" s="39">
        <v>-15</v>
      </c>
      <c r="E7" s="39">
        <v>-13</v>
      </c>
      <c r="F7" s="39">
        <v>-13</v>
      </c>
      <c r="G7" s="39">
        <v>-11</v>
      </c>
      <c r="H7" s="39">
        <v>-11</v>
      </c>
      <c r="I7" s="39">
        <v>-9</v>
      </c>
      <c r="J7" s="39">
        <v>-9</v>
      </c>
    </row>
    <row r="8" spans="1:14">
      <c r="A8" s="39"/>
      <c r="B8" s="39" t="s">
        <v>46</v>
      </c>
      <c r="C8" s="39">
        <v>-12</v>
      </c>
      <c r="D8" s="39">
        <v>-12</v>
      </c>
      <c r="E8" s="39">
        <v>-9</v>
      </c>
      <c r="F8" s="39">
        <v>-9</v>
      </c>
      <c r="G8" s="39">
        <v>-6</v>
      </c>
      <c r="H8" s="39">
        <v>-6</v>
      </c>
      <c r="I8" s="39">
        <v>0</v>
      </c>
      <c r="J8" s="39">
        <v>0</v>
      </c>
    </row>
    <row r="9" spans="1:14">
      <c r="A9" s="39" t="s">
        <v>31</v>
      </c>
      <c r="B9" s="39" t="s">
        <v>47</v>
      </c>
      <c r="C9" s="39">
        <v>-3</v>
      </c>
      <c r="D9" s="39">
        <v>-3</v>
      </c>
      <c r="E9" s="39">
        <v>-3</v>
      </c>
      <c r="F9" s="39">
        <v>-3</v>
      </c>
      <c r="G9" s="39">
        <v>-3</v>
      </c>
      <c r="H9" s="39">
        <v>-3</v>
      </c>
      <c r="I9" s="39">
        <v>-3</v>
      </c>
      <c r="J9" s="39">
        <v>-3</v>
      </c>
    </row>
    <row r="10" spans="1:14">
      <c r="A10" s="39"/>
      <c r="B10" s="39" t="s">
        <v>44</v>
      </c>
      <c r="C10" s="39">
        <v>21</v>
      </c>
      <c r="D10" s="39">
        <v>21</v>
      </c>
      <c r="E10" s="39">
        <v>21</v>
      </c>
      <c r="F10" s="39">
        <v>21</v>
      </c>
      <c r="G10" s="39">
        <v>21</v>
      </c>
      <c r="H10" s="39">
        <v>21</v>
      </c>
      <c r="I10" s="39">
        <v>21</v>
      </c>
      <c r="J10" s="39">
        <v>21</v>
      </c>
    </row>
    <row r="11" spans="1:14">
      <c r="A11" s="39"/>
      <c r="B11" s="39" t="s">
        <v>48</v>
      </c>
      <c r="C11" s="39">
        <v>118</v>
      </c>
      <c r="D11" s="39">
        <v>120</v>
      </c>
      <c r="E11" s="39">
        <v>118</v>
      </c>
      <c r="F11" s="39">
        <v>120</v>
      </c>
      <c r="G11" s="39">
        <v>118</v>
      </c>
      <c r="H11" s="39">
        <v>120</v>
      </c>
      <c r="I11" s="39">
        <v>118</v>
      </c>
      <c r="J11" s="39">
        <v>120</v>
      </c>
    </row>
    <row r="12" spans="1:14">
      <c r="A12" s="39"/>
      <c r="B12" s="43" t="s">
        <v>1</v>
      </c>
      <c r="C12" s="43">
        <v>-6</v>
      </c>
      <c r="D12" s="43">
        <v>-6</v>
      </c>
      <c r="E12" s="43">
        <v>-6</v>
      </c>
      <c r="F12" s="43">
        <f>E12</f>
        <v>-6</v>
      </c>
      <c r="G12" s="43">
        <v>-6</v>
      </c>
      <c r="H12" s="43">
        <f>G12</f>
        <v>-6</v>
      </c>
      <c r="I12" s="43">
        <v>-6</v>
      </c>
      <c r="J12" s="43">
        <v>-6</v>
      </c>
    </row>
    <row r="13" spans="1:14">
      <c r="A13" s="43" t="s">
        <v>2</v>
      </c>
      <c r="B13" s="43"/>
      <c r="C13" s="88">
        <f>SUM(C4:C12)</f>
        <v>122.46910013008056</v>
      </c>
      <c r="D13" s="88">
        <f t="shared" ref="D13:H13" si="1">SUM(D4:D12)</f>
        <v>124.46910013008056</v>
      </c>
      <c r="E13" s="88">
        <f t="shared" si="1"/>
        <v>127.46910013008056</v>
      </c>
      <c r="F13" s="88">
        <f t="shared" si="1"/>
        <v>129.46910013008056</v>
      </c>
      <c r="G13" s="88">
        <f t="shared" si="1"/>
        <v>132.46910013008056</v>
      </c>
      <c r="H13" s="88">
        <f t="shared" si="1"/>
        <v>134.46910013008056</v>
      </c>
      <c r="I13" s="88">
        <f t="shared" ref="I13:J13" si="2">SUM(I4:I12)</f>
        <v>140.46910013008056</v>
      </c>
      <c r="J13" s="88">
        <f t="shared" si="2"/>
        <v>142.46910013008056</v>
      </c>
      <c r="L13" s="36">
        <v>0.25</v>
      </c>
      <c r="M13" s="36">
        <v>1</v>
      </c>
      <c r="N13" s="36">
        <f>L13*M13</f>
        <v>0.25</v>
      </c>
    </row>
    <row r="14" spans="1:14">
      <c r="D14" s="1"/>
      <c r="F14" s="1"/>
    </row>
    <row r="15" spans="1:14" ht="25.5">
      <c r="A15" s="79"/>
      <c r="B15" s="80" t="s">
        <v>64</v>
      </c>
      <c r="C15" s="80" t="s">
        <v>65</v>
      </c>
      <c r="D15" s="81" t="s">
        <v>67</v>
      </c>
      <c r="E15" s="89" t="s">
        <v>73</v>
      </c>
    </row>
    <row r="16" spans="1:14">
      <c r="A16" s="39" t="s">
        <v>163</v>
      </c>
      <c r="B16" s="39">
        <v>30</v>
      </c>
      <c r="C16" s="39">
        <v>25</v>
      </c>
      <c r="D16" s="39">
        <v>30</v>
      </c>
      <c r="E16" s="39">
        <v>40</v>
      </c>
    </row>
    <row r="17" spans="1:14">
      <c r="A17" s="39" t="s">
        <v>164</v>
      </c>
      <c r="B17" s="39">
        <v>1.72</v>
      </c>
      <c r="C17" s="39">
        <v>1.72</v>
      </c>
      <c r="D17" s="39">
        <v>1.72</v>
      </c>
      <c r="E17" s="39">
        <v>1.72</v>
      </c>
    </row>
    <row r="18" spans="1:14">
      <c r="A18" s="39" t="s">
        <v>165</v>
      </c>
      <c r="B18" s="39">
        <v>900</v>
      </c>
      <c r="C18" s="39">
        <v>900</v>
      </c>
      <c r="D18" s="86">
        <v>900</v>
      </c>
      <c r="E18" s="86">
        <v>900</v>
      </c>
    </row>
    <row r="19" spans="1:14">
      <c r="A19" s="45" t="s">
        <v>166</v>
      </c>
      <c r="B19" s="50" t="s">
        <v>167</v>
      </c>
      <c r="C19" s="50" t="s">
        <v>168</v>
      </c>
      <c r="D19" s="50" t="s">
        <v>168</v>
      </c>
      <c r="E19" s="52" t="s">
        <v>18</v>
      </c>
    </row>
    <row r="20" spans="1:14">
      <c r="A20" s="45" t="s">
        <v>169</v>
      </c>
      <c r="B20" s="45">
        <v>69.55</v>
      </c>
      <c r="C20" s="45">
        <v>69.55</v>
      </c>
      <c r="D20" s="45">
        <v>69.55</v>
      </c>
      <c r="E20" s="45">
        <v>69.55</v>
      </c>
    </row>
    <row r="21" spans="1:14">
      <c r="A21" s="45" t="s">
        <v>170</v>
      </c>
      <c r="B21" s="45">
        <v>26.16</v>
      </c>
      <c r="C21" s="45">
        <v>26.16</v>
      </c>
      <c r="D21" s="45">
        <v>26.16</v>
      </c>
      <c r="E21" s="45">
        <v>26.16</v>
      </c>
    </row>
    <row r="22" spans="1:14">
      <c r="A22" s="45" t="s">
        <v>171</v>
      </c>
      <c r="B22" s="45">
        <f>3.2*LOG(11.75*B17)^2-4.97</f>
        <v>0.48441087675501127</v>
      </c>
      <c r="C22" s="45">
        <f>(1.1*LOG(C18)-0.7)*C17-(1.56*LOG(C18)-0.8)</f>
        <v>0.57680851313385606</v>
      </c>
      <c r="D22" s="45">
        <f>(1.1*LOG(D18)-0.7)*D17-(1.56*LOG(D18)-0.8)</f>
        <v>0.57680851313385606</v>
      </c>
      <c r="E22" s="45">
        <f>(1.1*LOG(E18)-0.7)*E17-(1.56*LOG(E18)-0.8)</f>
        <v>0.57680851313385606</v>
      </c>
    </row>
    <row r="23" spans="1:14">
      <c r="A23" s="45" t="s">
        <v>172</v>
      </c>
      <c r="B23" s="45">
        <f>(71.13+6.16*LOG(B18)-13.82*LOG(B16))/LOG(50)</f>
        <v>40.562410132045372</v>
      </c>
      <c r="C23" s="45">
        <f>44.9-6.55*LOG(C16)</f>
        <v>35.743492943198149</v>
      </c>
      <c r="D23" s="45">
        <f>44.9-6.55*LOG(D16)</f>
        <v>35.224855781586214</v>
      </c>
      <c r="E23" s="45">
        <f>44.9-6.55*LOG(E16)</f>
        <v>34.406507056801843</v>
      </c>
    </row>
    <row r="24" spans="1:14">
      <c r="A24" s="45" t="s">
        <v>173</v>
      </c>
      <c r="B24" s="45">
        <v>0</v>
      </c>
      <c r="C24" s="45">
        <f>-2*(LOG(C18/28)^2)-5.4</f>
        <v>-9.942607248242453</v>
      </c>
      <c r="D24" s="45">
        <f>-4.78*(LOG(D18)^2)+18.33*LOG(D18)-40.94</f>
        <v>-28.506418087861732</v>
      </c>
      <c r="E24" s="45">
        <f>-4.78*(LOG(E18)^2)+18.33*LOG(E18)-40.94</f>
        <v>-28.506418087861732</v>
      </c>
    </row>
    <row r="25" spans="1:14">
      <c r="A25" s="45"/>
      <c r="B25" s="45"/>
      <c r="C25" s="45"/>
      <c r="D25" s="45"/>
      <c r="E25" s="45"/>
    </row>
    <row r="26" spans="1:14">
      <c r="A26" s="45" t="s">
        <v>174</v>
      </c>
      <c r="B26" s="50">
        <f>MIN(C13:D13)-B20-B21*LOG(B18)+13.82*LOG(B16)+B22-B24</f>
        <v>-3.4656572998714301</v>
      </c>
      <c r="C26" s="50">
        <f>MIN(E13:F13)-C20-C21*LOG(C18)+13.82*LOG(C16)+C22-C24</f>
        <v>10.475062764371696</v>
      </c>
      <c r="D26" s="50">
        <f>MIN(G13:H13)-D20-D21*LOG(D18)+13.82*LOG(D16)+D22-D24</f>
        <v>35.133158424369149</v>
      </c>
      <c r="E26" s="50">
        <f>MIN(I13:J13)-E20-E21*LOG(E18)+13.82*LOG(E16)+E22-E24</f>
        <v>44.859811764295856</v>
      </c>
    </row>
    <row r="27" spans="1:14">
      <c r="A27" s="45"/>
      <c r="B27" s="45"/>
      <c r="C27" s="45"/>
      <c r="D27" s="45"/>
      <c r="E27" s="45"/>
    </row>
    <row r="28" spans="1:14">
      <c r="A28" s="43" t="s">
        <v>175</v>
      </c>
      <c r="B28" s="82">
        <f>10^(B26/B23)</f>
        <v>0.82140979485912147</v>
      </c>
      <c r="C28" s="82">
        <f t="shared" ref="C28" si="3">10^(C26/C23)</f>
        <v>1.9636409959741554</v>
      </c>
      <c r="D28" s="82">
        <f>10^(D26/D23)</f>
        <v>9.9402383837874222</v>
      </c>
      <c r="E28" s="82">
        <f>10^(E26/E23)</f>
        <v>20.128789913859201</v>
      </c>
      <c r="L28" s="36">
        <v>0.3</v>
      </c>
      <c r="M28" s="36">
        <v>1</v>
      </c>
      <c r="N28" s="36">
        <f t="shared" ref="N28:N67" si="4">L28*M28</f>
        <v>0.3</v>
      </c>
    </row>
    <row r="30" spans="1:14">
      <c r="A30" s="24" t="s">
        <v>176</v>
      </c>
      <c r="B30" s="6"/>
      <c r="C30" s="6"/>
      <c r="D30" s="6"/>
      <c r="E30" s="6"/>
      <c r="F30" s="6"/>
      <c r="G30" s="6"/>
      <c r="H30" s="6"/>
      <c r="I30" s="6"/>
    </row>
    <row r="31" spans="1:14">
      <c r="A31" s="39" t="s">
        <v>20</v>
      </c>
      <c r="B31" s="54">
        <v>653.79999999999995</v>
      </c>
      <c r="C31" s="6"/>
      <c r="D31" s="6"/>
      <c r="E31" s="6"/>
      <c r="F31" s="6"/>
      <c r="G31" s="6"/>
      <c r="H31" s="6"/>
      <c r="I31" s="6"/>
    </row>
    <row r="32" spans="1:14">
      <c r="A32" s="39" t="s">
        <v>66</v>
      </c>
      <c r="B32" s="54">
        <v>621108</v>
      </c>
      <c r="C32" s="6"/>
      <c r="D32" s="6"/>
      <c r="E32" s="6"/>
      <c r="F32" s="6"/>
      <c r="G32" s="6"/>
      <c r="H32" s="6"/>
      <c r="I32" s="6"/>
    </row>
    <row r="33" spans="1:14">
      <c r="A33" s="38"/>
      <c r="B33" s="105" t="s">
        <v>64</v>
      </c>
      <c r="C33" s="105"/>
      <c r="D33" s="105" t="s">
        <v>65</v>
      </c>
      <c r="E33" s="105"/>
      <c r="F33" s="105" t="s">
        <v>63</v>
      </c>
      <c r="G33" s="105"/>
      <c r="H33" s="105" t="s">
        <v>68</v>
      </c>
      <c r="I33" s="105"/>
    </row>
    <row r="34" spans="1:14">
      <c r="A34" s="39" t="s">
        <v>51</v>
      </c>
      <c r="B34" s="40">
        <v>0.1</v>
      </c>
      <c r="C34" s="40">
        <v>0.1</v>
      </c>
      <c r="D34" s="40">
        <v>0.15</v>
      </c>
      <c r="E34" s="40">
        <v>0.15</v>
      </c>
      <c r="F34" s="40">
        <v>0.3</v>
      </c>
      <c r="G34" s="40">
        <v>0.3</v>
      </c>
      <c r="H34" s="40">
        <v>0.45</v>
      </c>
      <c r="I34" s="40">
        <v>0.45</v>
      </c>
    </row>
    <row r="35" spans="1:14">
      <c r="A35" s="38" t="s">
        <v>52</v>
      </c>
      <c r="B35" s="38">
        <f>$B$31*B34</f>
        <v>65.38</v>
      </c>
      <c r="C35" s="38">
        <f t="shared" ref="C35:I35" si="5">$B$31*C34</f>
        <v>65.38</v>
      </c>
      <c r="D35" s="38">
        <f t="shared" si="5"/>
        <v>98.07</v>
      </c>
      <c r="E35" s="38">
        <f t="shared" si="5"/>
        <v>98.07</v>
      </c>
      <c r="F35" s="38">
        <f t="shared" si="5"/>
        <v>196.14</v>
      </c>
      <c r="G35" s="38">
        <f t="shared" si="5"/>
        <v>196.14</v>
      </c>
      <c r="H35" s="38">
        <f t="shared" si="5"/>
        <v>294.20999999999998</v>
      </c>
      <c r="I35" s="38">
        <f t="shared" si="5"/>
        <v>294.20999999999998</v>
      </c>
    </row>
    <row r="36" spans="1:14">
      <c r="A36" s="39" t="s">
        <v>21</v>
      </c>
      <c r="B36" s="40">
        <v>0.53</v>
      </c>
      <c r="C36" s="40">
        <v>0.53</v>
      </c>
      <c r="D36" s="40">
        <v>0.28999999999999998</v>
      </c>
      <c r="E36" s="40">
        <v>0.28999999999999998</v>
      </c>
      <c r="F36" s="40">
        <v>0.15</v>
      </c>
      <c r="G36" s="40">
        <v>0.15</v>
      </c>
      <c r="H36" s="40">
        <v>0.03</v>
      </c>
      <c r="I36" s="40">
        <v>0.03</v>
      </c>
    </row>
    <row r="37" spans="1:14">
      <c r="A37" s="38" t="s">
        <v>53</v>
      </c>
      <c r="B37" s="38">
        <f>B36*$B$32</f>
        <v>329187.24</v>
      </c>
      <c r="C37" s="38">
        <f t="shared" ref="C37:I37" si="6">C36*$B$32</f>
        <v>329187.24</v>
      </c>
      <c r="D37" s="38">
        <f t="shared" si="6"/>
        <v>180121.31999999998</v>
      </c>
      <c r="E37" s="38">
        <f t="shared" si="6"/>
        <v>180121.31999999998</v>
      </c>
      <c r="F37" s="38">
        <f t="shared" si="6"/>
        <v>93166.2</v>
      </c>
      <c r="G37" s="38">
        <f t="shared" si="6"/>
        <v>93166.2</v>
      </c>
      <c r="H37" s="38">
        <f t="shared" si="6"/>
        <v>18633.239999999998</v>
      </c>
      <c r="I37" s="38">
        <f t="shared" si="6"/>
        <v>18633.239999999998</v>
      </c>
    </row>
    <row r="38" spans="1:14">
      <c r="A38" s="38" t="s">
        <v>54</v>
      </c>
      <c r="B38" s="41">
        <f>'Tráfico (1 ptos)'!B25</f>
        <v>1.1000000000000001</v>
      </c>
      <c r="C38" s="41">
        <f>'Tráfico (1 ptos)'!C25</f>
        <v>1.1000000000000001</v>
      </c>
      <c r="D38" s="41">
        <f>'Tráfico (1 ptos)'!D25</f>
        <v>1.1000000000000001</v>
      </c>
      <c r="E38" s="41">
        <f>'Tráfico (1 ptos)'!E25</f>
        <v>1.1000000000000001</v>
      </c>
      <c r="F38" s="41">
        <f>'Tráfico (1 ptos)'!F25</f>
        <v>1.1000000000000001</v>
      </c>
      <c r="G38" s="41">
        <f>'Tráfico (1 ptos)'!G25</f>
        <v>1.1000000000000001</v>
      </c>
      <c r="H38" s="41">
        <f>'Tráfico (1 ptos)'!H25</f>
        <v>1.1000000000000001</v>
      </c>
      <c r="I38" s="41">
        <f>'Tráfico (1 ptos)'!I25</f>
        <v>1.1000000000000001</v>
      </c>
    </row>
    <row r="39" spans="1:14">
      <c r="A39" s="38" t="s">
        <v>55</v>
      </c>
      <c r="B39" s="42">
        <v>0.29699999999999999</v>
      </c>
      <c r="C39" s="42">
        <v>0.29699999999999999</v>
      </c>
      <c r="D39" s="42">
        <v>0.29699999999999999</v>
      </c>
      <c r="E39" s="42">
        <v>0.29699999999999999</v>
      </c>
      <c r="F39" s="42">
        <v>0.29699999999999999</v>
      </c>
      <c r="G39" s="42">
        <v>0.29699999999999999</v>
      </c>
      <c r="H39" s="42">
        <v>0.29699999999999999</v>
      </c>
      <c r="I39" s="42">
        <v>0.29699999999999999</v>
      </c>
    </row>
    <row r="40" spans="1:14">
      <c r="A40" s="38" t="s">
        <v>56</v>
      </c>
      <c r="B40" s="38">
        <f t="shared" ref="B40:I40" si="7">B37*B38*B39</f>
        <v>107545.47130800001</v>
      </c>
      <c r="C40" s="38">
        <f t="shared" si="7"/>
        <v>107545.47130800001</v>
      </c>
      <c r="D40" s="38">
        <f t="shared" si="7"/>
        <v>58845.635243999997</v>
      </c>
      <c r="E40" s="38">
        <f t="shared" si="7"/>
        <v>58845.635243999997</v>
      </c>
      <c r="F40" s="38">
        <f t="shared" si="7"/>
        <v>30437.397540000002</v>
      </c>
      <c r="G40" s="38">
        <f t="shared" si="7"/>
        <v>30437.397540000002</v>
      </c>
      <c r="H40" s="38">
        <f t="shared" si="7"/>
        <v>6087.4795079999994</v>
      </c>
      <c r="I40" s="38">
        <f t="shared" si="7"/>
        <v>6087.4795079999994</v>
      </c>
    </row>
    <row r="41" spans="1:14">
      <c r="A41" s="38"/>
      <c r="B41" s="38"/>
      <c r="C41" s="38"/>
      <c r="D41" s="38"/>
      <c r="E41" s="38"/>
      <c r="F41" s="38"/>
      <c r="G41" s="38"/>
      <c r="H41" s="38"/>
      <c r="I41" s="38"/>
    </row>
    <row r="42" spans="1:14">
      <c r="A42" s="41" t="s">
        <v>27</v>
      </c>
      <c r="B42" s="15">
        <f>'Tráfico (1 ptos)'!B27</f>
        <v>1</v>
      </c>
      <c r="C42" s="15">
        <f>'Tráfico (1 ptos)'!C27</f>
        <v>1</v>
      </c>
      <c r="D42" s="15">
        <f>'Tráfico (1 ptos)'!D27</f>
        <v>1</v>
      </c>
      <c r="E42" s="15">
        <f>'Tráfico (1 ptos)'!E27</f>
        <v>0.9</v>
      </c>
      <c r="F42" s="15">
        <v>1</v>
      </c>
      <c r="G42" s="15">
        <v>0.85</v>
      </c>
      <c r="H42" s="15">
        <v>0.95</v>
      </c>
      <c r="I42" s="15">
        <v>1.05</v>
      </c>
    </row>
    <row r="43" spans="1:14">
      <c r="A43" s="38" t="s">
        <v>57</v>
      </c>
      <c r="B43" s="38">
        <f t="shared" ref="B43:I43" si="8">B40*B42</f>
        <v>107545.47130800001</v>
      </c>
      <c r="C43" s="38">
        <f t="shared" si="8"/>
        <v>107545.47130800001</v>
      </c>
      <c r="D43" s="38">
        <f t="shared" si="8"/>
        <v>58845.635243999997</v>
      </c>
      <c r="E43" s="38">
        <f t="shared" si="8"/>
        <v>52961.071719599997</v>
      </c>
      <c r="F43" s="38">
        <f t="shared" si="8"/>
        <v>30437.397540000002</v>
      </c>
      <c r="G43" s="38">
        <f t="shared" si="8"/>
        <v>25871.787909000002</v>
      </c>
      <c r="H43" s="38">
        <f t="shared" si="8"/>
        <v>5783.1055325999996</v>
      </c>
      <c r="I43" s="38">
        <f t="shared" si="8"/>
        <v>6391.8534833999993</v>
      </c>
    </row>
    <row r="44" spans="1:14">
      <c r="A44" s="43" t="s">
        <v>58</v>
      </c>
      <c r="B44" s="90">
        <f t="shared" ref="B44:I44" si="9">B43/B35</f>
        <v>1644.9292032425822</v>
      </c>
      <c r="C44" s="90">
        <f t="shared" si="9"/>
        <v>1644.9292032425822</v>
      </c>
      <c r="D44" s="90">
        <f t="shared" si="9"/>
        <v>600.03706784949532</v>
      </c>
      <c r="E44" s="90">
        <f t="shared" si="9"/>
        <v>540.03336106454572</v>
      </c>
      <c r="F44" s="90">
        <f t="shared" si="9"/>
        <v>155.18200030590395</v>
      </c>
      <c r="G44" s="90">
        <f t="shared" si="9"/>
        <v>131.90470026001839</v>
      </c>
      <c r="H44" s="90">
        <f t="shared" si="9"/>
        <v>19.656386705414501</v>
      </c>
      <c r="I44" s="90">
        <f t="shared" si="9"/>
        <v>21.72548004282655</v>
      </c>
      <c r="L44" s="36">
        <v>0.15</v>
      </c>
      <c r="M44" s="36">
        <v>1</v>
      </c>
      <c r="N44" s="36">
        <f t="shared" ref="N44" si="10">L44*M44</f>
        <v>0.15</v>
      </c>
    </row>
    <row r="47" spans="1:14">
      <c r="A47" s="24" t="s">
        <v>82</v>
      </c>
      <c r="B47" s="103" t="s">
        <v>64</v>
      </c>
      <c r="C47" s="103"/>
      <c r="D47" s="103" t="s">
        <v>65</v>
      </c>
      <c r="E47" s="103"/>
      <c r="F47" s="103" t="s">
        <v>63</v>
      </c>
      <c r="G47" s="103"/>
      <c r="H47" s="103" t="s">
        <v>68</v>
      </c>
      <c r="I47" s="103"/>
    </row>
    <row r="48" spans="1:14">
      <c r="A48" s="43" t="s">
        <v>3</v>
      </c>
      <c r="B48" s="43">
        <f>1-1/(10^(-C12/10))</f>
        <v>0.74881135684904199</v>
      </c>
      <c r="C48" s="43"/>
      <c r="D48" s="43">
        <f>1-1/(10^(-E12/10))</f>
        <v>0.74881135684904199</v>
      </c>
      <c r="E48" s="43"/>
      <c r="F48" s="43">
        <f>1-1/(10^(-G12/10))</f>
        <v>0.74881135684904199</v>
      </c>
      <c r="G48" s="44"/>
      <c r="H48" s="43">
        <f>1-1/(10^(-I12/10))</f>
        <v>0.74881135684904199</v>
      </c>
      <c r="I48" s="44"/>
    </row>
    <row r="49" spans="1:14">
      <c r="A49" s="45"/>
      <c r="B49" s="45" t="s">
        <v>41</v>
      </c>
      <c r="C49" s="45" t="s">
        <v>11</v>
      </c>
      <c r="D49" s="45"/>
      <c r="E49" s="45"/>
      <c r="F49" s="45"/>
      <c r="G49" s="45"/>
      <c r="H49" s="45"/>
      <c r="I49" s="45"/>
    </row>
    <row r="50" spans="1:14">
      <c r="A50" s="39" t="s">
        <v>22</v>
      </c>
      <c r="B50" s="39">
        <f>10^(4.6/10)</f>
        <v>2.8840315031266059</v>
      </c>
      <c r="C50" s="39">
        <f>10^(2.7/10)</f>
        <v>1.8620871366628675</v>
      </c>
      <c r="D50" s="39">
        <f>10^(4.6/10)</f>
        <v>2.8840315031266059</v>
      </c>
      <c r="E50" s="39">
        <f>10^(2.7/10)</f>
        <v>1.8620871366628675</v>
      </c>
      <c r="F50" s="39">
        <f>10^(4.6/10)</f>
        <v>2.8840315031266059</v>
      </c>
      <c r="G50" s="39">
        <f>10^(2.7/10)</f>
        <v>1.8620871366628675</v>
      </c>
      <c r="H50" s="39">
        <f>10^(4.6/10)</f>
        <v>2.8840315031266059</v>
      </c>
      <c r="I50" s="39">
        <f>10^(2.7/10)</f>
        <v>1.8620871366628675</v>
      </c>
    </row>
    <row r="51" spans="1:14">
      <c r="A51" s="46" t="s">
        <v>23</v>
      </c>
      <c r="B51" s="38">
        <f>B50*0.67*(1-0.55+0.66)/(3840/12.2)</f>
        <v>6.8143806229890979E-3</v>
      </c>
      <c r="C51" s="38">
        <f>C50*1*(1-0.55+0.66)/(3840/128)</f>
        <v>6.8897224056526082E-2</v>
      </c>
      <c r="D51" s="38">
        <f>D50*0.67*(1-0.55+0.66)/(3840/12.2)</f>
        <v>6.8143806229890979E-3</v>
      </c>
      <c r="E51" s="38">
        <f>E50*1*(1-0.55+0.66)/(3840/128)</f>
        <v>6.8897224056526082E-2</v>
      </c>
      <c r="F51" s="38">
        <f>F50*0.67*(1-0.55+0.66)/(3840/12.2)</f>
        <v>6.8143806229890979E-3</v>
      </c>
      <c r="G51" s="38">
        <f>G50*1*(1-0.55+0.66)/(3840/128)</f>
        <v>6.8897224056526082E-2</v>
      </c>
      <c r="H51" s="38">
        <f>H50*0.67*(1-0.55+0.66)/(3840/12.2)</f>
        <v>6.8143806229890979E-3</v>
      </c>
      <c r="I51" s="38">
        <f>I50*1*(1-0.55+0.66)/(3840/128)</f>
        <v>6.8897224056526082E-2</v>
      </c>
      <c r="L51" s="36">
        <v>0.25</v>
      </c>
      <c r="M51" s="36">
        <v>1</v>
      </c>
      <c r="N51" s="36">
        <f t="shared" si="4"/>
        <v>0.25</v>
      </c>
    </row>
    <row r="52" spans="1:14">
      <c r="A52" s="47"/>
      <c r="B52" s="45"/>
      <c r="C52" s="45"/>
      <c r="D52" s="45"/>
      <c r="E52" s="45"/>
      <c r="F52" s="45"/>
      <c r="G52" s="45"/>
      <c r="H52" s="45"/>
      <c r="I52" s="45"/>
    </row>
    <row r="53" spans="1:14">
      <c r="A53" s="45" t="s">
        <v>24</v>
      </c>
      <c r="B53" s="45">
        <v>7.0000000000000007E-2</v>
      </c>
      <c r="C53" s="48">
        <f>B48-B53</f>
        <v>0.67881135684904192</v>
      </c>
      <c r="D53" s="45">
        <v>7.0000000000000007E-2</v>
      </c>
      <c r="E53" s="48">
        <f>D48-D53</f>
        <v>0.67881135684904192</v>
      </c>
      <c r="F53" s="45">
        <v>0.08</v>
      </c>
      <c r="G53" s="48">
        <f>F48-F53</f>
        <v>0.66881135684904203</v>
      </c>
      <c r="H53" s="45">
        <v>7.0000000000000007E-2</v>
      </c>
      <c r="I53" s="48">
        <f>H48-H53</f>
        <v>0.67881135684904192</v>
      </c>
    </row>
    <row r="54" spans="1:14">
      <c r="A54" s="47" t="s">
        <v>25</v>
      </c>
      <c r="B54" s="47">
        <f>B53/B51</f>
        <v>10.272393614739826</v>
      </c>
      <c r="C54" s="47">
        <f t="shared" ref="C54:G54" si="11">C53/C51</f>
        <v>9.8525211450045873</v>
      </c>
      <c r="D54" s="47">
        <f t="shared" si="11"/>
        <v>10.272393614739826</v>
      </c>
      <c r="E54" s="47">
        <f t="shared" si="11"/>
        <v>9.8525211450045873</v>
      </c>
      <c r="F54" s="47">
        <f t="shared" si="11"/>
        <v>11.739878416845514</v>
      </c>
      <c r="G54" s="47">
        <f t="shared" si="11"/>
        <v>9.7073774162558717</v>
      </c>
      <c r="H54" s="47">
        <f t="shared" ref="H54:I54" si="12">H53/H51</f>
        <v>10.272393614739826</v>
      </c>
      <c r="I54" s="47">
        <f t="shared" si="12"/>
        <v>9.8525211450045873</v>
      </c>
    </row>
    <row r="55" spans="1:14">
      <c r="A55" s="45" t="s">
        <v>26</v>
      </c>
      <c r="B55" s="45">
        <f>ROUNDDOWN(B54*(1+0.66),0)</f>
        <v>17</v>
      </c>
      <c r="C55" s="45">
        <f t="shared" ref="C55:I55" si="13">ROUNDDOWN(C54*(1+0.66),0)</f>
        <v>16</v>
      </c>
      <c r="D55" s="45">
        <f t="shared" si="13"/>
        <v>17</v>
      </c>
      <c r="E55" s="45">
        <f t="shared" si="13"/>
        <v>16</v>
      </c>
      <c r="F55" s="45">
        <f t="shared" si="13"/>
        <v>19</v>
      </c>
      <c r="G55" s="45">
        <f t="shared" si="13"/>
        <v>16</v>
      </c>
      <c r="H55" s="45">
        <f t="shared" si="13"/>
        <v>17</v>
      </c>
      <c r="I55" s="45">
        <f t="shared" si="13"/>
        <v>16</v>
      </c>
    </row>
    <row r="56" spans="1:14">
      <c r="A56" s="48" t="s">
        <v>8</v>
      </c>
      <c r="B56" s="48">
        <f>VLOOKUP(B55,Erlang!$A$2:$B$76,2,FALSE)</f>
        <v>10.655804</v>
      </c>
      <c r="C56" s="48">
        <f>VLOOKUP(C55,Erlang!$A$2:$B$76,2,FALSE)</f>
        <v>9.8284491999999997</v>
      </c>
      <c r="D56" s="48">
        <f>VLOOKUP(D55,Erlang!$A$2:$B$76,2,FALSE)</f>
        <v>10.655804</v>
      </c>
      <c r="E56" s="48">
        <f>VLOOKUP(E55,Erlang!$A$2:$B$76,2,FALSE)</f>
        <v>9.8284491999999997</v>
      </c>
      <c r="F56" s="48">
        <f>VLOOKUP(F55,Erlang!$A$2:$B$76,2,FALSE)</f>
        <v>12.332992000000001</v>
      </c>
      <c r="G56" s="48">
        <f>VLOOKUP(G55,Erlang!$A$2:$B$76,2,FALSE)</f>
        <v>9.8284491999999997</v>
      </c>
      <c r="H56" s="48">
        <f>VLOOKUP(H55,Erlang!$A$2:$B$76,2,FALSE)</f>
        <v>10.655804</v>
      </c>
      <c r="I56" s="48">
        <f>VLOOKUP(I55,Erlang!$A$2:$B$76,2,FALSE)</f>
        <v>9.8284491999999997</v>
      </c>
    </row>
    <row r="57" spans="1:14">
      <c r="A57" s="45" t="s">
        <v>28</v>
      </c>
      <c r="B57" s="45">
        <f>B56/(1+0.66)</f>
        <v>6.4191590361445776</v>
      </c>
      <c r="C57" s="45">
        <f t="shared" ref="C57:I57" si="14">C56/(1+0.66)</f>
        <v>5.9207525301204811</v>
      </c>
      <c r="D57" s="45">
        <f t="shared" si="14"/>
        <v>6.4191590361445776</v>
      </c>
      <c r="E57" s="45">
        <f t="shared" si="14"/>
        <v>5.9207525301204811</v>
      </c>
      <c r="F57" s="45">
        <f t="shared" si="14"/>
        <v>7.4295132530120478</v>
      </c>
      <c r="G57" s="45">
        <f t="shared" si="14"/>
        <v>5.9207525301204811</v>
      </c>
      <c r="H57" s="45">
        <f t="shared" si="14"/>
        <v>6.4191590361445776</v>
      </c>
      <c r="I57" s="45">
        <f t="shared" si="14"/>
        <v>5.9207525301204811</v>
      </c>
    </row>
    <row r="58" spans="1:14">
      <c r="A58" s="45" t="s">
        <v>9</v>
      </c>
      <c r="B58" s="45">
        <f>'Tráfico (1 ptos)'!B29</f>
        <v>1.2800000000000001E-2</v>
      </c>
      <c r="C58" s="45">
        <f>'Tráfico (1 ptos)'!C29</f>
        <v>1.2E-2</v>
      </c>
      <c r="D58" s="45">
        <f>'Tráfico (1 ptos)'!D29</f>
        <v>9.4000000000000004E-3</v>
      </c>
      <c r="E58" s="45">
        <f>'Tráfico (1 ptos)'!E29</f>
        <v>1.09E-2</v>
      </c>
      <c r="F58" s="45">
        <v>2E-3</v>
      </c>
      <c r="G58" s="45">
        <v>3.0000000000000001E-3</v>
      </c>
      <c r="H58" s="45">
        <v>2E-3</v>
      </c>
      <c r="I58" s="45">
        <v>3.0000000000000001E-3</v>
      </c>
      <c r="J58" s="45">
        <f>'Tráfico (1 ptos)'!J29</f>
        <v>0</v>
      </c>
    </row>
    <row r="59" spans="1:14">
      <c r="A59" s="45" t="s">
        <v>10</v>
      </c>
      <c r="B59" s="45">
        <f>B57/B58</f>
        <v>501.49679969879509</v>
      </c>
      <c r="C59" s="45">
        <f t="shared" ref="C59:G59" si="15">C57/C58</f>
        <v>493.39604417670677</v>
      </c>
      <c r="D59" s="45">
        <f t="shared" si="15"/>
        <v>682.88925916431674</v>
      </c>
      <c r="E59" s="45">
        <f t="shared" si="15"/>
        <v>543.18830551564042</v>
      </c>
      <c r="F59" s="45">
        <f t="shared" si="15"/>
        <v>3714.7566265060236</v>
      </c>
      <c r="G59" s="45">
        <f t="shared" si="15"/>
        <v>1973.5841767068271</v>
      </c>
      <c r="H59" s="45">
        <f t="shared" ref="H59:I59" si="16">H57/H58</f>
        <v>3209.5795180722889</v>
      </c>
      <c r="I59" s="45">
        <f t="shared" si="16"/>
        <v>1973.5841767068271</v>
      </c>
    </row>
    <row r="60" spans="1:14">
      <c r="A60" s="43"/>
      <c r="B60" s="43" t="s">
        <v>4</v>
      </c>
      <c r="C60" s="43" t="s">
        <v>5</v>
      </c>
      <c r="D60" s="43" t="s">
        <v>4</v>
      </c>
      <c r="E60" s="43" t="s">
        <v>5</v>
      </c>
      <c r="F60" s="43" t="s">
        <v>4</v>
      </c>
      <c r="G60" s="43" t="s">
        <v>5</v>
      </c>
      <c r="H60" s="43" t="s">
        <v>4</v>
      </c>
      <c r="I60" s="43" t="s">
        <v>5</v>
      </c>
    </row>
    <row r="61" spans="1:14">
      <c r="A61" s="43" t="s">
        <v>113</v>
      </c>
      <c r="B61" s="49">
        <v>3</v>
      </c>
      <c r="C61" s="49">
        <v>3</v>
      </c>
      <c r="D61" s="49">
        <v>3</v>
      </c>
      <c r="E61" s="49">
        <v>3</v>
      </c>
      <c r="F61" s="49">
        <v>3</v>
      </c>
      <c r="G61" s="49">
        <v>3</v>
      </c>
      <c r="H61" s="49">
        <v>3</v>
      </c>
      <c r="I61" s="49">
        <v>3</v>
      </c>
    </row>
    <row r="62" spans="1:14">
      <c r="A62" s="43" t="s">
        <v>6</v>
      </c>
      <c r="B62" s="43">
        <f>SQRT(B59*B61/(PI()*B44))</f>
        <v>0.53956797928076383</v>
      </c>
      <c r="C62" s="43">
        <f>SQRT(C59*B61/(PI()*C44))</f>
        <v>0.53519237479498238</v>
      </c>
      <c r="D62" s="43">
        <f>SQRT(D59*D61/(PI()*D44))</f>
        <v>1.0424897459960671</v>
      </c>
      <c r="E62" s="43">
        <f>SQRT(E59*D61/(PI()*E44))</f>
        <v>0.9800553456874832</v>
      </c>
      <c r="F62" s="43">
        <f>SQRT(F59*F61/(PI()*F44))</f>
        <v>4.7811261337408837</v>
      </c>
      <c r="G62" s="43">
        <f>SQRT(G59*F61/(PI()*G44))</f>
        <v>3.7799267389166618</v>
      </c>
      <c r="H62" s="43">
        <f>SQRT(H59*H61/(PI()*H44))</f>
        <v>12.486994406817482</v>
      </c>
      <c r="I62" s="43">
        <f>SQRT(I59*H61/(PI()*I44))</f>
        <v>9.3138411704764046</v>
      </c>
      <c r="L62" s="36">
        <v>0.75</v>
      </c>
      <c r="M62" s="36">
        <v>1</v>
      </c>
      <c r="N62" s="36">
        <f t="shared" si="4"/>
        <v>0.75</v>
      </c>
    </row>
    <row r="64" spans="1:14">
      <c r="A64" s="10"/>
      <c r="B64" s="11" t="s">
        <v>64</v>
      </c>
      <c r="C64" s="11" t="s">
        <v>65</v>
      </c>
      <c r="D64" s="11" t="s">
        <v>69</v>
      </c>
      <c r="E64" s="11" t="s">
        <v>70</v>
      </c>
    </row>
    <row r="65" spans="1:14">
      <c r="A65" s="12" t="s">
        <v>7</v>
      </c>
      <c r="B65" s="5">
        <f>MIN(B62,C62,B28)</f>
        <v>0.53519237479498238</v>
      </c>
      <c r="C65" s="5">
        <f>MIN(D62,E62,C28)</f>
        <v>0.9800553456874832</v>
      </c>
      <c r="D65" s="5">
        <f>MIN(F62,G62,D28)</f>
        <v>3.7799267389166618</v>
      </c>
      <c r="E65" s="5">
        <f>MIN(E28,H62,I62)</f>
        <v>9.3138411704764046</v>
      </c>
      <c r="L65" s="36">
        <v>0.75</v>
      </c>
      <c r="M65" s="36">
        <v>1</v>
      </c>
      <c r="N65" s="36">
        <f t="shared" si="4"/>
        <v>0.75</v>
      </c>
    </row>
    <row r="66" spans="1:14">
      <c r="A66" s="12" t="s">
        <v>61</v>
      </c>
      <c r="B66" s="5">
        <f>PI()*B65^2</f>
        <v>0.89984914220763157</v>
      </c>
      <c r="C66" s="5">
        <f t="shared" ref="C66:D66" si="17">PI()*C65^2</f>
        <v>3.0175263863969937</v>
      </c>
      <c r="D66" s="5">
        <f t="shared" si="17"/>
        <v>44.886592505415969</v>
      </c>
      <c r="E66" s="5">
        <f>PI()*E65^2</f>
        <v>272.52574021145415</v>
      </c>
    </row>
    <row r="67" spans="1:14">
      <c r="A67" s="20" t="s">
        <v>71</v>
      </c>
      <c r="B67" s="21">
        <f>ROUNDUP(B35/B66,0)</f>
        <v>73</v>
      </c>
      <c r="C67" s="21">
        <f>ROUNDUP(D35/C66,0)</f>
        <v>33</v>
      </c>
      <c r="D67" s="21">
        <f>ROUNDUP(F35/D66,0)</f>
        <v>5</v>
      </c>
      <c r="E67" s="21">
        <f>ROUNDUP(H35/E66,0)</f>
        <v>2</v>
      </c>
      <c r="L67" s="36">
        <v>0.15</v>
      </c>
      <c r="M67" s="36">
        <v>1</v>
      </c>
      <c r="N67" s="36">
        <f t="shared" si="4"/>
        <v>0.15</v>
      </c>
    </row>
    <row r="68" spans="1:14">
      <c r="A68" s="3"/>
      <c r="B68" s="3"/>
      <c r="C68" s="3"/>
      <c r="D68" s="3"/>
      <c r="E68" s="3"/>
      <c r="F68" s="3"/>
      <c r="G68" s="3"/>
    </row>
    <row r="69" spans="1:14">
      <c r="A69" s="3"/>
      <c r="B69" s="3"/>
      <c r="C69" s="3"/>
      <c r="D69" s="3"/>
      <c r="E69" s="3"/>
      <c r="F69" s="3"/>
      <c r="G69" s="3"/>
    </row>
    <row r="70" spans="1:14">
      <c r="A70" s="32" t="s">
        <v>114</v>
      </c>
      <c r="B70" s="3"/>
      <c r="C70" s="3"/>
      <c r="D70" s="3"/>
      <c r="E70" s="3"/>
      <c r="F70" s="3"/>
      <c r="G70" s="3"/>
    </row>
    <row r="71" spans="1:14">
      <c r="A71" s="59" t="s">
        <v>140</v>
      </c>
      <c r="B71" s="60">
        <f>'Tráfico (1 ptos)'!B21</f>
        <v>47400000</v>
      </c>
      <c r="C71" s="4"/>
      <c r="D71" s="4"/>
      <c r="E71" s="4"/>
      <c r="F71" s="6"/>
      <c r="G71" s="3"/>
    </row>
    <row r="72" spans="1:14">
      <c r="A72" s="61"/>
      <c r="B72" s="62" t="s">
        <v>64</v>
      </c>
      <c r="C72" s="62" t="s">
        <v>65</v>
      </c>
      <c r="D72" s="62" t="s">
        <v>69</v>
      </c>
      <c r="E72" s="62" t="s">
        <v>70</v>
      </c>
      <c r="F72" s="6"/>
      <c r="G72" s="3"/>
    </row>
    <row r="73" spans="1:14">
      <c r="A73" s="63" t="s">
        <v>141</v>
      </c>
      <c r="B73" s="64">
        <v>0.48</v>
      </c>
      <c r="C73" s="64">
        <v>0.25</v>
      </c>
      <c r="D73" s="64">
        <v>0.2</v>
      </c>
      <c r="E73" s="64">
        <v>7.0000000000000007E-2</v>
      </c>
      <c r="F73" s="22"/>
      <c r="G73" s="3"/>
    </row>
    <row r="74" spans="1:14">
      <c r="A74" s="62" t="s">
        <v>142</v>
      </c>
      <c r="B74" s="62">
        <f>$B$71*B73</f>
        <v>22752000</v>
      </c>
      <c r="C74" s="62">
        <f t="shared" ref="C74:E74" si="18">$B$71*C73</f>
        <v>11850000</v>
      </c>
      <c r="D74" s="62">
        <f t="shared" si="18"/>
        <v>9480000</v>
      </c>
      <c r="E74" s="62">
        <f t="shared" si="18"/>
        <v>3318000.0000000005</v>
      </c>
      <c r="F74" s="6"/>
      <c r="G74" s="3"/>
    </row>
    <row r="75" spans="1:14">
      <c r="A75" s="63" t="s">
        <v>143</v>
      </c>
      <c r="B75" s="65">
        <f>B67/B37</f>
        <v>2.217582917247947E-4</v>
      </c>
      <c r="C75" s="65">
        <f>C67/D37</f>
        <v>1.8320984989450445E-4</v>
      </c>
      <c r="D75" s="65">
        <f>D67/F37</f>
        <v>5.3667531787279081E-5</v>
      </c>
      <c r="E75" s="65">
        <f>E67/H37</f>
        <v>1.0733506357455816E-4</v>
      </c>
      <c r="F75" s="6"/>
      <c r="G75" s="3"/>
    </row>
    <row r="76" spans="1:14">
      <c r="A76" s="62" t="s">
        <v>144</v>
      </c>
      <c r="B76" s="62">
        <f>ROUNDUP(B74*B75,0)</f>
        <v>5046</v>
      </c>
      <c r="C76" s="62">
        <f t="shared" ref="C76:E76" si="19">ROUNDUP(C74*C75,0)</f>
        <v>2172</v>
      </c>
      <c r="D76" s="62">
        <f t="shared" si="19"/>
        <v>509</v>
      </c>
      <c r="E76" s="62">
        <f t="shared" si="19"/>
        <v>357</v>
      </c>
      <c r="F76" s="6"/>
      <c r="G76" s="3"/>
    </row>
    <row r="77" spans="1:14">
      <c r="A77" s="62" t="s">
        <v>145</v>
      </c>
      <c r="B77" s="62"/>
      <c r="C77" s="62"/>
      <c r="D77" s="62"/>
      <c r="E77" s="45">
        <v>242139</v>
      </c>
      <c r="F77" s="6"/>
      <c r="G77" s="3"/>
    </row>
    <row r="78" spans="1:14">
      <c r="A78" s="62" t="s">
        <v>146</v>
      </c>
      <c r="B78" s="62"/>
      <c r="C78" s="62"/>
      <c r="D78" s="62"/>
      <c r="E78" s="62">
        <f>ROUNDUP(E77/E66,0)</f>
        <v>889</v>
      </c>
      <c r="F78" s="75">
        <v>5046</v>
      </c>
      <c r="G78" s="71">
        <v>2172</v>
      </c>
      <c r="H78" s="71">
        <v>1222</v>
      </c>
      <c r="I78" s="71">
        <v>2283</v>
      </c>
    </row>
    <row r="79" spans="1:14">
      <c r="A79" s="43" t="s">
        <v>62</v>
      </c>
      <c r="B79" s="43">
        <f>B76</f>
        <v>5046</v>
      </c>
      <c r="C79" s="43">
        <f t="shared" ref="C79:D79" si="20">C76</f>
        <v>2172</v>
      </c>
      <c r="D79" s="43">
        <f t="shared" si="20"/>
        <v>509</v>
      </c>
      <c r="E79" s="43">
        <f>E76+E78</f>
        <v>1246</v>
      </c>
      <c r="F79" s="75">
        <f>(B79-F78)/F78*100</f>
        <v>0</v>
      </c>
      <c r="G79" s="75">
        <f t="shared" ref="G79:I79" si="21">(C79-G78)/G78*100</f>
        <v>0</v>
      </c>
      <c r="H79" s="75">
        <f t="shared" si="21"/>
        <v>-58.346972176759415</v>
      </c>
      <c r="I79" s="75">
        <f t="shared" si="21"/>
        <v>-45.422689443714411</v>
      </c>
      <c r="L79" s="36">
        <v>0.25</v>
      </c>
      <c r="M79" s="36">
        <v>1</v>
      </c>
      <c r="N79" s="36">
        <f t="shared" ref="N79:N86" si="22">L79*M79</f>
        <v>0.25</v>
      </c>
    </row>
    <row r="80" spans="1:14">
      <c r="A80" s="63" t="s">
        <v>83</v>
      </c>
      <c r="B80" s="39">
        <v>55000</v>
      </c>
      <c r="C80" s="39">
        <v>145000</v>
      </c>
      <c r="D80" s="39">
        <v>250000</v>
      </c>
      <c r="E80" s="39">
        <v>250000</v>
      </c>
      <c r="F80" s="71">
        <v>1468720000</v>
      </c>
      <c r="G80" s="3"/>
      <c r="H80" s="3"/>
      <c r="I80" s="3"/>
    </row>
    <row r="81" spans="1:14">
      <c r="A81" s="43" t="s">
        <v>147</v>
      </c>
      <c r="B81" s="43">
        <f>B80*B79+C79*C80+D79*D80+E79*E80</f>
        <v>1031220000</v>
      </c>
      <c r="C81" s="51"/>
      <c r="D81" s="51"/>
      <c r="E81" s="51"/>
      <c r="F81" s="71">
        <f>(B81-F80)/F80*100</f>
        <v>-29.787842475080339</v>
      </c>
      <c r="G81" s="98">
        <f>F81/F80</f>
        <v>-2.028149849874744E-8</v>
      </c>
      <c r="H81" s="3"/>
      <c r="I81" s="3"/>
    </row>
    <row r="82" spans="1:14">
      <c r="A82" s="93" t="s">
        <v>177</v>
      </c>
      <c r="B82" s="94">
        <v>35000</v>
      </c>
      <c r="C82" s="94">
        <v>75000</v>
      </c>
      <c r="D82" s="94">
        <v>125000</v>
      </c>
      <c r="E82" s="94">
        <v>125000</v>
      </c>
      <c r="F82" s="71">
        <v>777635000</v>
      </c>
      <c r="G82" s="3"/>
      <c r="L82" s="36">
        <v>0.15</v>
      </c>
      <c r="M82" s="36">
        <v>1</v>
      </c>
      <c r="N82" s="36">
        <f t="shared" si="22"/>
        <v>0.15</v>
      </c>
    </row>
    <row r="83" spans="1:14">
      <c r="A83" s="43" t="s">
        <v>178</v>
      </c>
      <c r="B83" s="43">
        <f>B82*B79+C79*C82+D79*D82+E79*E82</f>
        <v>558885000</v>
      </c>
      <c r="F83" s="71">
        <f>(B83-F82)/F82*100</f>
        <v>-28.130163894372039</v>
      </c>
      <c r="G83" s="98">
        <f>F83/F82</f>
        <v>-3.6173994090250621E-8</v>
      </c>
    </row>
    <row r="86" spans="1:14">
      <c r="K86" s="36" t="s">
        <v>126</v>
      </c>
      <c r="L86" s="37">
        <f>SUM(L2:L84)</f>
        <v>3</v>
      </c>
      <c r="M86" s="37">
        <v>1</v>
      </c>
      <c r="N86" s="36">
        <f t="shared" si="22"/>
        <v>3</v>
      </c>
    </row>
  </sheetData>
  <mergeCells count="12">
    <mergeCell ref="B47:C47"/>
    <mergeCell ref="D47:E47"/>
    <mergeCell ref="F47:G47"/>
    <mergeCell ref="H47:I47"/>
    <mergeCell ref="C2:D2"/>
    <mergeCell ref="E2:F2"/>
    <mergeCell ref="G2:H2"/>
    <mergeCell ref="I2:J2"/>
    <mergeCell ref="B33:C33"/>
    <mergeCell ref="D33:E33"/>
    <mergeCell ref="F33:G33"/>
    <mergeCell ref="H33:I33"/>
  </mergeCells>
  <phoneticPr fontId="7" type="noConversion"/>
  <pageMargins left="0.75" right="0.75" top="1" bottom="1" header="0.5" footer="0.5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Q88"/>
  <sheetViews>
    <sheetView topLeftCell="A53" zoomScale="80" zoomScaleNormal="80" zoomScalePageLayoutView="90" workbookViewId="0">
      <selection activeCell="A30" sqref="A30"/>
    </sheetView>
  </sheetViews>
  <sheetFormatPr baseColWidth="10" defaultRowHeight="12.75"/>
  <cols>
    <col min="1" max="1" width="37" style="3" customWidth="1"/>
    <col min="2" max="2" width="16.875" style="3" customWidth="1"/>
    <col min="3" max="3" width="15.625" style="3" customWidth="1"/>
    <col min="4" max="4" width="15.125" style="3" bestFit="1" customWidth="1"/>
    <col min="5" max="5" width="21.5" style="3" bestFit="1" customWidth="1"/>
    <col min="6" max="8" width="10.875" style="3"/>
    <col min="9" max="9" width="14" style="3" bestFit="1" customWidth="1"/>
  </cols>
  <sheetData>
    <row r="1" spans="1:17">
      <c r="A1" s="23" t="s">
        <v>40</v>
      </c>
      <c r="L1" s="36" t="s">
        <v>125</v>
      </c>
      <c r="M1" s="36" t="s">
        <v>194</v>
      </c>
      <c r="N1" s="36" t="s">
        <v>195</v>
      </c>
    </row>
    <row r="2" spans="1:17">
      <c r="A2" s="38"/>
      <c r="B2" s="83"/>
      <c r="C2" s="104" t="s">
        <v>64</v>
      </c>
      <c r="D2" s="104"/>
      <c r="E2" s="104" t="s">
        <v>65</v>
      </c>
      <c r="F2" s="104"/>
      <c r="G2" s="104" t="s">
        <v>67</v>
      </c>
      <c r="H2" s="104"/>
      <c r="I2" s="104" t="s">
        <v>84</v>
      </c>
      <c r="J2" s="104"/>
    </row>
    <row r="3" spans="1:17">
      <c r="A3" s="38"/>
      <c r="B3" s="38"/>
      <c r="C3" s="54" t="s">
        <v>4</v>
      </c>
      <c r="D3" s="54" t="s">
        <v>5</v>
      </c>
      <c r="E3" s="54" t="s">
        <v>49</v>
      </c>
      <c r="F3" s="54" t="s">
        <v>5</v>
      </c>
      <c r="G3" s="54" t="s">
        <v>4</v>
      </c>
      <c r="H3" s="54" t="s">
        <v>5</v>
      </c>
      <c r="I3" s="54" t="s">
        <v>4</v>
      </c>
      <c r="J3" s="54" t="s">
        <v>5</v>
      </c>
    </row>
    <row r="4" spans="1:17">
      <c r="A4" s="39" t="s">
        <v>29</v>
      </c>
      <c r="B4" s="39" t="s">
        <v>42</v>
      </c>
      <c r="C4" s="39">
        <v>21</v>
      </c>
      <c r="D4" s="39">
        <v>21</v>
      </c>
      <c r="E4" s="39">
        <v>21</v>
      </c>
      <c r="F4" s="39">
        <v>21</v>
      </c>
      <c r="G4" s="39">
        <v>21</v>
      </c>
      <c r="H4" s="39">
        <v>21</v>
      </c>
      <c r="I4" s="39">
        <v>21</v>
      </c>
      <c r="J4" s="39">
        <v>21</v>
      </c>
    </row>
    <row r="5" spans="1:17">
      <c r="A5" s="39"/>
      <c r="B5" s="39" t="s">
        <v>43</v>
      </c>
      <c r="C5" s="39">
        <v>-3</v>
      </c>
      <c r="D5" s="39">
        <v>-3</v>
      </c>
      <c r="E5" s="39">
        <v>-3</v>
      </c>
      <c r="F5" s="39">
        <v>-3</v>
      </c>
      <c r="G5" s="39">
        <v>-3</v>
      </c>
      <c r="H5" s="39">
        <v>-3</v>
      </c>
      <c r="I5" s="39">
        <v>-3</v>
      </c>
      <c r="J5" s="39">
        <v>-3</v>
      </c>
    </row>
    <row r="6" spans="1:17">
      <c r="A6" s="39"/>
      <c r="B6" s="39" t="s">
        <v>44</v>
      </c>
      <c r="C6" s="39">
        <v>1.5</v>
      </c>
      <c r="D6" s="39">
        <v>1.5</v>
      </c>
      <c r="E6" s="39">
        <v>1.5</v>
      </c>
      <c r="F6" s="39">
        <v>1.5</v>
      </c>
      <c r="G6" s="39">
        <v>1.5</v>
      </c>
      <c r="H6" s="39">
        <v>1.5</v>
      </c>
      <c r="I6" s="39">
        <v>1.5</v>
      </c>
      <c r="J6" s="39">
        <v>1.5</v>
      </c>
    </row>
    <row r="7" spans="1:17">
      <c r="A7" s="39" t="s">
        <v>30</v>
      </c>
      <c r="B7" s="39" t="s">
        <v>45</v>
      </c>
      <c r="C7" s="39">
        <v>-15</v>
      </c>
      <c r="D7" s="39">
        <v>-15</v>
      </c>
      <c r="E7" s="39">
        <v>-13</v>
      </c>
      <c r="F7" s="39">
        <v>-13</v>
      </c>
      <c r="G7" s="39">
        <v>-11</v>
      </c>
      <c r="H7" s="39">
        <v>-11</v>
      </c>
      <c r="I7" s="39">
        <v>-9</v>
      </c>
      <c r="J7" s="39">
        <v>-9</v>
      </c>
    </row>
    <row r="8" spans="1:17">
      <c r="A8" s="39"/>
      <c r="B8" s="39" t="s">
        <v>46</v>
      </c>
      <c r="C8" s="39">
        <v>-15</v>
      </c>
      <c r="D8" s="39">
        <v>-15</v>
      </c>
      <c r="E8" s="39">
        <v>-12</v>
      </c>
      <c r="F8" s="39">
        <v>-12</v>
      </c>
      <c r="G8" s="39">
        <v>-6</v>
      </c>
      <c r="H8" s="39">
        <v>-6</v>
      </c>
      <c r="I8" s="39">
        <v>0</v>
      </c>
      <c r="J8" s="39">
        <v>0</v>
      </c>
    </row>
    <row r="9" spans="1:17">
      <c r="A9" s="39" t="s">
        <v>31</v>
      </c>
      <c r="B9" s="39" t="s">
        <v>47</v>
      </c>
      <c r="C9" s="39">
        <v>-3</v>
      </c>
      <c r="D9" s="39">
        <v>-3</v>
      </c>
      <c r="E9" s="39">
        <v>-3</v>
      </c>
      <c r="F9" s="39">
        <v>-3</v>
      </c>
      <c r="G9" s="39">
        <v>-3</v>
      </c>
      <c r="H9" s="39">
        <v>-3</v>
      </c>
      <c r="I9" s="39">
        <v>-3</v>
      </c>
      <c r="J9" s="39">
        <v>-3</v>
      </c>
      <c r="Q9">
        <f>10*LOG(0.125)+30</f>
        <v>20.969100130080562</v>
      </c>
    </row>
    <row r="10" spans="1:17">
      <c r="A10" s="39"/>
      <c r="B10" s="39" t="s">
        <v>44</v>
      </c>
      <c r="C10" s="39">
        <v>18</v>
      </c>
      <c r="D10" s="39">
        <v>18</v>
      </c>
      <c r="E10" s="39">
        <v>18</v>
      </c>
      <c r="F10" s="39">
        <v>18</v>
      </c>
      <c r="G10" s="39">
        <v>18</v>
      </c>
      <c r="H10" s="39">
        <v>18</v>
      </c>
      <c r="I10" s="39">
        <v>18</v>
      </c>
      <c r="J10" s="39">
        <v>18</v>
      </c>
    </row>
    <row r="11" spans="1:17">
      <c r="A11" s="39"/>
      <c r="B11" s="39" t="s">
        <v>48</v>
      </c>
      <c r="C11" s="39">
        <v>119</v>
      </c>
      <c r="D11" s="39">
        <v>117</v>
      </c>
      <c r="E11" s="39">
        <v>119</v>
      </c>
      <c r="F11" s="39">
        <v>117</v>
      </c>
      <c r="G11" s="39">
        <v>119</v>
      </c>
      <c r="H11" s="39">
        <v>117</v>
      </c>
      <c r="I11" s="39">
        <v>119</v>
      </c>
      <c r="J11" s="39">
        <v>117</v>
      </c>
    </row>
    <row r="12" spans="1:17">
      <c r="A12" s="43" t="s">
        <v>50</v>
      </c>
      <c r="B12" s="44"/>
      <c r="C12" s="44">
        <f>SUM(C4:C11)</f>
        <v>123.5</v>
      </c>
      <c r="D12" s="43">
        <f t="shared" ref="D12:H12" si="0">SUM(D4:D11)</f>
        <v>121.5</v>
      </c>
      <c r="E12" s="44">
        <f t="shared" si="0"/>
        <v>128.5</v>
      </c>
      <c r="F12" s="43">
        <f t="shared" si="0"/>
        <v>126.5</v>
      </c>
      <c r="G12" s="44">
        <f t="shared" si="0"/>
        <v>136.5</v>
      </c>
      <c r="H12" s="43">
        <f t="shared" si="0"/>
        <v>134.5</v>
      </c>
      <c r="I12" s="44">
        <f t="shared" ref="I12:J12" si="1">SUM(I4:I11)</f>
        <v>144.5</v>
      </c>
      <c r="J12" s="43">
        <f t="shared" si="1"/>
        <v>142.5</v>
      </c>
    </row>
    <row r="13" spans="1:17">
      <c r="D13" s="7"/>
      <c r="F13" s="7"/>
      <c r="L13" s="36">
        <v>0.25</v>
      </c>
      <c r="M13" s="36">
        <v>1</v>
      </c>
      <c r="N13" s="36">
        <f>L13*M13</f>
        <v>0.25</v>
      </c>
    </row>
    <row r="14" spans="1:17">
      <c r="A14" s="45"/>
      <c r="B14" s="84" t="s">
        <v>64</v>
      </c>
      <c r="C14" s="84" t="s">
        <v>65</v>
      </c>
      <c r="D14" s="84" t="s">
        <v>72</v>
      </c>
      <c r="E14" s="84" t="s">
        <v>73</v>
      </c>
    </row>
    <row r="15" spans="1:17">
      <c r="A15" s="39" t="s">
        <v>38</v>
      </c>
      <c r="B15" s="39">
        <v>30</v>
      </c>
      <c r="C15" s="39">
        <v>25</v>
      </c>
      <c r="D15" s="39">
        <v>35</v>
      </c>
      <c r="E15" s="39">
        <v>40</v>
      </c>
    </row>
    <row r="16" spans="1:17">
      <c r="A16" s="39" t="s">
        <v>16</v>
      </c>
      <c r="B16" s="39">
        <v>1.72</v>
      </c>
      <c r="C16" s="39">
        <v>1.72</v>
      </c>
      <c r="D16" s="39">
        <v>1.72</v>
      </c>
      <c r="E16" s="39">
        <v>1.72</v>
      </c>
    </row>
    <row r="17" spans="1:14">
      <c r="A17" s="39" t="s">
        <v>37</v>
      </c>
      <c r="B17" s="39">
        <v>1800</v>
      </c>
      <c r="C17" s="39">
        <v>1800</v>
      </c>
      <c r="D17" s="39">
        <v>1800</v>
      </c>
      <c r="E17" s="39">
        <v>1800</v>
      </c>
    </row>
    <row r="18" spans="1:14">
      <c r="A18" s="45" t="s">
        <v>12</v>
      </c>
      <c r="B18" s="92" t="s">
        <v>17</v>
      </c>
      <c r="C18" s="92" t="s">
        <v>18</v>
      </c>
      <c r="D18" s="92" t="s">
        <v>18</v>
      </c>
      <c r="E18" s="92" t="s">
        <v>18</v>
      </c>
    </row>
    <row r="19" spans="1:14">
      <c r="A19" s="39" t="s">
        <v>36</v>
      </c>
      <c r="B19" s="39">
        <v>46.3</v>
      </c>
      <c r="C19" s="39">
        <v>46.3</v>
      </c>
      <c r="D19" s="39">
        <v>46.3</v>
      </c>
      <c r="E19" s="39">
        <v>46.3</v>
      </c>
    </row>
    <row r="20" spans="1:14">
      <c r="A20" s="39" t="s">
        <v>39</v>
      </c>
      <c r="B20" s="39">
        <v>33.9</v>
      </c>
      <c r="C20" s="39">
        <v>33.9</v>
      </c>
      <c r="D20" s="39">
        <v>33.9</v>
      </c>
      <c r="E20" s="39">
        <v>33.9</v>
      </c>
    </row>
    <row r="21" spans="1:14">
      <c r="A21" s="45" t="s">
        <v>15</v>
      </c>
      <c r="B21" s="45">
        <f>3.2*LOG(11.75*B16)^2-4.97</f>
        <v>0.48441087675501127</v>
      </c>
      <c r="C21" s="45">
        <f>(1.1*LOG(C17)-0.7)*C16-(1.56*LOG(C17)-0.8)</f>
        <v>0.67675047169429803</v>
      </c>
      <c r="D21" s="45">
        <f>(1.1*LOG(D17)-0.7)*D16-(1.56*LOG(D17)-0.8)</f>
        <v>0.67675047169429803</v>
      </c>
      <c r="E21" s="45">
        <f>(1.1*LOG(E17)-0.7)*E16-(1.56*LOG(E17)-0.8)</f>
        <v>0.67675047169429803</v>
      </c>
    </row>
    <row r="22" spans="1:14">
      <c r="A22" s="45" t="s">
        <v>13</v>
      </c>
      <c r="B22" s="45">
        <f>(47.88+13.9*LOG(B17)-13.82*LOG(B15))/LOG(50)</f>
        <v>42.799150011555419</v>
      </c>
      <c r="C22" s="45">
        <f>44.9-6.55*LOG(C15)</f>
        <v>35.743492943198149</v>
      </c>
      <c r="D22" s="45">
        <f>44.9-6.55*LOG(D15)</f>
        <v>34.786354309505697</v>
      </c>
      <c r="E22" s="45">
        <f>44.9-6.55*LOG(E15)</f>
        <v>34.406507056801843</v>
      </c>
    </row>
    <row r="23" spans="1:14">
      <c r="A23" s="45" t="s">
        <v>14</v>
      </c>
      <c r="B23" s="45">
        <v>0</v>
      </c>
      <c r="C23" s="45">
        <f>-2*(LOG(C17/28)^2)-5.4</f>
        <v>-11.938555900448664</v>
      </c>
      <c r="D23" s="45">
        <f>-4.78*(LOG(D17)^2)+18.33*LOG(D17)-40.94</f>
        <v>-31.92355459571823</v>
      </c>
      <c r="E23" s="45">
        <f>-4.78*(LOG(E17)^2)+18.33*LOG(E17)-40.94</f>
        <v>-31.92355459571823</v>
      </c>
    </row>
    <row r="24" spans="1:14">
      <c r="A24" s="45"/>
      <c r="B24" s="45"/>
      <c r="C24" s="45"/>
      <c r="D24" s="45"/>
      <c r="E24" s="45"/>
    </row>
    <row r="25" spans="1:14">
      <c r="A25" s="45" t="s">
        <v>19</v>
      </c>
      <c r="B25" s="53">
        <f>D12-B19-B20*LOG(B17)+13.82*LOG(B15)+B21-B23</f>
        <v>-14.255511306021326</v>
      </c>
      <c r="C25" s="53">
        <f>F12-C19-C20*LOG(C17)+13.82*LOG(C15)+C21-C23</f>
        <v>1.7810993689884551</v>
      </c>
      <c r="D25" s="53">
        <f>H12-D19-D20*LOG(D17)+13.82*LOG(D15)+D21-D23</f>
        <v>31.785587517331269</v>
      </c>
      <c r="E25" s="53">
        <f>J12-E19-E20*LOG(E17)+13.82*LOG(E15)+E21-E23</f>
        <v>40.587036224562894</v>
      </c>
    </row>
    <row r="26" spans="1:14">
      <c r="A26" s="45"/>
      <c r="B26" s="45"/>
      <c r="C26" s="45"/>
      <c r="D26" s="45"/>
      <c r="E26" s="45"/>
    </row>
    <row r="27" spans="1:14">
      <c r="A27" s="43" t="s">
        <v>0</v>
      </c>
      <c r="B27" s="43">
        <f>10^(B25/B22)</f>
        <v>0.46443045531605187</v>
      </c>
      <c r="C27" s="43">
        <f>10^(C25/C22)</f>
        <v>1.1215794185531298</v>
      </c>
      <c r="D27" s="43">
        <f t="shared" ref="D27:E27" si="2">10^(D25/D22)</f>
        <v>8.1985536704778923</v>
      </c>
      <c r="E27" s="43">
        <f t="shared" si="2"/>
        <v>15.122812462674428</v>
      </c>
      <c r="F27" s="5"/>
      <c r="G27" s="5"/>
      <c r="H27" s="5"/>
      <c r="I27" s="5"/>
    </row>
    <row r="28" spans="1:14">
      <c r="L28" s="36">
        <v>0.3</v>
      </c>
      <c r="M28" s="36">
        <v>1</v>
      </c>
      <c r="N28" s="36">
        <f t="shared" ref="N28:N65" si="3">L28*M28</f>
        <v>0.3</v>
      </c>
    </row>
    <row r="29" spans="1:14">
      <c r="A29" s="24" t="s">
        <v>74</v>
      </c>
      <c r="B29" s="6"/>
      <c r="C29" s="6"/>
      <c r="D29" s="6"/>
      <c r="E29" s="6"/>
      <c r="F29" s="6"/>
      <c r="G29" s="6"/>
      <c r="H29" s="6"/>
      <c r="I29" s="6"/>
    </row>
    <row r="30" spans="1:14">
      <c r="A30" s="39" t="s">
        <v>20</v>
      </c>
      <c r="B30" s="54">
        <f>'UMTS (3, ptos)'!B31</f>
        <v>653.79999999999995</v>
      </c>
      <c r="C30" s="6"/>
      <c r="D30" s="6"/>
      <c r="E30" s="6"/>
      <c r="F30" s="6"/>
      <c r="G30" s="6"/>
      <c r="H30" s="6"/>
      <c r="I30" s="6"/>
    </row>
    <row r="31" spans="1:14">
      <c r="A31" s="39" t="s">
        <v>66</v>
      </c>
      <c r="B31" s="54">
        <f>'UMTS (3, ptos)'!B32</f>
        <v>621108</v>
      </c>
      <c r="C31" s="6"/>
      <c r="D31" s="6"/>
      <c r="E31" s="6"/>
      <c r="F31" s="6"/>
      <c r="G31" s="6"/>
      <c r="H31" s="6"/>
      <c r="I31" s="6"/>
    </row>
    <row r="32" spans="1:14">
      <c r="A32" s="38"/>
      <c r="B32" s="105" t="s">
        <v>64</v>
      </c>
      <c r="C32" s="105"/>
      <c r="D32" s="105" t="s">
        <v>65</v>
      </c>
      <c r="E32" s="105"/>
      <c r="F32" s="105" t="s">
        <v>63</v>
      </c>
      <c r="G32" s="105"/>
      <c r="H32" s="105" t="s">
        <v>84</v>
      </c>
      <c r="I32" s="105"/>
    </row>
    <row r="33" spans="1:14">
      <c r="A33" s="39" t="s">
        <v>51</v>
      </c>
      <c r="B33" s="40">
        <f>'UMTS (3, ptos)'!B34</f>
        <v>0.1</v>
      </c>
      <c r="C33" s="40">
        <f>'UMTS (3, ptos)'!C34</f>
        <v>0.1</v>
      </c>
      <c r="D33" s="40">
        <f>'UMTS (3, ptos)'!D34</f>
        <v>0.15</v>
      </c>
      <c r="E33" s="40">
        <f>'UMTS (3, ptos)'!E34</f>
        <v>0.15</v>
      </c>
      <c r="F33" s="40">
        <f>'UMTS (3, ptos)'!F34</f>
        <v>0.3</v>
      </c>
      <c r="G33" s="40">
        <f>'UMTS (3, ptos)'!G34</f>
        <v>0.3</v>
      </c>
      <c r="H33" s="40">
        <f>'UMTS (3, ptos)'!H34</f>
        <v>0.45</v>
      </c>
      <c r="I33" s="40">
        <f>'UMTS (3, ptos)'!I34</f>
        <v>0.45</v>
      </c>
    </row>
    <row r="34" spans="1:14">
      <c r="A34" s="38" t="s">
        <v>52</v>
      </c>
      <c r="B34" s="38">
        <f t="shared" ref="B34:G34" si="4">B33*$B$30</f>
        <v>65.38</v>
      </c>
      <c r="C34" s="38">
        <f t="shared" si="4"/>
        <v>65.38</v>
      </c>
      <c r="D34" s="38">
        <f t="shared" si="4"/>
        <v>98.07</v>
      </c>
      <c r="E34" s="38">
        <f t="shared" si="4"/>
        <v>98.07</v>
      </c>
      <c r="F34" s="38">
        <f t="shared" si="4"/>
        <v>196.14</v>
      </c>
      <c r="G34" s="38">
        <f t="shared" si="4"/>
        <v>196.14</v>
      </c>
      <c r="H34" s="38">
        <f t="shared" ref="H34:I34" si="5">H33*$B$30</f>
        <v>294.20999999999998</v>
      </c>
      <c r="I34" s="38">
        <f t="shared" si="5"/>
        <v>294.20999999999998</v>
      </c>
    </row>
    <row r="35" spans="1:14">
      <c r="A35" s="39" t="s">
        <v>21</v>
      </c>
      <c r="B35" s="40">
        <f>'UMTS (3, ptos)'!B36</f>
        <v>0.53</v>
      </c>
      <c r="C35" s="40">
        <f>'UMTS (3, ptos)'!C36</f>
        <v>0.53</v>
      </c>
      <c r="D35" s="40">
        <f>'UMTS (3, ptos)'!D36</f>
        <v>0.28999999999999998</v>
      </c>
      <c r="E35" s="40">
        <f>'UMTS (3, ptos)'!E36</f>
        <v>0.28999999999999998</v>
      </c>
      <c r="F35" s="40">
        <f>'UMTS (3, ptos)'!F36</f>
        <v>0.15</v>
      </c>
      <c r="G35" s="40">
        <f>'UMTS (3, ptos)'!G36</f>
        <v>0.15</v>
      </c>
      <c r="H35" s="40">
        <f>'UMTS (3, ptos)'!H36</f>
        <v>0.03</v>
      </c>
      <c r="I35" s="40">
        <f>'UMTS (3, ptos)'!I36</f>
        <v>0.03</v>
      </c>
    </row>
    <row r="36" spans="1:14">
      <c r="A36" s="38" t="s">
        <v>53</v>
      </c>
      <c r="B36" s="38">
        <f t="shared" ref="B36:G36" si="6">B35*$B$31</f>
        <v>329187.24</v>
      </c>
      <c r="C36" s="38">
        <f t="shared" si="6"/>
        <v>329187.24</v>
      </c>
      <c r="D36" s="38">
        <f t="shared" si="6"/>
        <v>180121.31999999998</v>
      </c>
      <c r="E36" s="38">
        <f t="shared" si="6"/>
        <v>180121.31999999998</v>
      </c>
      <c r="F36" s="38">
        <f t="shared" si="6"/>
        <v>93166.2</v>
      </c>
      <c r="G36" s="38">
        <f t="shared" si="6"/>
        <v>93166.2</v>
      </c>
      <c r="H36" s="38">
        <f t="shared" ref="H36" si="7">H35*$B$31</f>
        <v>18633.239999999998</v>
      </c>
      <c r="I36" s="38">
        <f t="shared" ref="I36" si="8">I35*$B$31</f>
        <v>18633.239999999998</v>
      </c>
    </row>
    <row r="37" spans="1:14">
      <c r="A37" s="38" t="s">
        <v>54</v>
      </c>
      <c r="B37" s="41">
        <f>'UMTS (3, ptos)'!B38</f>
        <v>1.1000000000000001</v>
      </c>
      <c r="C37" s="41">
        <f>'UMTS (3, ptos)'!C38</f>
        <v>1.1000000000000001</v>
      </c>
      <c r="D37" s="41">
        <f>'UMTS (3, ptos)'!D38</f>
        <v>1.1000000000000001</v>
      </c>
      <c r="E37" s="41">
        <f>'UMTS (3, ptos)'!E38</f>
        <v>1.1000000000000001</v>
      </c>
      <c r="F37" s="41">
        <f>'UMTS (3, ptos)'!F38</f>
        <v>1.1000000000000001</v>
      </c>
      <c r="G37" s="41">
        <f>'UMTS (3, ptos)'!G38</f>
        <v>1.1000000000000001</v>
      </c>
      <c r="H37" s="41">
        <f>'UMTS (3, ptos)'!H38</f>
        <v>1.1000000000000001</v>
      </c>
      <c r="I37" s="41">
        <f>'UMTS (3, ptos)'!I38</f>
        <v>1.1000000000000001</v>
      </c>
    </row>
    <row r="38" spans="1:14">
      <c r="A38" s="38" t="s">
        <v>55</v>
      </c>
      <c r="B38" s="42">
        <f>'UMTS (3, ptos)'!B39</f>
        <v>0.29699999999999999</v>
      </c>
      <c r="C38" s="42">
        <f>'UMTS (3, ptos)'!C39</f>
        <v>0.29699999999999999</v>
      </c>
      <c r="D38" s="42">
        <f>'UMTS (3, ptos)'!D39</f>
        <v>0.29699999999999999</v>
      </c>
      <c r="E38" s="42">
        <f>'UMTS (3, ptos)'!E39</f>
        <v>0.29699999999999999</v>
      </c>
      <c r="F38" s="42">
        <f>'UMTS (3, ptos)'!F39</f>
        <v>0.29699999999999999</v>
      </c>
      <c r="G38" s="42">
        <f>'UMTS (3, ptos)'!G39</f>
        <v>0.29699999999999999</v>
      </c>
      <c r="H38" s="42">
        <f>'UMTS (3, ptos)'!H39</f>
        <v>0.29699999999999999</v>
      </c>
      <c r="I38" s="42">
        <f>'UMTS (3, ptos)'!I39</f>
        <v>0.29699999999999999</v>
      </c>
    </row>
    <row r="39" spans="1:14">
      <c r="A39" s="38" t="s">
        <v>56</v>
      </c>
      <c r="B39" s="38">
        <f>B36*B37*B38</f>
        <v>107545.47130800001</v>
      </c>
      <c r="C39" s="38">
        <f t="shared" ref="C39:F39" si="9">C36*C37*C38</f>
        <v>107545.47130800001</v>
      </c>
      <c r="D39" s="38">
        <f t="shared" si="9"/>
        <v>58845.635243999997</v>
      </c>
      <c r="E39" s="38">
        <f t="shared" si="9"/>
        <v>58845.635243999997</v>
      </c>
      <c r="F39" s="38">
        <f t="shared" si="9"/>
        <v>30437.397540000002</v>
      </c>
      <c r="G39" s="38">
        <f>G36*G37*G38</f>
        <v>30437.397540000002</v>
      </c>
      <c r="H39" s="38">
        <f t="shared" ref="H39" si="10">H36*H37*H38</f>
        <v>6087.4795079999994</v>
      </c>
      <c r="I39" s="38">
        <f>I36*I37*I38</f>
        <v>6087.4795079999994</v>
      </c>
    </row>
    <row r="40" spans="1:14">
      <c r="A40" s="38"/>
      <c r="B40" s="38"/>
      <c r="C40" s="38"/>
      <c r="D40" s="38"/>
      <c r="E40" s="38"/>
      <c r="F40" s="38"/>
      <c r="G40" s="38"/>
      <c r="H40" s="38"/>
      <c r="I40" s="38"/>
    </row>
    <row r="41" spans="1:14">
      <c r="A41" s="41" t="s">
        <v>27</v>
      </c>
      <c r="B41" s="41">
        <v>1</v>
      </c>
      <c r="C41" s="41">
        <v>1</v>
      </c>
      <c r="D41" s="41">
        <v>1</v>
      </c>
      <c r="E41" s="41">
        <v>0.9</v>
      </c>
      <c r="F41" s="41">
        <v>1</v>
      </c>
      <c r="G41" s="41">
        <v>0.85</v>
      </c>
      <c r="H41" s="41">
        <v>1</v>
      </c>
      <c r="I41" s="41">
        <v>0.85</v>
      </c>
    </row>
    <row r="42" spans="1:14">
      <c r="A42" s="38" t="s">
        <v>57</v>
      </c>
      <c r="B42" s="38">
        <f>B39*B41</f>
        <v>107545.47130800001</v>
      </c>
      <c r="C42" s="38">
        <f t="shared" ref="C42:G42" si="11">C39*C41</f>
        <v>107545.47130800001</v>
      </c>
      <c r="D42" s="38">
        <f t="shared" si="11"/>
        <v>58845.635243999997</v>
      </c>
      <c r="E42" s="38">
        <f t="shared" si="11"/>
        <v>52961.071719599997</v>
      </c>
      <c r="F42" s="38">
        <f t="shared" si="11"/>
        <v>30437.397540000002</v>
      </c>
      <c r="G42" s="38">
        <f t="shared" si="11"/>
        <v>25871.787909000002</v>
      </c>
      <c r="H42" s="38">
        <f t="shared" ref="H42:I42" si="12">H39*H41</f>
        <v>6087.4795079999994</v>
      </c>
      <c r="I42" s="38">
        <f t="shared" si="12"/>
        <v>5174.357581799999</v>
      </c>
    </row>
    <row r="43" spans="1:14">
      <c r="A43" s="43" t="s">
        <v>58</v>
      </c>
      <c r="B43" s="43">
        <f t="shared" ref="B43:G43" si="13">B42/B34</f>
        <v>1644.9292032425822</v>
      </c>
      <c r="C43" s="43">
        <f t="shared" si="13"/>
        <v>1644.9292032425822</v>
      </c>
      <c r="D43" s="43">
        <f t="shared" si="13"/>
        <v>600.03706784949532</v>
      </c>
      <c r="E43" s="43">
        <f t="shared" si="13"/>
        <v>540.03336106454572</v>
      </c>
      <c r="F43" s="43">
        <f t="shared" si="13"/>
        <v>155.18200030590395</v>
      </c>
      <c r="G43" s="43">
        <f t="shared" si="13"/>
        <v>131.90470026001839</v>
      </c>
      <c r="H43" s="43">
        <f t="shared" ref="H43" si="14">H42/H34</f>
        <v>20.690933374120526</v>
      </c>
      <c r="I43" s="43">
        <f t="shared" ref="I43" si="15">I42/I34</f>
        <v>17.587293368002445</v>
      </c>
      <c r="L43" s="36">
        <v>0.15</v>
      </c>
      <c r="M43" s="36">
        <v>1</v>
      </c>
      <c r="N43" s="36">
        <f t="shared" ref="N43" si="16">L43*M43</f>
        <v>0.15</v>
      </c>
    </row>
    <row r="45" spans="1:14">
      <c r="A45" s="55" t="s">
        <v>132</v>
      </c>
      <c r="B45" s="104" t="s">
        <v>64</v>
      </c>
      <c r="C45" s="104"/>
      <c r="D45" s="104" t="s">
        <v>65</v>
      </c>
      <c r="E45" s="104"/>
      <c r="F45" s="104" t="s">
        <v>63</v>
      </c>
      <c r="G45" s="104"/>
      <c r="H45" s="104" t="s">
        <v>84</v>
      </c>
      <c r="I45" s="104"/>
    </row>
    <row r="46" spans="1:14">
      <c r="A46" s="38" t="s">
        <v>133</v>
      </c>
      <c r="B46" s="107">
        <v>9</v>
      </c>
      <c r="C46" s="107"/>
      <c r="D46" s="107">
        <v>9</v>
      </c>
      <c r="E46" s="107"/>
      <c r="F46" s="107">
        <v>9</v>
      </c>
      <c r="G46" s="107"/>
      <c r="H46" s="107">
        <v>9</v>
      </c>
      <c r="I46" s="107"/>
    </row>
    <row r="47" spans="1:14">
      <c r="A47" s="38" t="s">
        <v>134</v>
      </c>
      <c r="B47" s="107">
        <v>3</v>
      </c>
      <c r="C47" s="107"/>
      <c r="D47" s="107">
        <v>3</v>
      </c>
      <c r="E47" s="107"/>
      <c r="F47" s="107">
        <v>3</v>
      </c>
      <c r="G47" s="107"/>
      <c r="H47" s="107">
        <v>3</v>
      </c>
      <c r="I47" s="107"/>
    </row>
    <row r="48" spans="1:14">
      <c r="A48" s="38" t="s">
        <v>135</v>
      </c>
      <c r="B48" s="107">
        <f>B46/0.2/B47</f>
        <v>15</v>
      </c>
      <c r="C48" s="107"/>
      <c r="D48" s="107">
        <f t="shared" ref="D48" si="17">D46/0.2/D47</f>
        <v>15</v>
      </c>
      <c r="E48" s="107"/>
      <c r="F48" s="107">
        <f t="shared" ref="F48" si="18">F46/0.2/F47</f>
        <v>15</v>
      </c>
      <c r="G48" s="107"/>
      <c r="H48" s="107">
        <f t="shared" ref="H48" si="19">H46/0.2/H47</f>
        <v>15</v>
      </c>
      <c r="I48" s="107"/>
    </row>
    <row r="49" spans="1:14">
      <c r="A49" s="38" t="s">
        <v>136</v>
      </c>
      <c r="B49" s="107">
        <v>3</v>
      </c>
      <c r="C49" s="107"/>
      <c r="D49" s="107">
        <v>3</v>
      </c>
      <c r="E49" s="107"/>
      <c r="F49" s="107">
        <v>3</v>
      </c>
      <c r="G49" s="107"/>
      <c r="H49" s="107">
        <v>3</v>
      </c>
      <c r="I49" s="107"/>
    </row>
    <row r="50" spans="1:14">
      <c r="A50" s="43" t="s">
        <v>137</v>
      </c>
      <c r="B50" s="108">
        <f>ROUNDDOWN(B48/B49,0)</f>
        <v>5</v>
      </c>
      <c r="C50" s="108"/>
      <c r="D50" s="108">
        <f t="shared" ref="D50" si="20">ROUNDDOWN(D48/D49,0)</f>
        <v>5</v>
      </c>
      <c r="E50" s="108"/>
      <c r="F50" s="108">
        <f t="shared" ref="F50" si="21">ROUNDDOWN(F48/F49,0)</f>
        <v>5</v>
      </c>
      <c r="G50" s="108"/>
      <c r="H50" s="108">
        <f t="shared" ref="H50" si="22">ROUNDDOWN(H48/H49,0)</f>
        <v>5</v>
      </c>
      <c r="I50" s="108"/>
      <c r="L50" s="36">
        <v>0.5</v>
      </c>
      <c r="M50" s="36">
        <v>1</v>
      </c>
      <c r="N50" s="36">
        <f>L50*M50</f>
        <v>0.5</v>
      </c>
    </row>
    <row r="51" spans="1:14">
      <c r="B51" s="101"/>
      <c r="C51" s="102"/>
      <c r="D51" s="101"/>
      <c r="E51" s="102"/>
      <c r="F51" s="101"/>
      <c r="G51" s="102"/>
      <c r="H51" s="101"/>
      <c r="I51" s="102"/>
    </row>
    <row r="54" spans="1:14">
      <c r="B54" s="91" t="s">
        <v>4</v>
      </c>
      <c r="C54" s="91" t="s">
        <v>5</v>
      </c>
      <c r="D54" s="91" t="s">
        <v>4</v>
      </c>
      <c r="E54" s="91" t="s">
        <v>5</v>
      </c>
      <c r="F54" s="91" t="s">
        <v>4</v>
      </c>
      <c r="G54" s="91" t="s">
        <v>5</v>
      </c>
      <c r="H54" s="91" t="s">
        <v>4</v>
      </c>
      <c r="I54" s="91" t="s">
        <v>5</v>
      </c>
    </row>
    <row r="55" spans="1:14">
      <c r="A55" s="24" t="s">
        <v>82</v>
      </c>
      <c r="B55" s="104" t="s">
        <v>64</v>
      </c>
      <c r="C55" s="104"/>
      <c r="D55" s="104" t="s">
        <v>65</v>
      </c>
      <c r="E55" s="104"/>
      <c r="F55" s="104" t="s">
        <v>63</v>
      </c>
      <c r="G55" s="104"/>
      <c r="H55" s="104" t="s">
        <v>84</v>
      </c>
      <c r="I55" s="104"/>
    </row>
    <row r="56" spans="1:14">
      <c r="A56" s="35" t="s">
        <v>102</v>
      </c>
      <c r="B56" s="56">
        <f>B50</f>
        <v>5</v>
      </c>
      <c r="C56" s="56"/>
      <c r="D56" s="56">
        <f>D50</f>
        <v>5</v>
      </c>
      <c r="E56" s="56"/>
      <c r="F56" s="56">
        <f>F50</f>
        <v>5</v>
      </c>
      <c r="G56" s="56"/>
      <c r="H56" s="56">
        <f>H50</f>
        <v>5</v>
      </c>
      <c r="I56" s="56"/>
    </row>
    <row r="57" spans="1:14">
      <c r="A57" s="38"/>
      <c r="B57" s="106">
        <f>B56*7</f>
        <v>35</v>
      </c>
      <c r="C57" s="106"/>
      <c r="D57" s="106">
        <f t="shared" ref="D57" si="23">D56*7</f>
        <v>35</v>
      </c>
      <c r="E57" s="106"/>
      <c r="F57" s="106">
        <f t="shared" ref="F57" si="24">F56*7</f>
        <v>35</v>
      </c>
      <c r="G57" s="106"/>
      <c r="H57" s="106">
        <f t="shared" ref="H57" si="25">H56*7</f>
        <v>35</v>
      </c>
      <c r="I57" s="106"/>
    </row>
    <row r="58" spans="1:14">
      <c r="A58" s="38"/>
      <c r="B58" s="105" t="s">
        <v>64</v>
      </c>
      <c r="C58" s="105"/>
      <c r="D58" s="105" t="s">
        <v>65</v>
      </c>
      <c r="E58" s="105"/>
      <c r="F58" s="105" t="s">
        <v>69</v>
      </c>
      <c r="G58" s="105"/>
      <c r="H58" s="105" t="s">
        <v>70</v>
      </c>
      <c r="I58" s="105"/>
    </row>
    <row r="59" spans="1:14">
      <c r="A59" s="38"/>
      <c r="B59" s="38" t="s">
        <v>4</v>
      </c>
      <c r="C59" s="38" t="s">
        <v>5</v>
      </c>
      <c r="D59" s="38"/>
      <c r="E59" s="38"/>
      <c r="F59" s="38"/>
      <c r="G59" s="38"/>
      <c r="H59" s="38"/>
      <c r="I59" s="38"/>
    </row>
    <row r="60" spans="1:14">
      <c r="A60" s="38" t="s">
        <v>59</v>
      </c>
      <c r="B60" s="38">
        <v>11</v>
      </c>
      <c r="C60" s="57">
        <f>ROUNDDOWN((B57-B60)/2,0)</f>
        <v>12</v>
      </c>
      <c r="D60" s="38">
        <v>13</v>
      </c>
      <c r="E60" s="57">
        <f>ROUNDDOWN((D57-D60)/2,0)</f>
        <v>11</v>
      </c>
      <c r="F60" s="38">
        <v>9</v>
      </c>
      <c r="G60" s="57">
        <f>ROUNDDOWN((F57-F60)/2,0)</f>
        <v>13</v>
      </c>
      <c r="H60" s="38">
        <v>9</v>
      </c>
      <c r="I60" s="57">
        <f>ROUNDDOWN((H57-H60)/2,0)</f>
        <v>13</v>
      </c>
      <c r="J60" s="2"/>
    </row>
    <row r="61" spans="1:14">
      <c r="A61" s="38" t="s">
        <v>8</v>
      </c>
      <c r="B61" s="58">
        <f>VLOOKUP(B60,Erlang!$A$2:$B$76,2,FALSE)</f>
        <v>5.8415311000000001</v>
      </c>
      <c r="C61" s="58">
        <f>VLOOKUP(C60,Erlang!$A$2:$B$76,2,FALSE)</f>
        <v>6.6147182999999998</v>
      </c>
      <c r="D61" s="58">
        <f>VLOOKUP(D60,Erlang!$A$2:$B$76,2,FALSE)</f>
        <v>7.4015154000000001</v>
      </c>
      <c r="E61" s="58">
        <f>VLOOKUP(E60,Erlang!$A$2:$B$76,2,FALSE)</f>
        <v>5.8415311000000001</v>
      </c>
      <c r="F61" s="58">
        <f>VLOOKUP(F60,Erlang!$A$2:$B$76,2,FALSE)</f>
        <v>4.3447291999999997</v>
      </c>
      <c r="G61" s="58">
        <f>VLOOKUP(G60,Erlang!$A$2:$B$76,2,FALSE)</f>
        <v>7.4015154000000001</v>
      </c>
      <c r="H61" s="58">
        <f>VLOOKUP(H60,Erlang!$A$2:$B$76,2,FALSE)</f>
        <v>4.3447291999999997</v>
      </c>
      <c r="I61" s="58">
        <f>VLOOKUP(I60,Erlang!$A$2:$B$76,2,FALSE)</f>
        <v>7.4015154000000001</v>
      </c>
      <c r="J61" s="2"/>
    </row>
    <row r="62" spans="1:14">
      <c r="A62" s="39" t="s">
        <v>9</v>
      </c>
      <c r="B62" s="39">
        <f>'Tráfico (1 ptos)'!B10</f>
        <v>1.0999999999999999E-2</v>
      </c>
      <c r="C62" s="39">
        <f>'Tráfico (1 ptos)'!C10</f>
        <v>1.2E-2</v>
      </c>
      <c r="D62" s="39">
        <f>'Tráfico (1 ptos)'!D10</f>
        <v>0.01</v>
      </c>
      <c r="E62" s="39">
        <f>'Tráfico (1 ptos)'!E10</f>
        <v>0.01</v>
      </c>
      <c r="F62" s="39">
        <f>'Tráfico (1 ptos)'!F10</f>
        <v>8.0000000000000002E-3</v>
      </c>
      <c r="G62" s="39">
        <f>'Tráfico (1 ptos)'!G10</f>
        <v>1.4999999999999999E-2</v>
      </c>
      <c r="H62" s="39">
        <f>'Tráfico (1 ptos)'!H10</f>
        <v>8.0000000000000002E-3</v>
      </c>
      <c r="I62" s="39">
        <f>'Tráfico (1 ptos)'!I10</f>
        <v>1.4999999999999999E-2</v>
      </c>
      <c r="J62" s="2"/>
    </row>
    <row r="63" spans="1:14">
      <c r="A63" s="38" t="s">
        <v>10</v>
      </c>
      <c r="B63" s="38">
        <f>B61/B62</f>
        <v>531.04828181818186</v>
      </c>
      <c r="C63" s="38">
        <f t="shared" ref="C63:G63" si="26">C61/C62</f>
        <v>551.22652499999992</v>
      </c>
      <c r="D63" s="38">
        <f t="shared" si="26"/>
        <v>740.15153999999995</v>
      </c>
      <c r="E63" s="38">
        <f t="shared" si="26"/>
        <v>584.15310999999997</v>
      </c>
      <c r="F63" s="38">
        <f>F61/F62</f>
        <v>543.09114999999997</v>
      </c>
      <c r="G63" s="38">
        <f t="shared" si="26"/>
        <v>493.43436000000003</v>
      </c>
      <c r="H63" s="38">
        <f>H61/H62</f>
        <v>543.09114999999997</v>
      </c>
      <c r="I63" s="38">
        <f t="shared" ref="I63" si="27">I61/I62</f>
        <v>493.43436000000003</v>
      </c>
      <c r="J63" s="2"/>
    </row>
    <row r="64" spans="1:14">
      <c r="A64" s="43" t="s">
        <v>101</v>
      </c>
      <c r="B64" s="49">
        <v>3</v>
      </c>
      <c r="C64" s="49">
        <v>3</v>
      </c>
      <c r="D64" s="49">
        <v>3</v>
      </c>
      <c r="E64" s="49">
        <v>3</v>
      </c>
      <c r="F64" s="49">
        <v>3</v>
      </c>
      <c r="G64" s="49">
        <v>3</v>
      </c>
      <c r="H64" s="49">
        <v>3</v>
      </c>
      <c r="I64" s="49">
        <v>3</v>
      </c>
      <c r="J64" s="2"/>
    </row>
    <row r="65" spans="1:14">
      <c r="A65" s="43" t="s">
        <v>60</v>
      </c>
      <c r="B65" s="43">
        <f>SQRT(B63*B64/(PI()*B43))</f>
        <v>0.55523788286225795</v>
      </c>
      <c r="C65" s="43">
        <f>SQRT(C63*B64/(PI()*C43))</f>
        <v>0.56568822569201038</v>
      </c>
      <c r="D65" s="43">
        <f t="shared" ref="D65:H65" si="28">SQRT(D63*D64/(PI()*D43))</f>
        <v>1.0853179216193352</v>
      </c>
      <c r="E65" s="43">
        <f>SQRT(E63*D64/(PI()*E43))</f>
        <v>1.0163393550588384</v>
      </c>
      <c r="F65" s="43">
        <f>SQRT(F63*F64/(PI()*F43))</f>
        <v>1.8281060295504301</v>
      </c>
      <c r="G65" s="43">
        <f>SQRT(G63*F64/(PI()*G43))</f>
        <v>1.8900367527956168</v>
      </c>
      <c r="H65" s="43">
        <f t="shared" si="28"/>
        <v>5.0064745494798819</v>
      </c>
      <c r="I65" s="43">
        <f>SQRT(I63*H64/(PI()*I43))</f>
        <v>5.1760788200998746</v>
      </c>
      <c r="J65" s="2"/>
      <c r="L65" s="36">
        <v>0.75</v>
      </c>
      <c r="M65" s="36">
        <v>1</v>
      </c>
      <c r="N65" s="36">
        <f t="shared" si="3"/>
        <v>0.75</v>
      </c>
    </row>
    <row r="66" spans="1:14">
      <c r="H66" s="6"/>
      <c r="I66" s="6"/>
      <c r="J66" s="2"/>
    </row>
    <row r="67" spans="1:14">
      <c r="A67" s="10"/>
      <c r="B67" s="11" t="s">
        <v>64</v>
      </c>
      <c r="C67" s="11" t="s">
        <v>65</v>
      </c>
      <c r="D67" s="11" t="s">
        <v>69</v>
      </c>
      <c r="E67" s="34" t="s">
        <v>84</v>
      </c>
      <c r="F67" s="5"/>
      <c r="G67" s="5"/>
      <c r="H67" s="5"/>
      <c r="I67" s="5"/>
      <c r="J67" s="2"/>
    </row>
    <row r="68" spans="1:14">
      <c r="A68" s="12" t="s">
        <v>7</v>
      </c>
      <c r="B68" s="5">
        <f>MIN(B65:C65,B27)</f>
        <v>0.46443045531605187</v>
      </c>
      <c r="C68" s="5">
        <f>MIN(D65:E65,C27)</f>
        <v>1.0163393550588384</v>
      </c>
      <c r="D68" s="5">
        <f>MIN(F65:G65,D27)</f>
        <v>1.8281060295504301</v>
      </c>
      <c r="E68" s="5">
        <f>MIN(H65,I65,D27)</f>
        <v>5.0064745494798819</v>
      </c>
      <c r="F68" s="6"/>
      <c r="G68" s="6"/>
      <c r="H68" s="6"/>
      <c r="I68" s="6"/>
      <c r="J68" s="2"/>
    </row>
    <row r="69" spans="1:14">
      <c r="A69" s="12" t="s">
        <v>61</v>
      </c>
      <c r="B69" s="5">
        <f>PI()*B68^2</f>
        <v>0.67762786261854768</v>
      </c>
      <c r="C69" s="5">
        <f t="shared" ref="C69:D69" si="29">PI()*C68^2</f>
        <v>3.2450945744267505</v>
      </c>
      <c r="D69" s="5">
        <f t="shared" si="29"/>
        <v>10.499113600728689</v>
      </c>
      <c r="E69" s="5">
        <f>PI()*E68^2</f>
        <v>78.743352005465184</v>
      </c>
      <c r="F69" s="6"/>
      <c r="G69" s="6"/>
      <c r="H69" s="6"/>
      <c r="I69" s="6"/>
      <c r="J69" s="2"/>
    </row>
    <row r="70" spans="1:14">
      <c r="A70" s="20" t="s">
        <v>71</v>
      </c>
      <c r="B70" s="21">
        <f>ROUNDUP(B34/B69,0)</f>
        <v>97</v>
      </c>
      <c r="C70" s="21">
        <f>ROUNDUP(D34/C69,0)</f>
        <v>31</v>
      </c>
      <c r="D70" s="21">
        <f>ROUNDUP(F34/D69,0)</f>
        <v>19</v>
      </c>
      <c r="E70" s="21">
        <f>ROUNDUP(H34/E69,0)</f>
        <v>4</v>
      </c>
      <c r="F70" s="5"/>
      <c r="G70" s="5"/>
      <c r="H70" s="5"/>
      <c r="I70" s="5"/>
      <c r="J70" s="2"/>
      <c r="L70" s="36">
        <v>0.15</v>
      </c>
      <c r="M70" s="36">
        <v>1</v>
      </c>
      <c r="N70" s="36">
        <f>L67*M70</f>
        <v>0</v>
      </c>
    </row>
    <row r="71" spans="1:14">
      <c r="A71" s="5"/>
      <c r="B71" s="5"/>
      <c r="C71" s="5"/>
      <c r="D71" s="5"/>
      <c r="E71" s="5"/>
      <c r="F71" s="2"/>
      <c r="G71"/>
      <c r="H71" s="5"/>
      <c r="I71" s="5"/>
      <c r="J71" s="2"/>
    </row>
    <row r="72" spans="1:14">
      <c r="B72" s="5"/>
      <c r="C72" s="5"/>
      <c r="D72" s="5"/>
      <c r="E72" s="5"/>
      <c r="F72" s="2"/>
      <c r="G72"/>
      <c r="H72" s="5"/>
      <c r="I72" s="5"/>
      <c r="J72" s="2"/>
    </row>
    <row r="73" spans="1:14">
      <c r="A73" s="32" t="s">
        <v>114</v>
      </c>
      <c r="H73" s="6"/>
      <c r="I73" s="6"/>
      <c r="J73" s="2"/>
    </row>
    <row r="74" spans="1:14">
      <c r="A74" s="59" t="s">
        <v>140</v>
      </c>
      <c r="B74" s="60">
        <f>'Tráfico (1 ptos)'!B2</f>
        <v>47400000</v>
      </c>
      <c r="C74" s="4"/>
      <c r="D74" s="4"/>
      <c r="E74" s="4"/>
      <c r="F74" s="6"/>
      <c r="H74" s="6"/>
      <c r="I74" s="6"/>
      <c r="J74" s="2"/>
    </row>
    <row r="75" spans="1:14">
      <c r="A75" s="61"/>
      <c r="B75" s="62" t="s">
        <v>64</v>
      </c>
      <c r="C75" s="62" t="s">
        <v>65</v>
      </c>
      <c r="D75" s="62" t="s">
        <v>69</v>
      </c>
      <c r="E75" s="62" t="s">
        <v>70</v>
      </c>
      <c r="F75" s="6"/>
      <c r="H75" s="6"/>
      <c r="I75" s="6"/>
      <c r="J75" s="2"/>
    </row>
    <row r="76" spans="1:14">
      <c r="A76" s="63" t="s">
        <v>141</v>
      </c>
      <c r="B76" s="64">
        <v>0.48</v>
      </c>
      <c r="C76" s="64">
        <v>0.25</v>
      </c>
      <c r="D76" s="64">
        <v>0.2</v>
      </c>
      <c r="E76" s="64">
        <v>7.0000000000000007E-2</v>
      </c>
      <c r="F76" s="22"/>
    </row>
    <row r="77" spans="1:14">
      <c r="A77" s="62" t="s">
        <v>142</v>
      </c>
      <c r="B77" s="62">
        <f>$B$74*B76</f>
        <v>22752000</v>
      </c>
      <c r="C77" s="62">
        <f t="shared" ref="C77:E77" si="30">$B$74*C76</f>
        <v>11850000</v>
      </c>
      <c r="D77" s="62">
        <f t="shared" si="30"/>
        <v>9480000</v>
      </c>
      <c r="E77" s="62">
        <f t="shared" si="30"/>
        <v>3318000.0000000005</v>
      </c>
      <c r="F77" s="6"/>
    </row>
    <row r="78" spans="1:14">
      <c r="A78" s="63" t="s">
        <v>143</v>
      </c>
      <c r="B78" s="65">
        <f>B70/B36</f>
        <v>2.9466512736034362E-4</v>
      </c>
      <c r="C78" s="65">
        <f>C70/D36</f>
        <v>1.7210622262817086E-4</v>
      </c>
      <c r="D78" s="65">
        <f>D70/F36</f>
        <v>2.039366207916605E-4</v>
      </c>
      <c r="E78" s="65">
        <f>E70/H36</f>
        <v>2.1467012714911633E-4</v>
      </c>
      <c r="F78" s="6"/>
    </row>
    <row r="79" spans="1:14">
      <c r="A79" s="62" t="s">
        <v>144</v>
      </c>
      <c r="B79" s="62">
        <f>ROUNDUP(B77*B78,0)</f>
        <v>6705</v>
      </c>
      <c r="C79" s="62">
        <f t="shared" ref="C79:E79" si="31">ROUNDUP(C77*C78,0)</f>
        <v>2040</v>
      </c>
      <c r="D79" s="62">
        <f t="shared" si="31"/>
        <v>1934</v>
      </c>
      <c r="E79" s="62">
        <f t="shared" si="31"/>
        <v>713</v>
      </c>
      <c r="F79" s="6"/>
    </row>
    <row r="80" spans="1:14">
      <c r="A80" s="62" t="s">
        <v>145</v>
      </c>
      <c r="B80" s="62"/>
      <c r="C80" s="62"/>
      <c r="D80" s="62"/>
      <c r="E80" s="45">
        <v>242139</v>
      </c>
      <c r="F80" s="6"/>
    </row>
    <row r="81" spans="1:14">
      <c r="A81" s="62" t="s">
        <v>146</v>
      </c>
      <c r="B81" s="62"/>
      <c r="C81" s="62"/>
      <c r="D81" s="62"/>
      <c r="E81" s="62">
        <f>ROUNDUP(E80/E69,0)</f>
        <v>3076</v>
      </c>
      <c r="F81" s="75">
        <v>6705</v>
      </c>
      <c r="G81" s="71">
        <v>2040</v>
      </c>
      <c r="H81" s="71">
        <v>1934</v>
      </c>
      <c r="I81" s="71">
        <v>3789</v>
      </c>
    </row>
    <row r="82" spans="1:14">
      <c r="A82" s="43" t="s">
        <v>62</v>
      </c>
      <c r="B82" s="43">
        <f>B79</f>
        <v>6705</v>
      </c>
      <c r="C82" s="43">
        <f t="shared" ref="C82:D82" si="32">C79</f>
        <v>2040</v>
      </c>
      <c r="D82" s="43">
        <f t="shared" si="32"/>
        <v>1934</v>
      </c>
      <c r="E82" s="43">
        <f>E79+E81</f>
        <v>3789</v>
      </c>
      <c r="F82" s="75">
        <f>(B82-F81)/F81*100</f>
        <v>0</v>
      </c>
      <c r="G82" s="75">
        <f t="shared" ref="G82:I82" si="33">(C82-G81)/G81*100</f>
        <v>0</v>
      </c>
      <c r="H82" s="75">
        <f t="shared" si="33"/>
        <v>0</v>
      </c>
      <c r="I82" s="75">
        <f t="shared" si="33"/>
        <v>0</v>
      </c>
      <c r="L82" s="36">
        <v>0.35</v>
      </c>
      <c r="M82" s="36">
        <v>1</v>
      </c>
      <c r="N82" s="36">
        <f t="shared" ref="N82:N86" si="34">L82*M82</f>
        <v>0.35</v>
      </c>
    </row>
    <row r="83" spans="1:14">
      <c r="A83" s="63" t="s">
        <v>83</v>
      </c>
      <c r="B83" s="63">
        <v>45000</v>
      </c>
      <c r="C83" s="63">
        <v>125000</v>
      </c>
      <c r="D83" s="63">
        <v>230000</v>
      </c>
      <c r="E83" s="63">
        <v>230000</v>
      </c>
      <c r="F83" s="71">
        <v>1873015000</v>
      </c>
    </row>
    <row r="84" spans="1:14">
      <c r="A84" s="43" t="s">
        <v>147</v>
      </c>
      <c r="B84" s="43">
        <f>B83*B82+C82*C83+D82*D83+E82*E83</f>
        <v>1873015000</v>
      </c>
      <c r="C84" s="51"/>
      <c r="D84" s="51"/>
      <c r="E84" s="51"/>
      <c r="F84" s="71">
        <f>(B84-F83)/F83*100</f>
        <v>0</v>
      </c>
      <c r="G84" s="98">
        <f>F84/F83</f>
        <v>0</v>
      </c>
    </row>
    <row r="85" spans="1:14">
      <c r="A85" s="93" t="s">
        <v>177</v>
      </c>
      <c r="B85" s="94">
        <v>35000</v>
      </c>
      <c r="C85" s="94">
        <v>75000</v>
      </c>
      <c r="D85" s="94">
        <v>125000</v>
      </c>
      <c r="E85" s="94">
        <v>125000</v>
      </c>
      <c r="F85" s="71">
        <v>1103050000</v>
      </c>
      <c r="H85"/>
      <c r="I85"/>
    </row>
    <row r="86" spans="1:14">
      <c r="A86" s="43" t="s">
        <v>178</v>
      </c>
      <c r="B86" s="43">
        <f>B85*B82+C82*C85+D82*D85+E82*E85</f>
        <v>1103050000</v>
      </c>
      <c r="C86"/>
      <c r="D86"/>
      <c r="E86"/>
      <c r="F86" s="71">
        <f>(B86-F85)/F85*100</f>
        <v>0</v>
      </c>
      <c r="G86" s="98">
        <f>F86/F85</f>
        <v>0</v>
      </c>
      <c r="H86"/>
      <c r="I86"/>
      <c r="L86" s="36">
        <v>0.15</v>
      </c>
      <c r="M86" s="37">
        <v>1</v>
      </c>
      <c r="N86" s="36">
        <f t="shared" si="34"/>
        <v>0.15</v>
      </c>
    </row>
    <row r="88" spans="1:14">
      <c r="K88" s="36" t="s">
        <v>126</v>
      </c>
      <c r="L88" s="37">
        <f>SUM(L2:L86)</f>
        <v>2.6</v>
      </c>
    </row>
  </sheetData>
  <mergeCells count="48">
    <mergeCell ref="B51:C51"/>
    <mergeCell ref="D51:E51"/>
    <mergeCell ref="F51:G51"/>
    <mergeCell ref="H51:I51"/>
    <mergeCell ref="B49:C49"/>
    <mergeCell ref="D49:E49"/>
    <mergeCell ref="F49:G49"/>
    <mergeCell ref="H49:I49"/>
    <mergeCell ref="B50:C50"/>
    <mergeCell ref="D50:E50"/>
    <mergeCell ref="F50:G50"/>
    <mergeCell ref="H50:I50"/>
    <mergeCell ref="B47:C47"/>
    <mergeCell ref="D47:E47"/>
    <mergeCell ref="F47:G47"/>
    <mergeCell ref="H47:I47"/>
    <mergeCell ref="B48:C48"/>
    <mergeCell ref="D48:E48"/>
    <mergeCell ref="F48:G48"/>
    <mergeCell ref="H48:I48"/>
    <mergeCell ref="D45:E45"/>
    <mergeCell ref="F45:G45"/>
    <mergeCell ref="H45:I45"/>
    <mergeCell ref="B46:C46"/>
    <mergeCell ref="D46:E46"/>
    <mergeCell ref="F46:G46"/>
    <mergeCell ref="H46:I46"/>
    <mergeCell ref="H58:I58"/>
    <mergeCell ref="B58:C58"/>
    <mergeCell ref="D58:E58"/>
    <mergeCell ref="F58:G58"/>
    <mergeCell ref="B32:C32"/>
    <mergeCell ref="D32:E32"/>
    <mergeCell ref="F32:G32"/>
    <mergeCell ref="B55:C55"/>
    <mergeCell ref="D55:E55"/>
    <mergeCell ref="F55:G55"/>
    <mergeCell ref="H55:I55"/>
    <mergeCell ref="B57:C57"/>
    <mergeCell ref="D57:E57"/>
    <mergeCell ref="F57:G57"/>
    <mergeCell ref="H57:I57"/>
    <mergeCell ref="B45:C45"/>
    <mergeCell ref="C2:D2"/>
    <mergeCell ref="E2:F2"/>
    <mergeCell ref="G2:H2"/>
    <mergeCell ref="H32:I32"/>
    <mergeCell ref="I2:J2"/>
  </mergeCells>
  <pageMargins left="0.75" right="0.75" top="1" bottom="1" header="0.5" footer="0.5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J36"/>
  <sheetViews>
    <sheetView zoomScale="90" zoomScaleNormal="90" zoomScalePageLayoutView="90" workbookViewId="0">
      <selection activeCell="H20" sqref="H20"/>
    </sheetView>
  </sheetViews>
  <sheetFormatPr baseColWidth="10" defaultRowHeight="12.75"/>
  <cols>
    <col min="1" max="1" width="37" style="3" customWidth="1"/>
    <col min="2" max="2" width="16.875" style="3" customWidth="1"/>
    <col min="3" max="3" width="15.625" style="3" customWidth="1"/>
    <col min="4" max="4" width="15.125" style="3" bestFit="1" customWidth="1"/>
    <col min="5" max="5" width="21.5" style="3" bestFit="1" customWidth="1"/>
    <col min="6" max="8" width="10.875" style="3"/>
    <col min="9" max="9" width="14" style="3" bestFit="1" customWidth="1"/>
  </cols>
  <sheetData>
    <row r="1" spans="1:10">
      <c r="A1" s="23" t="s">
        <v>40</v>
      </c>
    </row>
    <row r="2" spans="1:10">
      <c r="A2" s="43" t="s">
        <v>50</v>
      </c>
      <c r="B2" s="44"/>
      <c r="C2" s="44">
        <v>120.96910013008056</v>
      </c>
      <c r="D2" s="43">
        <v>122.96910013008056</v>
      </c>
      <c r="E2" s="44">
        <v>124.46910013008056</v>
      </c>
      <c r="F2" s="43">
        <v>126.46910013008056</v>
      </c>
      <c r="G2" s="44">
        <v>130.46910013008056</v>
      </c>
      <c r="H2" s="43">
        <v>132.46910013008056</v>
      </c>
      <c r="I2" s="44">
        <v>130.46910013008056</v>
      </c>
      <c r="J2" s="43">
        <v>132.46910013008056</v>
      </c>
    </row>
    <row r="3" spans="1:10">
      <c r="D3" s="7"/>
      <c r="F3" s="7"/>
    </row>
    <row r="4" spans="1:10">
      <c r="A4" s="45"/>
      <c r="B4" s="84" t="s">
        <v>64</v>
      </c>
      <c r="C4" s="84" t="s">
        <v>65</v>
      </c>
      <c r="D4" s="84" t="s">
        <v>72</v>
      </c>
      <c r="E4" s="84" t="s">
        <v>73</v>
      </c>
    </row>
    <row r="5" spans="1:10">
      <c r="A5" s="39" t="s">
        <v>38</v>
      </c>
      <c r="B5" s="39">
        <v>30</v>
      </c>
      <c r="C5" s="39">
        <v>25</v>
      </c>
      <c r="D5" s="39">
        <v>40</v>
      </c>
      <c r="E5" s="39">
        <v>40</v>
      </c>
    </row>
    <row r="6" spans="1:10">
      <c r="A6" s="39" t="s">
        <v>16</v>
      </c>
      <c r="B6" s="39">
        <v>1.72</v>
      </c>
      <c r="C6" s="39">
        <v>1.72</v>
      </c>
      <c r="D6" s="39">
        <v>1.72</v>
      </c>
      <c r="E6" s="39">
        <v>1.72</v>
      </c>
    </row>
    <row r="7" spans="1:10">
      <c r="A7" s="99" t="s">
        <v>37</v>
      </c>
      <c r="B7" s="99">
        <v>2100</v>
      </c>
      <c r="C7" s="99">
        <v>2100</v>
      </c>
      <c r="D7" s="99">
        <v>2100</v>
      </c>
      <c r="E7" s="99">
        <v>2100</v>
      </c>
    </row>
    <row r="8" spans="1:10">
      <c r="A8" s="45" t="s">
        <v>12</v>
      </c>
      <c r="B8" s="92" t="s">
        <v>17</v>
      </c>
      <c r="C8" s="92" t="s">
        <v>18</v>
      </c>
      <c r="D8" s="92" t="s">
        <v>18</v>
      </c>
      <c r="E8" s="92" t="s">
        <v>18</v>
      </c>
    </row>
    <row r="9" spans="1:10">
      <c r="A9" s="39" t="s">
        <v>36</v>
      </c>
      <c r="B9" s="39">
        <v>46.3</v>
      </c>
      <c r="C9" s="39">
        <v>46.3</v>
      </c>
      <c r="D9" s="39">
        <v>46.3</v>
      </c>
      <c r="E9" s="39">
        <v>46.3</v>
      </c>
    </row>
    <row r="10" spans="1:10">
      <c r="A10" s="39" t="s">
        <v>39</v>
      </c>
      <c r="B10" s="39">
        <v>33.9</v>
      </c>
      <c r="C10" s="39">
        <v>33.9</v>
      </c>
      <c r="D10" s="39">
        <v>33.9</v>
      </c>
      <c r="E10" s="39">
        <v>33.9</v>
      </c>
    </row>
    <row r="11" spans="1:10">
      <c r="A11" s="45" t="s">
        <v>15</v>
      </c>
      <c r="B11" s="45">
        <f>3.2*LOG(11.75*B6)^2-4.97</f>
        <v>0.48441087675501127</v>
      </c>
      <c r="C11" s="45">
        <f>(1.1*LOG(C7)-0.7)*C6-(1.56*LOG(C7)-0.8)</f>
        <v>0.698976805851661</v>
      </c>
      <c r="D11" s="45">
        <f>(1.1*LOG(D7)-0.7)*D6-(1.56*LOG(D7)-0.8)</f>
        <v>0.698976805851661</v>
      </c>
      <c r="E11" s="45">
        <f>(1.1*LOG(E7)-0.7)*E6-(1.56*LOG(E7)-0.8)</f>
        <v>0.698976805851661</v>
      </c>
    </row>
    <row r="12" spans="1:10">
      <c r="A12" s="45" t="s">
        <v>13</v>
      </c>
      <c r="B12" s="45">
        <f>(47.88+13.9*LOG(B7)-13.82*LOG(B5))/LOG(50)</f>
        <v>43.346870320619495</v>
      </c>
      <c r="C12" s="45">
        <f>44.9-6.55*LOG(C5)</f>
        <v>35.743492943198149</v>
      </c>
      <c r="D12" s="45">
        <f>44.9-6.55*LOG(D5)</f>
        <v>34.406507056801843</v>
      </c>
      <c r="E12" s="45">
        <f>44.9-6.55*LOG(E5)</f>
        <v>34.406507056801843</v>
      </c>
    </row>
    <row r="13" spans="1:10">
      <c r="A13" s="45" t="s">
        <v>14</v>
      </c>
      <c r="B13" s="45">
        <v>0</v>
      </c>
      <c r="C13" s="45">
        <f>-2*(LOG(C7/28)^2)-5.4</f>
        <v>-12.431709482944157</v>
      </c>
      <c r="D13" s="45">
        <f>-4.78*(LOG(D7)^2)+18.33*LOG(D7)-40.94</f>
        <v>-32.801254509732452</v>
      </c>
      <c r="E13" s="45">
        <f>-4.78*(LOG(E7)^2)+18.33*LOG(E7)-40.94</f>
        <v>-32.801254509732452</v>
      </c>
    </row>
    <row r="14" spans="1:10">
      <c r="A14" s="45"/>
      <c r="B14" s="45"/>
      <c r="C14" s="45"/>
      <c r="D14" s="45"/>
      <c r="E14" s="45"/>
    </row>
    <row r="15" spans="1:10">
      <c r="A15" s="45" t="s">
        <v>19</v>
      </c>
      <c r="B15" s="53">
        <f>D2-B9-B10*LOG(B7)+13.82*LOG(B5)+B11-B13</f>
        <v>-15.05590734441855</v>
      </c>
      <c r="C15" s="53">
        <f>F2-C9-C10*LOG(C7)+13.82*LOG(C5)+C11-C13</f>
        <v>-3.9167527559129667E-3</v>
      </c>
      <c r="D15" s="53">
        <f>H2-D9-D10*LOG(D7)+13.82*LOG(D5)+D11-D13</f>
        <v>29.186566434337259</v>
      </c>
      <c r="E15" s="53">
        <f>J2-E9-E10*LOG(E7)+13.82*LOG(E5)+E11-E13</f>
        <v>29.186566434337259</v>
      </c>
    </row>
    <row r="16" spans="1:10">
      <c r="A16" s="45"/>
      <c r="B16" s="45"/>
      <c r="C16" s="45"/>
      <c r="D16" s="45"/>
      <c r="E16" s="45"/>
    </row>
    <row r="17" spans="1:10">
      <c r="A17" s="43" t="s">
        <v>0</v>
      </c>
      <c r="B17" s="43">
        <f>10^(B15/B12)</f>
        <v>0.44943251517365923</v>
      </c>
      <c r="C17" s="43">
        <f>10^(C15/C12)</f>
        <v>0.99974771579143396</v>
      </c>
      <c r="D17" s="43">
        <f t="shared" ref="D17:E17" si="0">10^(D15/D12)</f>
        <v>7.0515767636643236</v>
      </c>
      <c r="E17" s="43">
        <f t="shared" si="0"/>
        <v>7.0515767636643236</v>
      </c>
      <c r="F17" s="5"/>
      <c r="G17" s="5"/>
      <c r="H17" s="5"/>
      <c r="I17" s="5"/>
    </row>
    <row r="20" spans="1:10">
      <c r="A20" s="24" t="s">
        <v>40</v>
      </c>
      <c r="B20" s="2"/>
      <c r="C20" s="2"/>
      <c r="D20" s="2"/>
      <c r="E20" s="2"/>
      <c r="F20" s="2"/>
      <c r="G20" s="2"/>
      <c r="H20" s="2"/>
      <c r="I20"/>
    </row>
    <row r="21" spans="1:10">
      <c r="A21" s="43" t="s">
        <v>2</v>
      </c>
      <c r="B21" s="43"/>
      <c r="C21" s="88">
        <v>122.46910013008056</v>
      </c>
      <c r="D21" s="88">
        <v>120.46910013008056</v>
      </c>
      <c r="E21" s="88">
        <v>125.46910013008056</v>
      </c>
      <c r="F21" s="88">
        <v>123.46910013008056</v>
      </c>
      <c r="G21" s="88">
        <v>131.46910013008056</v>
      </c>
      <c r="H21" s="88">
        <v>129.46910013008056</v>
      </c>
      <c r="I21" s="88">
        <v>131.46910013008056</v>
      </c>
      <c r="J21" s="88">
        <v>129.46910013008056</v>
      </c>
    </row>
    <row r="22" spans="1:10">
      <c r="A22"/>
      <c r="B22"/>
      <c r="C22"/>
      <c r="D22" s="1"/>
      <c r="E22"/>
      <c r="F22" s="1"/>
      <c r="G22"/>
      <c r="H22"/>
      <c r="I22"/>
    </row>
    <row r="23" spans="1:10" ht="25.5">
      <c r="A23" s="79"/>
      <c r="B23" s="80" t="s">
        <v>64</v>
      </c>
      <c r="C23" s="80" t="s">
        <v>65</v>
      </c>
      <c r="D23" s="81" t="s">
        <v>67</v>
      </c>
      <c r="E23" s="89" t="s">
        <v>73</v>
      </c>
      <c r="F23"/>
      <c r="G23"/>
      <c r="H23"/>
      <c r="I23"/>
    </row>
    <row r="24" spans="1:10">
      <c r="A24" s="39" t="s">
        <v>163</v>
      </c>
      <c r="B24" s="39">
        <v>30</v>
      </c>
      <c r="C24" s="39">
        <v>25</v>
      </c>
      <c r="D24" s="39">
        <v>40</v>
      </c>
      <c r="E24" s="39">
        <v>40</v>
      </c>
      <c r="F24"/>
      <c r="G24"/>
      <c r="H24"/>
      <c r="I24"/>
    </row>
    <row r="25" spans="1:10">
      <c r="A25" s="39" t="s">
        <v>164</v>
      </c>
      <c r="B25" s="39">
        <v>1.72</v>
      </c>
      <c r="C25" s="39">
        <v>1.72</v>
      </c>
      <c r="D25" s="39">
        <v>1.72</v>
      </c>
      <c r="E25" s="39">
        <v>1.72</v>
      </c>
      <c r="F25"/>
      <c r="G25"/>
      <c r="H25"/>
      <c r="I25"/>
    </row>
    <row r="26" spans="1:10">
      <c r="A26" s="99" t="s">
        <v>165</v>
      </c>
      <c r="B26" s="99">
        <v>900</v>
      </c>
      <c r="C26" s="99">
        <v>900</v>
      </c>
      <c r="D26" s="100">
        <v>900</v>
      </c>
      <c r="E26" s="100">
        <v>900</v>
      </c>
      <c r="F26"/>
      <c r="G26"/>
      <c r="H26"/>
      <c r="I26"/>
    </row>
    <row r="27" spans="1:10">
      <c r="A27" s="45" t="s">
        <v>166</v>
      </c>
      <c r="B27" s="50" t="s">
        <v>167</v>
      </c>
      <c r="C27" s="50" t="s">
        <v>168</v>
      </c>
      <c r="D27" s="50" t="s">
        <v>168</v>
      </c>
      <c r="E27" s="52" t="s">
        <v>18</v>
      </c>
      <c r="F27"/>
      <c r="G27"/>
      <c r="H27"/>
      <c r="I27"/>
    </row>
    <row r="28" spans="1:10">
      <c r="A28" s="45" t="s">
        <v>169</v>
      </c>
      <c r="B28" s="45">
        <v>69.55</v>
      </c>
      <c r="C28" s="45">
        <v>69.55</v>
      </c>
      <c r="D28" s="45">
        <v>69.55</v>
      </c>
      <c r="E28" s="45">
        <v>69.55</v>
      </c>
      <c r="F28"/>
      <c r="G28"/>
      <c r="H28"/>
      <c r="I28"/>
    </row>
    <row r="29" spans="1:10">
      <c r="A29" s="45" t="s">
        <v>170</v>
      </c>
      <c r="B29" s="45">
        <v>26.16</v>
      </c>
      <c r="C29" s="45">
        <v>26.16</v>
      </c>
      <c r="D29" s="45">
        <v>26.16</v>
      </c>
      <c r="E29" s="45">
        <v>26.16</v>
      </c>
      <c r="F29"/>
      <c r="G29"/>
      <c r="H29"/>
      <c r="I29"/>
    </row>
    <row r="30" spans="1:10">
      <c r="A30" s="45" t="s">
        <v>171</v>
      </c>
      <c r="B30" s="45">
        <f>3.2*LOG(11.75*B25)^2-4.97</f>
        <v>0.48441087675501127</v>
      </c>
      <c r="C30" s="45">
        <f>(1.1*LOG(C26)-0.7)*C25-(1.56*LOG(C26)-0.8)</f>
        <v>0.57680851313385606</v>
      </c>
      <c r="D30" s="45">
        <f>(1.1*LOG(D26)-0.7)*D25-(1.56*LOG(D26)-0.8)</f>
        <v>0.57680851313385606</v>
      </c>
      <c r="E30" s="45">
        <f>(1.1*LOG(E26)-0.7)*E25-(1.56*LOG(E26)-0.8)</f>
        <v>0.57680851313385606</v>
      </c>
      <c r="F30"/>
      <c r="G30"/>
      <c r="H30"/>
      <c r="I30"/>
    </row>
    <row r="31" spans="1:10">
      <c r="A31" s="45" t="s">
        <v>172</v>
      </c>
      <c r="B31" s="45">
        <f>(71.13+6.16*LOG(B26)-13.82*LOG(B24))/LOG(50)</f>
        <v>40.562410132045372</v>
      </c>
      <c r="C31" s="45">
        <f>44.9-6.55*LOG(C24)</f>
        <v>35.743492943198149</v>
      </c>
      <c r="D31" s="45">
        <f>44.9-6.55*LOG(D24)</f>
        <v>34.406507056801843</v>
      </c>
      <c r="E31" s="45">
        <f>44.9-6.55*LOG(E24)</f>
        <v>34.406507056801843</v>
      </c>
      <c r="F31"/>
      <c r="G31"/>
      <c r="H31"/>
      <c r="I31"/>
    </row>
    <row r="32" spans="1:10">
      <c r="A32" s="45" t="s">
        <v>173</v>
      </c>
      <c r="B32" s="45">
        <v>0</v>
      </c>
      <c r="C32" s="45">
        <f>-2*(LOG(C26/28)^2)-5.4</f>
        <v>-9.942607248242453</v>
      </c>
      <c r="D32" s="45">
        <f>-4.78*(LOG(D26)^2)+18.33*LOG(D26)-40.94</f>
        <v>-28.506418087861732</v>
      </c>
      <c r="E32" s="45">
        <f>-4.78*(LOG(E26)^2)+18.33*LOG(E26)-40.94</f>
        <v>-28.506418087861732</v>
      </c>
      <c r="F32"/>
      <c r="G32"/>
      <c r="H32"/>
      <c r="I32"/>
    </row>
    <row r="33" spans="1:9">
      <c r="A33" s="45"/>
      <c r="B33" s="45"/>
      <c r="C33" s="45"/>
      <c r="D33" s="45"/>
      <c r="E33" s="45"/>
      <c r="F33"/>
      <c r="G33"/>
      <c r="H33"/>
      <c r="I33"/>
    </row>
    <row r="34" spans="1:9">
      <c r="A34" s="45" t="s">
        <v>174</v>
      </c>
      <c r="B34" s="50">
        <f>MIN(C21:D21)-B28-B29*LOG(B26)+13.82*LOG(B24)+B30-B32</f>
        <v>-5.4656572998714301</v>
      </c>
      <c r="C34" s="50">
        <f>MIN(E21:F21)-C28-C29*LOG(C26)+13.82*LOG(C24)+C30-C32</f>
        <v>6.4750627643716969</v>
      </c>
      <c r="D34" s="50">
        <f>MIN(G21:H21)-D28-D29*LOG(D26)+13.82*LOG(D24)+D30-D32</f>
        <v>33.859811764295856</v>
      </c>
      <c r="E34" s="50">
        <f>MIN(H21:I21)-E28-E29*LOG(E26)+13.82*LOG(E24)+E30-E32</f>
        <v>33.859811764295856</v>
      </c>
      <c r="F34"/>
      <c r="G34"/>
      <c r="H34"/>
      <c r="I34"/>
    </row>
    <row r="35" spans="1:9">
      <c r="A35" s="45"/>
      <c r="B35" s="45"/>
      <c r="C35" s="45"/>
      <c r="D35" s="45"/>
      <c r="E35" s="45"/>
      <c r="F35"/>
      <c r="G35"/>
      <c r="H35"/>
      <c r="I35"/>
    </row>
    <row r="36" spans="1:9">
      <c r="A36" s="43" t="s">
        <v>175</v>
      </c>
      <c r="B36" s="82">
        <f>10^(B34/B31)</f>
        <v>0.73325180790817035</v>
      </c>
      <c r="C36" s="82">
        <f t="shared" ref="C36" si="1">10^(C34/C31)</f>
        <v>1.5175870416323385</v>
      </c>
      <c r="D36" s="82">
        <f>10^(D34/D31)</f>
        <v>9.6407473255906488</v>
      </c>
      <c r="E36" s="82">
        <f>10^(E34/E31)</f>
        <v>9.6407473255906488</v>
      </c>
      <c r="F36"/>
      <c r="G36"/>
      <c r="H36"/>
      <c r="I36"/>
    </row>
  </sheetData>
  <pageMargins left="0.75" right="0.75" top="1" bottom="1" header="0.5" footer="0.5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O40"/>
  <sheetViews>
    <sheetView topLeftCell="A13" workbookViewId="0">
      <selection activeCell="J35" sqref="J35"/>
    </sheetView>
  </sheetViews>
  <sheetFormatPr baseColWidth="10" defaultRowHeight="12.75"/>
  <cols>
    <col min="1" max="1" width="27.625" bestFit="1" customWidth="1"/>
    <col min="2" max="2" width="19.875" customWidth="1"/>
    <col min="3" max="3" width="13" customWidth="1"/>
    <col min="4" max="4" width="12.125" bestFit="1" customWidth="1"/>
    <col min="6" max="7" width="12.125" bestFit="1" customWidth="1"/>
    <col min="8" max="8" width="16.5" bestFit="1" customWidth="1"/>
    <col min="9" max="9" width="12.125" bestFit="1" customWidth="1"/>
  </cols>
  <sheetData>
    <row r="1" spans="1:15">
      <c r="M1" s="36" t="s">
        <v>125</v>
      </c>
      <c r="N1" s="36" t="s">
        <v>194</v>
      </c>
      <c r="O1" s="36" t="s">
        <v>195</v>
      </c>
    </row>
    <row r="3" spans="1:15">
      <c r="A3" s="66" t="s">
        <v>79</v>
      </c>
      <c r="B3" s="67"/>
      <c r="C3" s="67"/>
      <c r="D3" s="67"/>
      <c r="E3" s="67"/>
      <c r="F3" s="67"/>
      <c r="G3" s="67"/>
      <c r="H3" s="67"/>
      <c r="I3" s="67"/>
    </row>
    <row r="4" spans="1:15">
      <c r="A4" s="45"/>
      <c r="B4" s="109" t="s">
        <v>64</v>
      </c>
      <c r="C4" s="109"/>
      <c r="D4" s="109" t="s">
        <v>65</v>
      </c>
      <c r="E4" s="109"/>
      <c r="F4" s="109" t="s">
        <v>67</v>
      </c>
      <c r="G4" s="109"/>
      <c r="H4" s="109" t="s">
        <v>84</v>
      </c>
      <c r="I4" s="109"/>
    </row>
    <row r="5" spans="1:15">
      <c r="A5" s="45" t="s">
        <v>116</v>
      </c>
      <c r="B5" s="45">
        <f>'GSM (2,6 ptos )'!B69</f>
        <v>0.67762786261854768</v>
      </c>
      <c r="C5" s="45"/>
      <c r="D5" s="45">
        <f>'GSM (2,6 ptos )'!C69</f>
        <v>3.2450945744267505</v>
      </c>
      <c r="E5" s="45"/>
      <c r="F5" s="45">
        <f>'GSM (2,6 ptos )'!D69</f>
        <v>10.499113600728689</v>
      </c>
      <c r="G5" s="45"/>
      <c r="H5" s="45">
        <f>'GSM (2,6 ptos )'!E69</f>
        <v>78.743352005465184</v>
      </c>
      <c r="I5" s="45"/>
    </row>
    <row r="6" spans="1:15">
      <c r="A6" s="45"/>
      <c r="B6" s="50" t="s">
        <v>87</v>
      </c>
      <c r="C6" s="50" t="s">
        <v>88</v>
      </c>
      <c r="D6" s="50" t="s">
        <v>87</v>
      </c>
      <c r="E6" s="50" t="s">
        <v>88</v>
      </c>
      <c r="F6" s="50" t="s">
        <v>87</v>
      </c>
      <c r="G6" s="50" t="s">
        <v>88</v>
      </c>
      <c r="H6" s="50" t="s">
        <v>87</v>
      </c>
      <c r="I6" s="50" t="s">
        <v>88</v>
      </c>
    </row>
    <row r="7" spans="1:15">
      <c r="A7" s="45" t="s">
        <v>148</v>
      </c>
      <c r="B7" s="45">
        <f>$B$5*'GSM (2,6 ptos )'!B43/'GSM (2,6 ptos )'!B64</f>
        <v>371.54995338403387</v>
      </c>
      <c r="C7" s="45">
        <f>$B$5*'GSM (2,6 ptos )'!C43/'GSM (2,6 ptos )'!C64</f>
        <v>371.54995338403387</v>
      </c>
      <c r="D7" s="45">
        <f>$D$5*'GSM (2,6 ptos )'!D43/'GSM (2,6 ptos )'!D64</f>
        <v>649.05901111111109</v>
      </c>
      <c r="E7" s="45">
        <f>$D$5*'GSM (2,6 ptos )'!E43/'GSM (2,6 ptos )'!E64</f>
        <v>584.15310999999986</v>
      </c>
      <c r="F7" s="45">
        <f>$F$5*'GSM (2,6 ptos )'!F43/'GSM (2,6 ptos )'!F64</f>
        <v>543.09114999999997</v>
      </c>
      <c r="G7" s="45">
        <f>$F$5*'GSM (2,6 ptos )'!G43/'GSM (2,6 ptos )'!G64</f>
        <v>461.6274775</v>
      </c>
      <c r="H7" s="45">
        <f>$H$5*'GSM (2,6 ptos )'!H43/'GSM (2,6 ptos )'!H64</f>
        <v>543.09114999999997</v>
      </c>
      <c r="I7" s="45">
        <f>$H$5*'GSM (2,6 ptos )'!I43/'GSM (2,6 ptos )'!I64</f>
        <v>461.62747749999994</v>
      </c>
      <c r="J7" t="s">
        <v>197</v>
      </c>
    </row>
    <row r="8" spans="1:15">
      <c r="A8" s="45" t="s">
        <v>106</v>
      </c>
      <c r="B8" s="45">
        <f>B7*'GSM (2,6 ptos )'!B62</f>
        <v>4.0870494872243723</v>
      </c>
      <c r="C8" s="45">
        <f>C7*'GSM (2,6 ptos )'!C62</f>
        <v>4.4585994406084062</v>
      </c>
      <c r="D8" s="45">
        <f>D7*'GSM (2,6 ptos )'!D62</f>
        <v>6.4905901111111106</v>
      </c>
      <c r="E8" s="45">
        <f>E7*'GSM (2,6 ptos )'!E62</f>
        <v>5.8415310999999983</v>
      </c>
      <c r="F8" s="45">
        <f>F7*'GSM (2,6 ptos )'!F62</f>
        <v>4.3447291999999997</v>
      </c>
      <c r="G8" s="45">
        <f>G7*'GSM (2,6 ptos )'!G62</f>
        <v>6.9244121624999995</v>
      </c>
      <c r="H8" s="45">
        <f>H7*'GSM (2,6 ptos )'!H62</f>
        <v>4.3447291999999997</v>
      </c>
      <c r="I8" s="45">
        <f>I7*'GSM (2,6 ptos )'!I62</f>
        <v>6.9244121624999986</v>
      </c>
    </row>
    <row r="9" spans="1:15">
      <c r="A9" s="45" t="s">
        <v>107</v>
      </c>
      <c r="B9" s="45">
        <f>LOOKUP(B8,Erlang!$B$2:$B$76,Erlang!$A$2:$A$76)+1</f>
        <v>9</v>
      </c>
      <c r="C9" s="45">
        <f>LOOKUP(C8,Erlang!$B$2:$B$76,Erlang!$A$2:$A$76)</f>
        <v>9</v>
      </c>
      <c r="D9" s="45">
        <f>LOOKUP(D8,Erlang!$B$2:$B$76,Erlang!$A$2:$A$76)</f>
        <v>11</v>
      </c>
      <c r="E9" s="45">
        <f>LOOKUP(E8,Erlang!$B$2:$B$76,Erlang!$A$2:$A$76)</f>
        <v>10</v>
      </c>
      <c r="F9" s="45">
        <f>LOOKUP(F8,Erlang!$B$2:$B$76,Erlang!$A$2:$A$76)</f>
        <v>9</v>
      </c>
      <c r="G9" s="45">
        <f>LOOKUP(G8,Erlang!$B$2:$B$76,Erlang!$A$2:$A$76)</f>
        <v>12</v>
      </c>
      <c r="H9" s="45">
        <f>LOOKUP(H8,Erlang!$B$2:$B$76,Erlang!$A$2:$A$76)</f>
        <v>9</v>
      </c>
      <c r="I9" s="45">
        <f>LOOKUP(I8,Erlang!$B$2:$B$76,Erlang!$A$2:$A$76)</f>
        <v>12</v>
      </c>
      <c r="M9" s="36">
        <v>0.5</v>
      </c>
      <c r="N9" s="36">
        <v>1</v>
      </c>
      <c r="O9" s="36">
        <f>M9*N9</f>
        <v>0.5</v>
      </c>
    </row>
    <row r="10" spans="1:15">
      <c r="A10" s="45" t="s">
        <v>108</v>
      </c>
      <c r="B10" s="45">
        <v>12.2</v>
      </c>
      <c r="C10" s="45">
        <v>128</v>
      </c>
      <c r="D10" s="45">
        <v>12.2</v>
      </c>
      <c r="E10" s="45">
        <v>128</v>
      </c>
      <c r="F10" s="45">
        <v>12.2</v>
      </c>
      <c r="G10" s="45">
        <v>128</v>
      </c>
      <c r="H10" s="45">
        <v>12.2</v>
      </c>
      <c r="I10" s="45">
        <v>128</v>
      </c>
    </row>
    <row r="11" spans="1:15">
      <c r="A11" s="43" t="s">
        <v>110</v>
      </c>
      <c r="B11" s="44">
        <f>B9*B10</f>
        <v>109.8</v>
      </c>
      <c r="C11" s="44">
        <f t="shared" ref="C11:I11" si="0">C9*C10</f>
        <v>1152</v>
      </c>
      <c r="D11" s="44">
        <f t="shared" si="0"/>
        <v>134.19999999999999</v>
      </c>
      <c r="E11" s="44">
        <f t="shared" si="0"/>
        <v>1280</v>
      </c>
      <c r="F11" s="44">
        <f t="shared" si="0"/>
        <v>109.8</v>
      </c>
      <c r="G11" s="44">
        <f t="shared" si="0"/>
        <v>1536</v>
      </c>
      <c r="H11" s="44">
        <f t="shared" si="0"/>
        <v>109.8</v>
      </c>
      <c r="I11" s="44">
        <f t="shared" si="0"/>
        <v>1536</v>
      </c>
    </row>
    <row r="12" spans="1:15">
      <c r="A12" s="43" t="s">
        <v>109</v>
      </c>
      <c r="B12" s="44">
        <f>(B11+C11)*'GSM (2,6 ptos )'!B64</f>
        <v>3785.3999999999996</v>
      </c>
      <c r="C12" s="45"/>
      <c r="D12" s="44">
        <f>(D11+E11)*'GSM (2,6 ptos )'!B64</f>
        <v>4242.6000000000004</v>
      </c>
      <c r="E12" s="45"/>
      <c r="F12" s="44">
        <f>(F11+G11)*'GSM (2,6 ptos )'!F64</f>
        <v>4937.3999999999996</v>
      </c>
      <c r="G12" s="45"/>
      <c r="H12" s="44">
        <f>(H11+I11)*'GSM (2,6 ptos )'!H64</f>
        <v>4937.3999999999996</v>
      </c>
      <c r="I12" s="45"/>
    </row>
    <row r="13" spans="1:15">
      <c r="A13" s="43" t="s">
        <v>111</v>
      </c>
      <c r="B13" s="44">
        <f>ROUNDUP(B12/2048,0)</f>
        <v>2</v>
      </c>
      <c r="C13" s="45"/>
      <c r="D13" s="44">
        <f t="shared" ref="D13:H13" si="1">ROUNDUP(D12/2048,0)</f>
        <v>3</v>
      </c>
      <c r="E13" s="45"/>
      <c r="F13" s="44">
        <f t="shared" si="1"/>
        <v>3</v>
      </c>
      <c r="G13" s="45"/>
      <c r="H13" s="44">
        <f t="shared" si="1"/>
        <v>3</v>
      </c>
      <c r="I13" s="45"/>
    </row>
    <row r="14" spans="1:15">
      <c r="A14" s="45" t="s">
        <v>83</v>
      </c>
      <c r="B14" s="45">
        <f>B13*24000</f>
        <v>48000</v>
      </c>
      <c r="C14" s="45"/>
      <c r="D14" s="45">
        <f>D13*24000</f>
        <v>72000</v>
      </c>
      <c r="E14" s="45"/>
      <c r="F14" s="45">
        <f>F13*24000</f>
        <v>72000</v>
      </c>
      <c r="G14" s="45"/>
      <c r="H14" s="45">
        <f>H13*24000</f>
        <v>72000</v>
      </c>
      <c r="I14" s="45"/>
      <c r="M14" s="36">
        <v>0.15</v>
      </c>
      <c r="N14" s="36"/>
      <c r="O14" s="36">
        <f>M14*N14</f>
        <v>0</v>
      </c>
    </row>
    <row r="15" spans="1:15">
      <c r="A15" s="45" t="s">
        <v>122</v>
      </c>
      <c r="B15" s="45">
        <f>'GSM (2,6 ptos )'!B82</f>
        <v>6705</v>
      </c>
      <c r="C15" s="45"/>
      <c r="D15" s="45">
        <f>'GSM (2,6 ptos )'!C82</f>
        <v>2040</v>
      </c>
      <c r="E15" s="45"/>
      <c r="F15" s="45">
        <f>'GSM (2,6 ptos )'!D82</f>
        <v>1934</v>
      </c>
      <c r="G15" s="45"/>
      <c r="H15" s="45">
        <f>'GSM (2,6 ptos )'!E82</f>
        <v>3789</v>
      </c>
      <c r="I15" s="45"/>
      <c r="J15" t="s">
        <v>198</v>
      </c>
    </row>
    <row r="16" spans="1:15">
      <c r="A16" s="45" t="s">
        <v>112</v>
      </c>
      <c r="B16" s="45">
        <f>B15*B14</f>
        <v>321840000</v>
      </c>
      <c r="C16" s="45"/>
      <c r="D16" s="45">
        <f t="shared" ref="D16:H16" si="2">D15*D14</f>
        <v>146880000</v>
      </c>
      <c r="E16" s="45"/>
      <c r="F16" s="45">
        <f t="shared" si="2"/>
        <v>139248000</v>
      </c>
      <c r="G16" s="45"/>
      <c r="H16" s="45">
        <f t="shared" si="2"/>
        <v>272808000</v>
      </c>
      <c r="I16" s="45"/>
      <c r="J16" s="76">
        <v>393912000</v>
      </c>
    </row>
    <row r="17" spans="1:15">
      <c r="A17" s="43" t="s">
        <v>118</v>
      </c>
      <c r="B17" s="68">
        <f>B16+D16+F16+H16</f>
        <v>880776000</v>
      </c>
      <c r="J17" s="71">
        <f>(B17-J16)/J16*100</f>
        <v>123.59714860171816</v>
      </c>
    </row>
    <row r="18" spans="1:15">
      <c r="M18" s="36">
        <v>0.1</v>
      </c>
      <c r="N18" s="36"/>
      <c r="O18" s="36">
        <f>M18*N18</f>
        <v>0</v>
      </c>
    </row>
    <row r="20" spans="1:15">
      <c r="A20" s="66" t="s">
        <v>85</v>
      </c>
      <c r="B20" s="67"/>
      <c r="C20" s="67"/>
      <c r="D20" s="67"/>
      <c r="E20" s="67"/>
      <c r="F20" s="67"/>
      <c r="G20" s="67"/>
      <c r="H20" s="67"/>
      <c r="I20" s="67"/>
    </row>
    <row r="21" spans="1:15">
      <c r="A21" s="45"/>
      <c r="B21" s="109" t="s">
        <v>64</v>
      </c>
      <c r="C21" s="109"/>
      <c r="D21" s="109" t="s">
        <v>65</v>
      </c>
      <c r="E21" s="109"/>
      <c r="F21" s="109" t="s">
        <v>67</v>
      </c>
      <c r="G21" s="109"/>
      <c r="H21" s="109" t="s">
        <v>84</v>
      </c>
      <c r="I21" s="109"/>
    </row>
    <row r="22" spans="1:15">
      <c r="A22" s="45" t="s">
        <v>117</v>
      </c>
      <c r="B22" s="45">
        <f>'UMTS (3, ptos)'!B66</f>
        <v>0.89984914220763157</v>
      </c>
      <c r="C22" s="45"/>
      <c r="D22" s="45">
        <f>'UMTS (3, ptos)'!C66</f>
        <v>3.0175263863969937</v>
      </c>
      <c r="E22" s="45"/>
      <c r="F22" s="45">
        <f>'UMTS (3, ptos)'!D66</f>
        <v>44.886592505415969</v>
      </c>
      <c r="G22" s="45"/>
      <c r="H22" s="45">
        <f>'UMTS (3, ptos)'!E66</f>
        <v>272.52574021145415</v>
      </c>
      <c r="I22" s="45"/>
    </row>
    <row r="23" spans="1:15">
      <c r="A23" s="45"/>
      <c r="B23" s="45" t="s">
        <v>87</v>
      </c>
      <c r="C23" s="45" t="s">
        <v>88</v>
      </c>
      <c r="D23" s="45" t="s">
        <v>87</v>
      </c>
      <c r="E23" s="45" t="s">
        <v>88</v>
      </c>
      <c r="F23" s="45" t="s">
        <v>87</v>
      </c>
      <c r="G23" s="45" t="s">
        <v>88</v>
      </c>
      <c r="H23" s="45" t="s">
        <v>87</v>
      </c>
      <c r="I23" s="45" t="s">
        <v>88</v>
      </c>
    </row>
    <row r="24" spans="1:15">
      <c r="A24" s="45" t="s">
        <v>105</v>
      </c>
      <c r="B24" s="45">
        <f>B22*'UMTS (3, ptos)'!B44/'UMTS (3, ptos)'!B61</f>
        <v>493.39604417670677</v>
      </c>
      <c r="C24" s="45">
        <f>B22*'UMTS (3, ptos)'!C44/'UMTS (3, ptos)'!C61</f>
        <v>493.39604417670677</v>
      </c>
      <c r="D24" s="45">
        <f>D22*'UMTS (3, ptos)'!D44/'UMTS (3, ptos)'!D61</f>
        <v>603.54256168404515</v>
      </c>
      <c r="E24" s="45">
        <f>D22*'UMTS (3, ptos)'!E44/'UMTS (3, ptos)'!E61</f>
        <v>543.18830551564054</v>
      </c>
      <c r="F24" s="45">
        <f>F22*'UMTS (3, ptos)'!F44/'UMTS (3, ptos)'!F61</f>
        <v>2321.8637373021488</v>
      </c>
      <c r="G24" s="45">
        <f>F22*'UMTS (3, ptos)'!G44/'UMTS (3, ptos)'!G61</f>
        <v>1973.5841767068271</v>
      </c>
      <c r="H24" s="45">
        <f>H22*'UMTS (3, ptos)'!H44/'UMTS (3, ptos)'!H61</f>
        <v>1785.6237789252245</v>
      </c>
      <c r="I24" s="45">
        <f>H22*'UMTS (3, ptos)'!I44/'UMTS (3, ptos)'!I61</f>
        <v>1973.5841767068268</v>
      </c>
    </row>
    <row r="25" spans="1:15">
      <c r="A25" s="45" t="s">
        <v>106</v>
      </c>
      <c r="B25" s="45">
        <f>B24*'UMTS (3, ptos)'!B58</f>
        <v>6.3154693654618468</v>
      </c>
      <c r="C25" s="45">
        <f>C24*'UMTS (3, ptos)'!C58</f>
        <v>5.9207525301204811</v>
      </c>
      <c r="D25" s="45">
        <f>D24*'UMTS (3, ptos)'!D58</f>
        <v>5.6733000798300246</v>
      </c>
      <c r="E25" s="45">
        <f>E24*'UMTS (3, ptos)'!E58</f>
        <v>5.920752530120482</v>
      </c>
      <c r="F25" s="45">
        <f>F24*'UMTS (3, ptos)'!F58</f>
        <v>4.6437274746042974</v>
      </c>
      <c r="G25" s="45">
        <f>G24*'UMTS (3, ptos)'!G58</f>
        <v>5.9207525301204811</v>
      </c>
      <c r="H25" s="45">
        <f>H24*'UMTS (3, ptos)'!H58</f>
        <v>3.571247557850449</v>
      </c>
      <c r="I25" s="45">
        <f>I24*'UMTS (3, ptos)'!I58</f>
        <v>5.9207525301204802</v>
      </c>
    </row>
    <row r="26" spans="1:15">
      <c r="A26" s="45" t="s">
        <v>127</v>
      </c>
      <c r="B26" s="45">
        <f>B25*(1.66)</f>
        <v>10.483679146666665</v>
      </c>
      <c r="C26" s="45">
        <f t="shared" ref="C26:I26" si="3">C25*(1.66)</f>
        <v>9.8284491999999979</v>
      </c>
      <c r="D26" s="45">
        <f t="shared" si="3"/>
        <v>9.4176781325178407</v>
      </c>
      <c r="E26" s="45">
        <f t="shared" si="3"/>
        <v>9.8284491999999997</v>
      </c>
      <c r="F26" s="45">
        <f t="shared" si="3"/>
        <v>7.7085876078431337</v>
      </c>
      <c r="G26" s="45">
        <f t="shared" si="3"/>
        <v>9.8284491999999979</v>
      </c>
      <c r="H26" s="45">
        <f t="shared" si="3"/>
        <v>5.9282709460317449</v>
      </c>
      <c r="I26" s="45">
        <f t="shared" si="3"/>
        <v>9.8284491999999961</v>
      </c>
    </row>
    <row r="27" spans="1:15">
      <c r="A27" s="45" t="s">
        <v>128</v>
      </c>
      <c r="B27" s="45">
        <f>LOOKUP(B26,Erlang!$B$2:$B$76,Erlang!$A$2:$A$76)</f>
        <v>16</v>
      </c>
      <c r="C27" s="45">
        <f>LOOKUP(C26,Erlang!$B$2:$B$76,Erlang!$A$2:$A$76)</f>
        <v>15</v>
      </c>
      <c r="D27" s="45">
        <f>LOOKUP(D26,Erlang!$B$2:$B$76,Erlang!$A$2:$A$76)</f>
        <v>15</v>
      </c>
      <c r="E27" s="45">
        <f>LOOKUP(E26,Erlang!$B$2:$B$76,Erlang!$A$2:$A$76)</f>
        <v>16</v>
      </c>
      <c r="F27" s="45">
        <f>LOOKUP(F26,Erlang!$B$2:$B$76,Erlang!$A$2:$A$76)</f>
        <v>13</v>
      </c>
      <c r="G27" s="45">
        <f>LOOKUP(G26,Erlang!$B$2:$B$76,Erlang!$A$2:$A$76)</f>
        <v>15</v>
      </c>
      <c r="H27" s="45">
        <f>LOOKUP(H26,Erlang!$B$2:$B$76,Erlang!$A$2:$A$76)</f>
        <v>11</v>
      </c>
      <c r="I27" s="45">
        <f>LOOKUP(I26,Erlang!$B$2:$B$76,Erlang!$A$2:$A$76)</f>
        <v>15</v>
      </c>
      <c r="M27" s="36">
        <v>0.5</v>
      </c>
      <c r="N27" s="36"/>
      <c r="O27" s="36">
        <f>M27*N27</f>
        <v>0</v>
      </c>
    </row>
    <row r="28" spans="1:15">
      <c r="A28" s="45" t="s">
        <v>107</v>
      </c>
      <c r="B28" s="45">
        <f>ROUNDUP(B27/1.66,0)</f>
        <v>10</v>
      </c>
      <c r="C28" s="45">
        <f t="shared" ref="C28:I28" si="4">ROUNDUP(C27/1.66,0)</f>
        <v>10</v>
      </c>
      <c r="D28" s="45">
        <f t="shared" si="4"/>
        <v>10</v>
      </c>
      <c r="E28" s="45">
        <f t="shared" si="4"/>
        <v>10</v>
      </c>
      <c r="F28" s="45">
        <f t="shared" si="4"/>
        <v>8</v>
      </c>
      <c r="G28" s="45">
        <f t="shared" si="4"/>
        <v>10</v>
      </c>
      <c r="H28" s="45">
        <f t="shared" si="4"/>
        <v>7</v>
      </c>
      <c r="I28" s="45">
        <f t="shared" si="4"/>
        <v>10</v>
      </c>
    </row>
    <row r="29" spans="1:15">
      <c r="A29" s="45" t="s">
        <v>108</v>
      </c>
      <c r="B29" s="45">
        <v>12.2</v>
      </c>
      <c r="C29" s="45">
        <v>128</v>
      </c>
      <c r="D29" s="45">
        <v>12.2</v>
      </c>
      <c r="E29" s="45">
        <v>128</v>
      </c>
      <c r="F29" s="45">
        <v>12.2</v>
      </c>
      <c r="G29" s="45">
        <v>128</v>
      </c>
      <c r="H29" s="45">
        <v>12.2</v>
      </c>
      <c r="I29" s="45">
        <v>128</v>
      </c>
    </row>
    <row r="30" spans="1:15">
      <c r="A30" s="44" t="s">
        <v>110</v>
      </c>
      <c r="B30" s="44">
        <f>B29*B28</f>
        <v>122</v>
      </c>
      <c r="C30" s="44">
        <f t="shared" ref="C30:I30" si="5">C29*C28</f>
        <v>1280</v>
      </c>
      <c r="D30" s="44">
        <f t="shared" si="5"/>
        <v>122</v>
      </c>
      <c r="E30" s="44">
        <f t="shared" si="5"/>
        <v>1280</v>
      </c>
      <c r="F30" s="44">
        <f t="shared" si="5"/>
        <v>97.6</v>
      </c>
      <c r="G30" s="44">
        <f t="shared" si="5"/>
        <v>1280</v>
      </c>
      <c r="H30" s="44">
        <f>H29*H28</f>
        <v>85.399999999999991</v>
      </c>
      <c r="I30" s="44">
        <f t="shared" si="5"/>
        <v>1280</v>
      </c>
    </row>
    <row r="31" spans="1:15">
      <c r="A31" s="44" t="s">
        <v>119</v>
      </c>
      <c r="B31" s="44">
        <f>(B30+C30)*'UMTS (3, ptos)'!B61</f>
        <v>4206</v>
      </c>
      <c r="C31" s="45"/>
      <c r="D31" s="44">
        <f>(D30+E30)*'UMTS (3, ptos)'!D61</f>
        <v>4206</v>
      </c>
      <c r="E31" s="45"/>
      <c r="F31" s="44">
        <f>(F30+G30)*'UMTS (3, ptos)'!F61</f>
        <v>4132.7999999999993</v>
      </c>
      <c r="G31" s="45"/>
      <c r="H31" s="44">
        <f>(H30+I30)*'UMTS (3, ptos)'!H61</f>
        <v>4096.2000000000007</v>
      </c>
      <c r="I31" s="45"/>
    </row>
    <row r="32" spans="1:15">
      <c r="A32" s="44" t="s">
        <v>111</v>
      </c>
      <c r="B32" s="44">
        <f>ROUNDUP(B31/2048,0)</f>
        <v>3</v>
      </c>
      <c r="C32" s="45"/>
      <c r="D32" s="44">
        <f t="shared" ref="D32:H32" si="6">ROUNDUP(D31/2048,0)</f>
        <v>3</v>
      </c>
      <c r="E32" s="45"/>
      <c r="F32" s="44">
        <f t="shared" si="6"/>
        <v>3</v>
      </c>
      <c r="G32" s="45"/>
      <c r="H32" s="44">
        <f t="shared" si="6"/>
        <v>3</v>
      </c>
      <c r="I32" s="45"/>
      <c r="M32" s="36">
        <v>0.15</v>
      </c>
      <c r="N32" s="36"/>
      <c r="O32" s="36">
        <f>M32*N32</f>
        <v>0</v>
      </c>
    </row>
    <row r="33" spans="1:15">
      <c r="A33" s="45" t="s">
        <v>86</v>
      </c>
      <c r="B33" s="45">
        <f>B32*24000</f>
        <v>72000</v>
      </c>
      <c r="C33" s="45"/>
      <c r="D33" s="45">
        <f>D32*24000</f>
        <v>72000</v>
      </c>
      <c r="E33" s="45"/>
      <c r="F33" s="45">
        <f>F32*24000</f>
        <v>72000</v>
      </c>
      <c r="G33" s="45"/>
      <c r="H33" s="45">
        <f>H32*24000</f>
        <v>72000</v>
      </c>
      <c r="I33" s="45"/>
    </row>
    <row r="34" spans="1:15">
      <c r="A34" s="45" t="s">
        <v>123</v>
      </c>
      <c r="B34" s="45">
        <f>'UMTS (3, ptos)'!B79</f>
        <v>5046</v>
      </c>
      <c r="D34" s="45">
        <f>'UMTS (3, ptos)'!C79</f>
        <v>2172</v>
      </c>
      <c r="F34" s="45">
        <f>'UMTS (3, ptos)'!D79</f>
        <v>509</v>
      </c>
      <c r="G34" s="45"/>
      <c r="H34" s="45">
        <f>'UMTS (3, ptos)'!E79</f>
        <v>1246</v>
      </c>
      <c r="I34" s="45"/>
      <c r="J34" t="s">
        <v>199</v>
      </c>
    </row>
    <row r="35" spans="1:15">
      <c r="A35" s="45" t="s">
        <v>112</v>
      </c>
      <c r="B35" s="45">
        <f>B33*B34</f>
        <v>363312000</v>
      </c>
      <c r="C35" s="45"/>
      <c r="D35" s="45">
        <f t="shared" ref="D35:H35" si="7">D33*D34</f>
        <v>156384000</v>
      </c>
      <c r="E35" s="45"/>
      <c r="F35" s="45">
        <f t="shared" si="7"/>
        <v>36648000</v>
      </c>
      <c r="G35" s="45"/>
      <c r="H35" s="45">
        <f t="shared" si="7"/>
        <v>89712000</v>
      </c>
      <c r="I35" s="45"/>
      <c r="J35" s="73">
        <v>349020000</v>
      </c>
    </row>
    <row r="36" spans="1:15">
      <c r="A36" s="43" t="s">
        <v>118</v>
      </c>
      <c r="B36" s="43">
        <f>B35+D35+F35+H35</f>
        <v>646056000</v>
      </c>
      <c r="J36" s="70">
        <f>(B36-J35)/J35*100</f>
        <v>85.105724600309443</v>
      </c>
      <c r="M36" s="36">
        <v>0.1</v>
      </c>
      <c r="N36" s="36"/>
      <c r="O36" s="36">
        <f>M36*N36</f>
        <v>0</v>
      </c>
    </row>
    <row r="40" spans="1:15">
      <c r="L40" s="36" t="s">
        <v>126</v>
      </c>
      <c r="M40" s="36">
        <f>M9+M14+M18+M27+M32+M36</f>
        <v>1.5</v>
      </c>
      <c r="N40" s="36"/>
      <c r="O40" s="36">
        <f>O9+O14+O18+O27+O32+O36</f>
        <v>0.5</v>
      </c>
    </row>
  </sheetData>
  <mergeCells count="8">
    <mergeCell ref="F21:G21"/>
    <mergeCell ref="H21:I21"/>
    <mergeCell ref="B4:C4"/>
    <mergeCell ref="D4:E4"/>
    <mergeCell ref="F4:G4"/>
    <mergeCell ref="H4:I4"/>
    <mergeCell ref="B21:C21"/>
    <mergeCell ref="D21:E21"/>
  </mergeCells>
  <pageMargins left="0.7" right="0.7" top="0.75" bottom="0.75" header="0.3" footer="0.3"/>
  <pageSetup paperSize="9" scale="83" orientation="landscape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>
  <dimension ref="A1:P35"/>
  <sheetViews>
    <sheetView workbookViewId="0">
      <selection activeCell="B29" sqref="B29"/>
    </sheetView>
  </sheetViews>
  <sheetFormatPr baseColWidth="10" defaultRowHeight="12.75"/>
  <cols>
    <col min="1" max="1" width="38.875" bestFit="1" customWidth="1"/>
    <col min="2" max="2" width="14" bestFit="1" customWidth="1"/>
    <col min="3" max="3" width="27.125" bestFit="1" customWidth="1"/>
    <col min="4" max="4" width="13" bestFit="1" customWidth="1"/>
    <col min="5" max="5" width="30.375" bestFit="1" customWidth="1"/>
    <col min="6" max="6" width="16.375" customWidth="1"/>
    <col min="7" max="7" width="16.5" customWidth="1"/>
    <col min="10" max="10" width="20.375" customWidth="1"/>
  </cols>
  <sheetData>
    <row r="1" spans="1:16">
      <c r="N1" s="97" t="s">
        <v>192</v>
      </c>
      <c r="O1" s="36" t="s">
        <v>194</v>
      </c>
      <c r="P1" s="36" t="s">
        <v>195</v>
      </c>
    </row>
    <row r="2" spans="1:16">
      <c r="A2" s="55" t="s">
        <v>121</v>
      </c>
      <c r="B2" s="45"/>
    </row>
    <row r="3" spans="1:16">
      <c r="A3" s="45" t="s">
        <v>103</v>
      </c>
      <c r="B3" s="45">
        <f>'GSM (2,6 ptos )'!B84</f>
        <v>1873015000</v>
      </c>
      <c r="C3" s="73">
        <v>1325379000</v>
      </c>
      <c r="D3" s="74">
        <f t="shared" ref="D3:D9" si="0">100*(B3-C3)/C3</f>
        <v>41.319200017504429</v>
      </c>
    </row>
    <row r="4" spans="1:16">
      <c r="A4" s="45" t="s">
        <v>104</v>
      </c>
      <c r="B4" s="45">
        <f>'UMTS (3, ptos)'!B81</f>
        <v>1031220000</v>
      </c>
      <c r="C4" s="73">
        <v>650890000</v>
      </c>
      <c r="D4" s="74">
        <f t="shared" si="0"/>
        <v>58.43230038869855</v>
      </c>
    </row>
    <row r="5" spans="1:16">
      <c r="A5" s="45" t="s">
        <v>96</v>
      </c>
      <c r="B5" s="45">
        <f>B3+B4</f>
        <v>2904235000</v>
      </c>
      <c r="C5" s="73">
        <v>1976269000</v>
      </c>
      <c r="D5" s="74">
        <f t="shared" si="0"/>
        <v>46.955449890677841</v>
      </c>
    </row>
    <row r="6" spans="1:16">
      <c r="A6" s="45" t="s">
        <v>120</v>
      </c>
      <c r="B6" s="45">
        <f>'Red de Agregacion (1,7 ptos)'!B17+'Red de Agregacion (1,7 ptos)'!B36</f>
        <v>1526832000</v>
      </c>
      <c r="C6" s="73">
        <v>742932000</v>
      </c>
      <c r="D6" s="74">
        <f t="shared" si="0"/>
        <v>105.51436739836217</v>
      </c>
    </row>
    <row r="7" spans="1:16">
      <c r="A7" s="45" t="s">
        <v>97</v>
      </c>
      <c r="B7" s="45">
        <f>(B5+B6)/0.85</f>
        <v>5213020000</v>
      </c>
      <c r="C7" s="73">
        <v>3021334444.4444442</v>
      </c>
      <c r="D7" s="74">
        <f t="shared" si="0"/>
        <v>72.540316070786986</v>
      </c>
    </row>
    <row r="8" spans="1:16">
      <c r="A8" s="45" t="s">
        <v>98</v>
      </c>
      <c r="B8" s="45">
        <v>10</v>
      </c>
      <c r="C8" s="73">
        <v>10</v>
      </c>
      <c r="D8" s="74">
        <f t="shared" si="0"/>
        <v>0</v>
      </c>
    </row>
    <row r="9" spans="1:16">
      <c r="A9" s="45" t="s">
        <v>99</v>
      </c>
      <c r="B9" s="45">
        <f>B7/B8</f>
        <v>521302000</v>
      </c>
      <c r="C9" s="73">
        <v>302133444.44444442</v>
      </c>
      <c r="D9" s="74">
        <f t="shared" si="0"/>
        <v>72.540316070786986</v>
      </c>
    </row>
    <row r="10" spans="1:16">
      <c r="A10" s="43" t="s">
        <v>100</v>
      </c>
      <c r="B10" s="43">
        <f>B9*1.125</f>
        <v>586464750</v>
      </c>
      <c r="C10" s="73">
        <v>339900125</v>
      </c>
      <c r="D10" s="74">
        <f>100*(B10-C10)/C10</f>
        <v>72.540316070786972</v>
      </c>
      <c r="N10" s="36">
        <v>0.25</v>
      </c>
      <c r="O10" s="36">
        <v>1</v>
      </c>
      <c r="P10" s="36">
        <f>N9*O10</f>
        <v>0</v>
      </c>
    </row>
    <row r="12" spans="1:16">
      <c r="A12" s="45"/>
      <c r="B12" s="109" t="s">
        <v>64</v>
      </c>
      <c r="C12" s="109"/>
      <c r="D12" s="109" t="s">
        <v>65</v>
      </c>
      <c r="E12" s="109"/>
      <c r="F12" s="109" t="s">
        <v>69</v>
      </c>
      <c r="G12" s="109"/>
      <c r="H12" s="105" t="s">
        <v>90</v>
      </c>
      <c r="I12" s="110"/>
      <c r="J12" s="73"/>
      <c r="K12" s="74"/>
    </row>
    <row r="13" spans="1:16">
      <c r="A13" s="45"/>
      <c r="B13" s="50" t="s">
        <v>87</v>
      </c>
      <c r="C13" s="50" t="s">
        <v>88</v>
      </c>
      <c r="D13" s="50" t="s">
        <v>87</v>
      </c>
      <c r="E13" s="50" t="s">
        <v>88</v>
      </c>
      <c r="F13" s="50" t="s">
        <v>87</v>
      </c>
      <c r="G13" s="50" t="s">
        <v>88</v>
      </c>
      <c r="H13" s="50"/>
      <c r="I13" s="72"/>
      <c r="J13" s="73"/>
      <c r="K13" s="74"/>
    </row>
    <row r="14" spans="1:16">
      <c r="A14" s="39" t="s">
        <v>89</v>
      </c>
      <c r="B14" s="39">
        <f>'Tráfico (1 ptos)'!B15</f>
        <v>11038121423.999998</v>
      </c>
      <c r="C14" s="39">
        <f>'Tráfico (1 ptos)'!C15</f>
        <v>16055449344</v>
      </c>
      <c r="D14" s="39">
        <f>'Tráfico (1 ptos)'!D15</f>
        <v>5226383250</v>
      </c>
      <c r="E14" s="39">
        <f>'Tráfico (1 ptos)'!E15</f>
        <v>6271659900</v>
      </c>
      <c r="F14" s="39">
        <f>'Tráfico (1 ptos)'!F15</f>
        <v>3344885280</v>
      </c>
      <c r="G14" s="39">
        <f>'Tráfico (1 ptos)'!G15</f>
        <v>7107881219.999999</v>
      </c>
      <c r="H14" s="39">
        <f>'Tráfico (1 ptos)'!H15</f>
        <v>1170709848.0000002</v>
      </c>
      <c r="I14" s="39">
        <f>'Tráfico (1 ptos)'!I15</f>
        <v>2487758427</v>
      </c>
      <c r="J14" s="73"/>
      <c r="K14" s="74"/>
    </row>
    <row r="15" spans="1:16">
      <c r="A15" s="43" t="s">
        <v>91</v>
      </c>
      <c r="B15" s="43">
        <f>B14+C14*2+D14+E14*2+F14+G14*2+H14+I14*2</f>
        <v>84625597584</v>
      </c>
      <c r="C15" s="69"/>
      <c r="D15" s="45"/>
      <c r="E15" s="45"/>
      <c r="F15" s="45"/>
      <c r="G15" s="45"/>
      <c r="H15" s="45"/>
      <c r="I15" s="72"/>
      <c r="J15" s="73">
        <v>84625597584</v>
      </c>
      <c r="K15" s="74">
        <f t="shared" ref="K15:K21" si="1">100*(B15-J15)/J15</f>
        <v>0</v>
      </c>
      <c r="N15" s="36">
        <v>0.15</v>
      </c>
      <c r="O15" s="36">
        <v>1</v>
      </c>
      <c r="P15" s="36">
        <f>N14*O15</f>
        <v>0</v>
      </c>
    </row>
    <row r="16" spans="1:16">
      <c r="A16" s="39" t="s">
        <v>92</v>
      </c>
      <c r="B16" s="39">
        <f>'Tráfico (1 ptos)'!B34</f>
        <v>12844359475.200001</v>
      </c>
      <c r="C16" s="39">
        <f>'Tráfico (1 ptos)'!C34</f>
        <v>16055449344</v>
      </c>
      <c r="D16" s="39">
        <f>'Tráfico (1 ptos)'!D34</f>
        <v>4912800255.0000019</v>
      </c>
      <c r="E16" s="39">
        <f>'Tráfico (1 ptos)'!E34</f>
        <v>6836109291.0000019</v>
      </c>
      <c r="F16" s="39">
        <f>'Tráfico (1 ptos)'!F34</f>
        <v>794410253.99999988</v>
      </c>
      <c r="G16" s="39">
        <f>'Tráfico (1 ptos)'!G34</f>
        <v>1756064772.0000002</v>
      </c>
      <c r="H16" s="39">
        <f>'Tráfico (1 ptos)'!H34</f>
        <v>278043588.9000001</v>
      </c>
      <c r="I16" s="39">
        <f>'Tráfico (1 ptos)'!I34</f>
        <v>614622670.20000017</v>
      </c>
      <c r="J16" s="73"/>
      <c r="K16" s="74"/>
    </row>
    <row r="17" spans="1:16">
      <c r="A17" s="45" t="s">
        <v>115</v>
      </c>
      <c r="B17" s="45">
        <f>'UMTS (3, ptos)'!C51/'UMTS (3, ptos)'!B51</f>
        <v>10.110562921022252</v>
      </c>
      <c r="J17" s="73"/>
      <c r="K17" s="74"/>
    </row>
    <row r="18" spans="1:16">
      <c r="A18" s="43" t="s">
        <v>93</v>
      </c>
      <c r="B18" s="43">
        <f>B16+C16*B17+D16+E16*B17+F16+G16*B17+H16+I16*B17</f>
        <v>274245142062.97821</v>
      </c>
      <c r="J18" s="73">
        <v>304890091979.07538</v>
      </c>
      <c r="K18" s="74">
        <f t="shared" si="1"/>
        <v>-10.051146535191551</v>
      </c>
      <c r="N18" s="36">
        <v>0.15</v>
      </c>
      <c r="O18" s="36">
        <v>1</v>
      </c>
      <c r="P18" s="36">
        <f>N18*O18</f>
        <v>0.15</v>
      </c>
    </row>
    <row r="19" spans="1:16">
      <c r="A19" s="45" t="s">
        <v>94</v>
      </c>
      <c r="B19" s="45">
        <f>B17+B18</f>
        <v>274245142073.08878</v>
      </c>
      <c r="J19" s="73"/>
      <c r="K19" s="74"/>
    </row>
    <row r="20" spans="1:16">
      <c r="A20" s="45"/>
      <c r="B20" s="45"/>
      <c r="E20" t="s">
        <v>129</v>
      </c>
      <c r="J20" s="73"/>
      <c r="K20" s="74"/>
    </row>
    <row r="21" spans="1:16">
      <c r="A21" s="43" t="s">
        <v>95</v>
      </c>
      <c r="B21" s="43">
        <v>0</v>
      </c>
      <c r="E21" t="s">
        <v>130</v>
      </c>
      <c r="J21" s="73">
        <v>2.2004046413984721E-3</v>
      </c>
      <c r="K21" s="74">
        <f t="shared" si="1"/>
        <v>-100</v>
      </c>
      <c r="N21" s="36">
        <v>0.25</v>
      </c>
      <c r="O21" s="36">
        <v>1</v>
      </c>
      <c r="P21" s="36">
        <f>N21*O21</f>
        <v>0.25</v>
      </c>
    </row>
    <row r="22" spans="1:16">
      <c r="E22" t="s">
        <v>131</v>
      </c>
    </row>
    <row r="28" spans="1:16">
      <c r="A28" t="s">
        <v>201</v>
      </c>
      <c r="B28" t="s">
        <v>200</v>
      </c>
    </row>
    <row r="29" spans="1:16">
      <c r="A29" t="s">
        <v>202</v>
      </c>
    </row>
    <row r="32" spans="1:16">
      <c r="A32" t="s">
        <v>149</v>
      </c>
      <c r="B32" t="s">
        <v>150</v>
      </c>
      <c r="C32" t="s">
        <v>151</v>
      </c>
      <c r="D32" t="s">
        <v>152</v>
      </c>
    </row>
    <row r="33" spans="1:16">
      <c r="A33" t="s">
        <v>153</v>
      </c>
      <c r="B33" t="s">
        <v>154</v>
      </c>
    </row>
    <row r="34" spans="1:16">
      <c r="A34" t="s">
        <v>155</v>
      </c>
      <c r="B34" t="s">
        <v>156</v>
      </c>
      <c r="C34" t="s">
        <v>157</v>
      </c>
      <c r="D34" t="s">
        <v>158</v>
      </c>
    </row>
    <row r="35" spans="1:16">
      <c r="M35" s="36" t="s">
        <v>124</v>
      </c>
      <c r="N35" s="36"/>
      <c r="O35" s="36"/>
      <c r="P35" s="36">
        <f t="shared" ref="P35" si="2">SUM(P2:P34)</f>
        <v>0.4</v>
      </c>
    </row>
  </sheetData>
  <mergeCells count="4">
    <mergeCell ref="B12:C12"/>
    <mergeCell ref="D12:E12"/>
    <mergeCell ref="F12:G12"/>
    <mergeCell ref="H12:I12"/>
  </mergeCells>
  <pageMargins left="0.7" right="0.7" top="0.75" bottom="0.75" header="0.3" footer="0.3"/>
  <pageSetup paperSize="9" orientation="landscape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>
  <dimension ref="A1:N42"/>
  <sheetViews>
    <sheetView tabSelected="1" topLeftCell="A7" zoomScale="80" zoomScaleNormal="80" workbookViewId="0">
      <selection activeCell="C37" sqref="C37"/>
    </sheetView>
  </sheetViews>
  <sheetFormatPr baseColWidth="10" defaultRowHeight="12.75"/>
  <cols>
    <col min="1" max="1" width="45" bestFit="1" customWidth="1"/>
    <col min="2" max="2" width="14" bestFit="1" customWidth="1"/>
    <col min="3" max="3" width="27.125" bestFit="1" customWidth="1"/>
    <col min="4" max="4" width="13" bestFit="1" customWidth="1"/>
    <col min="5" max="5" width="30.375" bestFit="1" customWidth="1"/>
    <col min="6" max="6" width="16.375" customWidth="1"/>
    <col min="7" max="7" width="16.5" customWidth="1"/>
    <col min="10" max="10" width="20.375" customWidth="1"/>
  </cols>
  <sheetData>
    <row r="1" spans="1:14">
      <c r="N1" s="97" t="s">
        <v>192</v>
      </c>
    </row>
    <row r="2" spans="1:14">
      <c r="A2" s="55" t="s">
        <v>191</v>
      </c>
      <c r="B2" s="45"/>
    </row>
    <row r="3" spans="1:14">
      <c r="A3" s="85" t="s">
        <v>179</v>
      </c>
      <c r="B3" s="45">
        <f>'GSM (2,6 ptos )'!B84-'GSM (2,6 ptos )'!B86</f>
        <v>769965000</v>
      </c>
      <c r="C3" s="73">
        <v>1325379000</v>
      </c>
      <c r="D3" s="74">
        <f t="shared" ref="D3:D9" si="0">100*(B3-C3)/C3</f>
        <v>-41.906051023895806</v>
      </c>
    </row>
    <row r="4" spans="1:14">
      <c r="A4" s="45" t="s">
        <v>104</v>
      </c>
      <c r="B4" s="45">
        <f>'UMTS (3, ptos)'!B81-'UMTS (3, ptos)'!B83</f>
        <v>472335000</v>
      </c>
      <c r="C4" s="73">
        <v>650890000</v>
      </c>
      <c r="D4" s="74">
        <f t="shared" si="0"/>
        <v>-27.432438660910446</v>
      </c>
    </row>
    <row r="5" spans="1:14">
      <c r="A5" s="45" t="s">
        <v>96</v>
      </c>
      <c r="B5" s="45">
        <f>B3+B4</f>
        <v>1242300000</v>
      </c>
      <c r="C5" s="73">
        <v>1976269000</v>
      </c>
      <c r="D5" s="74">
        <f t="shared" si="0"/>
        <v>-37.139124279134066</v>
      </c>
    </row>
    <row r="6" spans="1:14">
      <c r="A6" s="45" t="s">
        <v>120</v>
      </c>
      <c r="B6" s="45">
        <f>'Red de Agregacion (1,7 ptos)'!B17+'Red de Agregacion (1,7 ptos)'!B36</f>
        <v>1526832000</v>
      </c>
      <c r="C6" s="73">
        <v>742932000</v>
      </c>
      <c r="D6" s="74">
        <f t="shared" si="0"/>
        <v>105.51436739836217</v>
      </c>
    </row>
    <row r="7" spans="1:14">
      <c r="A7" s="45" t="s">
        <v>97</v>
      </c>
      <c r="B7" s="45">
        <f>(B5+B6)/0.9</f>
        <v>3076813333.3333335</v>
      </c>
      <c r="C7" s="73">
        <v>3021334444.4444442</v>
      </c>
      <c r="D7" s="74">
        <f t="shared" si="0"/>
        <v>1.8362379243020426</v>
      </c>
    </row>
    <row r="8" spans="1:14">
      <c r="A8" s="45" t="s">
        <v>98</v>
      </c>
      <c r="B8" s="45">
        <v>10</v>
      </c>
      <c r="C8" s="73">
        <v>10</v>
      </c>
      <c r="D8" s="74">
        <f t="shared" si="0"/>
        <v>0</v>
      </c>
    </row>
    <row r="9" spans="1:14">
      <c r="A9" s="45" t="s">
        <v>99</v>
      </c>
      <c r="B9" s="45">
        <f>B7/B8</f>
        <v>307681333.33333337</v>
      </c>
      <c r="C9" s="73">
        <v>302133444.44444442</v>
      </c>
      <c r="D9" s="74">
        <f t="shared" si="0"/>
        <v>1.8362379243020506</v>
      </c>
    </row>
    <row r="10" spans="1:14">
      <c r="A10" s="43" t="s">
        <v>100</v>
      </c>
      <c r="B10" s="43">
        <f>B9*1.125</f>
        <v>346141500.00000006</v>
      </c>
      <c r="C10" s="73">
        <v>339900125</v>
      </c>
      <c r="D10" s="74">
        <f>100*(B10-C10)/C10</f>
        <v>1.8362379243020459</v>
      </c>
      <c r="J10" s="73">
        <v>339900125</v>
      </c>
      <c r="K10" s="74">
        <f>100*(B10-J10)/J10</f>
        <v>1.8362379243020459</v>
      </c>
      <c r="N10" s="36">
        <v>0.25</v>
      </c>
    </row>
    <row r="11" spans="1:14">
      <c r="J11" s="73"/>
      <c r="K11" s="74"/>
    </row>
    <row r="12" spans="1:14">
      <c r="A12" s="45"/>
      <c r="B12" s="109" t="s">
        <v>64</v>
      </c>
      <c r="C12" s="109"/>
      <c r="D12" s="109" t="s">
        <v>65</v>
      </c>
      <c r="E12" s="109"/>
      <c r="F12" s="109" t="s">
        <v>69</v>
      </c>
      <c r="G12" s="109"/>
      <c r="H12" s="105" t="s">
        <v>90</v>
      </c>
      <c r="I12" s="110"/>
      <c r="J12" s="73"/>
      <c r="K12" s="74"/>
    </row>
    <row r="13" spans="1:14">
      <c r="A13" s="45"/>
      <c r="B13" s="50" t="s">
        <v>87</v>
      </c>
      <c r="C13" s="50" t="s">
        <v>88</v>
      </c>
      <c r="D13" s="50" t="s">
        <v>87</v>
      </c>
      <c r="E13" s="50" t="s">
        <v>88</v>
      </c>
      <c r="F13" s="50" t="s">
        <v>87</v>
      </c>
      <c r="G13" s="50" t="s">
        <v>88</v>
      </c>
      <c r="H13" s="50"/>
      <c r="I13" s="72"/>
      <c r="J13" s="73"/>
      <c r="K13" s="74"/>
    </row>
    <row r="14" spans="1:14">
      <c r="A14" s="39" t="s">
        <v>89</v>
      </c>
      <c r="B14" s="39">
        <f>'Coste con Inf 0,8 pts'!B14</f>
        <v>11038121423.999998</v>
      </c>
      <c r="C14" s="39">
        <f>'Coste con Inf 0,8 pts'!C14</f>
        <v>16055449344</v>
      </c>
      <c r="D14" s="39">
        <f>'Coste con Inf 0,8 pts'!D14</f>
        <v>5226383250</v>
      </c>
      <c r="E14" s="39">
        <f>'Coste con Inf 0,8 pts'!E14</f>
        <v>6271659900</v>
      </c>
      <c r="F14" s="39">
        <f>'Coste con Inf 0,8 pts'!F14</f>
        <v>3344885280</v>
      </c>
      <c r="G14" s="39">
        <f>'Coste con Inf 0,8 pts'!G14</f>
        <v>7107881219.999999</v>
      </c>
      <c r="H14" s="39">
        <f>'Coste con Inf 0,8 pts'!H14</f>
        <v>1170709848.0000002</v>
      </c>
      <c r="I14" s="39">
        <f>'Coste con Inf 0,8 pts'!I14</f>
        <v>2487758427</v>
      </c>
      <c r="J14" s="73"/>
      <c r="K14" s="74"/>
    </row>
    <row r="15" spans="1:14">
      <c r="A15" s="43" t="s">
        <v>91</v>
      </c>
      <c r="B15" s="43">
        <f>B14+C14*2+D14+E14*2+F14+G14*2+H14+I14*2</f>
        <v>84625597584</v>
      </c>
      <c r="C15" s="69"/>
      <c r="D15" s="45"/>
      <c r="E15" s="45"/>
      <c r="F15" s="45"/>
      <c r="G15" s="45"/>
      <c r="H15" s="45"/>
      <c r="I15" s="72"/>
      <c r="J15" s="73">
        <v>68645642200.599998</v>
      </c>
      <c r="K15" s="74">
        <f t="shared" ref="K15:K21" si="1">100*(B15-J15)/J15</f>
        <v>23.278907256344858</v>
      </c>
      <c r="N15" s="36">
        <v>0.15</v>
      </c>
    </row>
    <row r="16" spans="1:14">
      <c r="A16" s="39" t="s">
        <v>92</v>
      </c>
      <c r="B16" s="39">
        <f>'Coste con Inf 0,8 pts'!B16</f>
        <v>12844359475.200001</v>
      </c>
      <c r="C16" s="39">
        <f>'Coste con Inf 0,8 pts'!C16</f>
        <v>16055449344</v>
      </c>
      <c r="D16" s="39">
        <f>'Coste con Inf 0,8 pts'!D16</f>
        <v>4912800255.0000019</v>
      </c>
      <c r="E16" s="39">
        <f>'Coste con Inf 0,8 pts'!E16</f>
        <v>6836109291.0000019</v>
      </c>
      <c r="F16" s="39">
        <f>'Coste con Inf 0,8 pts'!F16</f>
        <v>794410253.99999988</v>
      </c>
      <c r="G16" s="39">
        <f>'Coste con Inf 0,8 pts'!G16</f>
        <v>1756064772.0000002</v>
      </c>
      <c r="H16" s="39">
        <f>'Coste con Inf 0,8 pts'!H16</f>
        <v>278043588.9000001</v>
      </c>
      <c r="I16" s="39">
        <f>'Coste con Inf 0,8 pts'!I16</f>
        <v>614622670.20000017</v>
      </c>
      <c r="J16" s="73"/>
      <c r="K16" s="74"/>
    </row>
    <row r="17" spans="1:14">
      <c r="A17" s="45" t="s">
        <v>115</v>
      </c>
      <c r="B17" s="45">
        <f>'UMTS (3, ptos)'!C51/'UMTS (3, ptos)'!B51</f>
        <v>10.110562921022252</v>
      </c>
      <c r="J17" s="73"/>
      <c r="K17" s="74"/>
    </row>
    <row r="18" spans="1:14">
      <c r="A18" s="43" t="s">
        <v>93</v>
      </c>
      <c r="B18" s="43">
        <f>B16+C16*B17+D16+E16*B17+F16+G16*B17+H16+I16*B17</f>
        <v>274245142062.97821</v>
      </c>
      <c r="J18" s="73">
        <v>255768247709.22626</v>
      </c>
      <c r="K18" s="74">
        <f t="shared" si="1"/>
        <v>7.2240766863123964</v>
      </c>
      <c r="N18" s="36">
        <v>0.15</v>
      </c>
    </row>
    <row r="19" spans="1:14">
      <c r="A19" s="45" t="s">
        <v>94</v>
      </c>
      <c r="B19" s="45">
        <f>B17+B18</f>
        <v>274245142073.08878</v>
      </c>
      <c r="J19" s="73"/>
      <c r="K19" s="74"/>
    </row>
    <row r="20" spans="1:14">
      <c r="A20" s="45"/>
      <c r="B20" s="45"/>
      <c r="J20" s="73"/>
      <c r="K20" s="74"/>
    </row>
    <row r="21" spans="1:14">
      <c r="A21" s="43" t="s">
        <v>95</v>
      </c>
      <c r="B21" s="43">
        <f>B10/B19</f>
        <v>1.2621609169935644E-3</v>
      </c>
      <c r="J21" s="73">
        <v>1.3289379273246245E-3</v>
      </c>
      <c r="K21" s="74">
        <f t="shared" si="1"/>
        <v>-5.0248404352108027</v>
      </c>
      <c r="N21" s="36">
        <v>0.25</v>
      </c>
    </row>
    <row r="25" spans="1:14">
      <c r="A25" s="43" t="s">
        <v>180</v>
      </c>
      <c r="B25" s="43">
        <f>'Coste con Inf 0,8 pts'!B21-'Cot. Sin Inf Val Oferta 0,9 pto'!B21</f>
        <v>-1.2621609169935644E-3</v>
      </c>
    </row>
    <row r="26" spans="1:14">
      <c r="A26" s="43" t="s">
        <v>181</v>
      </c>
      <c r="B26" s="43">
        <f>B25*B19</f>
        <v>-346141500.00000006</v>
      </c>
    </row>
    <row r="28" spans="1:14">
      <c r="A28" s="95"/>
      <c r="B28" s="96" t="s">
        <v>64</v>
      </c>
      <c r="C28" s="96" t="s">
        <v>65</v>
      </c>
      <c r="D28" s="96" t="s">
        <v>67</v>
      </c>
      <c r="E28" s="96" t="s">
        <v>84</v>
      </c>
    </row>
    <row r="29" spans="1:14">
      <c r="A29" s="34" t="s">
        <v>182</v>
      </c>
      <c r="B29">
        <f>'UMTS (3, ptos)'!B79+'GSM (2,6 ptos )'!B82</f>
        <v>11751</v>
      </c>
      <c r="C29">
        <f>'UMTS (3, ptos)'!C79+'GSM (2,6 ptos )'!C82</f>
        <v>4212</v>
      </c>
      <c r="D29">
        <f>'UMTS (3, ptos)'!D79+'GSM (2,6 ptos )'!D82</f>
        <v>2443</v>
      </c>
      <c r="E29">
        <f>'UMTS (3, ptos)'!E79+'GSM (2,6 ptos )'!E82</f>
        <v>5035</v>
      </c>
    </row>
    <row r="30" spans="1:14">
      <c r="A30" s="34" t="s">
        <v>184</v>
      </c>
      <c r="B30">
        <v>10000</v>
      </c>
      <c r="C30">
        <v>15000</v>
      </c>
      <c r="D30">
        <v>20000</v>
      </c>
      <c r="E30">
        <v>30000</v>
      </c>
    </row>
    <row r="31" spans="1:14">
      <c r="A31" s="78" t="s">
        <v>183</v>
      </c>
      <c r="B31">
        <f>B29*B30</f>
        <v>117510000</v>
      </c>
      <c r="C31">
        <f t="shared" ref="C31:E31" si="2">C29*C30</f>
        <v>63180000</v>
      </c>
      <c r="D31">
        <f t="shared" si="2"/>
        <v>48860000</v>
      </c>
      <c r="E31">
        <f t="shared" si="2"/>
        <v>151050000</v>
      </c>
    </row>
    <row r="32" spans="1:14">
      <c r="A32" s="43" t="s">
        <v>185</v>
      </c>
      <c r="B32" s="43">
        <f>B31+C31+D31+E31</f>
        <v>380600000</v>
      </c>
    </row>
    <row r="35" spans="1:14">
      <c r="A35" s="43" t="s">
        <v>186</v>
      </c>
      <c r="B35" s="43">
        <f>B26*10</f>
        <v>-3461415000.0000005</v>
      </c>
    </row>
    <row r="36" spans="1:14">
      <c r="A36" s="43" t="s">
        <v>187</v>
      </c>
      <c r="B36" s="43">
        <f>B32*10</f>
        <v>3806000000</v>
      </c>
      <c r="C36" t="s">
        <v>203</v>
      </c>
    </row>
    <row r="37" spans="1:14">
      <c r="A37" s="43" t="s">
        <v>188</v>
      </c>
      <c r="B37" s="43">
        <v>2200000000</v>
      </c>
    </row>
    <row r="38" spans="1:14">
      <c r="A38" s="43" t="s">
        <v>190</v>
      </c>
      <c r="B38" s="43">
        <f>B37+B35-B36</f>
        <v>-5067415000</v>
      </c>
    </row>
    <row r="41" spans="1:14">
      <c r="A41" s="43" t="s">
        <v>189</v>
      </c>
      <c r="B41" s="43" t="s">
        <v>196</v>
      </c>
    </row>
    <row r="42" spans="1:14">
      <c r="M42" s="36" t="s">
        <v>124</v>
      </c>
      <c r="N42" s="36">
        <v>0.75</v>
      </c>
    </row>
  </sheetData>
  <mergeCells count="4">
    <mergeCell ref="B12:C12"/>
    <mergeCell ref="D12:E12"/>
    <mergeCell ref="F12:G12"/>
    <mergeCell ref="H12:I12"/>
  </mergeCells>
  <pageMargins left="0.7" right="0.7" top="0.75" bottom="0.75" header="0.3" footer="0.3"/>
  <pageSetup paperSize="9" orientation="landscape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>
  <dimension ref="A1:B76"/>
  <sheetViews>
    <sheetView workbookViewId="0">
      <selection activeCell="A10" sqref="A10"/>
    </sheetView>
  </sheetViews>
  <sheetFormatPr baseColWidth="10" defaultRowHeight="12.75"/>
  <sheetData>
    <row r="1" spans="1:2">
      <c r="A1" s="25" t="s">
        <v>80</v>
      </c>
      <c r="B1" s="25" t="s">
        <v>81</v>
      </c>
    </row>
    <row r="2" spans="1:2">
      <c r="A2" s="26">
        <v>1</v>
      </c>
      <c r="B2" s="27">
        <v>2.0408163E-2</v>
      </c>
    </row>
    <row r="3" spans="1:2">
      <c r="A3" s="26">
        <v>2</v>
      </c>
      <c r="B3" s="27">
        <v>0.22346682000000001</v>
      </c>
    </row>
    <row r="4" spans="1:2">
      <c r="A4" s="26">
        <v>3</v>
      </c>
      <c r="B4" s="27">
        <v>0.60220647999999999</v>
      </c>
    </row>
    <row r="5" spans="1:2">
      <c r="A5" s="26">
        <v>4</v>
      </c>
      <c r="B5" s="28">
        <v>1.0922605000000001</v>
      </c>
    </row>
    <row r="6" spans="1:2">
      <c r="A6" s="26">
        <v>5</v>
      </c>
      <c r="B6" s="28">
        <v>1.6571431000000001</v>
      </c>
    </row>
    <row r="7" spans="1:2">
      <c r="A7" s="26">
        <v>6</v>
      </c>
      <c r="B7" s="28">
        <v>2.2758761000000001</v>
      </c>
    </row>
    <row r="8" spans="1:2">
      <c r="A8" s="26">
        <v>7</v>
      </c>
      <c r="B8" s="28">
        <v>2.9354057</v>
      </c>
    </row>
    <row r="9" spans="1:2">
      <c r="A9" s="26">
        <v>8</v>
      </c>
      <c r="B9" s="28">
        <v>3.6270505000000002</v>
      </c>
    </row>
    <row r="10" spans="1:2">
      <c r="A10" s="26">
        <v>9</v>
      </c>
      <c r="B10" s="28">
        <v>4.3447291999999997</v>
      </c>
    </row>
    <row r="11" spans="1:2">
      <c r="A11" s="26">
        <v>10</v>
      </c>
      <c r="B11" s="28">
        <v>5.0840046000000001</v>
      </c>
    </row>
    <row r="12" spans="1:2">
      <c r="A12" s="26">
        <v>11</v>
      </c>
      <c r="B12" s="28">
        <v>5.8415311000000001</v>
      </c>
    </row>
    <row r="13" spans="1:2">
      <c r="A13" s="26">
        <v>12</v>
      </c>
      <c r="B13" s="28">
        <v>6.6147182999999998</v>
      </c>
    </row>
    <row r="14" spans="1:2">
      <c r="A14" s="26">
        <v>13</v>
      </c>
      <c r="B14" s="28">
        <v>7.4015154000000001</v>
      </c>
    </row>
    <row r="15" spans="1:2">
      <c r="A15" s="26">
        <v>14</v>
      </c>
      <c r="B15" s="28">
        <v>8.2002682999999994</v>
      </c>
    </row>
    <row r="16" spans="1:2">
      <c r="A16" s="26">
        <v>15</v>
      </c>
      <c r="B16" s="28">
        <v>9.0096215999999991</v>
      </c>
    </row>
    <row r="17" spans="1:2">
      <c r="A17" s="26">
        <v>16</v>
      </c>
      <c r="B17" s="28">
        <v>9.8284491999999997</v>
      </c>
    </row>
    <row r="18" spans="1:2">
      <c r="A18" s="26">
        <v>17</v>
      </c>
      <c r="B18" s="29">
        <v>10.655804</v>
      </c>
    </row>
    <row r="19" spans="1:2">
      <c r="A19" s="26">
        <v>18</v>
      </c>
      <c r="B19" s="29">
        <v>11.490881999999999</v>
      </c>
    </row>
    <row r="20" spans="1:2">
      <c r="A20" s="26">
        <v>19</v>
      </c>
      <c r="B20" s="29">
        <v>12.332992000000001</v>
      </c>
    </row>
    <row r="21" spans="1:2">
      <c r="A21" s="26">
        <v>20</v>
      </c>
      <c r="B21" s="29">
        <v>13.181538</v>
      </c>
    </row>
    <row r="22" spans="1:2">
      <c r="A22" s="26">
        <v>21</v>
      </c>
      <c r="B22" s="29">
        <v>14.035999</v>
      </c>
    </row>
    <row r="23" spans="1:2">
      <c r="A23" s="26">
        <v>22</v>
      </c>
      <c r="B23" s="29">
        <v>14.895921</v>
      </c>
    </row>
    <row r="24" spans="1:2">
      <c r="A24" s="26">
        <v>23</v>
      </c>
      <c r="B24" s="29">
        <v>15.760899</v>
      </c>
    </row>
    <row r="25" spans="1:2">
      <c r="A25" s="26">
        <v>24</v>
      </c>
      <c r="B25" s="29">
        <v>16.630576000000001</v>
      </c>
    </row>
    <row r="26" spans="1:2">
      <c r="A26" s="26">
        <v>25</v>
      </c>
      <c r="B26" s="29">
        <v>17.504635</v>
      </c>
    </row>
    <row r="27" spans="1:2">
      <c r="A27" s="26">
        <v>26</v>
      </c>
      <c r="B27" s="29">
        <v>18.382788999999999</v>
      </c>
    </row>
    <row r="28" spans="1:2">
      <c r="A28" s="26">
        <v>27</v>
      </c>
      <c r="B28" s="29">
        <v>19.264779999999998</v>
      </c>
    </row>
    <row r="29" spans="1:2">
      <c r="A29" s="26">
        <v>28</v>
      </c>
      <c r="B29" s="29">
        <v>20.150378</v>
      </c>
    </row>
    <row r="30" spans="1:2">
      <c r="A30" s="26">
        <v>29</v>
      </c>
      <c r="B30" s="29">
        <v>21.039370000000002</v>
      </c>
    </row>
    <row r="31" spans="1:2">
      <c r="A31" s="26">
        <v>30</v>
      </c>
      <c r="B31" s="29">
        <v>21.931564999999999</v>
      </c>
    </row>
    <row r="32" spans="1:2">
      <c r="A32" s="26">
        <v>31</v>
      </c>
      <c r="B32" s="29">
        <v>22.826789000000002</v>
      </c>
    </row>
    <row r="33" spans="1:2">
      <c r="A33" s="26">
        <v>32</v>
      </c>
      <c r="B33" s="29">
        <v>23.724879000000001</v>
      </c>
    </row>
    <row r="34" spans="1:2">
      <c r="A34" s="26">
        <v>33</v>
      </c>
      <c r="B34" s="29">
        <v>24.625689999999999</v>
      </c>
    </row>
    <row r="35" spans="1:2">
      <c r="A35" s="26">
        <v>34</v>
      </c>
      <c r="B35" s="29">
        <v>25.529086</v>
      </c>
    </row>
    <row r="36" spans="1:2">
      <c r="A36" s="26">
        <v>35</v>
      </c>
      <c r="B36" s="29">
        <v>26.434940999999998</v>
      </c>
    </row>
    <row r="37" spans="1:2">
      <c r="A37" s="26">
        <v>36</v>
      </c>
      <c r="B37" s="29">
        <v>27.343139999999998</v>
      </c>
    </row>
    <row r="38" spans="1:2">
      <c r="A38" s="26">
        <v>37</v>
      </c>
      <c r="B38" s="29">
        <v>28.253575999999999</v>
      </c>
    </row>
    <row r="39" spans="1:2">
      <c r="A39" s="26">
        <v>38</v>
      </c>
      <c r="B39" s="29">
        <v>29.166146999999999</v>
      </c>
    </row>
    <row r="40" spans="1:2">
      <c r="A40" s="26">
        <v>39</v>
      </c>
      <c r="B40" s="29">
        <v>30.080763000000001</v>
      </c>
    </row>
    <row r="41" spans="1:2">
      <c r="A41" s="30">
        <v>40</v>
      </c>
      <c r="B41" s="31">
        <v>30.997335</v>
      </c>
    </row>
    <row r="42" spans="1:2">
      <c r="A42" s="26">
        <v>41</v>
      </c>
      <c r="B42" s="29">
        <v>31.915783999999999</v>
      </c>
    </row>
    <row r="43" spans="1:2">
      <c r="A43" s="26">
        <v>42</v>
      </c>
      <c r="B43" s="29">
        <v>32.836033</v>
      </c>
    </row>
    <row r="44" spans="1:2">
      <c r="A44" s="26">
        <v>43</v>
      </c>
      <c r="B44" s="29">
        <v>33.758011000000003</v>
      </c>
    </row>
    <row r="45" spans="1:2">
      <c r="A45" s="26">
        <v>44</v>
      </c>
      <c r="B45" s="29">
        <v>34.681651000000002</v>
      </c>
    </row>
    <row r="46" spans="1:2">
      <c r="A46" s="26">
        <v>45</v>
      </c>
      <c r="B46" s="29">
        <v>35.606892000000002</v>
      </c>
    </row>
    <row r="47" spans="1:2">
      <c r="A47" s="26">
        <v>46</v>
      </c>
      <c r="B47" s="29">
        <v>36.533673999999998</v>
      </c>
    </row>
    <row r="48" spans="1:2">
      <c r="A48" s="26">
        <v>47</v>
      </c>
      <c r="B48" s="29">
        <v>37.461941000000003</v>
      </c>
    </row>
    <row r="49" spans="1:2">
      <c r="A49" s="26">
        <v>48</v>
      </c>
      <c r="B49" s="29">
        <v>38.391641</v>
      </c>
    </row>
    <row r="50" spans="1:2">
      <c r="A50" s="26">
        <v>49</v>
      </c>
      <c r="B50" s="29">
        <v>39.322724000000001</v>
      </c>
    </row>
    <row r="51" spans="1:2">
      <c r="A51" s="26">
        <v>50</v>
      </c>
      <c r="B51" s="29">
        <v>40.255144000000001</v>
      </c>
    </row>
    <row r="52" spans="1:2">
      <c r="A52" s="26">
        <v>51</v>
      </c>
      <c r="B52" s="29">
        <v>41.188854999999997</v>
      </c>
    </row>
    <row r="53" spans="1:2">
      <c r="A53" s="26">
        <v>52</v>
      </c>
      <c r="B53" s="29">
        <v>42.123815999999998</v>
      </c>
    </row>
    <row r="54" spans="1:2">
      <c r="A54" s="26">
        <v>53</v>
      </c>
      <c r="B54" s="29">
        <v>43.059986000000002</v>
      </c>
    </row>
    <row r="55" spans="1:2">
      <c r="A55" s="26">
        <v>54</v>
      </c>
      <c r="B55" s="29">
        <v>43.997328000000003</v>
      </c>
    </row>
    <row r="56" spans="1:2">
      <c r="A56" s="26">
        <v>55</v>
      </c>
      <c r="B56" s="29">
        <v>44.935805999999999</v>
      </c>
    </row>
    <row r="57" spans="1:2">
      <c r="A57" s="26">
        <v>56</v>
      </c>
      <c r="B57" s="29">
        <v>45.875383999999997</v>
      </c>
    </row>
    <row r="58" spans="1:2">
      <c r="A58" s="26">
        <v>57</v>
      </c>
      <c r="B58" s="29">
        <v>46.816029999999998</v>
      </c>
    </row>
    <row r="59" spans="1:2">
      <c r="A59" s="26">
        <v>58</v>
      </c>
      <c r="B59" s="29">
        <v>47.757713000000003</v>
      </c>
    </row>
    <row r="60" spans="1:2">
      <c r="A60" s="26">
        <v>59</v>
      </c>
      <c r="B60" s="29">
        <v>48.700403999999999</v>
      </c>
    </row>
    <row r="61" spans="1:2">
      <c r="A61" s="26">
        <v>60</v>
      </c>
      <c r="B61" s="29">
        <v>49.644072000000001</v>
      </c>
    </row>
    <row r="62" spans="1:2">
      <c r="A62" s="26">
        <v>61</v>
      </c>
      <c r="B62" s="29">
        <v>50.588692000000002</v>
      </c>
    </row>
    <row r="63" spans="1:2">
      <c r="A63" s="26">
        <v>62</v>
      </c>
      <c r="B63" s="29">
        <v>51.534236999999997</v>
      </c>
    </row>
    <row r="64" spans="1:2">
      <c r="A64" s="26">
        <v>63</v>
      </c>
      <c r="B64" s="29">
        <v>52.480682000000002</v>
      </c>
    </row>
    <row r="65" spans="1:2">
      <c r="A65" s="26">
        <v>64</v>
      </c>
      <c r="B65" s="29">
        <v>53.428002999999997</v>
      </c>
    </row>
    <row r="66" spans="1:2">
      <c r="A66" s="26">
        <v>65</v>
      </c>
      <c r="B66" s="29">
        <v>54.376176999999998</v>
      </c>
    </row>
    <row r="67" spans="1:2">
      <c r="A67" s="26">
        <v>66</v>
      </c>
      <c r="B67" s="29">
        <v>55.325183000000003</v>
      </c>
    </row>
    <row r="68" spans="1:2">
      <c r="A68" s="26">
        <v>67</v>
      </c>
      <c r="B68" s="29">
        <v>56.274999000000001</v>
      </c>
    </row>
    <row r="69" spans="1:2">
      <c r="A69" s="26">
        <v>68</v>
      </c>
      <c r="B69" s="29">
        <v>57.225605000000002</v>
      </c>
    </row>
    <row r="70" spans="1:2">
      <c r="A70" s="26">
        <v>69</v>
      </c>
      <c r="B70" s="29">
        <v>58.176980999999998</v>
      </c>
    </row>
    <row r="71" spans="1:2">
      <c r="A71" s="26">
        <v>70</v>
      </c>
      <c r="B71" s="29">
        <v>59.129109</v>
      </c>
    </row>
    <row r="72" spans="1:2">
      <c r="A72" s="26">
        <v>71</v>
      </c>
      <c r="B72" s="29">
        <v>60.081971000000003</v>
      </c>
    </row>
    <row r="73" spans="1:2">
      <c r="A73" s="26">
        <v>72</v>
      </c>
      <c r="B73" s="29">
        <v>61.035549000000003</v>
      </c>
    </row>
    <row r="74" spans="1:2">
      <c r="A74" s="26">
        <v>73</v>
      </c>
      <c r="B74" s="29">
        <v>61.989826000000001</v>
      </c>
    </row>
    <row r="75" spans="1:2">
      <c r="A75" s="26">
        <v>74</v>
      </c>
      <c r="B75" s="29">
        <v>62.944788000000003</v>
      </c>
    </row>
    <row r="76" spans="1:2">
      <c r="A76" s="26">
        <v>75</v>
      </c>
      <c r="B76" s="29">
        <v>63.900416999999997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8</vt:i4>
      </vt:variant>
      <vt:variant>
        <vt:lpstr>Rangos con nombre</vt:lpstr>
      </vt:variant>
      <vt:variant>
        <vt:i4>3</vt:i4>
      </vt:variant>
    </vt:vector>
  </HeadingPairs>
  <TitlesOfParts>
    <vt:vector size="11" baseType="lpstr">
      <vt:lpstr>Tráfico (1 ptos)</vt:lpstr>
      <vt:lpstr>UMTS (3, ptos)</vt:lpstr>
      <vt:lpstr>GSM (2,6 ptos )</vt:lpstr>
      <vt:lpstr>Pruebas Propagación</vt:lpstr>
      <vt:lpstr>Red de Agregacion (1,7 ptos)</vt:lpstr>
      <vt:lpstr>Coste con Inf 0,8 pts</vt:lpstr>
      <vt:lpstr>Cot. Sin Inf Val Oferta 0,9 pto</vt:lpstr>
      <vt:lpstr>Erlang</vt:lpstr>
      <vt:lpstr>'Coste con Inf 0,8 pts'!Área_de_impresión</vt:lpstr>
      <vt:lpstr>'Cot. Sin Inf Val Oferta 0,9 pto'!Área_de_impresión</vt:lpstr>
      <vt:lpstr>'Red de Agregacion (1,7 ptos)'!Área_de_impresión</vt:lpstr>
    </vt:vector>
  </TitlesOfParts>
  <Company>Escuela Politecnica Superior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P</dc:creator>
  <cp:lastModifiedBy>Aitor</cp:lastModifiedBy>
  <cp:lastPrinted>2019-04-03T07:59:59Z</cp:lastPrinted>
  <dcterms:created xsi:type="dcterms:W3CDTF">2011-01-31T17:50:12Z</dcterms:created>
  <dcterms:modified xsi:type="dcterms:W3CDTF">2022-12-19T14:53:03Z</dcterms:modified>
</cp:coreProperties>
</file>