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2 PEI 2/Correcciones/"/>
    </mc:Choice>
  </mc:AlternateContent>
  <xr:revisionPtr revIDLastSave="0" documentId="13_ncr:1_{CDFC1BAB-0967-9A45-B38A-75951CFF7F60}" xr6:coauthVersionLast="47" xr6:coauthVersionMax="47" xr10:uidLastSave="{00000000-0000-0000-0000-000000000000}"/>
  <bookViews>
    <workbookView xWindow="0" yWindow="500" windowWidth="28800" windowHeight="1230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2100'!$A$1:$H$80</definedName>
  </definedNames>
  <calcPr calcId="191029" iterateDelta="1E-4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9" i="5" l="1"/>
  <c r="K77" i="5"/>
  <c r="K28" i="5" l="1"/>
  <c r="J83" i="5" l="1"/>
  <c r="L79" i="5"/>
  <c r="L77" i="5"/>
  <c r="L74" i="5"/>
  <c r="L59" i="5"/>
  <c r="L52" i="5"/>
  <c r="L44" i="5"/>
  <c r="L28" i="5"/>
  <c r="L13" i="5"/>
  <c r="L83" i="5" l="1"/>
  <c r="L84" i="5" s="1"/>
  <c r="B22" i="5" l="1"/>
  <c r="C70" i="5" l="1"/>
  <c r="D70" i="5"/>
  <c r="E70" i="5"/>
  <c r="F70" i="5"/>
  <c r="G70" i="5"/>
  <c r="B70" i="5"/>
  <c r="E59" i="5"/>
  <c r="B59" i="5"/>
  <c r="B66" i="5" s="1"/>
  <c r="B67" i="5" s="1"/>
  <c r="B68" i="5" s="1"/>
  <c r="B69" i="5" s="1"/>
  <c r="B71" i="5" s="1"/>
  <c r="G58" i="5"/>
  <c r="G59" i="5" s="1"/>
  <c r="E58" i="5"/>
  <c r="C58" i="5"/>
  <c r="C59" i="5" s="1"/>
  <c r="D58" i="5"/>
  <c r="D59" i="5" s="1"/>
  <c r="D66" i="5" s="1"/>
  <c r="D67" i="5" s="1"/>
  <c r="D68" i="5" s="1"/>
  <c r="D69" i="5" s="1"/>
  <c r="D71" i="5" s="1"/>
  <c r="F58" i="5"/>
  <c r="F59" i="5" s="1"/>
  <c r="F66" i="5" s="1"/>
  <c r="F67" i="5" s="1"/>
  <c r="F68" i="5" s="1"/>
  <c r="F69" i="5" s="1"/>
  <c r="F71" i="5" s="1"/>
  <c r="F74" i="5" s="1"/>
  <c r="B58" i="5"/>
  <c r="C49" i="5"/>
  <c r="C51" i="5" s="1"/>
  <c r="C52" i="5" s="1"/>
  <c r="D49" i="5"/>
  <c r="D51" i="5" s="1"/>
  <c r="D52" i="5" s="1"/>
  <c r="E49" i="5"/>
  <c r="E51" i="5" s="1"/>
  <c r="E52" i="5" s="1"/>
  <c r="F49" i="5"/>
  <c r="F51" i="5" s="1"/>
  <c r="F52" i="5" s="1"/>
  <c r="G49" i="5"/>
  <c r="G51" i="5" s="1"/>
  <c r="G52" i="5" s="1"/>
  <c r="B49" i="5"/>
  <c r="B51" i="5" s="1"/>
  <c r="B52" i="5" s="1"/>
  <c r="C37" i="5"/>
  <c r="C40" i="5" s="1"/>
  <c r="C43" i="5" s="1"/>
  <c r="C44" i="5" s="1"/>
  <c r="D37" i="5"/>
  <c r="D40" i="5" s="1"/>
  <c r="D43" i="5" s="1"/>
  <c r="E37" i="5"/>
  <c r="E40" i="5" s="1"/>
  <c r="E43" i="5" s="1"/>
  <c r="E44" i="5" s="1"/>
  <c r="F37" i="5"/>
  <c r="F40" i="5" s="1"/>
  <c r="F43" i="5" s="1"/>
  <c r="F44" i="5" s="1"/>
  <c r="G37" i="5"/>
  <c r="G40" i="5" s="1"/>
  <c r="G43" i="5" s="1"/>
  <c r="G44" i="5" s="1"/>
  <c r="B37" i="5"/>
  <c r="B40" i="5" s="1"/>
  <c r="B43" i="5" s="1"/>
  <c r="C35" i="5"/>
  <c r="D35" i="5"/>
  <c r="E35" i="5"/>
  <c r="F35" i="5"/>
  <c r="G35" i="5"/>
  <c r="B35" i="5"/>
  <c r="B24" i="5"/>
  <c r="D24" i="5"/>
  <c r="C24" i="5"/>
  <c r="D23" i="5"/>
  <c r="C23" i="5"/>
  <c r="D22" i="5"/>
  <c r="C22" i="5"/>
  <c r="D14" i="5"/>
  <c r="C56" i="5" s="1"/>
  <c r="C65" i="5" s="1"/>
  <c r="E14" i="5"/>
  <c r="D56" i="5" s="1"/>
  <c r="F14" i="5"/>
  <c r="E56" i="5" s="1"/>
  <c r="E65" i="5" s="1"/>
  <c r="G14" i="5"/>
  <c r="F56" i="5" s="1"/>
  <c r="H14" i="5"/>
  <c r="G56" i="5" s="1"/>
  <c r="G65" i="5" s="1"/>
  <c r="C14" i="5"/>
  <c r="B56" i="5" s="1"/>
  <c r="D4" i="5"/>
  <c r="D13" i="5" s="1"/>
  <c r="E4" i="5"/>
  <c r="E13" i="5" s="1"/>
  <c r="F4" i="5"/>
  <c r="F13" i="5" s="1"/>
  <c r="G4" i="5"/>
  <c r="G13" i="5" s="1"/>
  <c r="H4" i="5"/>
  <c r="H13" i="5" s="1"/>
  <c r="C4" i="5"/>
  <c r="C13" i="5" s="1"/>
  <c r="C66" i="5" l="1"/>
  <c r="C67" i="5" s="1"/>
  <c r="C68" i="5" s="1"/>
  <c r="C69" i="5" s="1"/>
  <c r="C71" i="5" s="1"/>
  <c r="C74" i="5" s="1"/>
  <c r="G66" i="5"/>
  <c r="G67" i="5" s="1"/>
  <c r="G68" i="5" s="1"/>
  <c r="G69" i="5" s="1"/>
  <c r="G71" i="5" s="1"/>
  <c r="G74" i="5" s="1"/>
  <c r="E66" i="5"/>
  <c r="E67" i="5" s="1"/>
  <c r="E68" i="5" s="1"/>
  <c r="E69" i="5" s="1"/>
  <c r="E71" i="5" s="1"/>
  <c r="E74" i="5" s="1"/>
  <c r="B44" i="5"/>
  <c r="B74" i="5" s="1"/>
  <c r="D44" i="5"/>
  <c r="D74" i="5" s="1"/>
  <c r="B25" i="5"/>
  <c r="B26" i="5" s="1"/>
  <c r="B28" i="5" s="1"/>
  <c r="C25" i="5"/>
  <c r="C26" i="5" s="1"/>
  <c r="C28" i="5" s="1"/>
  <c r="B53" i="5"/>
  <c r="D53" i="5"/>
  <c r="G53" i="5"/>
  <c r="C53" i="5"/>
  <c r="D25" i="5"/>
  <c r="D26" i="5" s="1"/>
  <c r="D28" i="5" s="1"/>
  <c r="F53" i="5"/>
  <c r="E53" i="5"/>
  <c r="D77" i="5" l="1"/>
  <c r="D78" i="5" s="1"/>
  <c r="D79" i="5" s="1"/>
  <c r="C77" i="5"/>
  <c r="C78" i="5" s="1"/>
  <c r="C79" i="5" s="1"/>
  <c r="B77" i="5"/>
  <c r="B78" i="5" s="1"/>
  <c r="B79" i="5" s="1"/>
</calcChain>
</file>

<file path=xl/sharedStrings.xml><?xml version="1.0" encoding="utf-8"?>
<sst xmlns="http://schemas.openxmlformats.org/spreadsheetml/2006/main" count="110" uniqueCount="83">
  <si>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</si>
  <si>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</si>
  <si>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</si>
  <si>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</si>
  <si>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</si>
  <si>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</si>
  <si>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</si>
  <si>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</si>
  <si>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</si>
  <si>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</si>
  <si>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</si>
  <si>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</si>
  <si>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</si>
  <si>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</si>
  <si>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</si>
  <si>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</si>
  <si>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</si>
  <si>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</si>
  <si>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</si>
  <si>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</si>
  <si>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</si>
  <si>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</si>
  <si>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</si>
  <si>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</si>
  <si>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</si>
  <si>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</si>
  <si>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</si>
  <si>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</si>
  <si>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</si>
  <si>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</si>
  <si>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</si>
  <si>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</si>
  <si>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</si>
  <si>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</si>
  <si>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</si>
  <si>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</si>
  <si>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</si>
  <si>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</si>
  <si>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</si>
  <si>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</si>
  <si>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</si>
  <si>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</si>
  <si>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</si>
  <si>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</si>
  <si>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</si>
  <si>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</si>
  <si>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</si>
  <si>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</si>
  <si>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</si>
  <si>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</si>
  <si>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</si>
  <si>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potencia</t>
  </si>
  <si>
    <t>ganancia</t>
  </si>
  <si>
    <t>perdidas</t>
  </si>
  <si>
    <t>margen desv</t>
  </si>
  <si>
    <t>sensibilidad</t>
  </si>
  <si>
    <t>NFR</t>
  </si>
  <si>
    <t>M interferencia</t>
  </si>
  <si>
    <t>A</t>
  </si>
  <si>
    <t>B</t>
  </si>
  <si>
    <t>Lclutter</t>
  </si>
  <si>
    <t>s</t>
  </si>
  <si>
    <t>pathloss min</t>
  </si>
  <si>
    <t>aux</t>
  </si>
  <si>
    <t>a(hms)</t>
  </si>
  <si>
    <t>valor terreno</t>
  </si>
  <si>
    <t>valor poblacion</t>
  </si>
  <si>
    <t xml:space="preserve">clientes </t>
  </si>
  <si>
    <t>clientes servicio</t>
  </si>
  <si>
    <t>minutos individuales</t>
  </si>
  <si>
    <t>factor hora carga</t>
  </si>
  <si>
    <t>minutos individuales diarios</t>
  </si>
  <si>
    <t>minutos individuales anuales</t>
  </si>
  <si>
    <t>velocidad binaria</t>
  </si>
  <si>
    <t>ortogonalidad</t>
  </si>
  <si>
    <t>factor actividad</t>
  </si>
  <si>
    <t>factor interferencia intercelular</t>
  </si>
  <si>
    <t>W</t>
  </si>
  <si>
    <t>sectores</t>
  </si>
  <si>
    <t>Max. Marks</t>
  </si>
  <si>
    <t>Factor</t>
  </si>
  <si>
    <t>Valor</t>
  </si>
  <si>
    <t>La frecuencia óptima es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</si>
</sst>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0" fillId="4" borderId="5" xfId="0" applyFill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8" borderId="0" xfId="0" applyFont="1" applyFill="1"/>
    <xf numFmtId="0" fontId="1" fillId="2" borderId="0" xfId="0" applyFont="1" applyFill="1"/>
    <xf numFmtId="0" fontId="0" fillId="9" borderId="0" xfId="0" applyFill="1"/>
    <xf numFmtId="0" fontId="0" fillId="8" borderId="4" xfId="0" applyFill="1" applyBorder="1"/>
    <xf numFmtId="0" fontId="2" fillId="0" borderId="0" xfId="0" applyFont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4"/>
  <sheetViews>
    <sheetView tabSelected="1" topLeftCell="A63" workbookViewId="0">
      <selection activeCell="F66" sqref="F66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19</v>
      </c>
      <c r="B1" s="12"/>
      <c r="C1" s="12"/>
      <c r="D1" s="12"/>
      <c r="E1" s="12"/>
      <c r="F1" s="12"/>
      <c r="G1" s="12"/>
      <c r="H1" s="12"/>
      <c r="J1" s="41" t="s">
        <v>79</v>
      </c>
      <c r="K1" s="42" t="s">
        <v>80</v>
      </c>
      <c r="L1" s="42" t="s">
        <v>81</v>
      </c>
    </row>
    <row r="2" spans="1:12" x14ac:dyDescent="0.15">
      <c r="A2" s="12"/>
      <c r="B2" s="12"/>
      <c r="C2" s="38" t="s">
        <v>24</v>
      </c>
      <c r="D2" s="38"/>
      <c r="E2" s="38" t="s">
        <v>25</v>
      </c>
      <c r="F2" s="38"/>
      <c r="G2" s="39" t="s">
        <v>26</v>
      </c>
      <c r="H2" s="39"/>
    </row>
    <row r="3" spans="1:12" x14ac:dyDescent="0.15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12" x14ac:dyDescent="0.15">
      <c r="A4" s="14" t="s">
        <v>12</v>
      </c>
      <c r="B4" s="14" t="s">
        <v>51</v>
      </c>
      <c r="C4" s="14">
        <f>10*LOG10(0.125)+30</f>
        <v>20.969100130080562</v>
      </c>
      <c r="D4" s="14">
        <f t="shared" ref="D4:H4" si="0">10*LOG10(0.125)+30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52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</row>
    <row r="6" spans="1:12" x14ac:dyDescent="0.15">
      <c r="A6" s="14"/>
      <c r="B6" s="14" t="s">
        <v>53</v>
      </c>
      <c r="C6" s="14">
        <v>4.5</v>
      </c>
      <c r="D6" s="14">
        <v>4.5</v>
      </c>
      <c r="E6" s="14">
        <v>4.5</v>
      </c>
      <c r="F6" s="14">
        <v>4.5</v>
      </c>
      <c r="G6" s="14">
        <v>4.5</v>
      </c>
      <c r="H6" s="14">
        <v>4.5</v>
      </c>
    </row>
    <row r="7" spans="1:12" x14ac:dyDescent="0.15">
      <c r="A7" s="14" t="s">
        <v>13</v>
      </c>
      <c r="B7" s="14" t="s">
        <v>54</v>
      </c>
      <c r="C7" s="14">
        <v>15</v>
      </c>
      <c r="D7" s="14">
        <v>15</v>
      </c>
      <c r="E7" s="14">
        <v>12</v>
      </c>
      <c r="F7" s="14">
        <v>12</v>
      </c>
      <c r="G7" s="14">
        <v>12</v>
      </c>
      <c r="H7" s="14">
        <v>12</v>
      </c>
    </row>
    <row r="8" spans="1:12" x14ac:dyDescent="0.15">
      <c r="A8" s="14"/>
      <c r="B8" s="14" t="s">
        <v>53</v>
      </c>
      <c r="C8" s="14">
        <v>12</v>
      </c>
      <c r="D8" s="14">
        <v>12</v>
      </c>
      <c r="E8" s="14">
        <v>9</v>
      </c>
      <c r="F8" s="14">
        <v>9</v>
      </c>
      <c r="G8" s="14">
        <v>7</v>
      </c>
      <c r="H8" s="14">
        <v>7</v>
      </c>
    </row>
    <row r="9" spans="1:12" x14ac:dyDescent="0.15">
      <c r="A9" s="14" t="s">
        <v>14</v>
      </c>
      <c r="B9" s="14" t="s">
        <v>52</v>
      </c>
      <c r="C9" s="14">
        <v>18</v>
      </c>
      <c r="D9" s="14">
        <v>18</v>
      </c>
      <c r="E9" s="14">
        <v>18</v>
      </c>
      <c r="F9" s="14">
        <v>18</v>
      </c>
      <c r="G9" s="14">
        <v>18</v>
      </c>
      <c r="H9" s="14">
        <v>18</v>
      </c>
    </row>
    <row r="10" spans="1:12" x14ac:dyDescent="0.15">
      <c r="A10" s="14"/>
      <c r="B10" s="14" t="s">
        <v>53</v>
      </c>
      <c r="C10" s="14">
        <v>3</v>
      </c>
      <c r="D10" s="14">
        <v>3</v>
      </c>
      <c r="E10" s="14">
        <v>3</v>
      </c>
      <c r="F10" s="14">
        <v>3</v>
      </c>
      <c r="G10" s="14">
        <v>3</v>
      </c>
      <c r="H10" s="14">
        <v>3</v>
      </c>
    </row>
    <row r="11" spans="1:12" x14ac:dyDescent="0.15">
      <c r="A11" s="14"/>
      <c r="B11" s="14" t="s">
        <v>55</v>
      </c>
      <c r="C11" s="14">
        <v>-117</v>
      </c>
      <c r="D11" s="14">
        <v>-115</v>
      </c>
      <c r="E11" s="14">
        <v>-117</v>
      </c>
      <c r="F11" s="14">
        <v>-115</v>
      </c>
      <c r="G11" s="14">
        <v>-117</v>
      </c>
      <c r="H11" s="14">
        <v>-115</v>
      </c>
    </row>
    <row r="12" spans="1:12" x14ac:dyDescent="0.15">
      <c r="A12" s="14"/>
      <c r="B12" s="15" t="s">
        <v>57</v>
      </c>
      <c r="C12" s="14">
        <v>2</v>
      </c>
      <c r="D12" s="14">
        <v>2</v>
      </c>
      <c r="E12" s="14">
        <v>2</v>
      </c>
      <c r="F12" s="14">
        <v>2</v>
      </c>
      <c r="G12" s="14">
        <v>5</v>
      </c>
      <c r="H12" s="14">
        <v>5</v>
      </c>
    </row>
    <row r="13" spans="1:12" x14ac:dyDescent="0.15">
      <c r="A13" s="16" t="s">
        <v>0</v>
      </c>
      <c r="B13" s="16"/>
      <c r="C13" s="16">
        <f>C4+C5-C6-C7-C8+C9-C10-C11-C12</f>
        <v>119.46910013008056</v>
      </c>
      <c r="D13" s="16">
        <f t="shared" ref="D13:H13" si="1">D4+D5-D6-D7-D8+D9-D10-D11-D12</f>
        <v>117.46910013008056</v>
      </c>
      <c r="E13" s="16">
        <f t="shared" si="1"/>
        <v>125.46910013008056</v>
      </c>
      <c r="F13" s="16">
        <f t="shared" si="1"/>
        <v>123.46910013008056</v>
      </c>
      <c r="G13" s="16">
        <f t="shared" si="1"/>
        <v>124.46910013008056</v>
      </c>
      <c r="H13" s="16">
        <f t="shared" si="1"/>
        <v>122.46910013008056</v>
      </c>
      <c r="J13" s="41">
        <v>1</v>
      </c>
      <c r="K13" s="41">
        <v>1</v>
      </c>
      <c r="L13" s="41">
        <f>J13*K13</f>
        <v>1</v>
      </c>
    </row>
    <row r="14" spans="1:12" x14ac:dyDescent="0.15">
      <c r="B14" s="36" t="s">
        <v>56</v>
      </c>
      <c r="C14">
        <f>10^(C12/10)</f>
        <v>1.5848931924611136</v>
      </c>
      <c r="D14">
        <f t="shared" ref="D14:H14" si="2">10^(D12/10)</f>
        <v>1.5848931924611136</v>
      </c>
      <c r="E14">
        <f t="shared" si="2"/>
        <v>1.5848931924611136</v>
      </c>
      <c r="F14">
        <f t="shared" si="2"/>
        <v>1.5848931924611136</v>
      </c>
      <c r="G14">
        <f t="shared" si="2"/>
        <v>3.1622776601683795</v>
      </c>
      <c r="H14">
        <f t="shared" si="2"/>
        <v>3.1622776601683795</v>
      </c>
    </row>
    <row r="15" spans="1:12" x14ac:dyDescent="0.15">
      <c r="A15" s="17"/>
      <c r="B15" s="21" t="s">
        <v>24</v>
      </c>
      <c r="C15" s="21" t="s">
        <v>25</v>
      </c>
      <c r="D15" s="21" t="s">
        <v>26</v>
      </c>
    </row>
    <row r="16" spans="1:12" x14ac:dyDescent="0.15">
      <c r="A16" s="18" t="s">
        <v>41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42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50</v>
      </c>
      <c r="B18" s="44">
        <v>1800</v>
      </c>
      <c r="C18" s="44">
        <v>1800</v>
      </c>
      <c r="D18" s="44">
        <v>1800</v>
      </c>
      <c r="F18" s="45" t="s">
        <v>82</v>
      </c>
    </row>
    <row r="19" spans="1:12" x14ac:dyDescent="0.15">
      <c r="A19" s="19" t="s">
        <v>43</v>
      </c>
      <c r="B19" s="17" t="s">
        <v>44</v>
      </c>
      <c r="C19" s="17" t="s">
        <v>45</v>
      </c>
      <c r="D19" s="17" t="s">
        <v>45</v>
      </c>
    </row>
    <row r="20" spans="1:12" x14ac:dyDescent="0.15">
      <c r="A20" s="19" t="s">
        <v>58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59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64</v>
      </c>
      <c r="B22" s="19">
        <f>(3.2*LOG10(11.75*B17)^2)-4.97</f>
        <v>0.48441087675501127</v>
      </c>
      <c r="C22" s="19">
        <f>C17*(1.1*LOG10(C18)-0.7)-(1.56*LOG10(C18)-0.8)</f>
        <v>0.67675047169429803</v>
      </c>
      <c r="D22" s="19">
        <f>D17*(1.1*LOG10(D18)-0.7)-(1.56*LOG10(D18)-0.8)</f>
        <v>0.67675047169429803</v>
      </c>
    </row>
    <row r="23" spans="1:12" x14ac:dyDescent="0.15">
      <c r="A23" s="19" t="s">
        <v>60</v>
      </c>
      <c r="B23" s="19">
        <v>0</v>
      </c>
      <c r="C23" s="19">
        <f>-2*LOG10(C18/28)^2-5.4</f>
        <v>-11.938555900448664</v>
      </c>
      <c r="D23" s="19">
        <f>-4.78*LOG10(D18)^2+18.33*LOG10(D18)-40.94</f>
        <v>-31.92355459571823</v>
      </c>
    </row>
    <row r="24" spans="1:12" x14ac:dyDescent="0.15">
      <c r="A24" s="19" t="s">
        <v>61</v>
      </c>
      <c r="B24" s="19">
        <f>(47.88+13.9*LOG10(B18)-13.82*LOG10(B16))*1/LOG10(50)</f>
        <v>41.96405959712925</v>
      </c>
      <c r="C24" s="19">
        <f>44.9-6.55*LOG10(C16)</f>
        <v>36.107131440614552</v>
      </c>
      <c r="D24" s="19">
        <f>44.9-6.55*LOG10(D16)</f>
        <v>35.224855781586214</v>
      </c>
    </row>
    <row r="25" spans="1:12" x14ac:dyDescent="0.15">
      <c r="A25" s="19" t="s">
        <v>62</v>
      </c>
      <c r="B25" s="19">
        <f>MIN(C13,D13)</f>
        <v>117.46910013008056</v>
      </c>
      <c r="C25" s="19">
        <f>MIN(E13,F13)</f>
        <v>123.46910013008056</v>
      </c>
      <c r="D25" s="19">
        <f>MIN(G13,H13)</f>
        <v>122.46910013008056</v>
      </c>
    </row>
    <row r="26" spans="1:12" x14ac:dyDescent="0.15">
      <c r="A26" s="19" t="s">
        <v>63</v>
      </c>
      <c r="B26" s="17">
        <f>B25-B20-B21*LOG10(B18)+13.82*LOG10(B16)+B22-B23</f>
        <v>-16.867617610922181</v>
      </c>
      <c r="C26" s="17">
        <f t="shared" ref="C26:D26" si="3">C25-C20-C21*LOG10(C18)+13.82*LOG10(C16)+C22-C23</f>
        <v>-2.0170499718156538</v>
      </c>
      <c r="D26" s="17">
        <f t="shared" si="3"/>
        <v>18.829483014716754</v>
      </c>
    </row>
    <row r="27" spans="1:12" x14ac:dyDescent="0.15">
      <c r="A27" s="19"/>
      <c r="B27" s="19"/>
      <c r="C27" s="19"/>
      <c r="D27" s="19"/>
    </row>
    <row r="28" spans="1:12" x14ac:dyDescent="0.15">
      <c r="A28" s="10" t="s">
        <v>46</v>
      </c>
      <c r="B28" s="20">
        <f>10^(B26/B24)</f>
        <v>0.3963200968108303</v>
      </c>
      <c r="C28" s="20">
        <f t="shared" ref="C28:D28" si="4">10^(C26/C24)</f>
        <v>0.87930000394323882</v>
      </c>
      <c r="D28" s="20">
        <f t="shared" si="4"/>
        <v>3.4241362085738452</v>
      </c>
      <c r="J28" s="41">
        <v>1.5</v>
      </c>
      <c r="K28" s="41">
        <f>2/3</f>
        <v>0.66666666666666663</v>
      </c>
      <c r="L28" s="41">
        <f t="shared" ref="L28:L44" si="5">J28*K28</f>
        <v>1</v>
      </c>
    </row>
    <row r="30" spans="1:12" x14ac:dyDescent="0.15">
      <c r="A30" s="13" t="s">
        <v>47</v>
      </c>
      <c r="B30" s="9"/>
      <c r="C30" s="9"/>
      <c r="D30" s="9"/>
      <c r="E30" s="9"/>
      <c r="F30" s="9"/>
      <c r="G30" s="9"/>
    </row>
    <row r="31" spans="1:12" x14ac:dyDescent="0.15">
      <c r="A31" s="18" t="s">
        <v>31</v>
      </c>
      <c r="B31" s="23">
        <v>235</v>
      </c>
      <c r="C31" s="9"/>
      <c r="D31" s="9"/>
      <c r="E31" s="9"/>
      <c r="F31" s="9"/>
      <c r="G31" s="9"/>
    </row>
    <row r="32" spans="1:12" x14ac:dyDescent="0.15">
      <c r="A32" s="18" t="s">
        <v>32</v>
      </c>
      <c r="B32" s="23">
        <v>363500</v>
      </c>
      <c r="C32" s="9"/>
      <c r="D32" s="9"/>
      <c r="E32" s="9"/>
      <c r="F32" s="9"/>
      <c r="G32" s="9"/>
    </row>
    <row r="33" spans="1:12" x14ac:dyDescent="0.15">
      <c r="A33" s="22"/>
      <c r="B33" s="40" t="s">
        <v>24</v>
      </c>
      <c r="C33" s="40"/>
      <c r="D33" s="40" t="s">
        <v>25</v>
      </c>
      <c r="E33" s="40"/>
      <c r="F33" s="40" t="s">
        <v>26</v>
      </c>
      <c r="G33" s="40"/>
    </row>
    <row r="34" spans="1:12" x14ac:dyDescent="0.15">
      <c r="A34" s="18" t="s">
        <v>33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12" x14ac:dyDescent="0.15">
      <c r="A35" s="22" t="s">
        <v>65</v>
      </c>
      <c r="B35" s="22">
        <f>$B$31*B34</f>
        <v>28.2</v>
      </c>
      <c r="C35" s="22">
        <f t="shared" ref="C35:G35" si="6">$B$31*C34</f>
        <v>28.2</v>
      </c>
      <c r="D35" s="22">
        <f t="shared" si="6"/>
        <v>54.050000000000004</v>
      </c>
      <c r="E35" s="22">
        <f t="shared" si="6"/>
        <v>54.050000000000004</v>
      </c>
      <c r="F35" s="22">
        <f t="shared" si="6"/>
        <v>152.75</v>
      </c>
      <c r="G35" s="22">
        <f t="shared" si="6"/>
        <v>152.75</v>
      </c>
    </row>
    <row r="36" spans="1:12" x14ac:dyDescent="0.15">
      <c r="A36" s="18" t="s">
        <v>34</v>
      </c>
      <c r="B36" s="24">
        <v>0.62</v>
      </c>
      <c r="C36" s="24">
        <v>0.62</v>
      </c>
      <c r="D36" s="24">
        <v>0.22</v>
      </c>
      <c r="E36" s="24">
        <v>0.22</v>
      </c>
      <c r="F36" s="24">
        <v>0.16</v>
      </c>
      <c r="G36" s="24">
        <v>0.16</v>
      </c>
    </row>
    <row r="37" spans="1:12" x14ac:dyDescent="0.15">
      <c r="A37" s="22" t="s">
        <v>66</v>
      </c>
      <c r="B37" s="22">
        <f>$B$32*B36</f>
        <v>225370</v>
      </c>
      <c r="C37" s="22">
        <f t="shared" ref="C37:G37" si="7">$B$32*C36</f>
        <v>225370</v>
      </c>
      <c r="D37" s="22">
        <f t="shared" si="7"/>
        <v>79970</v>
      </c>
      <c r="E37" s="22">
        <f t="shared" si="7"/>
        <v>79970</v>
      </c>
      <c r="F37" s="22">
        <f t="shared" si="7"/>
        <v>58160</v>
      </c>
      <c r="G37" s="22">
        <f t="shared" si="7"/>
        <v>58160</v>
      </c>
    </row>
    <row r="38" spans="1:12" x14ac:dyDescent="0.15">
      <c r="A38" s="18" t="s">
        <v>35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18">
        <v>1.05</v>
      </c>
    </row>
    <row r="39" spans="1:12" x14ac:dyDescent="0.15">
      <c r="A39" s="18" t="s">
        <v>36</v>
      </c>
      <c r="B39" s="18">
        <v>0.29499999999999998</v>
      </c>
      <c r="C39" s="18">
        <v>0.29499999999999998</v>
      </c>
      <c r="D39" s="18">
        <v>0.29499999999999998</v>
      </c>
      <c r="E39" s="18">
        <v>0.29499999999999998</v>
      </c>
      <c r="F39" s="18">
        <v>0.29499999999999998</v>
      </c>
      <c r="G39" s="18">
        <v>0.29499999999999998</v>
      </c>
    </row>
    <row r="40" spans="1:12" x14ac:dyDescent="0.15">
      <c r="A40" s="22" t="s">
        <v>67</v>
      </c>
      <c r="B40" s="22">
        <f>B37*B38*B39</f>
        <v>69808.357499999998</v>
      </c>
      <c r="C40" s="22">
        <f t="shared" ref="C40:G40" si="8">C37*C38*C39</f>
        <v>69808.357499999998</v>
      </c>
      <c r="D40" s="22">
        <f t="shared" si="8"/>
        <v>24770.7075</v>
      </c>
      <c r="E40" s="22">
        <f t="shared" si="8"/>
        <v>24770.7075</v>
      </c>
      <c r="F40" s="22">
        <f t="shared" si="8"/>
        <v>18015.059999999998</v>
      </c>
      <c r="G40" s="22">
        <f t="shared" si="8"/>
        <v>18015.059999999998</v>
      </c>
    </row>
    <row r="41" spans="1:12" x14ac:dyDescent="0.15">
      <c r="A41" s="22"/>
      <c r="B41" s="22"/>
      <c r="C41" s="22"/>
      <c r="D41" s="22"/>
      <c r="E41" s="22"/>
      <c r="F41" s="22"/>
      <c r="G41" s="22"/>
    </row>
    <row r="42" spans="1:12" x14ac:dyDescent="0.15">
      <c r="A42" s="18" t="s">
        <v>37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2" x14ac:dyDescent="0.15">
      <c r="A43" s="22" t="s">
        <v>68</v>
      </c>
      <c r="B43" s="22">
        <f>B40*B42</f>
        <v>69808.357499999998</v>
      </c>
      <c r="C43" s="22">
        <f t="shared" ref="C43:G43" si="9">C40*C42</f>
        <v>76789.193250000011</v>
      </c>
      <c r="D43" s="22">
        <f t="shared" si="9"/>
        <v>24770.7075</v>
      </c>
      <c r="E43" s="22">
        <f t="shared" si="9"/>
        <v>27247.778250000003</v>
      </c>
      <c r="F43" s="22">
        <f t="shared" si="9"/>
        <v>18015.059999999998</v>
      </c>
      <c r="G43" s="22">
        <f t="shared" si="9"/>
        <v>19816.565999999999</v>
      </c>
    </row>
    <row r="44" spans="1:12" x14ac:dyDescent="0.15">
      <c r="A44" s="10" t="s">
        <v>38</v>
      </c>
      <c r="B44" s="25">
        <f>B43/B35</f>
        <v>2475.4736702127661</v>
      </c>
      <c r="C44" s="25">
        <f t="shared" ref="C44:G44" si="10">C43/C35</f>
        <v>2723.021037234043</v>
      </c>
      <c r="D44" s="25">
        <f t="shared" si="10"/>
        <v>458.29246068455132</v>
      </c>
      <c r="E44" s="25">
        <f t="shared" si="10"/>
        <v>504.12170675300649</v>
      </c>
      <c r="F44" s="25">
        <f t="shared" si="10"/>
        <v>117.93819967266774</v>
      </c>
      <c r="G44" s="25">
        <f t="shared" si="10"/>
        <v>129.73201963993452</v>
      </c>
      <c r="J44" s="41">
        <v>0.5</v>
      </c>
      <c r="K44" s="41">
        <v>1</v>
      </c>
      <c r="L44" s="41">
        <f t="shared" si="5"/>
        <v>0.5</v>
      </c>
    </row>
    <row r="47" spans="1:12" ht="13" customHeight="1" x14ac:dyDescent="0.15">
      <c r="A47" s="13" t="s">
        <v>39</v>
      </c>
      <c r="B47" s="37" t="s">
        <v>24</v>
      </c>
      <c r="C47" s="37"/>
      <c r="D47" s="37" t="s">
        <v>25</v>
      </c>
      <c r="E47" s="37"/>
      <c r="F47" s="37" t="s">
        <v>26</v>
      </c>
      <c r="G47" s="37"/>
    </row>
    <row r="48" spans="1:12" ht="13" customHeight="1" x14ac:dyDescent="0.15">
      <c r="A48" s="26" t="s">
        <v>48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2" ht="13" customHeight="1" x14ac:dyDescent="0.15">
      <c r="A49" s="27" t="s">
        <v>69</v>
      </c>
      <c r="B49" s="28">
        <f>B48*60</f>
        <v>0.89999999999999991</v>
      </c>
      <c r="C49" s="28">
        <f t="shared" ref="C49:G49" si="11">C48*60</f>
        <v>0.6</v>
      </c>
      <c r="D49" s="28">
        <f t="shared" si="11"/>
        <v>0.72</v>
      </c>
      <c r="E49" s="28">
        <f t="shared" si="11"/>
        <v>0.65999999999999992</v>
      </c>
      <c r="F49" s="28">
        <f t="shared" si="11"/>
        <v>0.6</v>
      </c>
      <c r="G49" s="28">
        <f t="shared" si="11"/>
        <v>0.42</v>
      </c>
    </row>
    <row r="50" spans="1:12" ht="13" customHeight="1" x14ac:dyDescent="0.15">
      <c r="A50" s="27" t="s">
        <v>70</v>
      </c>
      <c r="B50" s="28">
        <v>8</v>
      </c>
      <c r="C50" s="28">
        <v>13</v>
      </c>
      <c r="D50" s="28">
        <v>8</v>
      </c>
      <c r="E50" s="28">
        <v>13</v>
      </c>
      <c r="F50" s="28">
        <v>8</v>
      </c>
      <c r="G50" s="28">
        <v>13</v>
      </c>
    </row>
    <row r="51" spans="1:12" ht="13" customHeight="1" x14ac:dyDescent="0.15">
      <c r="A51" s="27" t="s">
        <v>71</v>
      </c>
      <c r="B51" s="28">
        <f>B49*B50</f>
        <v>7.1999999999999993</v>
      </c>
      <c r="C51" s="28">
        <f t="shared" ref="C51:G51" si="12">C49*C50</f>
        <v>7.8</v>
      </c>
      <c r="D51" s="28">
        <f t="shared" si="12"/>
        <v>5.76</v>
      </c>
      <c r="E51" s="28">
        <f t="shared" si="12"/>
        <v>8.5799999999999983</v>
      </c>
      <c r="F51" s="28">
        <f t="shared" si="12"/>
        <v>4.8</v>
      </c>
      <c r="G51" s="28">
        <f t="shared" si="12"/>
        <v>5.46</v>
      </c>
    </row>
    <row r="52" spans="1:12" ht="13" customHeight="1" x14ac:dyDescent="0.15">
      <c r="A52" s="27" t="s">
        <v>72</v>
      </c>
      <c r="B52" s="29">
        <f>B51*250</f>
        <v>1799.9999999999998</v>
      </c>
      <c r="C52" s="29">
        <f t="shared" ref="C52:G52" si="13">C51*250</f>
        <v>1950</v>
      </c>
      <c r="D52" s="29">
        <f t="shared" si="13"/>
        <v>1440</v>
      </c>
      <c r="E52" s="29">
        <f t="shared" si="13"/>
        <v>2144.9999999999995</v>
      </c>
      <c r="F52" s="29">
        <f t="shared" si="13"/>
        <v>1200</v>
      </c>
      <c r="G52" s="29">
        <f t="shared" si="13"/>
        <v>1365</v>
      </c>
      <c r="J52" s="41">
        <v>0.75</v>
      </c>
      <c r="K52" s="41">
        <v>1</v>
      </c>
      <c r="L52" s="41">
        <f>J52*K52</f>
        <v>0.75</v>
      </c>
    </row>
    <row r="53" spans="1:12" ht="13" customHeight="1" x14ac:dyDescent="0.15">
      <c r="A53" s="10" t="s">
        <v>49</v>
      </c>
      <c r="B53" s="10">
        <f>B52*B43</f>
        <v>125655043.49999999</v>
      </c>
      <c r="C53" s="10">
        <f t="shared" ref="C53:G53" si="14">C52*C43</f>
        <v>149738926.83750004</v>
      </c>
      <c r="D53" s="10">
        <f t="shared" si="14"/>
        <v>35669818.799999997</v>
      </c>
      <c r="E53" s="10">
        <f t="shared" si="14"/>
        <v>58446484.346249998</v>
      </c>
      <c r="F53" s="10">
        <f t="shared" si="14"/>
        <v>21618071.999999996</v>
      </c>
      <c r="G53" s="10">
        <f t="shared" si="14"/>
        <v>27049612.59</v>
      </c>
    </row>
    <row r="55" spans="1:12" x14ac:dyDescent="0.15">
      <c r="A55" s="13" t="s">
        <v>2</v>
      </c>
      <c r="B55" s="37" t="s">
        <v>24</v>
      </c>
      <c r="C55" s="37"/>
      <c r="D55" s="37" t="s">
        <v>25</v>
      </c>
      <c r="E55" s="37"/>
      <c r="F55" s="37" t="s">
        <v>26</v>
      </c>
      <c r="G55" s="37"/>
    </row>
    <row r="56" spans="1:12" x14ac:dyDescent="0.15">
      <c r="A56" s="14" t="s">
        <v>1</v>
      </c>
      <c r="B56" s="19">
        <f>1-1/C14</f>
        <v>0.36904265551980675</v>
      </c>
      <c r="C56" s="19">
        <f t="shared" ref="C56:G56" si="15">1-1/D14</f>
        <v>0.36904265551980675</v>
      </c>
      <c r="D56" s="19">
        <f t="shared" si="15"/>
        <v>0.36904265551980675</v>
      </c>
      <c r="E56" s="19">
        <f t="shared" si="15"/>
        <v>0.36904265551980675</v>
      </c>
      <c r="F56" s="19">
        <f t="shared" si="15"/>
        <v>0.683772233983162</v>
      </c>
      <c r="G56" s="19">
        <f t="shared" si="15"/>
        <v>0.683772233983162</v>
      </c>
    </row>
    <row r="57" spans="1:12" x14ac:dyDescent="0.15">
      <c r="A57" s="19"/>
      <c r="B57" s="30" t="s">
        <v>27</v>
      </c>
      <c r="C57" s="30" t="s">
        <v>4</v>
      </c>
      <c r="D57" s="30" t="s">
        <v>3</v>
      </c>
      <c r="E57" s="30" t="s">
        <v>4</v>
      </c>
      <c r="F57" s="30" t="s">
        <v>3</v>
      </c>
      <c r="G57" s="30" t="s">
        <v>4</v>
      </c>
    </row>
    <row r="58" spans="1:12" x14ac:dyDescent="0.15">
      <c r="A58" s="14" t="s">
        <v>8</v>
      </c>
      <c r="B58" s="14">
        <f>10^(4.6/10)</f>
        <v>2.8840315031266059</v>
      </c>
      <c r="C58" s="14">
        <f>10^(2.6/10)</f>
        <v>1.8197008586099837</v>
      </c>
      <c r="D58" s="14">
        <f t="shared" ref="D58:F58" si="16">10^(4.6/10)</f>
        <v>2.8840315031266059</v>
      </c>
      <c r="E58" s="14">
        <f>10^(2.6/10)</f>
        <v>1.8197008586099837</v>
      </c>
      <c r="F58" s="14">
        <f t="shared" si="16"/>
        <v>2.8840315031266059</v>
      </c>
      <c r="G58" s="14">
        <f>10^(2.6/10)</f>
        <v>1.8197008586099837</v>
      </c>
    </row>
    <row r="59" spans="1:12" x14ac:dyDescent="0.15">
      <c r="A59" s="14" t="s">
        <v>9</v>
      </c>
      <c r="B59" s="14">
        <f>B58*B62*((1-B61)+B63)/(B64/B60)</f>
        <v>6.8143806229890979E-3</v>
      </c>
      <c r="C59" s="14">
        <f t="shared" ref="C59:G59" si="17">C58*C62*((1-C61)+C63)/(C64/C60)</f>
        <v>3.3664465884284699E-2</v>
      </c>
      <c r="D59" s="14">
        <f t="shared" si="17"/>
        <v>6.8143806229890979E-3</v>
      </c>
      <c r="E59" s="14">
        <f t="shared" si="17"/>
        <v>3.3664465884284699E-2</v>
      </c>
      <c r="F59" s="14">
        <f t="shared" si="17"/>
        <v>6.8143806229890979E-3</v>
      </c>
      <c r="G59" s="14">
        <f t="shared" si="17"/>
        <v>3.3664465884284699E-2</v>
      </c>
      <c r="J59" s="41">
        <v>1.25</v>
      </c>
      <c r="K59" s="41">
        <v>1</v>
      </c>
      <c r="L59" s="41">
        <f>J59*K59</f>
        <v>1.25</v>
      </c>
    </row>
    <row r="60" spans="1:12" x14ac:dyDescent="0.15">
      <c r="A60" s="27" t="s">
        <v>73</v>
      </c>
      <c r="B60" s="19">
        <v>12.2</v>
      </c>
      <c r="C60" s="19">
        <v>64</v>
      </c>
      <c r="D60" s="19">
        <v>12.2</v>
      </c>
      <c r="E60" s="19">
        <v>64</v>
      </c>
      <c r="F60" s="19">
        <v>12.2</v>
      </c>
      <c r="G60" s="19">
        <v>64</v>
      </c>
    </row>
    <row r="61" spans="1:12" x14ac:dyDescent="0.15">
      <c r="A61" s="27" t="s">
        <v>74</v>
      </c>
      <c r="B61" s="19">
        <v>0.55000000000000004</v>
      </c>
      <c r="C61" s="19">
        <v>0.55000000000000004</v>
      </c>
      <c r="D61" s="19">
        <v>0.55000000000000004</v>
      </c>
      <c r="E61" s="19">
        <v>0.55000000000000004</v>
      </c>
      <c r="F61" s="19">
        <v>0.55000000000000004</v>
      </c>
      <c r="G61" s="19">
        <v>0.55000000000000004</v>
      </c>
    </row>
    <row r="62" spans="1:12" x14ac:dyDescent="0.15">
      <c r="A62" s="27" t="s">
        <v>75</v>
      </c>
      <c r="B62" s="19">
        <v>0.67</v>
      </c>
      <c r="C62" s="19">
        <v>1</v>
      </c>
      <c r="D62" s="19">
        <v>0.67</v>
      </c>
      <c r="E62" s="19">
        <v>1</v>
      </c>
      <c r="F62" s="19">
        <v>0.67</v>
      </c>
      <c r="G62" s="19">
        <v>1</v>
      </c>
    </row>
    <row r="63" spans="1:12" x14ac:dyDescent="0.15">
      <c r="A63" s="27" t="s">
        <v>76</v>
      </c>
      <c r="B63" s="19">
        <v>0.66</v>
      </c>
      <c r="C63" s="19">
        <v>0.66</v>
      </c>
      <c r="D63" s="19">
        <v>0.66</v>
      </c>
      <c r="E63" s="19">
        <v>0.66</v>
      </c>
      <c r="F63" s="19">
        <v>0.66</v>
      </c>
      <c r="G63" s="19">
        <v>0.66</v>
      </c>
    </row>
    <row r="64" spans="1:12" x14ac:dyDescent="0.15">
      <c r="A64" s="27" t="s">
        <v>77</v>
      </c>
      <c r="B64" s="19">
        <v>3840</v>
      </c>
      <c r="C64" s="19">
        <v>3840</v>
      </c>
      <c r="D64" s="19">
        <v>3840</v>
      </c>
      <c r="E64" s="19">
        <v>3840</v>
      </c>
      <c r="F64" s="19">
        <v>3840</v>
      </c>
      <c r="G64" s="19">
        <v>3840</v>
      </c>
    </row>
    <row r="65" spans="1:12" x14ac:dyDescent="0.15">
      <c r="A65" s="19" t="s">
        <v>10</v>
      </c>
      <c r="B65" s="19">
        <v>0.04</v>
      </c>
      <c r="C65" s="32">
        <f>C56-B65</f>
        <v>0.32904265551980677</v>
      </c>
      <c r="D65" s="19">
        <v>6.4000000000000001E-2</v>
      </c>
      <c r="E65" s="32">
        <f>E56-D65</f>
        <v>0.30504265551980675</v>
      </c>
      <c r="F65" s="19">
        <v>0.14000000000000001</v>
      </c>
      <c r="G65" s="32">
        <f>G56-F65</f>
        <v>0.54377223398316199</v>
      </c>
    </row>
    <row r="66" spans="1:12" x14ac:dyDescent="0.15">
      <c r="A66" s="33" t="s">
        <v>30</v>
      </c>
      <c r="B66" s="31">
        <f>B65/B59</f>
        <v>5.8699392084227568</v>
      </c>
      <c r="C66" s="31">
        <f t="shared" ref="C66:G66" si="18">C65/C59</f>
        <v>9.7741831595020496</v>
      </c>
      <c r="D66" s="31">
        <f t="shared" si="18"/>
        <v>9.391902733476412</v>
      </c>
      <c r="E66" s="31">
        <f t="shared" si="18"/>
        <v>9.0612652690921571</v>
      </c>
      <c r="F66" s="31">
        <f t="shared" si="18"/>
        <v>20.544787229479653</v>
      </c>
      <c r="G66" s="31">
        <f t="shared" si="18"/>
        <v>16.152706413114565</v>
      </c>
    </row>
    <row r="67" spans="1:12" x14ac:dyDescent="0.15">
      <c r="A67" s="19" t="s">
        <v>11</v>
      </c>
      <c r="B67" s="19">
        <f>B66*(1+B63)</f>
        <v>9.7440990859817767</v>
      </c>
      <c r="C67" s="19">
        <f t="shared" ref="C67:G67" si="19">C66*(1+C63)</f>
        <v>16.225144044773405</v>
      </c>
      <c r="D67" s="19">
        <f t="shared" si="19"/>
        <v>15.590558537570844</v>
      </c>
      <c r="E67" s="19">
        <f t="shared" si="19"/>
        <v>15.041700346692982</v>
      </c>
      <c r="F67" s="19">
        <f t="shared" si="19"/>
        <v>34.104346800936227</v>
      </c>
      <c r="G67" s="19">
        <f t="shared" si="19"/>
        <v>26.813492645770179</v>
      </c>
    </row>
    <row r="68" spans="1:12" x14ac:dyDescent="0.15">
      <c r="A68" s="33" t="s">
        <v>22</v>
      </c>
      <c r="B68" s="33">
        <f>VLOOKUP(ROUNDDOWN(B67,0),Erlang!$A2:$B76,2,FALSE)</f>
        <v>4.3447291999999997</v>
      </c>
      <c r="C68" s="33">
        <f>VLOOKUP(ROUNDDOWN(C67,0),Erlang!$A2:$B76,2,FALSE)</f>
        <v>9.8284491999999997</v>
      </c>
      <c r="D68" s="33">
        <f>VLOOKUP(ROUNDDOWN(D67,0),Erlang!$A2:$B76,2,FALSE)</f>
        <v>9.0096215999999991</v>
      </c>
      <c r="E68" s="33">
        <f>VLOOKUP(ROUNDDOWN(E67,0),Erlang!$A2:$B76,2,FALSE)</f>
        <v>9.0096215999999991</v>
      </c>
      <c r="F68" s="33">
        <f>VLOOKUP(ROUNDDOWN(F67,0),Erlang!$A2:$B76,2,FALSE)</f>
        <v>25.529086</v>
      </c>
      <c r="G68" s="33">
        <f>VLOOKUP(ROUNDDOWN(G67,0),Erlang!$A2:$B76,2,FALSE)</f>
        <v>18.382788999999999</v>
      </c>
    </row>
    <row r="69" spans="1:12" x14ac:dyDescent="0.15">
      <c r="A69" s="19" t="s">
        <v>23</v>
      </c>
      <c r="B69" s="19">
        <f>B68/(1+B63)</f>
        <v>2.6173067469879516</v>
      </c>
      <c r="C69" s="19">
        <f t="shared" ref="C69:G69" si="20">C68/(1+C63)</f>
        <v>5.9207525301204811</v>
      </c>
      <c r="D69" s="19">
        <f t="shared" si="20"/>
        <v>5.4274828915662638</v>
      </c>
      <c r="E69" s="19">
        <f t="shared" si="20"/>
        <v>5.4274828915662638</v>
      </c>
      <c r="F69" s="19">
        <f t="shared" si="20"/>
        <v>15.378967469879516</v>
      </c>
      <c r="G69" s="19">
        <f t="shared" si="20"/>
        <v>11.073969277108432</v>
      </c>
    </row>
    <row r="70" spans="1:12" x14ac:dyDescent="0.15">
      <c r="A70" s="19" t="s">
        <v>40</v>
      </c>
      <c r="B70" s="19">
        <f>B48</f>
        <v>1.4999999999999999E-2</v>
      </c>
      <c r="C70" s="19">
        <f t="shared" ref="C70:G70" si="21">C48</f>
        <v>0.01</v>
      </c>
      <c r="D70" s="19">
        <f t="shared" si="21"/>
        <v>1.2E-2</v>
      </c>
      <c r="E70" s="19">
        <f t="shared" si="21"/>
        <v>1.0999999999999999E-2</v>
      </c>
      <c r="F70" s="19">
        <f t="shared" si="21"/>
        <v>0.01</v>
      </c>
      <c r="G70" s="19">
        <f t="shared" si="21"/>
        <v>7.0000000000000001E-3</v>
      </c>
    </row>
    <row r="71" spans="1:12" x14ac:dyDescent="0.15">
      <c r="A71" s="19" t="s">
        <v>7</v>
      </c>
      <c r="B71" s="19">
        <f>B69/B70</f>
        <v>174.48711646586344</v>
      </c>
      <c r="C71" s="19">
        <f t="shared" ref="C71:G71" si="22">C69/C70</f>
        <v>592.07525301204805</v>
      </c>
      <c r="D71" s="19">
        <f t="shared" si="22"/>
        <v>452.2902409638553</v>
      </c>
      <c r="E71" s="19">
        <f t="shared" si="22"/>
        <v>493.40753559693309</v>
      </c>
      <c r="F71" s="19">
        <f t="shared" si="22"/>
        <v>1537.8967469879515</v>
      </c>
      <c r="G71" s="19">
        <f t="shared" si="22"/>
        <v>1581.9956110154903</v>
      </c>
    </row>
    <row r="72" spans="1:12" x14ac:dyDescent="0.15">
      <c r="A72" s="19" t="s">
        <v>78</v>
      </c>
      <c r="B72" s="19">
        <v>4</v>
      </c>
      <c r="C72" s="19">
        <v>4</v>
      </c>
      <c r="D72" s="19">
        <v>3</v>
      </c>
      <c r="E72" s="19">
        <v>3</v>
      </c>
      <c r="F72" s="19">
        <v>3</v>
      </c>
      <c r="G72" s="19">
        <v>3</v>
      </c>
    </row>
    <row r="73" spans="1:12" x14ac:dyDescent="0.15">
      <c r="A73" s="34"/>
      <c r="B73" s="37" t="s">
        <v>24</v>
      </c>
      <c r="C73" s="37"/>
      <c r="D73" s="37" t="s">
        <v>25</v>
      </c>
      <c r="E73" s="37"/>
      <c r="F73" s="37" t="s">
        <v>26</v>
      </c>
      <c r="G73" s="37"/>
    </row>
    <row r="74" spans="1:12" x14ac:dyDescent="0.15">
      <c r="A74" s="16" t="s">
        <v>5</v>
      </c>
      <c r="B74" s="35">
        <f>SQRT((B71*B72)/(PI()*B44))</f>
        <v>0.29957639231961269</v>
      </c>
      <c r="C74" s="35">
        <f t="shared" ref="C74:G74" si="23">SQRT((C71*C72)/(PI()*C44))</f>
        <v>0.52616022630890302</v>
      </c>
      <c r="D74" s="35">
        <f t="shared" si="23"/>
        <v>0.97078474501429257</v>
      </c>
      <c r="E74" s="35">
        <f t="shared" si="23"/>
        <v>0.96676491513859797</v>
      </c>
      <c r="F74" s="35">
        <f t="shared" si="23"/>
        <v>3.52875927917531</v>
      </c>
      <c r="G74" s="35">
        <f t="shared" si="23"/>
        <v>3.412437757090919</v>
      </c>
      <c r="J74" s="41">
        <v>3</v>
      </c>
      <c r="K74" s="41">
        <v>1</v>
      </c>
      <c r="L74" s="41">
        <f>J74*K74</f>
        <v>3</v>
      </c>
    </row>
    <row r="76" spans="1:12" x14ac:dyDescent="0.15">
      <c r="A76" s="34"/>
      <c r="B76" s="34" t="s">
        <v>24</v>
      </c>
      <c r="C76" s="34" t="s">
        <v>25</v>
      </c>
      <c r="D76" s="34" t="s">
        <v>26</v>
      </c>
    </row>
    <row r="77" spans="1:12" x14ac:dyDescent="0.15">
      <c r="A77" s="16" t="s">
        <v>6</v>
      </c>
      <c r="B77" s="35">
        <f>MIN(B74,C74,B28)</f>
        <v>0.29957639231961269</v>
      </c>
      <c r="C77" s="35">
        <f>MIN(D74,E74,C28)</f>
        <v>0.87930000394323882</v>
      </c>
      <c r="D77" s="35">
        <f>MIN(F74,G74,D28)</f>
        <v>3.412437757090919</v>
      </c>
      <c r="J77" s="41">
        <v>1.5</v>
      </c>
      <c r="K77" s="41">
        <f>2/3*2/3</f>
        <v>0.44444444444444442</v>
      </c>
      <c r="L77" s="41">
        <f>J77*K77</f>
        <v>0.66666666666666663</v>
      </c>
    </row>
    <row r="78" spans="1:12" x14ac:dyDescent="0.15">
      <c r="A78" s="16" t="s">
        <v>28</v>
      </c>
      <c r="B78" s="16">
        <f>PI()*B77^2</f>
        <v>0.28194542089533331</v>
      </c>
      <c r="C78" s="16">
        <f t="shared" ref="C78:D78" si="24">PI()*C77^2</f>
        <v>2.4289804699567386</v>
      </c>
      <c r="D78" s="16">
        <f t="shared" si="24"/>
        <v>36.583002763841542</v>
      </c>
    </row>
    <row r="79" spans="1:12" x14ac:dyDescent="0.15">
      <c r="A79" s="16" t="s">
        <v>29</v>
      </c>
      <c r="B79" s="16">
        <f>ROUNDUP(B35/B78,0)</f>
        <v>101</v>
      </c>
      <c r="C79" s="16">
        <f>ROUNDUP(D35/C78,0)</f>
        <v>23</v>
      </c>
      <c r="D79" s="16">
        <f>ROUNDUP(F35/D78,0)</f>
        <v>5</v>
      </c>
      <c r="J79" s="41">
        <v>0.5</v>
      </c>
      <c r="K79" s="41">
        <f>2/3*2/3</f>
        <v>0.44444444444444442</v>
      </c>
      <c r="L79" s="41">
        <f>J79*K79</f>
        <v>0.22222222222222221</v>
      </c>
    </row>
    <row r="83" spans="10:12" x14ac:dyDescent="0.15">
      <c r="J83" s="41">
        <f>SUM(J13:J81)</f>
        <v>10</v>
      </c>
      <c r="K83" s="41">
        <v>1</v>
      </c>
      <c r="L83" s="41">
        <f>SUM(L13:L81)</f>
        <v>8.3888888888888875</v>
      </c>
    </row>
    <row r="84" spans="10:12" x14ac:dyDescent="0.15">
      <c r="L84" s="43">
        <f>L83/10*1.5</f>
        <v>1.2583333333333333</v>
      </c>
    </row>
  </sheetData>
  <mergeCells count="15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73:G73"/>
    <mergeCell ref="D73:E73"/>
    <mergeCell ref="B73:C73"/>
    <mergeCell ref="B55:C55"/>
    <mergeCell ref="D55:E55"/>
    <mergeCell ref="F55:G55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20</v>
      </c>
      <c r="B1" s="1" t="s">
        <v>21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2022-01-24T15:57:38Z</dcterms:modified>
</cp:coreProperties>
</file>