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36B7E03F-FCAC-AC4A-B6BF-02E2D8ABDADC}" xr6:coauthVersionLast="47" xr6:coauthVersionMax="47" xr10:uidLastSave="{00000000-0000-0000-0000-000000000000}"/>
  <bookViews>
    <workbookView xWindow="0" yWindow="500" windowWidth="23360" windowHeight="1354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2100'!$A$1:$H$82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5" l="1"/>
  <c r="L73" i="5"/>
  <c r="L71" i="5"/>
  <c r="L68" i="5"/>
  <c r="L58" i="5"/>
  <c r="L52" i="5"/>
  <c r="L44" i="5"/>
  <c r="L28" i="5"/>
  <c r="L13" i="5"/>
  <c r="D23" i="5"/>
  <c r="C23" i="5"/>
  <c r="B23" i="5"/>
  <c r="B37" i="5"/>
  <c r="B40" i="5" s="1"/>
  <c r="B43" i="5" s="1"/>
  <c r="B44" i="5" s="1"/>
  <c r="B35" i="5"/>
  <c r="C37" i="5"/>
  <c r="C40" i="5"/>
  <c r="C43" i="5"/>
  <c r="C44" i="5" s="1"/>
  <c r="C35" i="5"/>
  <c r="D37" i="5"/>
  <c r="D40" i="5"/>
  <c r="D43" i="5" s="1"/>
  <c r="D44" i="5" s="1"/>
  <c r="D35" i="5"/>
  <c r="E37" i="5"/>
  <c r="E40" i="5" s="1"/>
  <c r="E43" i="5" s="1"/>
  <c r="E44" i="5" s="1"/>
  <c r="E35" i="5"/>
  <c r="F37" i="5"/>
  <c r="F40" i="5" s="1"/>
  <c r="F43" i="5" s="1"/>
  <c r="F44" i="5" s="1"/>
  <c r="F35" i="5"/>
  <c r="G37" i="5"/>
  <c r="G40" i="5"/>
  <c r="G43" i="5"/>
  <c r="G44" i="5" s="1"/>
  <c r="G35" i="5"/>
  <c r="F59" i="5"/>
  <c r="F60" i="5"/>
  <c r="F67" i="5" s="1"/>
  <c r="F68" i="5" s="1"/>
  <c r="F69" i="5" s="1"/>
  <c r="F70" i="5" s="1"/>
  <c r="F72" i="5" s="1"/>
  <c r="F75" i="5" s="1"/>
  <c r="F71" i="5"/>
  <c r="F57" i="5"/>
  <c r="G66" i="5" s="1"/>
  <c r="G67" i="5" s="1"/>
  <c r="G68" i="5" s="1"/>
  <c r="G69" i="5" s="1"/>
  <c r="G70" i="5" s="1"/>
  <c r="G72" i="5" s="1"/>
  <c r="G75" i="5" s="1"/>
  <c r="G59" i="5"/>
  <c r="G60" i="5"/>
  <c r="G71" i="5"/>
  <c r="G4" i="5"/>
  <c r="G13" i="5"/>
  <c r="H4" i="5"/>
  <c r="H13" i="5" s="1"/>
  <c r="D20" i="5"/>
  <c r="D21" i="5"/>
  <c r="D26" i="5" s="1"/>
  <c r="D28" i="5" s="1"/>
  <c r="F76" i="5" s="1"/>
  <c r="D22" i="5"/>
  <c r="D24" i="5"/>
  <c r="D59" i="5"/>
  <c r="D60" i="5" s="1"/>
  <c r="D67" i="5" s="1"/>
  <c r="D68" i="5" s="1"/>
  <c r="D69" i="5" s="1"/>
  <c r="D70" i="5" s="1"/>
  <c r="D72" i="5" s="1"/>
  <c r="D75" i="5" s="1"/>
  <c r="D71" i="5"/>
  <c r="D57" i="5"/>
  <c r="E66" i="5"/>
  <c r="E59" i="5"/>
  <c r="E60" i="5" s="1"/>
  <c r="E71" i="5"/>
  <c r="E4" i="5"/>
  <c r="E13" i="5" s="1"/>
  <c r="F4" i="5"/>
  <c r="F13" i="5"/>
  <c r="C20" i="5"/>
  <c r="C21" i="5"/>
  <c r="C22" i="5"/>
  <c r="C26" i="5" s="1"/>
  <c r="C28" i="5" s="1"/>
  <c r="D76" i="5" s="1"/>
  <c r="C24" i="5"/>
  <c r="B59" i="5"/>
  <c r="B60" i="5"/>
  <c r="B67" i="5" s="1"/>
  <c r="B68" i="5" s="1"/>
  <c r="B69" i="5" s="1"/>
  <c r="B70" i="5" s="1"/>
  <c r="B72" i="5" s="1"/>
  <c r="B75" i="5" s="1"/>
  <c r="B71" i="5"/>
  <c r="B57" i="5"/>
  <c r="C66" i="5" s="1"/>
  <c r="C67" i="5" s="1"/>
  <c r="C68" i="5" s="1"/>
  <c r="C69" i="5" s="1"/>
  <c r="C70" i="5" s="1"/>
  <c r="C72" i="5" s="1"/>
  <c r="C75" i="5" s="1"/>
  <c r="C59" i="5"/>
  <c r="C60" i="5"/>
  <c r="C71" i="5"/>
  <c r="C4" i="5"/>
  <c r="C13" i="5"/>
  <c r="D4" i="5"/>
  <c r="D13" i="5" s="1"/>
  <c r="B20" i="5"/>
  <c r="B26" i="5" s="1"/>
  <c r="B21" i="5"/>
  <c r="B22" i="5"/>
  <c r="C57" i="5"/>
  <c r="E57" i="5"/>
  <c r="G57" i="5"/>
  <c r="L77" i="5" l="1"/>
  <c r="L78" i="5" s="1"/>
  <c r="B28" i="5"/>
  <c r="B76" i="5" s="1"/>
  <c r="B79" i="5" s="1"/>
  <c r="B80" i="5" s="1"/>
  <c r="B81" i="5" s="1"/>
  <c r="E67" i="5"/>
  <c r="E68" i="5" s="1"/>
  <c r="E69" i="5" s="1"/>
  <c r="E70" i="5" s="1"/>
  <c r="E72" i="5" s="1"/>
  <c r="E75" i="5" s="1"/>
  <c r="C79" i="5" s="1"/>
  <c r="C80" i="5" s="1"/>
  <c r="C81" i="5" s="1"/>
  <c r="D79" i="5"/>
  <c r="D80" i="5" s="1"/>
  <c r="D81" i="5" s="1"/>
</calcChain>
</file>

<file path=xl/sharedStrings.xml><?xml version="1.0" encoding="utf-8"?>
<sst xmlns="http://schemas.openxmlformats.org/spreadsheetml/2006/main" count="104" uniqueCount="78">
  <si>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</si>
  <si>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</si>
  <si>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</si>
  <si>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</si>
  <si>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</si>
  <si>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</si>
  <si>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</si>
  <si>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</si>
  <si>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</si>
  <si>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</si>
  <si>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</si>
  <si>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</si>
  <si>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</si>
  <si>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</si>
  <si>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</si>
  <si>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</si>
  <si>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</si>
  <si>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</si>
  <si>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</si>
  <si>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</si>
  <si>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</si>
  <si>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</si>
  <si>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</si>
  <si>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</si>
  <si>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</si>
  <si>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</si>
  <si>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</si>
  <si>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</si>
  <si>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</si>
  <si>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</si>
  <si>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</si>
  <si>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</si>
  <si>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</si>
  <si>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</si>
  <si>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</si>
  <si>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</si>
  <si>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</si>
  <si>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</si>
  <si>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</si>
  <si>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</si>
  <si>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</si>
  <si>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</si>
  <si>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</si>
  <si>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</si>
  <si>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</si>
  <si>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</si>
  <si>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</si>
  <si>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</si>
  <si>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</si>
  <si>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</si>
  <si>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</si>
  <si>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>P(dBm)</t>
  </si>
  <si>
    <t>L</t>
  </si>
  <si>
    <t>G</t>
  </si>
  <si>
    <t>MD</t>
  </si>
  <si>
    <t>L_adic</t>
  </si>
  <si>
    <t>Lc</t>
  </si>
  <si>
    <t>Sensibilidad</t>
  </si>
  <si>
    <t>A</t>
  </si>
  <si>
    <t>B</t>
  </si>
  <si>
    <t>a(hms)</t>
  </si>
  <si>
    <t>s</t>
  </si>
  <si>
    <t>Lclutter</t>
  </si>
  <si>
    <t>Aux 1</t>
  </si>
  <si>
    <t>Terreno por tipo</t>
  </si>
  <si>
    <t>Población por tipo</t>
  </si>
  <si>
    <t>Clientes</t>
  </si>
  <si>
    <t>Clientes del servicio</t>
  </si>
  <si>
    <t>Factor de Ortogonalidad</t>
  </si>
  <si>
    <t>Factor Actividad</t>
  </si>
  <si>
    <t>Factor Interferencia Intercelular</t>
  </si>
  <si>
    <t>Tasa de Chip</t>
  </si>
  <si>
    <t>Margen de Interferencia   [6,1]</t>
  </si>
  <si>
    <t>Velocidad binaria</t>
  </si>
  <si>
    <t>Sectores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</si>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</sst>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3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2" fillId="4" borderId="0" xfId="0" applyFont="1" applyFill="1" applyBorder="1"/>
    <xf numFmtId="0" fontId="0" fillId="0" borderId="6" xfId="0" applyBorder="1"/>
    <xf numFmtId="0" fontId="2" fillId="0" borderId="6" xfId="0" applyFont="1" applyBorder="1"/>
    <xf numFmtId="0" fontId="11" fillId="0" borderId="7" xfId="0" applyFont="1" applyBorder="1"/>
    <xf numFmtId="0" fontId="12" fillId="0" borderId="0" xfId="0" applyFont="1"/>
    <xf numFmtId="0" fontId="0" fillId="0" borderId="5" xfId="0" applyFill="1" applyBorder="1"/>
    <xf numFmtId="0" fontId="0" fillId="0" borderId="11" xfId="0" applyBorder="1"/>
    <xf numFmtId="0" fontId="1" fillId="7" borderId="11" xfId="0" applyFont="1" applyFill="1" applyBorder="1"/>
    <xf numFmtId="0" fontId="1" fillId="3" borderId="12" xfId="0" applyFont="1" applyFill="1" applyBorder="1"/>
    <xf numFmtId="0" fontId="0" fillId="4" borderId="13" xfId="0" applyFill="1" applyBorder="1"/>
    <xf numFmtId="0" fontId="0" fillId="6" borderId="11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8" xfId="0" applyFill="1" applyBorder="1"/>
    <xf numFmtId="164" fontId="0" fillId="6" borderId="8" xfId="1" applyNumberFormat="1" applyFont="1" applyFill="1" applyBorder="1"/>
    <xf numFmtId="0" fontId="0" fillId="6" borderId="8" xfId="0" applyFill="1" applyBorder="1"/>
    <xf numFmtId="0" fontId="0" fillId="0" borderId="14" xfId="0" applyFill="1" applyBorder="1"/>
    <xf numFmtId="0" fontId="1" fillId="7" borderId="8" xfId="0" applyFont="1" applyFill="1" applyBorder="1"/>
    <xf numFmtId="0" fontId="1" fillId="7" borderId="9" xfId="0" applyFont="1" applyFill="1" applyBorder="1"/>
    <xf numFmtId="165" fontId="1" fillId="3" borderId="10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8" borderId="0" xfId="0" applyFont="1" applyFill="1"/>
    <xf numFmtId="0" fontId="1" fillId="2" borderId="0" xfId="0" applyFont="1" applyFill="1"/>
    <xf numFmtId="0" fontId="0" fillId="9" borderId="0" xfId="0" applyFill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1"/>
  <sheetViews>
    <sheetView tabSelected="1" zoomScale="90" zoomScaleNormal="90" workbookViewId="0">
      <selection activeCell="K74" sqref="K74"/>
    </sheetView>
  </sheetViews>
  <sheetFormatPr baseColWidth="10" defaultRowHeight="13" x14ac:dyDescent="0.15"/>
  <cols>
    <col min="1" max="1" width="30.83203125" bestFit="1" customWidth="1"/>
    <col min="2" max="2" width="18.1640625" customWidth="1"/>
    <col min="3" max="3" width="12.33203125" customWidth="1"/>
    <col min="4" max="4" width="13.33203125" customWidth="1"/>
    <col min="5" max="5" width="13.33203125" bestFit="1" customWidth="1"/>
    <col min="6" max="6" width="14" customWidth="1"/>
    <col min="7" max="7" width="14.1640625" bestFit="1" customWidth="1"/>
  </cols>
  <sheetData>
    <row r="1" spans="1:12" x14ac:dyDescent="0.15">
      <c r="A1" s="11" t="s">
        <v>19</v>
      </c>
      <c r="B1" s="12"/>
      <c r="C1" s="12"/>
      <c r="D1" s="12"/>
      <c r="E1" s="12"/>
      <c r="F1" s="12"/>
      <c r="G1" s="12"/>
      <c r="H1" s="12"/>
      <c r="J1" s="60" t="s">
        <v>75</v>
      </c>
      <c r="K1" s="61" t="s">
        <v>76</v>
      </c>
      <c r="L1" s="61" t="s">
        <v>77</v>
      </c>
    </row>
    <row r="2" spans="1:12" x14ac:dyDescent="0.15">
      <c r="A2" s="12"/>
      <c r="B2" s="12"/>
      <c r="C2" s="57" t="s">
        <v>24</v>
      </c>
      <c r="D2" s="57"/>
      <c r="E2" s="57" t="s">
        <v>25</v>
      </c>
      <c r="F2" s="57"/>
      <c r="G2" s="58" t="s">
        <v>26</v>
      </c>
      <c r="H2" s="58"/>
    </row>
    <row r="3" spans="1:12" x14ac:dyDescent="0.15">
      <c r="A3" s="1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15</v>
      </c>
      <c r="H3" s="13" t="s">
        <v>16</v>
      </c>
    </row>
    <row r="4" spans="1:12" x14ac:dyDescent="0.15">
      <c r="A4" s="14" t="s">
        <v>12</v>
      </c>
      <c r="B4" s="35" t="s">
        <v>51</v>
      </c>
      <c r="C4" s="14">
        <f>10*LOG10(0.125)+30</f>
        <v>20.969100130080562</v>
      </c>
      <c r="D4" s="14">
        <f t="shared" ref="D4:H4" si="0">10*LOG10(0.125)+30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35" t="s">
        <v>52</v>
      </c>
      <c r="C5" s="14">
        <v>-4.5</v>
      </c>
      <c r="D5" s="14">
        <v>-4.5</v>
      </c>
      <c r="E5" s="14">
        <v>-4.5</v>
      </c>
      <c r="F5" s="14">
        <v>-4.5</v>
      </c>
      <c r="G5" s="14">
        <v>-4.5</v>
      </c>
      <c r="H5" s="14">
        <v>-4.5</v>
      </c>
    </row>
    <row r="6" spans="1:12" x14ac:dyDescent="0.15">
      <c r="A6" s="14"/>
      <c r="B6" s="35" t="s">
        <v>53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13</v>
      </c>
      <c r="B7" s="35" t="s">
        <v>54</v>
      </c>
      <c r="C7" s="14">
        <v>-15</v>
      </c>
      <c r="D7" s="14">
        <v>-15</v>
      </c>
      <c r="E7" s="14">
        <v>-12</v>
      </c>
      <c r="F7" s="14">
        <v>-12</v>
      </c>
      <c r="G7" s="14">
        <v>-12</v>
      </c>
      <c r="H7" s="14">
        <v>-12</v>
      </c>
    </row>
    <row r="8" spans="1:12" x14ac:dyDescent="0.15">
      <c r="A8" s="14"/>
      <c r="B8" s="35" t="s">
        <v>55</v>
      </c>
      <c r="C8" s="14">
        <v>-12</v>
      </c>
      <c r="D8" s="14">
        <v>-12</v>
      </c>
      <c r="E8" s="14">
        <v>-9</v>
      </c>
      <c r="F8" s="14">
        <v>-9</v>
      </c>
      <c r="G8" s="14">
        <v>-7</v>
      </c>
      <c r="H8" s="14">
        <v>-7</v>
      </c>
    </row>
    <row r="9" spans="1:12" x14ac:dyDescent="0.15">
      <c r="A9" s="14" t="s">
        <v>14</v>
      </c>
      <c r="B9" s="35" t="s">
        <v>56</v>
      </c>
      <c r="C9" s="14">
        <v>-3</v>
      </c>
      <c r="D9" s="14">
        <v>-3</v>
      </c>
      <c r="E9" s="14">
        <v>-3</v>
      </c>
      <c r="F9" s="14">
        <v>-3</v>
      </c>
      <c r="G9" s="14">
        <v>-3</v>
      </c>
      <c r="H9" s="14">
        <v>-3</v>
      </c>
    </row>
    <row r="10" spans="1:12" x14ac:dyDescent="0.15">
      <c r="A10" s="14"/>
      <c r="B10" s="35" t="s">
        <v>53</v>
      </c>
      <c r="C10" s="14">
        <v>18</v>
      </c>
      <c r="D10" s="14">
        <v>18</v>
      </c>
      <c r="E10" s="14">
        <v>18</v>
      </c>
      <c r="F10" s="14">
        <v>18</v>
      </c>
      <c r="G10" s="14">
        <v>18</v>
      </c>
      <c r="H10" s="14">
        <v>18</v>
      </c>
    </row>
    <row r="11" spans="1:12" x14ac:dyDescent="0.15">
      <c r="A11" s="14"/>
      <c r="B11" s="35" t="s">
        <v>57</v>
      </c>
      <c r="C11" s="14">
        <v>117</v>
      </c>
      <c r="D11" s="14">
        <v>115</v>
      </c>
      <c r="E11" s="14">
        <v>117</v>
      </c>
      <c r="F11" s="14">
        <v>115</v>
      </c>
      <c r="G11" s="14">
        <v>117</v>
      </c>
      <c r="H11" s="14">
        <v>115</v>
      </c>
    </row>
    <row r="12" spans="1:12" x14ac:dyDescent="0.15">
      <c r="A12" s="14" t="s">
        <v>72</v>
      </c>
      <c r="B12" s="15"/>
      <c r="C12" s="44">
        <v>-1.3</v>
      </c>
      <c r="D12" s="44">
        <v>-1.3</v>
      </c>
      <c r="E12" s="44">
        <v>-1.6</v>
      </c>
      <c r="F12" s="44">
        <v>-1.6</v>
      </c>
      <c r="G12" s="44">
        <v>-4.3499999999999996</v>
      </c>
      <c r="H12" s="44">
        <v>-4.3499999999999996</v>
      </c>
    </row>
    <row r="13" spans="1:12" x14ac:dyDescent="0.15">
      <c r="A13" s="16" t="s">
        <v>0</v>
      </c>
      <c r="B13" s="16"/>
      <c r="C13" s="16">
        <f>C4+C5+C6+C7+C8+C9+C10+C11+C12</f>
        <v>120.16910013008057</v>
      </c>
      <c r="D13" s="16">
        <f t="shared" ref="D13:H13" si="1">D4+D5+D6+D7+D8+D9+D10+D11+D12</f>
        <v>118.16910013008057</v>
      </c>
      <c r="E13" s="16">
        <f t="shared" si="1"/>
        <v>125.86910013008057</v>
      </c>
      <c r="F13" s="16">
        <f t="shared" si="1"/>
        <v>123.86910013008057</v>
      </c>
      <c r="G13" s="16">
        <f t="shared" si="1"/>
        <v>125.11910013008057</v>
      </c>
      <c r="H13" s="16">
        <f t="shared" si="1"/>
        <v>123.11910013008057</v>
      </c>
      <c r="J13" s="60">
        <v>1</v>
      </c>
      <c r="K13" s="60">
        <v>1</v>
      </c>
      <c r="L13" s="60">
        <f>J13*K13</f>
        <v>1</v>
      </c>
    </row>
    <row r="15" spans="1:12" x14ac:dyDescent="0.15">
      <c r="A15" s="17"/>
      <c r="B15" s="21" t="s">
        <v>24</v>
      </c>
      <c r="C15" s="21" t="s">
        <v>25</v>
      </c>
      <c r="D15" s="21" t="s">
        <v>26</v>
      </c>
    </row>
    <row r="16" spans="1:12" x14ac:dyDescent="0.15">
      <c r="A16" s="18" t="s">
        <v>41</v>
      </c>
      <c r="B16" s="18">
        <v>38</v>
      </c>
      <c r="C16" s="18">
        <v>22</v>
      </c>
      <c r="D16" s="18">
        <v>30</v>
      </c>
    </row>
    <row r="17" spans="1:12" x14ac:dyDescent="0.15">
      <c r="A17" s="18" t="s">
        <v>42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50</v>
      </c>
      <c r="B18" s="20">
        <v>2100</v>
      </c>
      <c r="C18" s="20">
        <v>2100</v>
      </c>
      <c r="D18" s="20">
        <v>2100</v>
      </c>
    </row>
    <row r="19" spans="1:12" x14ac:dyDescent="0.15">
      <c r="A19" s="19" t="s">
        <v>43</v>
      </c>
      <c r="B19" s="17" t="s">
        <v>44</v>
      </c>
      <c r="C19" s="17" t="s">
        <v>45</v>
      </c>
      <c r="D19" s="17" t="s">
        <v>45</v>
      </c>
    </row>
    <row r="20" spans="1:12" x14ac:dyDescent="0.15">
      <c r="A20" s="37" t="s">
        <v>58</v>
      </c>
      <c r="B20" s="19">
        <f>IF(B18&gt;1500,46.3,69.55)</f>
        <v>46.3</v>
      </c>
      <c r="C20" s="19">
        <f t="shared" ref="C20:D20" si="2">IF(C18&gt;1500,46.3,69.55)</f>
        <v>46.3</v>
      </c>
      <c r="D20" s="19">
        <f t="shared" si="2"/>
        <v>46.3</v>
      </c>
    </row>
    <row r="21" spans="1:12" x14ac:dyDescent="0.15">
      <c r="A21" s="37" t="s">
        <v>59</v>
      </c>
      <c r="B21" s="19">
        <f>IF(B18&gt;1500,33.9,26.16)</f>
        <v>33.9</v>
      </c>
      <c r="C21" s="19">
        <f t="shared" ref="C21:D21" si="3">IF(C18&gt;1500,33.9,26.16)</f>
        <v>33.9</v>
      </c>
      <c r="D21" s="19">
        <f t="shared" si="3"/>
        <v>33.9</v>
      </c>
    </row>
    <row r="22" spans="1:12" x14ac:dyDescent="0.15">
      <c r="A22" s="37" t="s">
        <v>60</v>
      </c>
      <c r="B22" s="19">
        <f>3.2*((LOG10(11.75*B17))^2)-4.97</f>
        <v>0.48441087675501127</v>
      </c>
      <c r="C22" s="19">
        <f>C17*(1.1*LOG10(C18)-0.7)-(1.56*LOG10(C18)-0.8)</f>
        <v>0.698976805851661</v>
      </c>
      <c r="D22" s="19">
        <f>D17*(1.1*LOG10(D18)-0.7)-(1.56*LOG10(D18)-0.8)</f>
        <v>0.698976805851661</v>
      </c>
    </row>
    <row r="23" spans="1:12" x14ac:dyDescent="0.15">
      <c r="A23" s="37" t="s">
        <v>61</v>
      </c>
      <c r="B23" s="19">
        <f>IF(B18&lt;1500,(71.13+6.16*LOG10(B18)-13.82*LOG10(B16))/LOG10(50),(47.88+13.9*LOG10(B18)-13.82*LOG10(B16))/LOG10(50))</f>
        <v>42.511779906193333</v>
      </c>
      <c r="C23" s="19">
        <f>44.9-6.55*LOG10(C16)</f>
        <v>36.107131440614552</v>
      </c>
      <c r="D23" s="19">
        <f>44.9-6.55*LOG10(D16)</f>
        <v>35.224855781586214</v>
      </c>
    </row>
    <row r="24" spans="1:12" x14ac:dyDescent="0.15">
      <c r="A24" s="37" t="s">
        <v>62</v>
      </c>
      <c r="B24" s="19">
        <v>0</v>
      </c>
      <c r="C24" s="19">
        <f>-2*((LOG10(C18/28))^2)-5.4</f>
        <v>-12.431709482944157</v>
      </c>
      <c r="D24" s="19">
        <f>-4.78*((LOG10(D18))^2)+18.33*LOG10(D18)-40.94</f>
        <v>-32.801254509732452</v>
      </c>
    </row>
    <row r="25" spans="1:12" x14ac:dyDescent="0.15">
      <c r="A25" s="36"/>
      <c r="B25" s="19"/>
      <c r="C25" s="19"/>
      <c r="D25" s="19"/>
    </row>
    <row r="26" spans="1:12" x14ac:dyDescent="0.15">
      <c r="A26" s="37" t="s">
        <v>63</v>
      </c>
      <c r="B26" s="17">
        <f>B20+B21*LOG10(B18)-13.82*LOG10(B16)-B22+B24</f>
        <v>136.60621390948052</v>
      </c>
      <c r="C26" s="17">
        <f>C20+C21*LOG10(C18)-13.82*LOG10(C16)-C22+C24</f>
        <v>127.24026635372114</v>
      </c>
      <c r="D26" s="17">
        <f>D20+D21*LOG10(D18)-13.82*LOG10(D16)-D22+D24</f>
        <v>105.00918703567001</v>
      </c>
    </row>
    <row r="27" spans="1:12" x14ac:dyDescent="0.15">
      <c r="A27" s="41"/>
      <c r="B27" s="19"/>
      <c r="C27" s="19"/>
      <c r="D27" s="19"/>
    </row>
    <row r="28" spans="1:12" x14ac:dyDescent="0.15">
      <c r="A28" s="42" t="s">
        <v>46</v>
      </c>
      <c r="B28" s="43">
        <f>10^((MIN(C13,D13)-B26)/B23)</f>
        <v>0.36838824778676543</v>
      </c>
      <c r="C28" s="43">
        <f>10^((MIN(E13,F13)-C26)/C23)</f>
        <v>0.80655565065838664</v>
      </c>
      <c r="D28" s="43">
        <f>10^((MIN(G13,H13)-D26)/D23)</f>
        <v>3.2668043830562654</v>
      </c>
      <c r="J28" s="60">
        <v>1.5</v>
      </c>
      <c r="K28" s="60">
        <v>0</v>
      </c>
      <c r="L28" s="60">
        <f t="shared" ref="L28:L44" si="4">J28*K28</f>
        <v>0</v>
      </c>
    </row>
    <row r="30" spans="1:12" x14ac:dyDescent="0.15">
      <c r="A30" s="13" t="s">
        <v>47</v>
      </c>
      <c r="B30" s="9"/>
      <c r="C30" s="9"/>
      <c r="D30" s="9"/>
      <c r="E30" s="9"/>
      <c r="F30" s="9"/>
      <c r="G30" s="9"/>
    </row>
    <row r="31" spans="1:12" x14ac:dyDescent="0.15">
      <c r="A31" s="18" t="s">
        <v>31</v>
      </c>
      <c r="B31" s="23">
        <v>235</v>
      </c>
      <c r="C31" s="9"/>
      <c r="D31" s="9"/>
      <c r="E31" s="9"/>
      <c r="F31" s="9"/>
      <c r="G31" s="9"/>
    </row>
    <row r="32" spans="1:12" x14ac:dyDescent="0.15">
      <c r="A32" s="18" t="s">
        <v>32</v>
      </c>
      <c r="B32" s="23">
        <v>363500</v>
      </c>
      <c r="C32" s="9"/>
      <c r="D32" s="9"/>
      <c r="E32" s="9"/>
      <c r="F32" s="9"/>
      <c r="G32" s="9"/>
    </row>
    <row r="33" spans="1:12" x14ac:dyDescent="0.15">
      <c r="A33" s="22"/>
      <c r="B33" s="59" t="s">
        <v>24</v>
      </c>
      <c r="C33" s="59"/>
      <c r="D33" s="59" t="s">
        <v>25</v>
      </c>
      <c r="E33" s="59"/>
      <c r="F33" s="59" t="s">
        <v>26</v>
      </c>
      <c r="G33" s="59"/>
    </row>
    <row r="34" spans="1:12" x14ac:dyDescent="0.15">
      <c r="A34" s="18" t="s">
        <v>33</v>
      </c>
      <c r="B34" s="24">
        <v>0.12</v>
      </c>
      <c r="C34" s="24">
        <v>0.12</v>
      </c>
      <c r="D34" s="24">
        <v>0.23</v>
      </c>
      <c r="E34" s="24">
        <v>0.23</v>
      </c>
      <c r="F34" s="24">
        <v>0.65</v>
      </c>
      <c r="G34" s="24">
        <v>0.65</v>
      </c>
    </row>
    <row r="35" spans="1:12" x14ac:dyDescent="0.15">
      <c r="A35" s="38" t="s">
        <v>64</v>
      </c>
      <c r="B35" s="22">
        <f>B34*B31</f>
        <v>28.2</v>
      </c>
      <c r="C35" s="22">
        <f>C34*B31</f>
        <v>28.2</v>
      </c>
      <c r="D35" s="48">
        <f>D34*B31</f>
        <v>54.050000000000004</v>
      </c>
      <c r="E35" s="22">
        <f>E34*B31</f>
        <v>54.050000000000004</v>
      </c>
      <c r="F35" s="48">
        <f>F34*B31</f>
        <v>152.75</v>
      </c>
      <c r="G35" s="22">
        <f>G34*B31</f>
        <v>152.75</v>
      </c>
    </row>
    <row r="36" spans="1:12" x14ac:dyDescent="0.15">
      <c r="A36" s="45" t="s">
        <v>34</v>
      </c>
      <c r="B36" s="24">
        <v>0.62</v>
      </c>
      <c r="C36" s="24">
        <v>0.62</v>
      </c>
      <c r="D36" s="49">
        <v>0.22</v>
      </c>
      <c r="E36" s="24">
        <v>0.22</v>
      </c>
      <c r="F36" s="49">
        <v>0.16</v>
      </c>
      <c r="G36" s="24">
        <v>0.16</v>
      </c>
    </row>
    <row r="37" spans="1:12" x14ac:dyDescent="0.15">
      <c r="A37" s="38" t="s">
        <v>65</v>
      </c>
      <c r="B37" s="22">
        <f>B36*$B32</f>
        <v>225370</v>
      </c>
      <c r="C37" s="22">
        <f t="shared" ref="C37:E37" si="5">C36*$B32</f>
        <v>225370</v>
      </c>
      <c r="D37" s="22">
        <f t="shared" si="5"/>
        <v>79970</v>
      </c>
      <c r="E37" s="22">
        <f t="shared" si="5"/>
        <v>79970</v>
      </c>
      <c r="F37" s="22">
        <f>F36*$B32</f>
        <v>58160</v>
      </c>
      <c r="G37" s="48">
        <f t="shared" ref="G37" si="6">G36*$B32</f>
        <v>58160</v>
      </c>
    </row>
    <row r="38" spans="1:12" x14ac:dyDescent="0.15">
      <c r="A38" s="45" t="s">
        <v>35</v>
      </c>
      <c r="B38" s="18">
        <v>1.05</v>
      </c>
      <c r="C38" s="18">
        <v>1.05</v>
      </c>
      <c r="D38" s="18">
        <v>1.05</v>
      </c>
      <c r="E38" s="18">
        <v>1.05</v>
      </c>
      <c r="F38" s="18">
        <v>1.05</v>
      </c>
      <c r="G38" s="50">
        <v>1.05</v>
      </c>
    </row>
    <row r="39" spans="1:12" x14ac:dyDescent="0.15">
      <c r="A39" s="45" t="s">
        <v>36</v>
      </c>
      <c r="B39" s="18">
        <v>0.29499999999999998</v>
      </c>
      <c r="C39" s="18">
        <v>0.29499999999999998</v>
      </c>
      <c r="D39" s="18">
        <v>0.29499999999999998</v>
      </c>
      <c r="E39" s="18">
        <v>0.29499999999999998</v>
      </c>
      <c r="F39" s="18">
        <v>0.29499999999999998</v>
      </c>
      <c r="G39" s="50">
        <v>0.29499999999999998</v>
      </c>
    </row>
    <row r="40" spans="1:12" x14ac:dyDescent="0.15">
      <c r="A40" s="38" t="s">
        <v>66</v>
      </c>
      <c r="B40" s="22">
        <f>B37*B38*B39</f>
        <v>69808.357499999998</v>
      </c>
      <c r="C40" s="22">
        <f t="shared" ref="C40:G40" si="7">C37*C38*C39</f>
        <v>69808.357499999998</v>
      </c>
      <c r="D40" s="22">
        <f t="shared" si="7"/>
        <v>24770.7075</v>
      </c>
      <c r="E40" s="22">
        <f t="shared" si="7"/>
        <v>24770.7075</v>
      </c>
      <c r="F40" s="22">
        <f t="shared" si="7"/>
        <v>18015.059999999998</v>
      </c>
      <c r="G40" s="48">
        <f t="shared" si="7"/>
        <v>18015.059999999998</v>
      </c>
    </row>
    <row r="41" spans="1:12" x14ac:dyDescent="0.15">
      <c r="A41" s="46"/>
      <c r="B41" s="22"/>
      <c r="C41" s="22"/>
      <c r="D41" s="48"/>
      <c r="E41" s="22"/>
      <c r="F41" s="22"/>
      <c r="G41" s="48"/>
    </row>
    <row r="42" spans="1:12" x14ac:dyDescent="0.15">
      <c r="A42" s="45" t="s">
        <v>37</v>
      </c>
      <c r="B42" s="18">
        <v>1</v>
      </c>
      <c r="C42" s="18">
        <v>1.1000000000000001</v>
      </c>
      <c r="D42" s="50">
        <v>1</v>
      </c>
      <c r="E42" s="18">
        <v>1.1000000000000001</v>
      </c>
      <c r="F42" s="18">
        <v>1</v>
      </c>
      <c r="G42" s="50">
        <v>1.1000000000000001</v>
      </c>
    </row>
    <row r="43" spans="1:12" x14ac:dyDescent="0.15">
      <c r="A43" s="38" t="s">
        <v>67</v>
      </c>
      <c r="B43" s="47">
        <f>B40*B42</f>
        <v>69808.357499999998</v>
      </c>
      <c r="C43" s="47">
        <f t="shared" ref="C43:E43" si="8">C40*C42</f>
        <v>76789.193250000011</v>
      </c>
      <c r="D43" s="40">
        <f t="shared" si="8"/>
        <v>24770.7075</v>
      </c>
      <c r="E43" s="47">
        <f t="shared" si="8"/>
        <v>27247.778250000003</v>
      </c>
      <c r="F43" s="47">
        <f>F40*F42</f>
        <v>18015.059999999998</v>
      </c>
      <c r="G43" s="51">
        <f t="shared" ref="G43" si="9">G40*G42</f>
        <v>19816.565999999999</v>
      </c>
    </row>
    <row r="44" spans="1:12" x14ac:dyDescent="0.15">
      <c r="A44" s="42" t="s">
        <v>38</v>
      </c>
      <c r="B44" s="10">
        <f>B43/B35</f>
        <v>2475.4736702127661</v>
      </c>
      <c r="C44" s="10">
        <f>C43/C35</f>
        <v>2723.021037234043</v>
      </c>
      <c r="D44" s="53">
        <f t="shared" ref="D44:G44" si="10">D43/D35</f>
        <v>458.29246068455132</v>
      </c>
      <c r="E44" s="10">
        <f t="shared" si="10"/>
        <v>504.12170675300649</v>
      </c>
      <c r="F44" s="10">
        <f t="shared" si="10"/>
        <v>117.93819967266774</v>
      </c>
      <c r="G44" s="52">
        <f t="shared" si="10"/>
        <v>129.73201963993452</v>
      </c>
      <c r="J44" s="60">
        <v>0.5</v>
      </c>
      <c r="K44" s="60">
        <v>1</v>
      </c>
      <c r="L44" s="60">
        <f t="shared" si="4"/>
        <v>0.5</v>
      </c>
    </row>
    <row r="47" spans="1:12" ht="13" customHeight="1" x14ac:dyDescent="0.15">
      <c r="A47" s="13" t="s">
        <v>39</v>
      </c>
      <c r="B47" s="56" t="s">
        <v>24</v>
      </c>
      <c r="C47" s="56"/>
      <c r="D47" s="56" t="s">
        <v>25</v>
      </c>
      <c r="E47" s="56"/>
      <c r="F47" s="56" t="s">
        <v>26</v>
      </c>
      <c r="G47" s="56"/>
    </row>
    <row r="48" spans="1:12" ht="13" customHeight="1" x14ac:dyDescent="0.15">
      <c r="A48" s="25" t="s">
        <v>48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12" ht="13" customHeight="1" x14ac:dyDescent="0.15">
      <c r="A49" s="26"/>
      <c r="B49" s="27"/>
      <c r="C49" s="27"/>
      <c r="D49" s="27"/>
      <c r="E49" s="27"/>
      <c r="F49" s="27"/>
      <c r="G49" s="27"/>
    </row>
    <row r="50" spans="1:12" ht="13" customHeight="1" x14ac:dyDescent="0.15">
      <c r="A50" s="26"/>
      <c r="B50" s="27"/>
      <c r="C50" s="27"/>
      <c r="D50" s="27"/>
      <c r="E50" s="27"/>
      <c r="F50" s="27"/>
      <c r="G50" s="27"/>
    </row>
    <row r="51" spans="1:12" ht="13" customHeight="1" x14ac:dyDescent="0.15">
      <c r="A51" s="26"/>
      <c r="B51" s="27"/>
      <c r="C51" s="27"/>
      <c r="D51" s="27"/>
      <c r="E51" s="27"/>
      <c r="F51" s="27"/>
      <c r="G51" s="27"/>
    </row>
    <row r="52" spans="1:12" ht="13" customHeight="1" x14ac:dyDescent="0.15">
      <c r="A52" s="26"/>
      <c r="B52" s="27"/>
      <c r="C52" s="27"/>
      <c r="D52" s="27"/>
      <c r="E52" s="27"/>
      <c r="F52" s="27"/>
      <c r="G52" s="27"/>
      <c r="J52" s="60">
        <v>0.75</v>
      </c>
      <c r="K52" s="60">
        <v>0</v>
      </c>
      <c r="L52" s="60">
        <f>J52*K52</f>
        <v>0</v>
      </c>
    </row>
    <row r="53" spans="1:12" ht="13" customHeight="1" x14ac:dyDescent="0.15">
      <c r="A53" s="26"/>
      <c r="B53" s="28"/>
      <c r="C53" s="28"/>
      <c r="D53" s="28"/>
      <c r="E53" s="28"/>
      <c r="F53" s="28"/>
      <c r="G53" s="28"/>
    </row>
    <row r="54" spans="1:12" ht="13" customHeight="1" x14ac:dyDescent="0.15">
      <c r="A54" s="10" t="s">
        <v>49</v>
      </c>
      <c r="B54" s="10"/>
      <c r="C54" s="10"/>
      <c r="D54" s="10"/>
      <c r="E54" s="10"/>
      <c r="F54" s="10"/>
      <c r="G54" s="10"/>
    </row>
    <row r="56" spans="1:12" x14ac:dyDescent="0.15">
      <c r="A56" s="13" t="s">
        <v>2</v>
      </c>
      <c r="B56" s="56" t="s">
        <v>24</v>
      </c>
      <c r="C56" s="56"/>
      <c r="D56" s="56" t="s">
        <v>25</v>
      </c>
      <c r="E56" s="56"/>
      <c r="F56" s="56" t="s">
        <v>26</v>
      </c>
      <c r="G56" s="56"/>
    </row>
    <row r="57" spans="1:12" x14ac:dyDescent="0.15">
      <c r="A57" s="14" t="s">
        <v>1</v>
      </c>
      <c r="B57" s="19">
        <f t="shared" ref="B57:G57" si="11">1-(1/10^(-C12/10))</f>
        <v>0.25868975869908262</v>
      </c>
      <c r="C57" s="19">
        <f t="shared" si="11"/>
        <v>0.25868975869908262</v>
      </c>
      <c r="D57" s="19">
        <f t="shared" si="11"/>
        <v>0.30816902908106347</v>
      </c>
      <c r="E57" s="19">
        <f t="shared" si="11"/>
        <v>0.30816902908106347</v>
      </c>
      <c r="F57" s="19">
        <f t="shared" si="11"/>
        <v>0.63271769950191536</v>
      </c>
      <c r="G57" s="19">
        <f t="shared" si="11"/>
        <v>0.63271769950191536</v>
      </c>
    </row>
    <row r="58" spans="1:12" x14ac:dyDescent="0.15">
      <c r="A58" s="19"/>
      <c r="B58" s="29" t="s">
        <v>27</v>
      </c>
      <c r="C58" s="29" t="s">
        <v>4</v>
      </c>
      <c r="D58" s="29" t="s">
        <v>3</v>
      </c>
      <c r="E58" s="29" t="s">
        <v>4</v>
      </c>
      <c r="F58" s="29" t="s">
        <v>3</v>
      </c>
      <c r="G58" s="29" t="s">
        <v>4</v>
      </c>
      <c r="J58" s="60">
        <v>1.25</v>
      </c>
      <c r="K58" s="60">
        <v>1</v>
      </c>
      <c r="L58" s="60">
        <f>J58*K58</f>
        <v>1.25</v>
      </c>
    </row>
    <row r="59" spans="1:12" x14ac:dyDescent="0.15">
      <c r="A59" s="14" t="s">
        <v>8</v>
      </c>
      <c r="B59" s="14">
        <f>10^(4.6/10)</f>
        <v>2.8840315031266059</v>
      </c>
      <c r="C59" s="14">
        <f>10^(2.6/10)</f>
        <v>1.8197008586099837</v>
      </c>
      <c r="D59" s="14">
        <f>10^(4.6/10)</f>
        <v>2.8840315031266059</v>
      </c>
      <c r="E59" s="14">
        <f>10^(2.6/10)</f>
        <v>1.8197008586099837</v>
      </c>
      <c r="F59" s="14">
        <f>10^(4.6/10)</f>
        <v>2.8840315031266059</v>
      </c>
      <c r="G59" s="14">
        <f>10^(2.6/10)</f>
        <v>1.8197008586099837</v>
      </c>
    </row>
    <row r="60" spans="1:12" x14ac:dyDescent="0.15">
      <c r="A60" s="14" t="s">
        <v>9</v>
      </c>
      <c r="B60" s="14">
        <f>((B59*B63)*(1-B62+B64))/(B65/B61)</f>
        <v>6.8143806229890979E-3</v>
      </c>
      <c r="C60" s="14">
        <f t="shared" ref="C60:G60" si="12">((C59*C63)*(1-C62+C64))/(C65/C61)</f>
        <v>3.3664465884284699E-2</v>
      </c>
      <c r="D60" s="14">
        <f t="shared" si="12"/>
        <v>6.8143806229890979E-3</v>
      </c>
      <c r="E60" s="14">
        <f t="shared" si="12"/>
        <v>3.3664465884284699E-2</v>
      </c>
      <c r="F60" s="14">
        <f t="shared" si="12"/>
        <v>6.8143806229890979E-3</v>
      </c>
      <c r="G60" s="14">
        <f t="shared" si="12"/>
        <v>3.3664465884284699E-2</v>
      </c>
    </row>
    <row r="61" spans="1:12" x14ac:dyDescent="0.15">
      <c r="A61" s="14" t="s">
        <v>73</v>
      </c>
      <c r="B61" s="14">
        <v>12.2</v>
      </c>
      <c r="C61" s="14">
        <v>64</v>
      </c>
      <c r="D61" s="14">
        <v>12.2</v>
      </c>
      <c r="E61" s="14">
        <v>64</v>
      </c>
      <c r="F61" s="14">
        <v>12.2</v>
      </c>
      <c r="G61" s="14">
        <v>64</v>
      </c>
    </row>
    <row r="62" spans="1:12" x14ac:dyDescent="0.15">
      <c r="A62" s="14" t="s">
        <v>68</v>
      </c>
      <c r="B62" s="14">
        <v>0.55000000000000004</v>
      </c>
      <c r="C62" s="14">
        <v>0.55000000000000004</v>
      </c>
      <c r="D62" s="14">
        <v>0.55000000000000004</v>
      </c>
      <c r="E62" s="14">
        <v>0.55000000000000004</v>
      </c>
      <c r="F62" s="14">
        <v>0.55000000000000004</v>
      </c>
      <c r="G62" s="14">
        <v>0.55000000000000004</v>
      </c>
    </row>
    <row r="63" spans="1:12" ht="15" x14ac:dyDescent="0.2">
      <c r="A63" s="39" t="s">
        <v>69</v>
      </c>
      <c r="B63" s="19">
        <v>0.67</v>
      </c>
      <c r="C63" s="19">
        <v>1</v>
      </c>
      <c r="D63" s="19">
        <v>0.67</v>
      </c>
      <c r="E63" s="19">
        <v>1</v>
      </c>
      <c r="F63" s="19">
        <v>0.67</v>
      </c>
      <c r="G63" s="19">
        <v>1</v>
      </c>
    </row>
    <row r="64" spans="1:12" ht="15" x14ac:dyDescent="0.2">
      <c r="A64" s="39" t="s">
        <v>70</v>
      </c>
      <c r="B64" s="19">
        <v>0.66</v>
      </c>
      <c r="C64" s="19">
        <v>0.66</v>
      </c>
      <c r="D64" s="19">
        <v>0.66</v>
      </c>
      <c r="E64" s="19">
        <v>0.66</v>
      </c>
      <c r="F64" s="19">
        <v>0.66</v>
      </c>
      <c r="G64" s="19">
        <v>0.66</v>
      </c>
    </row>
    <row r="65" spans="1:12" ht="15" x14ac:dyDescent="0.2">
      <c r="A65" s="39" t="s">
        <v>71</v>
      </c>
      <c r="B65" s="19">
        <v>3840</v>
      </c>
      <c r="C65" s="19">
        <v>3840</v>
      </c>
      <c r="D65" s="19">
        <v>3840</v>
      </c>
      <c r="E65" s="19">
        <v>3840</v>
      </c>
      <c r="F65" s="19">
        <v>3840</v>
      </c>
      <c r="G65" s="19">
        <v>3840</v>
      </c>
    </row>
    <row r="66" spans="1:12" x14ac:dyDescent="0.15">
      <c r="A66" s="19" t="s">
        <v>10</v>
      </c>
      <c r="B66" s="19">
        <v>0.05</v>
      </c>
      <c r="C66" s="31">
        <f>B57-B66</f>
        <v>0.20868975869908263</v>
      </c>
      <c r="D66" s="19">
        <v>5.0500000000000003E-2</v>
      </c>
      <c r="E66" s="31">
        <f>D57-D66</f>
        <v>0.25766902908106348</v>
      </c>
      <c r="F66" s="19">
        <v>0.125</v>
      </c>
      <c r="G66" s="31">
        <f>F57-F66</f>
        <v>0.50771769950191536</v>
      </c>
    </row>
    <row r="67" spans="1:12" x14ac:dyDescent="0.15">
      <c r="A67" s="32" t="s">
        <v>30</v>
      </c>
      <c r="B67" s="30">
        <f>B66/B60</f>
        <v>7.3374240105284469</v>
      </c>
      <c r="C67" s="30">
        <f t="shared" ref="C67:G67" si="13">C66/C60</f>
        <v>6.1991109384124679</v>
      </c>
      <c r="D67" s="30">
        <f t="shared" si="13"/>
        <v>7.4107982506337313</v>
      </c>
      <c r="E67" s="30">
        <f t="shared" si="13"/>
        <v>7.654035859851529</v>
      </c>
      <c r="F67" s="30">
        <f t="shared" si="13"/>
        <v>18.343560026321118</v>
      </c>
      <c r="G67" s="30">
        <f t="shared" si="13"/>
        <v>15.081709635527858</v>
      </c>
    </row>
    <row r="68" spans="1:12" x14ac:dyDescent="0.15">
      <c r="A68" s="19" t="s">
        <v>11</v>
      </c>
      <c r="B68" s="19">
        <f>B67*(1+B64)</f>
        <v>12.180123857477223</v>
      </c>
      <c r="C68" s="19">
        <f t="shared" ref="C68:G68" si="14">C67*(1+C64)</f>
        <v>10.290524157764697</v>
      </c>
      <c r="D68" s="19">
        <f t="shared" si="14"/>
        <v>12.301925096051995</v>
      </c>
      <c r="E68" s="19">
        <f t="shared" si="14"/>
        <v>12.70569952735354</v>
      </c>
      <c r="F68" s="19">
        <f t="shared" si="14"/>
        <v>30.450309643693057</v>
      </c>
      <c r="G68" s="19">
        <f t="shared" si="14"/>
        <v>25.035637994976245</v>
      </c>
      <c r="J68" s="60">
        <v>3</v>
      </c>
      <c r="K68" s="60">
        <v>1</v>
      </c>
      <c r="L68" s="60">
        <f>J68*K68</f>
        <v>3</v>
      </c>
    </row>
    <row r="69" spans="1:12" x14ac:dyDescent="0.15">
      <c r="A69" s="32" t="s">
        <v>22</v>
      </c>
      <c r="B69" s="32">
        <f>VLOOKUP(B68,Erlang!$A2:$B76,2)</f>
        <v>6.6147182999999998</v>
      </c>
      <c r="C69" s="32">
        <f>VLOOKUP(C68,Erlang!$A2:$B76,2)</f>
        <v>5.0840046000000001</v>
      </c>
      <c r="D69" s="32">
        <f>VLOOKUP(D68,Erlang!$A2:$B76,2)</f>
        <v>6.6147182999999998</v>
      </c>
      <c r="E69" s="32">
        <f>VLOOKUP(E68,Erlang!$A2:$B76,2)</f>
        <v>6.6147182999999998</v>
      </c>
      <c r="F69" s="32">
        <f>VLOOKUP(F68,Erlang!$A2:$B76,2)</f>
        <v>21.931564999999999</v>
      </c>
      <c r="G69" s="32">
        <f>VLOOKUP(G68,Erlang!$A2:$B76,2)</f>
        <v>17.504635</v>
      </c>
    </row>
    <row r="70" spans="1:12" x14ac:dyDescent="0.15">
      <c r="A70" s="19" t="s">
        <v>23</v>
      </c>
      <c r="B70" s="19">
        <f>B69/(1+B64)</f>
        <v>3.9847700602409635</v>
      </c>
      <c r="C70" s="19">
        <f t="shared" ref="C70:G70" si="15">C69/(1+C64)</f>
        <v>3.0626533734939758</v>
      </c>
      <c r="D70" s="19">
        <f t="shared" si="15"/>
        <v>3.9847700602409635</v>
      </c>
      <c r="E70" s="19">
        <f t="shared" si="15"/>
        <v>3.9847700602409635</v>
      </c>
      <c r="F70" s="19">
        <f t="shared" si="15"/>
        <v>13.211786144578312</v>
      </c>
      <c r="G70" s="19">
        <f t="shared" si="15"/>
        <v>10.544960843373493</v>
      </c>
    </row>
    <row r="71" spans="1:12" x14ac:dyDescent="0.15">
      <c r="A71" s="19" t="s">
        <v>40</v>
      </c>
      <c r="B71" s="19">
        <f>B48</f>
        <v>1.4999999999999999E-2</v>
      </c>
      <c r="C71" s="19">
        <f t="shared" ref="C71:G71" si="16">C48</f>
        <v>0.01</v>
      </c>
      <c r="D71" s="19">
        <f t="shared" si="16"/>
        <v>1.2E-2</v>
      </c>
      <c r="E71" s="19">
        <f t="shared" si="16"/>
        <v>1.0999999999999999E-2</v>
      </c>
      <c r="F71" s="19">
        <f t="shared" si="16"/>
        <v>0.01</v>
      </c>
      <c r="G71" s="19">
        <f t="shared" si="16"/>
        <v>7.0000000000000001E-3</v>
      </c>
      <c r="J71" s="60">
        <v>1.5</v>
      </c>
      <c r="K71" s="60">
        <v>0.3</v>
      </c>
      <c r="L71" s="60">
        <f>J71*K71</f>
        <v>0.44999999999999996</v>
      </c>
    </row>
    <row r="72" spans="1:12" x14ac:dyDescent="0.15">
      <c r="A72" s="19" t="s">
        <v>7</v>
      </c>
      <c r="B72" s="19">
        <f>B70/B71</f>
        <v>265.65133734939758</v>
      </c>
      <c r="C72" s="19">
        <f t="shared" ref="C72:G72" si="17">C70/C71</f>
        <v>306.26533734939756</v>
      </c>
      <c r="D72" s="19">
        <f t="shared" si="17"/>
        <v>332.06417168674693</v>
      </c>
      <c r="E72" s="19">
        <f t="shared" si="17"/>
        <v>362.25182365826942</v>
      </c>
      <c r="F72" s="19">
        <f t="shared" si="17"/>
        <v>1321.1786144578311</v>
      </c>
      <c r="G72" s="19">
        <f t="shared" si="17"/>
        <v>1506.4229776247848</v>
      </c>
    </row>
    <row r="73" spans="1:12" x14ac:dyDescent="0.15">
      <c r="A73" s="26" t="s">
        <v>74</v>
      </c>
      <c r="B73" s="19">
        <v>4</v>
      </c>
      <c r="C73" s="19">
        <v>4</v>
      </c>
      <c r="D73" s="19">
        <v>3</v>
      </c>
      <c r="E73" s="19">
        <v>3</v>
      </c>
      <c r="F73" s="19">
        <v>3</v>
      </c>
      <c r="G73" s="19">
        <v>3</v>
      </c>
      <c r="J73" s="60">
        <v>0.5</v>
      </c>
      <c r="K73" s="60">
        <v>0.3</v>
      </c>
      <c r="L73" s="60">
        <f>J73*K73</f>
        <v>0.15</v>
      </c>
    </row>
    <row r="74" spans="1:12" x14ac:dyDescent="0.15">
      <c r="A74" s="33"/>
      <c r="B74" s="56" t="s">
        <v>24</v>
      </c>
      <c r="C74" s="56"/>
      <c r="D74" s="56" t="s">
        <v>25</v>
      </c>
      <c r="E74" s="56"/>
      <c r="F74" s="56" t="s">
        <v>26</v>
      </c>
      <c r="G74" s="56"/>
    </row>
    <row r="75" spans="1:12" x14ac:dyDescent="0.15">
      <c r="A75" s="16" t="s">
        <v>5</v>
      </c>
      <c r="B75" s="34">
        <f t="shared" ref="B75:G75" si="18">SQRT(B72*B73/(PI()*B44))</f>
        <v>0.3696425068583617</v>
      </c>
      <c r="C75" s="34">
        <f t="shared" si="18"/>
        <v>0.37842383658771689</v>
      </c>
      <c r="D75" s="34">
        <f t="shared" si="18"/>
        <v>0.83181231233206754</v>
      </c>
      <c r="E75" s="34">
        <f t="shared" si="18"/>
        <v>0.82836794013601101</v>
      </c>
      <c r="F75" s="34">
        <f t="shared" si="18"/>
        <v>3.2706887087642889</v>
      </c>
      <c r="G75" s="34">
        <f t="shared" si="18"/>
        <v>3.3299335503616652</v>
      </c>
    </row>
    <row r="76" spans="1:12" x14ac:dyDescent="0.15">
      <c r="A76" s="10" t="s">
        <v>46</v>
      </c>
      <c r="B76" s="54">
        <f>B28</f>
        <v>0.36838824778676543</v>
      </c>
      <c r="C76" s="55"/>
      <c r="D76" s="55">
        <f>C28</f>
        <v>0.80655565065838664</v>
      </c>
      <c r="E76" s="55"/>
      <c r="F76" s="55">
        <f>D28</f>
        <v>3.2668043830562654</v>
      </c>
      <c r="G76" s="55"/>
    </row>
    <row r="77" spans="1:12" x14ac:dyDescent="0.15">
      <c r="J77" s="60">
        <f>SUM(J13:J75)</f>
        <v>10</v>
      </c>
      <c r="K77" s="60">
        <v>1</v>
      </c>
      <c r="L77" s="60">
        <f>SUM(L13:L75)</f>
        <v>6.3500000000000005</v>
      </c>
    </row>
    <row r="78" spans="1:12" x14ac:dyDescent="0.15">
      <c r="A78" s="33"/>
      <c r="B78" s="33" t="s">
        <v>24</v>
      </c>
      <c r="C78" s="33" t="s">
        <v>25</v>
      </c>
      <c r="D78" s="33" t="s">
        <v>26</v>
      </c>
      <c r="L78" s="62">
        <f>L77/10*1.5</f>
        <v>0.95250000000000001</v>
      </c>
    </row>
    <row r="79" spans="1:12" x14ac:dyDescent="0.15">
      <c r="A79" s="16" t="s">
        <v>6</v>
      </c>
      <c r="B79" s="34">
        <f>MIN(B75,C75,B76)</f>
        <v>0.36838824778676543</v>
      </c>
      <c r="C79" s="34">
        <f>MIN(D75,E75,D76)</f>
        <v>0.80655565065838664</v>
      </c>
      <c r="D79" s="34">
        <f>MIN(F75,G75,F76)</f>
        <v>3.2668043830562654</v>
      </c>
    </row>
    <row r="80" spans="1:12" x14ac:dyDescent="0.15">
      <c r="A80" s="16" t="s">
        <v>28</v>
      </c>
      <c r="B80" s="16">
        <f>PI()*B79^2</f>
        <v>0.42634522833841548</v>
      </c>
      <c r="C80" s="16">
        <f t="shared" ref="C80:D80" si="19">PI()*C79^2</f>
        <v>2.0437066074452965</v>
      </c>
      <c r="D80" s="16">
        <f t="shared" si="19"/>
        <v>33.527110970702481</v>
      </c>
    </row>
    <row r="81" spans="1:4" x14ac:dyDescent="0.15">
      <c r="A81" s="16" t="s">
        <v>29</v>
      </c>
      <c r="B81" s="16">
        <f>ROUNDUP(B35/B80,0)</f>
        <v>67</v>
      </c>
      <c r="C81" s="16">
        <f>ROUNDUP(D35/C80,0)</f>
        <v>27</v>
      </c>
      <c r="D81" s="16">
        <f>ROUNDUP(F35/D80,0)</f>
        <v>5</v>
      </c>
    </row>
  </sheetData>
  <mergeCells count="18">
    <mergeCell ref="C2:D2"/>
    <mergeCell ref="E2:F2"/>
    <mergeCell ref="G2:H2"/>
    <mergeCell ref="B33:C33"/>
    <mergeCell ref="D33:E33"/>
    <mergeCell ref="F33:G33"/>
    <mergeCell ref="B56:C56"/>
    <mergeCell ref="D56:E56"/>
    <mergeCell ref="F56:G56"/>
    <mergeCell ref="D47:E47"/>
    <mergeCell ref="F47:G47"/>
    <mergeCell ref="B47:C47"/>
    <mergeCell ref="B76:C76"/>
    <mergeCell ref="D76:E76"/>
    <mergeCell ref="F76:G76"/>
    <mergeCell ref="F74:G74"/>
    <mergeCell ref="D74:E74"/>
    <mergeCell ref="B74:C74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topLeftCell="A34"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20</v>
      </c>
      <c r="B1" s="1" t="s">
        <v>21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2021-12-26T11:47:45Z</dcterms:modified>
</cp:coreProperties>
</file>