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portilla/Dropbox (Personal)/JAPortilla/Docencia/Comunicaciones Móviles/Curso 2021-2022/02 PEI 2/Correcciones/"/>
    </mc:Choice>
  </mc:AlternateContent>
  <xr:revisionPtr revIDLastSave="0" documentId="13_ncr:1_{AF4F6A04-99CC-CA40-9A4D-8F02B123540F}" xr6:coauthVersionLast="47" xr6:coauthVersionMax="47" xr10:uidLastSave="{00000000-0000-0000-0000-000000000000}"/>
  <bookViews>
    <workbookView xWindow="0" yWindow="500" windowWidth="28800" windowHeight="12300" tabRatio="960" xr2:uid="{00000000-000D-0000-FFFF-FFFF00000000}"/>
  </bookViews>
  <sheets>
    <sheet name="UMTS 2100" sheetId="5" r:id="rId1"/>
    <sheet name="Erlang" sheetId="6" r:id="rId2"/>
  </sheets>
  <definedNames>
    <definedName name="_xlnm.Print_Area" localSheetId="0">'UMTS 2100'!$A$1:$H$84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6" i="5" l="1"/>
  <c r="M82" i="5"/>
  <c r="M80" i="5"/>
  <c r="M68" i="5"/>
  <c r="M58" i="5"/>
  <c r="M52" i="5"/>
  <c r="M44" i="5"/>
  <c r="M28" i="5"/>
  <c r="M13" i="5"/>
  <c r="C66" i="5"/>
  <c r="D66" i="5"/>
  <c r="D69" i="5" s="1"/>
  <c r="D70" i="5" s="1"/>
  <c r="D71" i="5" s="1"/>
  <c r="D72" i="5" s="1"/>
  <c r="D74" i="5" s="1"/>
  <c r="E66" i="5"/>
  <c r="F66" i="5"/>
  <c r="F69" i="5" s="1"/>
  <c r="F70" i="5" s="1"/>
  <c r="F71" i="5" s="1"/>
  <c r="F72" i="5" s="1"/>
  <c r="F74" i="5" s="1"/>
  <c r="G66" i="5"/>
  <c r="B66" i="5"/>
  <c r="B69" i="5" s="1"/>
  <c r="B70" i="5" s="1"/>
  <c r="B71" i="5" s="1"/>
  <c r="B72" i="5" s="1"/>
  <c r="B74" i="5" s="1"/>
  <c r="B63" i="5"/>
  <c r="C68" i="5" s="1"/>
  <c r="C63" i="5"/>
  <c r="D63" i="5"/>
  <c r="E68" i="5" s="1"/>
  <c r="E69" i="5" s="1"/>
  <c r="E70" i="5" s="1"/>
  <c r="E71" i="5" s="1"/>
  <c r="E72" i="5" s="1"/>
  <c r="E74" i="5" s="1"/>
  <c r="E63" i="5"/>
  <c r="F63" i="5"/>
  <c r="G68" i="5" s="1"/>
  <c r="G63" i="5"/>
  <c r="C49" i="5"/>
  <c r="C51" i="5" s="1"/>
  <c r="C52" i="5" s="1"/>
  <c r="D49" i="5"/>
  <c r="D51" i="5" s="1"/>
  <c r="D52" i="5" s="1"/>
  <c r="E49" i="5"/>
  <c r="E51" i="5" s="1"/>
  <c r="E52" i="5" s="1"/>
  <c r="F49" i="5"/>
  <c r="F51" i="5" s="1"/>
  <c r="F52" i="5" s="1"/>
  <c r="F54" i="5" s="1"/>
  <c r="G49" i="5"/>
  <c r="G51" i="5" s="1"/>
  <c r="G52" i="5" s="1"/>
  <c r="B49" i="5"/>
  <c r="B51" i="5" s="1"/>
  <c r="B52" i="5" s="1"/>
  <c r="C37" i="5"/>
  <c r="C43" i="5" s="1"/>
  <c r="D37" i="5"/>
  <c r="D43" i="5" s="1"/>
  <c r="D44" i="5" s="1"/>
  <c r="E37" i="5"/>
  <c r="E43" i="5" s="1"/>
  <c r="F37" i="5"/>
  <c r="F43" i="5" s="1"/>
  <c r="F44" i="5" s="1"/>
  <c r="G37" i="5"/>
  <c r="G43" i="5" s="1"/>
  <c r="B37" i="5"/>
  <c r="B43" i="5" s="1"/>
  <c r="B44" i="5" s="1"/>
  <c r="F35" i="5"/>
  <c r="D35" i="5"/>
  <c r="C35" i="5"/>
  <c r="E35" i="5"/>
  <c r="G35" i="5"/>
  <c r="B35" i="5"/>
  <c r="D24" i="5"/>
  <c r="C24" i="5"/>
  <c r="D23" i="5"/>
  <c r="C23" i="5"/>
  <c r="B23" i="5"/>
  <c r="D22" i="5"/>
  <c r="C22" i="5"/>
  <c r="B22" i="5"/>
  <c r="D13" i="5"/>
  <c r="E13" i="5"/>
  <c r="F13" i="5"/>
  <c r="G13" i="5"/>
  <c r="H13" i="5"/>
  <c r="C13" i="5"/>
  <c r="B25" i="5" s="1"/>
  <c r="B26" i="5" s="1"/>
  <c r="B28" i="5" s="1"/>
  <c r="M86" i="5" l="1"/>
  <c r="M87" i="5" s="1"/>
  <c r="E54" i="5"/>
  <c r="E44" i="5"/>
  <c r="E76" i="5" s="1"/>
  <c r="C44" i="5"/>
  <c r="G69" i="5"/>
  <c r="G70" i="5" s="1"/>
  <c r="G71" i="5" s="1"/>
  <c r="G72" i="5" s="1"/>
  <c r="G74" i="5" s="1"/>
  <c r="D25" i="5"/>
  <c r="D26" i="5" s="1"/>
  <c r="D28" i="5" s="1"/>
  <c r="C25" i="5"/>
  <c r="C26" i="5" s="1"/>
  <c r="C28" i="5" s="1"/>
  <c r="B54" i="5"/>
  <c r="D54" i="5"/>
  <c r="B76" i="5"/>
  <c r="D76" i="5"/>
  <c r="G54" i="5"/>
  <c r="C54" i="5"/>
  <c r="F76" i="5"/>
  <c r="G44" i="5"/>
  <c r="C69" i="5"/>
  <c r="C70" i="5" s="1"/>
  <c r="C71" i="5" s="1"/>
  <c r="C72" i="5" s="1"/>
  <c r="C74" i="5" s="1"/>
  <c r="C76" i="5" s="1"/>
  <c r="C81" i="5" l="1"/>
  <c r="C82" i="5" s="1"/>
  <c r="C83" i="5" s="1"/>
  <c r="G76" i="5"/>
  <c r="F78" i="5" s="1"/>
  <c r="D78" i="5"/>
  <c r="B78" i="5"/>
  <c r="B81" i="5"/>
  <c r="B82" i="5" s="1"/>
  <c r="B83" i="5" s="1"/>
  <c r="D81" i="5"/>
  <c r="D82" i="5" s="1"/>
  <c r="D83" i="5" s="1"/>
</calcChain>
</file>

<file path=xl/sharedStrings.xml><?xml version="1.0" encoding="utf-8"?>
<sst xmlns="http://schemas.openxmlformats.org/spreadsheetml/2006/main" count="107" uniqueCount="82">
  <si>
    <t>Pathloss</t>
    <phoneticPr fontId="5" type="noConversion"/>
  </si>
  <si>
    <t>Carga Total</t>
    <phoneticPr fontId="5" type="noConversion"/>
  </si>
  <si>
    <t xml:space="preserve">Por capacidad </t>
    <phoneticPr fontId="5" type="noConversion"/>
  </si>
  <si>
    <t>Voz</t>
    <phoneticPr fontId="5" type="noConversion"/>
  </si>
  <si>
    <t>Datos</t>
    <phoneticPr fontId="5" type="noConversion"/>
  </si>
  <si>
    <t>Radio por Capacidad</t>
    <phoneticPr fontId="5" type="noConversion"/>
  </si>
  <si>
    <t>Radios Definitivos</t>
    <phoneticPr fontId="5" type="noConversion"/>
  </si>
  <si>
    <t>Usuarios</t>
    <phoneticPr fontId="5" type="noConversion"/>
  </si>
  <si>
    <t>Eb/No</t>
    <phoneticPr fontId="5" type="noConversion"/>
  </si>
  <si>
    <t>Factor de Carga Ind.</t>
    <phoneticPr fontId="5" type="noConversion"/>
  </si>
  <si>
    <t>Distribucion Carga</t>
    <phoneticPr fontId="5" type="noConversion"/>
  </si>
  <si>
    <t>Mv</t>
    <phoneticPr fontId="5" type="noConversion"/>
  </si>
  <si>
    <t>Camino</t>
    <phoneticPr fontId="5" type="noConversion"/>
  </si>
  <si>
    <t>BTS</t>
    <phoneticPr fontId="5" type="noConversion"/>
  </si>
  <si>
    <t>Voz</t>
    <phoneticPr fontId="5" type="noConversion"/>
  </si>
  <si>
    <t>Datos</t>
    <phoneticPr fontId="5" type="noConversion"/>
  </si>
  <si>
    <t xml:space="preserve">Voz </t>
    <phoneticPr fontId="5" type="noConversion"/>
  </si>
  <si>
    <t>Datos</t>
    <phoneticPr fontId="5" type="noConversion"/>
  </si>
  <si>
    <t>Propagacion</t>
    <phoneticPr fontId="5" type="noConversion"/>
  </si>
  <si>
    <t>N CANALES</t>
  </si>
  <si>
    <t>A (2 %)</t>
  </si>
  <si>
    <t>Trafico Ofrecido SC</t>
  </si>
  <si>
    <t>Trafico Ofrecido EB</t>
  </si>
  <si>
    <t>Urbano</t>
  </si>
  <si>
    <t>Suburbano</t>
  </si>
  <si>
    <t>Rural</t>
  </si>
  <si>
    <t>Voz</t>
  </si>
  <si>
    <t>Area Nodo B</t>
  </si>
  <si>
    <t>Número Nodos B</t>
  </si>
  <si>
    <t>N Conexiones Activas EB</t>
  </si>
  <si>
    <t>Terreno Total</t>
    <phoneticPr fontId="2" type="noConversion"/>
  </si>
  <si>
    <t>Poblacion total</t>
  </si>
  <si>
    <t>Porcentages Terreno</t>
    <phoneticPr fontId="2" type="noConversion"/>
  </si>
  <si>
    <t>Porcentages Población</t>
    <phoneticPr fontId="2" type="noConversion"/>
  </si>
  <si>
    <t>Penetración de Mercado</t>
    <phoneticPr fontId="2" type="noConversion"/>
  </si>
  <si>
    <t>Market Share</t>
    <phoneticPr fontId="2" type="noConversion"/>
  </si>
  <si>
    <t>Penetración Servicio</t>
    <phoneticPr fontId="2" type="noConversion"/>
  </si>
  <si>
    <t>Densidad</t>
    <phoneticPr fontId="2" type="noConversion"/>
  </si>
  <si>
    <t>Calculo de Tráfico Total</t>
  </si>
  <si>
    <t xml:space="preserve">Trafico individual </t>
  </si>
  <si>
    <t>HBTS</t>
    <phoneticPr fontId="2" type="noConversion"/>
  </si>
  <si>
    <t>h terminal</t>
    <phoneticPr fontId="2" type="noConversion"/>
  </si>
  <si>
    <t>Model</t>
    <phoneticPr fontId="2" type="noConversion"/>
  </si>
  <si>
    <t>Two Slope</t>
    <phoneticPr fontId="2" type="noConversion"/>
  </si>
  <si>
    <t>One Slope</t>
    <phoneticPr fontId="2" type="noConversion"/>
  </si>
  <si>
    <t>Radio por Propagación</t>
    <phoneticPr fontId="2" type="noConversion"/>
  </si>
  <si>
    <t>Datos Ciudad</t>
  </si>
  <si>
    <t>Trafíco Individual</t>
  </si>
  <si>
    <t>Trafico Total Anual</t>
  </si>
  <si>
    <t>Banda De Frecuencia</t>
  </si>
  <si>
    <t>Terreno por área</t>
  </si>
  <si>
    <t>Poblac. Por área</t>
  </si>
  <si>
    <t>A</t>
  </si>
  <si>
    <t>a</t>
  </si>
  <si>
    <t>s</t>
  </si>
  <si>
    <t>L clutter</t>
  </si>
  <si>
    <t>Min Pathloss</t>
  </si>
  <si>
    <t>s·log(d)</t>
  </si>
  <si>
    <t>Potencia (W)</t>
  </si>
  <si>
    <t>Ganancia antena</t>
  </si>
  <si>
    <t>Pérdidas</t>
  </si>
  <si>
    <t>M desvanec.</t>
  </si>
  <si>
    <t>Pérdidas ad.</t>
  </si>
  <si>
    <t>Pérdidas cables</t>
  </si>
  <si>
    <t>Sensibilidad</t>
  </si>
  <si>
    <t>Margen de interferencia</t>
  </si>
  <si>
    <t>sectores</t>
  </si>
  <si>
    <t>B</t>
  </si>
  <si>
    <t>clientes</t>
  </si>
  <si>
    <t>Tráf. Indiv. Hora cargada</t>
  </si>
  <si>
    <t>Factor hora cargada</t>
  </si>
  <si>
    <t>Tráf. Indiv. Diario</t>
  </si>
  <si>
    <t>Tráf. Total indiv. Anual</t>
  </si>
  <si>
    <t>Tasa chip</t>
  </si>
  <si>
    <t>Fact. Actividad</t>
  </si>
  <si>
    <t>Fact. Ort.</t>
  </si>
  <si>
    <t>fact. Interf. intercel.</t>
  </si>
  <si>
    <t>Velocidad binaria</t>
  </si>
  <si>
    <t>N Conexiones Activas SC</t>
  </si>
  <si>
    <t>Max. Marks</t>
  </si>
  <si>
    <t>Factor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</si>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</sst>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44"/>
      </patternFill>
    </fill>
    <fill>
      <patternFill patternType="solid">
        <fgColor theme="4" tint="0.79995117038483843"/>
        <bgColor indexed="4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164" fontId="9" fillId="0" borderId="1" xfId="266" applyNumberFormat="1" applyFont="1" applyFill="1" applyBorder="1" applyAlignment="1">
      <alignment horizontal="center"/>
    </xf>
    <xf numFmtId="0" fontId="10" fillId="0" borderId="1" xfId="266" applyFont="1" applyFill="1" applyBorder="1" applyAlignment="1">
      <alignment horizontal="center"/>
    </xf>
    <xf numFmtId="165" fontId="10" fillId="0" borderId="0" xfId="266" applyNumberFormat="1" applyFont="1" applyFill="1" applyAlignment="1">
      <alignment horizontal="center"/>
    </xf>
    <xf numFmtId="2" fontId="10" fillId="0" borderId="0" xfId="266" applyNumberFormat="1" applyFont="1" applyFill="1" applyAlignment="1">
      <alignment horizontal="center"/>
    </xf>
    <xf numFmtId="166" fontId="10" fillId="0" borderId="0" xfId="266" applyNumberFormat="1" applyFont="1" applyFill="1" applyAlignment="1">
      <alignment horizontal="center"/>
    </xf>
    <xf numFmtId="0" fontId="10" fillId="0" borderId="3" xfId="266" applyFont="1" applyFill="1" applyBorder="1" applyAlignment="1">
      <alignment horizontal="center"/>
    </xf>
    <xf numFmtId="166" fontId="10" fillId="0" borderId="2" xfId="266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7" borderId="4" xfId="0" applyFont="1" applyFill="1" applyBorder="1"/>
    <xf numFmtId="0" fontId="3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6" borderId="4" xfId="0" applyFill="1" applyBorder="1"/>
    <xf numFmtId="0" fontId="0" fillId="0" borderId="4" xfId="0" applyBorder="1"/>
    <xf numFmtId="0" fontId="0" fillId="7" borderId="4" xfId="0" applyFill="1" applyBorder="1"/>
    <xf numFmtId="165" fontId="1" fillId="7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Fill="1" applyBorder="1"/>
    <xf numFmtId="0" fontId="1" fillId="6" borderId="4" xfId="0" applyFont="1" applyFill="1" applyBorder="1"/>
    <xf numFmtId="164" fontId="0" fillId="6" borderId="4" xfId="1" applyNumberFormat="1" applyFont="1" applyFill="1" applyBorder="1"/>
    <xf numFmtId="2" fontId="1" fillId="7" borderId="4" xfId="0" applyNumberFormat="1" applyFont="1" applyFill="1" applyBorder="1"/>
    <xf numFmtId="0" fontId="2" fillId="6" borderId="4" xfId="0" applyFont="1" applyFill="1" applyBorder="1"/>
    <xf numFmtId="0" fontId="2" fillId="0" borderId="4" xfId="0" applyFont="1" applyBorder="1"/>
    <xf numFmtId="2" fontId="0" fillId="0" borderId="4" xfId="0" applyNumberFormat="1" applyBorder="1"/>
    <xf numFmtId="166" fontId="0" fillId="0" borderId="4" xfId="0" applyNumberFormat="1" applyBorder="1"/>
    <xf numFmtId="0" fontId="1" fillId="5" borderId="4" xfId="0" applyFont="1" applyFill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0" fillId="0" borderId="4" xfId="0" applyFont="1" applyBorder="1"/>
    <xf numFmtId="0" fontId="1" fillId="5" borderId="4" xfId="0" applyFont="1" applyFill="1" applyBorder="1"/>
    <xf numFmtId="165" fontId="1" fillId="3" borderId="4" xfId="0" applyNumberFormat="1" applyFont="1" applyFill="1" applyBorder="1"/>
    <xf numFmtId="9" fontId="0" fillId="6" borderId="4" xfId="0" applyNumberFormat="1" applyFill="1" applyBorder="1"/>
    <xf numFmtId="10" fontId="0" fillId="6" borderId="4" xfId="0" applyNumberFormat="1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8" borderId="0" xfId="0" applyFont="1" applyFill="1"/>
    <xf numFmtId="0" fontId="1" fillId="2" borderId="0" xfId="0" applyFont="1" applyFill="1"/>
    <xf numFmtId="0" fontId="0" fillId="9" borderId="0" xfId="0" applyFill="1"/>
  </cellXfs>
  <cellStyles count="43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Normal" xfId="0" builtinId="0"/>
    <cellStyle name="Normal 2" xfId="266" xr:uid="{00000000-0005-0000-0000-0000AF01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tabSelected="1" topLeftCell="A57" zoomScale="80" zoomScaleNormal="80" workbookViewId="0">
      <selection activeCell="L81" sqref="L81"/>
    </sheetView>
  </sheetViews>
  <sheetFormatPr baseColWidth="10" defaultRowHeight="13" x14ac:dyDescent="0.15"/>
  <cols>
    <col min="1" max="1" width="30.83203125" bestFit="1" customWidth="1"/>
    <col min="2" max="2" width="19.6640625" customWidth="1"/>
    <col min="3" max="3" width="12.33203125" customWidth="1"/>
    <col min="4" max="4" width="13.33203125" customWidth="1"/>
    <col min="5" max="5" width="13.33203125" bestFit="1" customWidth="1"/>
    <col min="6" max="6" width="19.1640625" customWidth="1"/>
    <col min="7" max="7" width="14.1640625" bestFit="1" customWidth="1"/>
  </cols>
  <sheetData>
    <row r="1" spans="1:13" x14ac:dyDescent="0.15">
      <c r="A1" s="11" t="s">
        <v>18</v>
      </c>
      <c r="B1" s="12"/>
      <c r="C1" s="12"/>
      <c r="D1" s="12"/>
      <c r="E1" s="12"/>
      <c r="F1" s="12"/>
      <c r="G1" s="12"/>
      <c r="H1" s="12"/>
      <c r="K1" s="52" t="s">
        <v>79</v>
      </c>
      <c r="L1" s="53" t="s">
        <v>80</v>
      </c>
      <c r="M1" s="53" t="s">
        <v>81</v>
      </c>
    </row>
    <row r="2" spans="1:13" x14ac:dyDescent="0.15">
      <c r="A2" s="12"/>
      <c r="B2" s="12"/>
      <c r="C2" s="49" t="s">
        <v>23</v>
      </c>
      <c r="D2" s="49"/>
      <c r="E2" s="49" t="s">
        <v>24</v>
      </c>
      <c r="F2" s="49"/>
      <c r="G2" s="50" t="s">
        <v>25</v>
      </c>
      <c r="H2" s="50"/>
    </row>
    <row r="3" spans="1:13" x14ac:dyDescent="0.15">
      <c r="A3" s="12"/>
      <c r="B3" s="12"/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14</v>
      </c>
      <c r="H3" s="13" t="s">
        <v>15</v>
      </c>
    </row>
    <row r="4" spans="1:13" x14ac:dyDescent="0.15">
      <c r="A4" s="14" t="s">
        <v>11</v>
      </c>
      <c r="B4" s="14" t="s">
        <v>58</v>
      </c>
      <c r="C4" s="14">
        <v>0.125</v>
      </c>
      <c r="D4" s="14">
        <v>0.125</v>
      </c>
      <c r="E4" s="14">
        <v>0.125</v>
      </c>
      <c r="F4" s="14">
        <v>0.125</v>
      </c>
      <c r="G4" s="14">
        <v>0.125</v>
      </c>
      <c r="H4" s="14">
        <v>0.125</v>
      </c>
    </row>
    <row r="5" spans="1:13" x14ac:dyDescent="0.15">
      <c r="A5" s="14"/>
      <c r="B5" s="14" t="s">
        <v>59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</row>
    <row r="6" spans="1:13" x14ac:dyDescent="0.15">
      <c r="A6" s="14"/>
      <c r="B6" s="14" t="s">
        <v>60</v>
      </c>
      <c r="C6" s="14">
        <v>4.5</v>
      </c>
      <c r="D6" s="14">
        <v>4.5</v>
      </c>
      <c r="E6" s="14">
        <v>4.5</v>
      </c>
      <c r="F6" s="14">
        <v>4.5</v>
      </c>
      <c r="G6" s="14">
        <v>4.5</v>
      </c>
      <c r="H6" s="14">
        <v>4.5</v>
      </c>
    </row>
    <row r="7" spans="1:13" x14ac:dyDescent="0.15">
      <c r="A7" s="14" t="s">
        <v>12</v>
      </c>
      <c r="B7" s="14" t="s">
        <v>61</v>
      </c>
      <c r="C7" s="14">
        <v>15</v>
      </c>
      <c r="D7" s="14">
        <v>15</v>
      </c>
      <c r="E7" s="14">
        <v>12</v>
      </c>
      <c r="F7" s="14">
        <v>12</v>
      </c>
      <c r="G7" s="14">
        <v>12</v>
      </c>
      <c r="H7" s="14">
        <v>12</v>
      </c>
    </row>
    <row r="8" spans="1:13" x14ac:dyDescent="0.15">
      <c r="A8" s="14"/>
      <c r="B8" s="14" t="s">
        <v>62</v>
      </c>
      <c r="C8" s="14">
        <v>12</v>
      </c>
      <c r="D8" s="14">
        <v>12</v>
      </c>
      <c r="E8" s="14">
        <v>9</v>
      </c>
      <c r="F8" s="14">
        <v>9</v>
      </c>
      <c r="G8" s="14">
        <v>7</v>
      </c>
      <c r="H8" s="14">
        <v>7</v>
      </c>
    </row>
    <row r="9" spans="1:13" x14ac:dyDescent="0.15">
      <c r="A9" s="14" t="s">
        <v>13</v>
      </c>
      <c r="B9" s="14" t="s">
        <v>63</v>
      </c>
      <c r="C9" s="14">
        <v>3</v>
      </c>
      <c r="D9" s="14">
        <v>3</v>
      </c>
      <c r="E9" s="14">
        <v>3</v>
      </c>
      <c r="F9" s="14">
        <v>3</v>
      </c>
      <c r="G9" s="14">
        <v>3</v>
      </c>
      <c r="H9" s="14">
        <v>3</v>
      </c>
    </row>
    <row r="10" spans="1:13" x14ac:dyDescent="0.15">
      <c r="A10" s="14"/>
      <c r="B10" s="14" t="s">
        <v>59</v>
      </c>
      <c r="C10" s="14">
        <v>18</v>
      </c>
      <c r="D10" s="14">
        <v>18</v>
      </c>
      <c r="E10" s="14">
        <v>18</v>
      </c>
      <c r="F10" s="14">
        <v>18</v>
      </c>
      <c r="G10" s="14">
        <v>18</v>
      </c>
      <c r="H10" s="14">
        <v>18</v>
      </c>
    </row>
    <row r="11" spans="1:13" x14ac:dyDescent="0.15">
      <c r="A11" s="14"/>
      <c r="B11" s="14" t="s">
        <v>64</v>
      </c>
      <c r="C11" s="14">
        <v>-117</v>
      </c>
      <c r="D11" s="14">
        <v>-115</v>
      </c>
      <c r="E11" s="14">
        <v>-117</v>
      </c>
      <c r="F11" s="14">
        <v>-115</v>
      </c>
      <c r="G11" s="14">
        <v>-117</v>
      </c>
      <c r="H11" s="14">
        <v>-115</v>
      </c>
    </row>
    <row r="12" spans="1:13" x14ac:dyDescent="0.15">
      <c r="A12" s="14" t="s">
        <v>65</v>
      </c>
      <c r="B12" s="15"/>
      <c r="C12" s="14">
        <v>5</v>
      </c>
      <c r="D12" s="14">
        <v>5</v>
      </c>
      <c r="E12" s="14">
        <v>5</v>
      </c>
      <c r="F12" s="14">
        <v>5</v>
      </c>
      <c r="G12" s="14">
        <v>5</v>
      </c>
      <c r="H12" s="14">
        <v>5</v>
      </c>
    </row>
    <row r="13" spans="1:13" x14ac:dyDescent="0.15">
      <c r="A13" s="16" t="s">
        <v>0</v>
      </c>
      <c r="B13" s="16"/>
      <c r="C13" s="16">
        <f>30+10*LOG10(C4)+C5-C6-C7-C8-C9+C10-C11-C12</f>
        <v>116.46910013008056</v>
      </c>
      <c r="D13" s="16">
        <f t="shared" ref="D13:H13" si="0">30+10*LOG10(D4)+D5-D6-D7-D8-D9+D10-D11-D12</f>
        <v>114.46910013008056</v>
      </c>
      <c r="E13" s="16">
        <f t="shared" si="0"/>
        <v>122.46910013008056</v>
      </c>
      <c r="F13" s="16">
        <f t="shared" si="0"/>
        <v>120.46910013008056</v>
      </c>
      <c r="G13" s="16">
        <f t="shared" si="0"/>
        <v>124.46910013008056</v>
      </c>
      <c r="H13" s="16">
        <f t="shared" si="0"/>
        <v>122.46910013008056</v>
      </c>
      <c r="K13" s="52">
        <v>1</v>
      </c>
      <c r="L13" s="52">
        <v>1</v>
      </c>
      <c r="M13" s="52">
        <f>K13*L13</f>
        <v>1</v>
      </c>
    </row>
    <row r="15" spans="1:13" x14ac:dyDescent="0.15">
      <c r="A15" s="17"/>
      <c r="B15" s="22" t="s">
        <v>23</v>
      </c>
      <c r="C15" s="22" t="s">
        <v>24</v>
      </c>
      <c r="D15" s="22" t="s">
        <v>25</v>
      </c>
    </row>
    <row r="16" spans="1:13" x14ac:dyDescent="0.15">
      <c r="A16" s="18" t="s">
        <v>40</v>
      </c>
      <c r="B16" s="18">
        <v>38</v>
      </c>
      <c r="C16" s="18">
        <v>22</v>
      </c>
      <c r="D16" s="18">
        <v>30</v>
      </c>
    </row>
    <row r="17" spans="1:13" x14ac:dyDescent="0.15">
      <c r="A17" s="18" t="s">
        <v>41</v>
      </c>
      <c r="B17" s="18">
        <v>1.72</v>
      </c>
      <c r="C17" s="18">
        <v>1.72</v>
      </c>
      <c r="D17" s="18">
        <v>1.72</v>
      </c>
    </row>
    <row r="18" spans="1:13" x14ac:dyDescent="0.15">
      <c r="A18" s="10" t="s">
        <v>49</v>
      </c>
      <c r="B18" s="20">
        <v>900</v>
      </c>
      <c r="C18" s="20">
        <v>900</v>
      </c>
      <c r="D18" s="20">
        <v>900</v>
      </c>
    </row>
    <row r="19" spans="1:13" x14ac:dyDescent="0.15">
      <c r="A19" s="19" t="s">
        <v>42</v>
      </c>
      <c r="B19" s="17" t="s">
        <v>43</v>
      </c>
      <c r="C19" s="17" t="s">
        <v>44</v>
      </c>
      <c r="D19" s="17" t="s">
        <v>44</v>
      </c>
    </row>
    <row r="20" spans="1:13" x14ac:dyDescent="0.15">
      <c r="A20" s="19" t="s">
        <v>52</v>
      </c>
      <c r="B20" s="19">
        <v>69.55</v>
      </c>
      <c r="C20" s="19">
        <v>69.55</v>
      </c>
      <c r="D20" s="19">
        <v>69.55</v>
      </c>
    </row>
    <row r="21" spans="1:13" x14ac:dyDescent="0.15">
      <c r="A21" s="19" t="s">
        <v>67</v>
      </c>
      <c r="B21" s="19">
        <v>26.16</v>
      </c>
      <c r="C21" s="19">
        <v>26.16</v>
      </c>
      <c r="D21" s="19">
        <v>26.16</v>
      </c>
    </row>
    <row r="22" spans="1:13" x14ac:dyDescent="0.15">
      <c r="A22" s="19" t="s">
        <v>53</v>
      </c>
      <c r="B22" s="19">
        <f>3.2*(LOG10(11.75*B17))^2-4.97</f>
        <v>0.48441087675501127</v>
      </c>
      <c r="C22" s="19">
        <f>C17*(1.1*LOG10(C18)-0.7)-(1.56*LOG10(C18)-0.8)</f>
        <v>0.57680851313385606</v>
      </c>
      <c r="D22" s="19">
        <f>D17*(1.1*LOG10(D18)-0.7)-(1.56*LOG10(D18)-0.8)</f>
        <v>0.57680851313385606</v>
      </c>
    </row>
    <row r="23" spans="1:13" x14ac:dyDescent="0.15">
      <c r="A23" s="19" t="s">
        <v>54</v>
      </c>
      <c r="B23" s="19">
        <f>(71.13+6.16*LOG10(B18)-13.82*LOG10(B16))/LOG10(50)</f>
        <v>39.72731971761921</v>
      </c>
      <c r="C23" s="19">
        <f>44.9-6.55*LOG10(C16)</f>
        <v>36.107131440614552</v>
      </c>
      <c r="D23" s="19">
        <f>44.9-6.55*LOG10(D16)</f>
        <v>35.224855781586214</v>
      </c>
    </row>
    <row r="24" spans="1:13" x14ac:dyDescent="0.15">
      <c r="A24" s="19" t="s">
        <v>55</v>
      </c>
      <c r="B24" s="19">
        <v>0</v>
      </c>
      <c r="C24" s="19">
        <f>-2*(LOG10(C18/28))^2-5.4</f>
        <v>-9.942607248242453</v>
      </c>
      <c r="D24" s="19">
        <f>-4.78*(LOG10(D18))^2+18.33*LOG10(D18)-40.94</f>
        <v>-28.506418087861732</v>
      </c>
    </row>
    <row r="25" spans="1:13" x14ac:dyDescent="0.15">
      <c r="A25" s="19" t="s">
        <v>56</v>
      </c>
      <c r="B25" s="19">
        <f>MIN(C13,D13)</f>
        <v>114.46910013008056</v>
      </c>
      <c r="C25" s="19">
        <f>MIN(E13,F13)</f>
        <v>120.46910013008056</v>
      </c>
      <c r="D25" s="19">
        <f>MIN(G13,H13)</f>
        <v>122.46910013008056</v>
      </c>
    </row>
    <row r="26" spans="1:13" x14ac:dyDescent="0.15">
      <c r="A26" s="19" t="s">
        <v>57</v>
      </c>
      <c r="B26" s="17">
        <f>B25-B20-B21*LOG10(B18)+13.82*LOG10(B16)+B22-B24</f>
        <v>-10.046863734852849</v>
      </c>
      <c r="C26" s="17">
        <f>C25-C20-C21*LOG10(C18)+13.82*LOG10(C16)+C22-C24</f>
        <v>2.7078132934870256</v>
      </c>
      <c r="D26" s="17">
        <f t="shared" ref="D26" si="1">D25-D20-D21*LOG10(D18)+13.82*LOG10(D16)+D22-D24</f>
        <v>25.133158424369146</v>
      </c>
    </row>
    <row r="27" spans="1:13" x14ac:dyDescent="0.15">
      <c r="A27" s="19"/>
      <c r="B27" s="19"/>
      <c r="C27" s="19"/>
      <c r="D27" s="19"/>
    </row>
    <row r="28" spans="1:13" x14ac:dyDescent="0.15">
      <c r="A28" s="10" t="s">
        <v>45</v>
      </c>
      <c r="B28" s="21">
        <f>10^(B26/B23)</f>
        <v>0.55860448158242182</v>
      </c>
      <c r="C28" s="21">
        <f t="shared" ref="C28:D28" si="2">10^(C26/C23)</f>
        <v>1.1884854347603304</v>
      </c>
      <c r="D28" s="21">
        <f t="shared" si="2"/>
        <v>5.170188224071719</v>
      </c>
      <c r="K28" s="52">
        <v>1.5</v>
      </c>
      <c r="L28" s="52">
        <v>1</v>
      </c>
      <c r="M28" s="52">
        <f t="shared" ref="M28:M44" si="3">K28*L28</f>
        <v>1.5</v>
      </c>
    </row>
    <row r="30" spans="1:13" x14ac:dyDescent="0.15">
      <c r="A30" s="13" t="s">
        <v>46</v>
      </c>
      <c r="B30" s="9"/>
      <c r="C30" s="9"/>
      <c r="D30" s="9"/>
      <c r="E30" s="9"/>
      <c r="F30" s="9"/>
      <c r="G30" s="9"/>
    </row>
    <row r="31" spans="1:13" x14ac:dyDescent="0.15">
      <c r="A31" s="18" t="s">
        <v>30</v>
      </c>
      <c r="B31" s="24">
        <v>235</v>
      </c>
      <c r="C31" s="9"/>
      <c r="D31" s="9"/>
      <c r="E31" s="9"/>
      <c r="F31" s="9"/>
      <c r="G31" s="9"/>
    </row>
    <row r="32" spans="1:13" x14ac:dyDescent="0.15">
      <c r="A32" s="18" t="s">
        <v>31</v>
      </c>
      <c r="B32" s="24">
        <v>363500</v>
      </c>
      <c r="C32" s="9"/>
      <c r="D32" s="9"/>
      <c r="E32" s="9"/>
      <c r="F32" s="9"/>
      <c r="G32" s="9"/>
    </row>
    <row r="33" spans="1:13" x14ac:dyDescent="0.15">
      <c r="A33" s="23"/>
      <c r="B33" s="51" t="s">
        <v>23</v>
      </c>
      <c r="C33" s="51"/>
      <c r="D33" s="51" t="s">
        <v>24</v>
      </c>
      <c r="E33" s="51"/>
      <c r="F33" s="51" t="s">
        <v>25</v>
      </c>
      <c r="G33" s="51"/>
    </row>
    <row r="34" spans="1:13" x14ac:dyDescent="0.15">
      <c r="A34" s="18" t="s">
        <v>32</v>
      </c>
      <c r="B34" s="25">
        <v>0.12</v>
      </c>
      <c r="C34" s="25">
        <v>0.12</v>
      </c>
      <c r="D34" s="25">
        <v>0.23</v>
      </c>
      <c r="E34" s="25">
        <v>0.23</v>
      </c>
      <c r="F34" s="25">
        <v>0.65</v>
      </c>
      <c r="G34" s="25">
        <v>0.65</v>
      </c>
    </row>
    <row r="35" spans="1:13" x14ac:dyDescent="0.15">
      <c r="A35" s="23" t="s">
        <v>50</v>
      </c>
      <c r="B35" s="23">
        <f>$B$31*B34</f>
        <v>28.2</v>
      </c>
      <c r="C35" s="23">
        <f>$B$31*C34</f>
        <v>28.2</v>
      </c>
      <c r="D35" s="23">
        <f>$B$31*D34</f>
        <v>54.050000000000004</v>
      </c>
      <c r="E35" s="23">
        <f t="shared" ref="E35:G35" si="4">$B$31*E34</f>
        <v>54.050000000000004</v>
      </c>
      <c r="F35" s="23">
        <f>$B$31*F34</f>
        <v>152.75</v>
      </c>
      <c r="G35" s="23">
        <f t="shared" si="4"/>
        <v>152.75</v>
      </c>
    </row>
    <row r="36" spans="1:13" x14ac:dyDescent="0.15">
      <c r="A36" s="18" t="s">
        <v>33</v>
      </c>
      <c r="B36" s="25">
        <v>0.62</v>
      </c>
      <c r="C36" s="25">
        <v>0.62</v>
      </c>
      <c r="D36" s="25">
        <v>0.22</v>
      </c>
      <c r="E36" s="25">
        <v>0.22</v>
      </c>
      <c r="F36" s="25">
        <v>0.16</v>
      </c>
      <c r="G36" s="25">
        <v>0.16</v>
      </c>
    </row>
    <row r="37" spans="1:13" x14ac:dyDescent="0.15">
      <c r="A37" s="23" t="s">
        <v>51</v>
      </c>
      <c r="B37" s="23">
        <f>$B$32*B36</f>
        <v>225370</v>
      </c>
      <c r="C37" s="23">
        <f t="shared" ref="C37:G37" si="5">$B$32*C36</f>
        <v>225370</v>
      </c>
      <c r="D37" s="23">
        <f t="shared" si="5"/>
        <v>79970</v>
      </c>
      <c r="E37" s="23">
        <f t="shared" si="5"/>
        <v>79970</v>
      </c>
      <c r="F37" s="23">
        <f t="shared" si="5"/>
        <v>58160</v>
      </c>
      <c r="G37" s="23">
        <f t="shared" si="5"/>
        <v>58160</v>
      </c>
    </row>
    <row r="38" spans="1:13" x14ac:dyDescent="0.15">
      <c r="A38" s="18" t="s">
        <v>34</v>
      </c>
      <c r="B38" s="37">
        <v>1.05</v>
      </c>
      <c r="C38" s="37">
        <v>1.05</v>
      </c>
      <c r="D38" s="37">
        <v>1.05</v>
      </c>
      <c r="E38" s="37">
        <v>1.05</v>
      </c>
      <c r="F38" s="37">
        <v>1.05</v>
      </c>
      <c r="G38" s="37">
        <v>1.05</v>
      </c>
    </row>
    <row r="39" spans="1:13" x14ac:dyDescent="0.15">
      <c r="A39" s="18" t="s">
        <v>35</v>
      </c>
      <c r="B39" s="38">
        <v>0.29499999999999998</v>
      </c>
      <c r="C39" s="38">
        <v>0.29499999999999998</v>
      </c>
      <c r="D39" s="38">
        <v>0.29499999999999998</v>
      </c>
      <c r="E39" s="38">
        <v>0.29499999999999998</v>
      </c>
      <c r="F39" s="38">
        <v>0.29499999999999998</v>
      </c>
      <c r="G39" s="38">
        <v>0.29499999999999998</v>
      </c>
    </row>
    <row r="40" spans="1:13" x14ac:dyDescent="0.15">
      <c r="A40" s="23"/>
      <c r="B40" s="23"/>
      <c r="C40" s="23"/>
      <c r="D40" s="23"/>
      <c r="E40" s="23"/>
      <c r="F40" s="23"/>
      <c r="G40" s="23"/>
    </row>
    <row r="41" spans="1:13" x14ac:dyDescent="0.15">
      <c r="A41" s="23"/>
      <c r="B41" s="23"/>
      <c r="C41" s="23"/>
      <c r="D41" s="23"/>
      <c r="E41" s="23"/>
      <c r="F41" s="23"/>
      <c r="G41" s="23"/>
    </row>
    <row r="42" spans="1:13" x14ac:dyDescent="0.15">
      <c r="A42" s="18" t="s">
        <v>36</v>
      </c>
      <c r="B42" s="18">
        <v>1</v>
      </c>
      <c r="C42" s="18">
        <v>1.1000000000000001</v>
      </c>
      <c r="D42" s="18">
        <v>1</v>
      </c>
      <c r="E42" s="18">
        <v>1.1000000000000001</v>
      </c>
      <c r="F42" s="18">
        <v>1</v>
      </c>
      <c r="G42" s="18">
        <v>1.1000000000000001</v>
      </c>
    </row>
    <row r="43" spans="1:13" x14ac:dyDescent="0.15">
      <c r="A43" s="23" t="s">
        <v>68</v>
      </c>
      <c r="B43" s="23">
        <f>B37*B38*B39*B42</f>
        <v>69808.357499999998</v>
      </c>
      <c r="C43" s="23">
        <f t="shared" ref="C43:G43" si="6">C37*C38*C39*C42</f>
        <v>76789.193250000011</v>
      </c>
      <c r="D43" s="23">
        <f t="shared" si="6"/>
        <v>24770.7075</v>
      </c>
      <c r="E43" s="23">
        <f t="shared" si="6"/>
        <v>27247.778250000003</v>
      </c>
      <c r="F43" s="23">
        <f t="shared" si="6"/>
        <v>18015.059999999998</v>
      </c>
      <c r="G43" s="23">
        <f t="shared" si="6"/>
        <v>19816.565999999999</v>
      </c>
    </row>
    <row r="44" spans="1:13" x14ac:dyDescent="0.15">
      <c r="A44" s="10" t="s">
        <v>37</v>
      </c>
      <c r="B44" s="26">
        <f>B43/B35</f>
        <v>2475.4736702127661</v>
      </c>
      <c r="C44" s="26">
        <f t="shared" ref="C44:G44" si="7">C43/C35</f>
        <v>2723.021037234043</v>
      </c>
      <c r="D44" s="26">
        <f t="shared" si="7"/>
        <v>458.29246068455132</v>
      </c>
      <c r="E44" s="26">
        <f t="shared" si="7"/>
        <v>504.12170675300649</v>
      </c>
      <c r="F44" s="26">
        <f t="shared" si="7"/>
        <v>117.93819967266774</v>
      </c>
      <c r="G44" s="26">
        <f t="shared" si="7"/>
        <v>129.73201963993452</v>
      </c>
      <c r="K44" s="52">
        <v>0.5</v>
      </c>
      <c r="L44" s="52">
        <v>1</v>
      </c>
      <c r="M44" s="52">
        <f t="shared" si="3"/>
        <v>0.5</v>
      </c>
    </row>
    <row r="47" spans="1:13" ht="13" customHeight="1" x14ac:dyDescent="0.15">
      <c r="A47" s="13" t="s">
        <v>38</v>
      </c>
      <c r="B47" s="48" t="s">
        <v>23</v>
      </c>
      <c r="C47" s="48"/>
      <c r="D47" s="48" t="s">
        <v>24</v>
      </c>
      <c r="E47" s="48"/>
      <c r="F47" s="48" t="s">
        <v>25</v>
      </c>
      <c r="G47" s="48"/>
    </row>
    <row r="48" spans="1:13" ht="13" customHeight="1" x14ac:dyDescent="0.15">
      <c r="A48" s="27" t="s">
        <v>47</v>
      </c>
      <c r="B48" s="18">
        <v>1.4999999999999999E-2</v>
      </c>
      <c r="C48" s="18">
        <v>0.01</v>
      </c>
      <c r="D48" s="18">
        <v>1.2E-2</v>
      </c>
      <c r="E48" s="18">
        <v>1.0999999999999999E-2</v>
      </c>
      <c r="F48" s="18">
        <v>0.01</v>
      </c>
      <c r="G48" s="18">
        <v>7.0000000000000001E-3</v>
      </c>
    </row>
    <row r="49" spans="1:13" ht="13" customHeight="1" x14ac:dyDescent="0.15">
      <c r="A49" s="28" t="s">
        <v>69</v>
      </c>
      <c r="B49" s="29">
        <f>B48*60</f>
        <v>0.89999999999999991</v>
      </c>
      <c r="C49" s="29">
        <f t="shared" ref="C49:G49" si="8">C48*60</f>
        <v>0.6</v>
      </c>
      <c r="D49" s="29">
        <f t="shared" si="8"/>
        <v>0.72</v>
      </c>
      <c r="E49" s="29">
        <f t="shared" si="8"/>
        <v>0.65999999999999992</v>
      </c>
      <c r="F49" s="29">
        <f t="shared" si="8"/>
        <v>0.6</v>
      </c>
      <c r="G49" s="29">
        <f t="shared" si="8"/>
        <v>0.42</v>
      </c>
    </row>
    <row r="50" spans="1:13" ht="13" customHeight="1" x14ac:dyDescent="0.15">
      <c r="A50" s="28" t="s">
        <v>70</v>
      </c>
      <c r="B50" s="29">
        <v>8</v>
      </c>
      <c r="C50" s="29">
        <v>13</v>
      </c>
      <c r="D50" s="29">
        <v>8</v>
      </c>
      <c r="E50" s="29">
        <v>13</v>
      </c>
      <c r="F50" s="29">
        <v>8</v>
      </c>
      <c r="G50" s="29">
        <v>13</v>
      </c>
    </row>
    <row r="51" spans="1:13" ht="13" customHeight="1" x14ac:dyDescent="0.15">
      <c r="A51" s="28" t="s">
        <v>71</v>
      </c>
      <c r="B51" s="29">
        <f>B49*B50</f>
        <v>7.1999999999999993</v>
      </c>
      <c r="C51" s="29">
        <f t="shared" ref="C51:G51" si="9">C49*C50</f>
        <v>7.8</v>
      </c>
      <c r="D51" s="29">
        <f t="shared" si="9"/>
        <v>5.76</v>
      </c>
      <c r="E51" s="29">
        <f t="shared" si="9"/>
        <v>8.5799999999999983</v>
      </c>
      <c r="F51" s="29">
        <f t="shared" si="9"/>
        <v>4.8</v>
      </c>
      <c r="G51" s="29">
        <f t="shared" si="9"/>
        <v>5.46</v>
      </c>
    </row>
    <row r="52" spans="1:13" ht="13" customHeight="1" x14ac:dyDescent="0.15">
      <c r="A52" s="28" t="s">
        <v>72</v>
      </c>
      <c r="B52" s="29">
        <f>B51*250</f>
        <v>1799.9999999999998</v>
      </c>
      <c r="C52" s="29">
        <f t="shared" ref="C52:G52" si="10">C51*250</f>
        <v>1950</v>
      </c>
      <c r="D52" s="29">
        <f t="shared" si="10"/>
        <v>1440</v>
      </c>
      <c r="E52" s="29">
        <f t="shared" si="10"/>
        <v>2144.9999999999995</v>
      </c>
      <c r="F52" s="29">
        <f t="shared" si="10"/>
        <v>1200</v>
      </c>
      <c r="G52" s="29">
        <f t="shared" si="10"/>
        <v>1365</v>
      </c>
      <c r="K52" s="52">
        <v>0.75</v>
      </c>
      <c r="L52" s="52">
        <v>1</v>
      </c>
      <c r="M52" s="52">
        <f>K52*L52</f>
        <v>0.75</v>
      </c>
    </row>
    <row r="53" spans="1:13" ht="13" customHeight="1" x14ac:dyDescent="0.15">
      <c r="A53" s="28"/>
      <c r="B53" s="30"/>
      <c r="C53" s="30"/>
      <c r="D53" s="30"/>
      <c r="E53" s="30"/>
      <c r="F53" s="30"/>
      <c r="G53" s="30"/>
    </row>
    <row r="54" spans="1:13" ht="13" customHeight="1" x14ac:dyDescent="0.15">
      <c r="A54" s="10" t="s">
        <v>48</v>
      </c>
      <c r="B54" s="10">
        <f>B52*B43</f>
        <v>125655043.49999999</v>
      </c>
      <c r="C54" s="10">
        <f t="shared" ref="C54:G54" si="11">C52*C43</f>
        <v>149738926.83750004</v>
      </c>
      <c r="D54" s="10">
        <f t="shared" si="11"/>
        <v>35669818.799999997</v>
      </c>
      <c r="E54" s="10">
        <f t="shared" si="11"/>
        <v>58446484.346249998</v>
      </c>
      <c r="F54" s="10">
        <f t="shared" si="11"/>
        <v>21618071.999999996</v>
      </c>
      <c r="G54" s="10">
        <f t="shared" si="11"/>
        <v>27049612.59</v>
      </c>
    </row>
    <row r="56" spans="1:13" x14ac:dyDescent="0.15">
      <c r="A56" s="41" t="s">
        <v>74</v>
      </c>
      <c r="B56" s="42">
        <v>0.67</v>
      </c>
      <c r="C56" s="42">
        <v>1</v>
      </c>
      <c r="D56" s="42">
        <v>0.67</v>
      </c>
      <c r="E56" s="42">
        <v>1</v>
      </c>
      <c r="F56" s="42">
        <v>0.67</v>
      </c>
      <c r="G56" s="43">
        <v>1</v>
      </c>
    </row>
    <row r="57" spans="1:13" x14ac:dyDescent="0.15">
      <c r="A57" s="44" t="s">
        <v>75</v>
      </c>
      <c r="B57" s="39">
        <v>0.55000000000000004</v>
      </c>
      <c r="C57" s="39">
        <v>0.55000000000000004</v>
      </c>
      <c r="D57" s="39">
        <v>0.55000000000000004</v>
      </c>
      <c r="E57" s="39">
        <v>0.55000000000000004</v>
      </c>
      <c r="F57" s="39">
        <v>0.55000000000000004</v>
      </c>
      <c r="G57" s="45">
        <v>0.55000000000000004</v>
      </c>
    </row>
    <row r="58" spans="1:13" x14ac:dyDescent="0.15">
      <c r="A58" s="44" t="s">
        <v>76</v>
      </c>
      <c r="B58" s="39">
        <v>0.66</v>
      </c>
      <c r="C58" s="39">
        <v>0.66</v>
      </c>
      <c r="D58" s="39">
        <v>0.66</v>
      </c>
      <c r="E58" s="39">
        <v>0.66</v>
      </c>
      <c r="F58" s="39">
        <v>0.66</v>
      </c>
      <c r="G58" s="45">
        <v>0.66</v>
      </c>
      <c r="K58" s="52">
        <v>1.25</v>
      </c>
      <c r="L58" s="52">
        <v>1</v>
      </c>
      <c r="M58" s="52">
        <f>K58*L58</f>
        <v>1.25</v>
      </c>
    </row>
    <row r="59" spans="1:13" x14ac:dyDescent="0.15">
      <c r="A59" s="44" t="s">
        <v>77</v>
      </c>
      <c r="B59" s="39">
        <v>12.2</v>
      </c>
      <c r="C59" s="39">
        <v>64</v>
      </c>
      <c r="D59" s="39">
        <v>12.2</v>
      </c>
      <c r="E59" s="39">
        <v>64</v>
      </c>
      <c r="F59" s="39">
        <v>12.2</v>
      </c>
      <c r="G59" s="45">
        <v>64</v>
      </c>
    </row>
    <row r="60" spans="1:13" x14ac:dyDescent="0.15">
      <c r="A60" s="46" t="s">
        <v>73</v>
      </c>
      <c r="B60" s="40">
        <v>3840</v>
      </c>
      <c r="C60" s="40">
        <v>3840</v>
      </c>
      <c r="D60" s="40">
        <v>3840</v>
      </c>
      <c r="E60" s="40">
        <v>3840</v>
      </c>
      <c r="F60" s="40">
        <v>3840</v>
      </c>
      <c r="G60" s="47">
        <v>3840</v>
      </c>
    </row>
    <row r="62" spans="1:13" x14ac:dyDescent="0.15">
      <c r="A62" s="13" t="s">
        <v>2</v>
      </c>
      <c r="B62" s="48" t="s">
        <v>23</v>
      </c>
      <c r="C62" s="48"/>
      <c r="D62" s="48" t="s">
        <v>24</v>
      </c>
      <c r="E62" s="48"/>
      <c r="F62" s="48" t="s">
        <v>25</v>
      </c>
      <c r="G62" s="48"/>
    </row>
    <row r="63" spans="1:13" x14ac:dyDescent="0.15">
      <c r="A63" s="14" t="s">
        <v>1</v>
      </c>
      <c r="B63" s="19">
        <f>1-1/(10^(C12/10))</f>
        <v>0.683772233983162</v>
      </c>
      <c r="C63" s="19">
        <f t="shared" ref="C63:G63" si="12">1-1/(10^(D12/10))</f>
        <v>0.683772233983162</v>
      </c>
      <c r="D63" s="19">
        <f t="shared" si="12"/>
        <v>0.683772233983162</v>
      </c>
      <c r="E63" s="19">
        <f t="shared" si="12"/>
        <v>0.683772233983162</v>
      </c>
      <c r="F63" s="19">
        <f t="shared" si="12"/>
        <v>0.683772233983162</v>
      </c>
      <c r="G63" s="19">
        <f t="shared" si="12"/>
        <v>0.683772233983162</v>
      </c>
    </row>
    <row r="64" spans="1:13" x14ac:dyDescent="0.15">
      <c r="A64" s="19"/>
      <c r="B64" s="31" t="s">
        <v>26</v>
      </c>
      <c r="C64" s="31" t="s">
        <v>4</v>
      </c>
      <c r="D64" s="31" t="s">
        <v>3</v>
      </c>
      <c r="E64" s="31" t="s">
        <v>4</v>
      </c>
      <c r="F64" s="31" t="s">
        <v>3</v>
      </c>
      <c r="G64" s="31" t="s">
        <v>4</v>
      </c>
    </row>
    <row r="65" spans="1:13" x14ac:dyDescent="0.15">
      <c r="A65" s="14" t="s">
        <v>8</v>
      </c>
      <c r="B65" s="14">
        <v>4.5999999999999996</v>
      </c>
      <c r="C65" s="14">
        <v>2.6</v>
      </c>
      <c r="D65" s="14">
        <v>4.5999999999999996</v>
      </c>
      <c r="E65" s="14">
        <v>2.6</v>
      </c>
      <c r="F65" s="14">
        <v>4.5999999999999996</v>
      </c>
      <c r="G65" s="14">
        <v>2.6</v>
      </c>
    </row>
    <row r="66" spans="1:13" x14ac:dyDescent="0.15">
      <c r="A66" s="14" t="s">
        <v>9</v>
      </c>
      <c r="B66" s="14">
        <f>(10^(B65/10))*B56*(1-B57+B58)*(B59/B60)</f>
        <v>6.814380622989097E-3</v>
      </c>
      <c r="C66" s="14">
        <f t="shared" ref="C66:G66" si="13">(10^(C65/10))*C56*(1-C57+C58)*(C59/C60)</f>
        <v>3.3664465884284699E-2</v>
      </c>
      <c r="D66" s="14">
        <f t="shared" si="13"/>
        <v>6.814380622989097E-3</v>
      </c>
      <c r="E66" s="14">
        <f t="shared" si="13"/>
        <v>3.3664465884284699E-2</v>
      </c>
      <c r="F66" s="14">
        <f t="shared" si="13"/>
        <v>6.814380622989097E-3</v>
      </c>
      <c r="G66" s="14">
        <f t="shared" si="13"/>
        <v>3.3664465884284699E-2</v>
      </c>
    </row>
    <row r="67" spans="1:13" x14ac:dyDescent="0.15">
      <c r="A67" s="28" t="s">
        <v>66</v>
      </c>
      <c r="B67" s="19">
        <v>4</v>
      </c>
      <c r="C67" s="19">
        <v>4</v>
      </c>
      <c r="D67" s="19">
        <v>3</v>
      </c>
      <c r="E67" s="19">
        <v>3</v>
      </c>
      <c r="F67" s="19">
        <v>3</v>
      </c>
      <c r="G67" s="19">
        <v>3</v>
      </c>
    </row>
    <row r="68" spans="1:13" x14ac:dyDescent="0.15">
      <c r="A68" s="19" t="s">
        <v>10</v>
      </c>
      <c r="B68" s="19">
        <v>0.16</v>
      </c>
      <c r="C68" s="33">
        <f>B63-B68</f>
        <v>0.52377223398316197</v>
      </c>
      <c r="D68" s="19">
        <v>0.14000000000000001</v>
      </c>
      <c r="E68" s="33">
        <f>D63-D68</f>
        <v>0.54377223398316199</v>
      </c>
      <c r="F68" s="19">
        <v>0.12</v>
      </c>
      <c r="G68" s="33">
        <f>F63-F68</f>
        <v>0.56377223398316201</v>
      </c>
      <c r="K68" s="52">
        <v>3</v>
      </c>
      <c r="L68" s="52">
        <v>1</v>
      </c>
      <c r="M68" s="52">
        <f>K68*L68</f>
        <v>3</v>
      </c>
    </row>
    <row r="69" spans="1:13" x14ac:dyDescent="0.15">
      <c r="A69" s="34" t="s">
        <v>29</v>
      </c>
      <c r="B69" s="32">
        <f>B68/B66</f>
        <v>23.479756833691031</v>
      </c>
      <c r="C69" s="32">
        <f t="shared" ref="C69:G69" si="14">C68/C66</f>
        <v>15.558608171106323</v>
      </c>
      <c r="D69" s="32">
        <f t="shared" si="14"/>
        <v>20.544787229479656</v>
      </c>
      <c r="E69" s="32">
        <f t="shared" si="14"/>
        <v>16.152706413114565</v>
      </c>
      <c r="F69" s="32">
        <f t="shared" si="14"/>
        <v>17.609817625268274</v>
      </c>
      <c r="G69" s="32">
        <f t="shared" si="14"/>
        <v>16.746804655122808</v>
      </c>
    </row>
    <row r="70" spans="1:13" x14ac:dyDescent="0.15">
      <c r="A70" s="19" t="s">
        <v>78</v>
      </c>
      <c r="B70" s="19">
        <f>B69/(1+B58)</f>
        <v>14.144431827524716</v>
      </c>
      <c r="C70" s="19">
        <f t="shared" ref="C70:G70" si="15">C69*(1+C58)</f>
        <v>25.827289564036498</v>
      </c>
      <c r="D70" s="19">
        <f t="shared" si="15"/>
        <v>34.104346800936234</v>
      </c>
      <c r="E70" s="19">
        <f t="shared" si="15"/>
        <v>26.813492645770179</v>
      </c>
      <c r="F70" s="19">
        <f t="shared" si="15"/>
        <v>29.232297257945337</v>
      </c>
      <c r="G70" s="19">
        <f t="shared" si="15"/>
        <v>27.799695727503863</v>
      </c>
    </row>
    <row r="71" spans="1:13" x14ac:dyDescent="0.15">
      <c r="A71" s="34" t="s">
        <v>21</v>
      </c>
      <c r="B71" s="34">
        <f>VLOOKUP(B70,Erlang!$A2:$B76,2)</f>
        <v>8.2002682999999994</v>
      </c>
      <c r="C71" s="34">
        <f>VLOOKUP(C70,Erlang!$A2:$B76,2)</f>
        <v>17.504635</v>
      </c>
      <c r="D71" s="34">
        <f>VLOOKUP(D70,Erlang!$A2:$B76,2)</f>
        <v>25.529086</v>
      </c>
      <c r="E71" s="34">
        <f>VLOOKUP(E70,Erlang!$A2:$B76,2)</f>
        <v>18.382788999999999</v>
      </c>
      <c r="F71" s="34">
        <f>VLOOKUP(F70,Erlang!$A2:$B76,2)</f>
        <v>21.039370000000002</v>
      </c>
      <c r="G71" s="34">
        <f>VLOOKUP(G70,Erlang!$A2:$B76,2)</f>
        <v>19.264779999999998</v>
      </c>
    </row>
    <row r="72" spans="1:13" x14ac:dyDescent="0.15">
      <c r="A72" s="19" t="s">
        <v>22</v>
      </c>
      <c r="B72" s="19">
        <f>B71*(1+B58)</f>
        <v>13.612445378</v>
      </c>
      <c r="C72" s="19">
        <f t="shared" ref="C72:G72" si="16">C71/(1+C58)</f>
        <v>10.544960843373493</v>
      </c>
      <c r="D72" s="19">
        <f t="shared" si="16"/>
        <v>15.378967469879516</v>
      </c>
      <c r="E72" s="19">
        <f t="shared" si="16"/>
        <v>11.073969277108432</v>
      </c>
      <c r="F72" s="19">
        <f t="shared" si="16"/>
        <v>12.674319277108435</v>
      </c>
      <c r="G72" s="19">
        <f t="shared" si="16"/>
        <v>11.605289156626505</v>
      </c>
    </row>
    <row r="73" spans="1:13" x14ac:dyDescent="0.15">
      <c r="A73" s="19" t="s">
        <v>39</v>
      </c>
      <c r="B73" s="18">
        <v>1.4999999999999999E-2</v>
      </c>
      <c r="C73" s="18">
        <v>0.01</v>
      </c>
      <c r="D73" s="18">
        <v>1.2E-2</v>
      </c>
      <c r="E73" s="18">
        <v>1.0999999999999999E-2</v>
      </c>
      <c r="F73" s="18">
        <v>0.01</v>
      </c>
      <c r="G73" s="18">
        <v>7.0000000000000001E-3</v>
      </c>
    </row>
    <row r="74" spans="1:13" x14ac:dyDescent="0.15">
      <c r="A74" s="19" t="s">
        <v>7</v>
      </c>
      <c r="B74" s="19">
        <f>B72/B73</f>
        <v>907.49635853333336</v>
      </c>
      <c r="C74" s="19">
        <f t="shared" ref="C74:G74" si="17">C72/C73</f>
        <v>1054.4960843373492</v>
      </c>
      <c r="D74" s="19">
        <f t="shared" si="17"/>
        <v>1281.5806224899598</v>
      </c>
      <c r="E74" s="19">
        <f t="shared" si="17"/>
        <v>1006.7244797371303</v>
      </c>
      <c r="F74" s="19">
        <f t="shared" si="17"/>
        <v>1267.4319277108434</v>
      </c>
      <c r="G74" s="19">
        <f t="shared" si="17"/>
        <v>1657.8984509466434</v>
      </c>
    </row>
    <row r="75" spans="1:13" x14ac:dyDescent="0.15">
      <c r="A75" s="35"/>
      <c r="B75" s="48" t="s">
        <v>23</v>
      </c>
      <c r="C75" s="48"/>
      <c r="D75" s="48" t="s">
        <v>24</v>
      </c>
      <c r="E75" s="48"/>
      <c r="F75" s="48" t="s">
        <v>25</v>
      </c>
      <c r="G75" s="48"/>
    </row>
    <row r="76" spans="1:13" x14ac:dyDescent="0.15">
      <c r="A76" s="16" t="s">
        <v>5</v>
      </c>
      <c r="B76" s="36">
        <f>SQRT(B74*B67/(PI()*B44))</f>
        <v>0.68320077310470528</v>
      </c>
      <c r="C76" s="36">
        <f t="shared" ref="C76:G76" si="18">SQRT(C74*C67/(PI()*C44))</f>
        <v>0.70218580657116736</v>
      </c>
      <c r="D76" s="36">
        <f t="shared" si="18"/>
        <v>1.6341326253932071</v>
      </c>
      <c r="E76" s="36">
        <f t="shared" si="18"/>
        <v>1.3809352213272059</v>
      </c>
      <c r="F76" s="36">
        <f t="shared" si="18"/>
        <v>3.2034707698249791</v>
      </c>
      <c r="G76" s="36">
        <f t="shared" si="18"/>
        <v>3.4933416697995487</v>
      </c>
    </row>
    <row r="78" spans="1:13" x14ac:dyDescent="0.15">
      <c r="B78">
        <f>(B76-C76)/B76</f>
        <v>-2.7788366485868257E-2</v>
      </c>
      <c r="D78">
        <f>(D76-E76)/D76</f>
        <v>0.15494299552649621</v>
      </c>
      <c r="F78">
        <f>(F76-G76)/F76</f>
        <v>-9.0486513160975904E-2</v>
      </c>
    </row>
    <row r="80" spans="1:13" x14ac:dyDescent="0.15">
      <c r="A80" s="35"/>
      <c r="B80" s="35" t="s">
        <v>23</v>
      </c>
      <c r="C80" s="35" t="s">
        <v>24</v>
      </c>
      <c r="D80" s="35" t="s">
        <v>25</v>
      </c>
      <c r="K80" s="52">
        <v>1.5</v>
      </c>
      <c r="L80" s="52">
        <v>0.6</v>
      </c>
      <c r="M80" s="52">
        <f>K80*L80</f>
        <v>0.89999999999999991</v>
      </c>
    </row>
    <row r="81" spans="1:13" x14ac:dyDescent="0.15">
      <c r="A81" s="16" t="s">
        <v>6</v>
      </c>
      <c r="B81" s="36">
        <f>MIN(B76,C76,B28)</f>
        <v>0.55860448158242182</v>
      </c>
      <c r="C81" s="36">
        <f>MIN(D76,E76,C28)</f>
        <v>1.1884854347603304</v>
      </c>
      <c r="D81" s="36">
        <f>MIN(F76,G76,D28)</f>
        <v>3.2034707698249791</v>
      </c>
    </row>
    <row r="82" spans="1:13" x14ac:dyDescent="0.15">
      <c r="A82" s="16" t="s">
        <v>27</v>
      </c>
      <c r="B82" s="16">
        <f>PI()*B81^2</f>
        <v>0.98029932587075341</v>
      </c>
      <c r="C82" s="16">
        <f>PI()*C81^2</f>
        <v>4.4374921733404218</v>
      </c>
      <c r="D82" s="16">
        <f t="shared" ref="D82" si="19">PI()*D81^2</f>
        <v>32.239730585049074</v>
      </c>
      <c r="K82" s="52">
        <v>0.5</v>
      </c>
      <c r="L82" s="52">
        <v>0.6</v>
      </c>
      <c r="M82" s="52">
        <f>K82*L82</f>
        <v>0.3</v>
      </c>
    </row>
    <row r="83" spans="1:13" x14ac:dyDescent="0.15">
      <c r="A83" s="16" t="s">
        <v>28</v>
      </c>
      <c r="B83" s="16">
        <f>ROUNDUP(B35/B82,0)</f>
        <v>29</v>
      </c>
      <c r="C83" s="16">
        <f>ROUNDUP(D35/C82,0)</f>
        <v>13</v>
      </c>
      <c r="D83" s="16">
        <f>ROUNDUP(F35/D82,0)</f>
        <v>5</v>
      </c>
    </row>
    <row r="86" spans="1:13" x14ac:dyDescent="0.15">
      <c r="K86" s="52">
        <f>SUM(K13:K84)</f>
        <v>10</v>
      </c>
      <c r="L86" s="52">
        <v>1</v>
      </c>
      <c r="M86" s="52">
        <f>SUM(M13:M84)</f>
        <v>9.2000000000000011</v>
      </c>
    </row>
    <row r="87" spans="1:13" x14ac:dyDescent="0.15">
      <c r="M87" s="54">
        <f>M86/10*1.5</f>
        <v>1.3800000000000003</v>
      </c>
    </row>
  </sheetData>
  <mergeCells count="15">
    <mergeCell ref="D47:E47"/>
    <mergeCell ref="F47:G47"/>
    <mergeCell ref="C2:D2"/>
    <mergeCell ref="E2:F2"/>
    <mergeCell ref="G2:H2"/>
    <mergeCell ref="B33:C33"/>
    <mergeCell ref="D33:E33"/>
    <mergeCell ref="F33:G33"/>
    <mergeCell ref="B47:C47"/>
    <mergeCell ref="F75:G75"/>
    <mergeCell ref="D75:E75"/>
    <mergeCell ref="B75:C75"/>
    <mergeCell ref="B62:C62"/>
    <mergeCell ref="D62:E62"/>
    <mergeCell ref="F62:G62"/>
  </mergeCells>
  <phoneticPr fontId="5" type="noConversion"/>
  <pageMargins left="0.75000000000000011" right="0.75000000000000011" top="1" bottom="1" header="0.5" footer="0.5"/>
  <pageSetup scale="78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33" workbookViewId="0">
      <selection sqref="A1:B76"/>
    </sheetView>
  </sheetViews>
  <sheetFormatPr baseColWidth="10" defaultRowHeight="13" x14ac:dyDescent="0.15"/>
  <cols>
    <col min="1" max="1" width="10.83203125" style="8"/>
    <col min="2" max="2" width="13.33203125" style="8" customWidth="1"/>
  </cols>
  <sheetData>
    <row r="1" spans="1:2" x14ac:dyDescent="0.15">
      <c r="A1" s="1" t="s">
        <v>19</v>
      </c>
      <c r="B1" s="1" t="s">
        <v>20</v>
      </c>
    </row>
    <row r="2" spans="1:2" x14ac:dyDescent="0.15">
      <c r="A2" s="2">
        <v>1</v>
      </c>
      <c r="B2" s="3">
        <v>2.0408163E-2</v>
      </c>
    </row>
    <row r="3" spans="1:2" x14ac:dyDescent="0.15">
      <c r="A3" s="2">
        <v>2</v>
      </c>
      <c r="B3" s="3">
        <v>0.22346682000000001</v>
      </c>
    </row>
    <row r="4" spans="1:2" x14ac:dyDescent="0.15">
      <c r="A4" s="2">
        <v>3</v>
      </c>
      <c r="B4" s="3">
        <v>0.60220647999999999</v>
      </c>
    </row>
    <row r="5" spans="1:2" x14ac:dyDescent="0.15">
      <c r="A5" s="2">
        <v>4</v>
      </c>
      <c r="B5" s="4">
        <v>1.0922605000000001</v>
      </c>
    </row>
    <row r="6" spans="1:2" x14ac:dyDescent="0.15">
      <c r="A6" s="2">
        <v>5</v>
      </c>
      <c r="B6" s="4">
        <v>1.6571431000000001</v>
      </c>
    </row>
    <row r="7" spans="1:2" x14ac:dyDescent="0.15">
      <c r="A7" s="2">
        <v>6</v>
      </c>
      <c r="B7" s="4">
        <v>2.2758761000000001</v>
      </c>
    </row>
    <row r="8" spans="1:2" x14ac:dyDescent="0.15">
      <c r="A8" s="2">
        <v>7</v>
      </c>
      <c r="B8" s="4">
        <v>2.9354057</v>
      </c>
    </row>
    <row r="9" spans="1:2" x14ac:dyDescent="0.15">
      <c r="A9" s="2">
        <v>8</v>
      </c>
      <c r="B9" s="4">
        <v>3.6270505000000002</v>
      </c>
    </row>
    <row r="10" spans="1:2" x14ac:dyDescent="0.15">
      <c r="A10" s="2">
        <v>9</v>
      </c>
      <c r="B10" s="4">
        <v>4.3447291999999997</v>
      </c>
    </row>
    <row r="11" spans="1:2" x14ac:dyDescent="0.15">
      <c r="A11" s="2">
        <v>10</v>
      </c>
      <c r="B11" s="4">
        <v>5.0840046000000001</v>
      </c>
    </row>
    <row r="12" spans="1:2" x14ac:dyDescent="0.15">
      <c r="A12" s="2">
        <v>11</v>
      </c>
      <c r="B12" s="4">
        <v>5.8415311000000001</v>
      </c>
    </row>
    <row r="13" spans="1:2" x14ac:dyDescent="0.15">
      <c r="A13" s="2">
        <v>12</v>
      </c>
      <c r="B13" s="4">
        <v>6.6147182999999998</v>
      </c>
    </row>
    <row r="14" spans="1:2" x14ac:dyDescent="0.15">
      <c r="A14" s="2">
        <v>13</v>
      </c>
      <c r="B14" s="4">
        <v>7.4015154000000001</v>
      </c>
    </row>
    <row r="15" spans="1:2" x14ac:dyDescent="0.15">
      <c r="A15" s="2">
        <v>14</v>
      </c>
      <c r="B15" s="4">
        <v>8.2002682999999994</v>
      </c>
    </row>
    <row r="16" spans="1:2" x14ac:dyDescent="0.15">
      <c r="A16" s="2">
        <v>15</v>
      </c>
      <c r="B16" s="4">
        <v>9.0096215999999991</v>
      </c>
    </row>
    <row r="17" spans="1:2" x14ac:dyDescent="0.15">
      <c r="A17" s="2">
        <v>16</v>
      </c>
      <c r="B17" s="4">
        <v>9.8284491999999997</v>
      </c>
    </row>
    <row r="18" spans="1:2" x14ac:dyDescent="0.15">
      <c r="A18" s="2">
        <v>17</v>
      </c>
      <c r="B18" s="5">
        <v>10.655804</v>
      </c>
    </row>
    <row r="19" spans="1:2" x14ac:dyDescent="0.15">
      <c r="A19" s="2">
        <v>18</v>
      </c>
      <c r="B19" s="5">
        <v>11.490881999999999</v>
      </c>
    </row>
    <row r="20" spans="1:2" x14ac:dyDescent="0.15">
      <c r="A20" s="2">
        <v>19</v>
      </c>
      <c r="B20" s="5">
        <v>12.332992000000001</v>
      </c>
    </row>
    <row r="21" spans="1:2" x14ac:dyDescent="0.15">
      <c r="A21" s="2">
        <v>20</v>
      </c>
      <c r="B21" s="5">
        <v>13.181538</v>
      </c>
    </row>
    <row r="22" spans="1:2" x14ac:dyDescent="0.15">
      <c r="A22" s="2">
        <v>21</v>
      </c>
      <c r="B22" s="5">
        <v>14.035999</v>
      </c>
    </row>
    <row r="23" spans="1:2" x14ac:dyDescent="0.15">
      <c r="A23" s="2">
        <v>22</v>
      </c>
      <c r="B23" s="5">
        <v>14.895921</v>
      </c>
    </row>
    <row r="24" spans="1:2" x14ac:dyDescent="0.15">
      <c r="A24" s="2">
        <v>23</v>
      </c>
      <c r="B24" s="5">
        <v>15.760899</v>
      </c>
    </row>
    <row r="25" spans="1:2" x14ac:dyDescent="0.15">
      <c r="A25" s="2">
        <v>24</v>
      </c>
      <c r="B25" s="5">
        <v>16.630576000000001</v>
      </c>
    </row>
    <row r="26" spans="1:2" x14ac:dyDescent="0.15">
      <c r="A26" s="2">
        <v>25</v>
      </c>
      <c r="B26" s="5">
        <v>17.504635</v>
      </c>
    </row>
    <row r="27" spans="1:2" x14ac:dyDescent="0.15">
      <c r="A27" s="2">
        <v>26</v>
      </c>
      <c r="B27" s="5">
        <v>18.382788999999999</v>
      </c>
    </row>
    <row r="28" spans="1:2" x14ac:dyDescent="0.15">
      <c r="A28" s="2">
        <v>27</v>
      </c>
      <c r="B28" s="5">
        <v>19.264779999999998</v>
      </c>
    </row>
    <row r="29" spans="1:2" x14ac:dyDescent="0.15">
      <c r="A29" s="2">
        <v>28</v>
      </c>
      <c r="B29" s="5">
        <v>20.150378</v>
      </c>
    </row>
    <row r="30" spans="1:2" x14ac:dyDescent="0.15">
      <c r="A30" s="2">
        <v>29</v>
      </c>
      <c r="B30" s="5">
        <v>21.039370000000002</v>
      </c>
    </row>
    <row r="31" spans="1:2" x14ac:dyDescent="0.15">
      <c r="A31" s="2">
        <v>30</v>
      </c>
      <c r="B31" s="5">
        <v>21.931564999999999</v>
      </c>
    </row>
    <row r="32" spans="1:2" x14ac:dyDescent="0.15">
      <c r="A32" s="2">
        <v>31</v>
      </c>
      <c r="B32" s="5">
        <v>22.826789000000002</v>
      </c>
    </row>
    <row r="33" spans="1:2" x14ac:dyDescent="0.15">
      <c r="A33" s="2">
        <v>32</v>
      </c>
      <c r="B33" s="5">
        <v>23.724879000000001</v>
      </c>
    </row>
    <row r="34" spans="1:2" x14ac:dyDescent="0.15">
      <c r="A34" s="2">
        <v>33</v>
      </c>
      <c r="B34" s="5">
        <v>24.625689999999999</v>
      </c>
    </row>
    <row r="35" spans="1:2" x14ac:dyDescent="0.15">
      <c r="A35" s="2">
        <v>34</v>
      </c>
      <c r="B35" s="5">
        <v>25.529086</v>
      </c>
    </row>
    <row r="36" spans="1:2" x14ac:dyDescent="0.15">
      <c r="A36" s="2">
        <v>35</v>
      </c>
      <c r="B36" s="5">
        <v>26.434940999999998</v>
      </c>
    </row>
    <row r="37" spans="1:2" x14ac:dyDescent="0.15">
      <c r="A37" s="2">
        <v>36</v>
      </c>
      <c r="B37" s="5">
        <v>27.343139999999998</v>
      </c>
    </row>
    <row r="38" spans="1:2" x14ac:dyDescent="0.15">
      <c r="A38" s="2">
        <v>37</v>
      </c>
      <c r="B38" s="5">
        <v>28.253575999999999</v>
      </c>
    </row>
    <row r="39" spans="1:2" x14ac:dyDescent="0.15">
      <c r="A39" s="2">
        <v>38</v>
      </c>
      <c r="B39" s="5">
        <v>29.166146999999999</v>
      </c>
    </row>
    <row r="40" spans="1:2" x14ac:dyDescent="0.15">
      <c r="A40" s="2">
        <v>39</v>
      </c>
      <c r="B40" s="5">
        <v>30.080763000000001</v>
      </c>
    </row>
    <row r="41" spans="1:2" x14ac:dyDescent="0.15">
      <c r="A41" s="6">
        <v>40</v>
      </c>
      <c r="B41" s="7">
        <v>30.997335</v>
      </c>
    </row>
    <row r="42" spans="1:2" x14ac:dyDescent="0.15">
      <c r="A42" s="2">
        <v>41</v>
      </c>
      <c r="B42" s="5">
        <v>31.915783999999999</v>
      </c>
    </row>
    <row r="43" spans="1:2" x14ac:dyDescent="0.15">
      <c r="A43" s="2">
        <v>42</v>
      </c>
      <c r="B43" s="5">
        <v>32.836033</v>
      </c>
    </row>
    <row r="44" spans="1:2" x14ac:dyDescent="0.15">
      <c r="A44" s="2">
        <v>43</v>
      </c>
      <c r="B44" s="5">
        <v>33.758011000000003</v>
      </c>
    </row>
    <row r="45" spans="1:2" x14ac:dyDescent="0.15">
      <c r="A45" s="2">
        <v>44</v>
      </c>
      <c r="B45" s="5">
        <v>34.681651000000002</v>
      </c>
    </row>
    <row r="46" spans="1:2" x14ac:dyDescent="0.15">
      <c r="A46" s="2">
        <v>45</v>
      </c>
      <c r="B46" s="5">
        <v>35.606892000000002</v>
      </c>
    </row>
    <row r="47" spans="1:2" x14ac:dyDescent="0.15">
      <c r="A47" s="2">
        <v>46</v>
      </c>
      <c r="B47" s="5">
        <v>36.533673999999998</v>
      </c>
    </row>
    <row r="48" spans="1:2" x14ac:dyDescent="0.15">
      <c r="A48" s="2">
        <v>47</v>
      </c>
      <c r="B48" s="5">
        <v>37.461941000000003</v>
      </c>
    </row>
    <row r="49" spans="1:2" x14ac:dyDescent="0.15">
      <c r="A49" s="2">
        <v>48</v>
      </c>
      <c r="B49" s="5">
        <v>38.391641</v>
      </c>
    </row>
    <row r="50" spans="1:2" x14ac:dyDescent="0.15">
      <c r="A50" s="2">
        <v>49</v>
      </c>
      <c r="B50" s="5">
        <v>39.322724000000001</v>
      </c>
    </row>
    <row r="51" spans="1:2" x14ac:dyDescent="0.15">
      <c r="A51" s="2">
        <v>50</v>
      </c>
      <c r="B51" s="5">
        <v>40.255144000000001</v>
      </c>
    </row>
    <row r="52" spans="1:2" x14ac:dyDescent="0.15">
      <c r="A52" s="2">
        <v>51</v>
      </c>
      <c r="B52" s="5">
        <v>41.188854999999997</v>
      </c>
    </row>
    <row r="53" spans="1:2" x14ac:dyDescent="0.15">
      <c r="A53" s="2">
        <v>52</v>
      </c>
      <c r="B53" s="5">
        <v>42.123815999999998</v>
      </c>
    </row>
    <row r="54" spans="1:2" x14ac:dyDescent="0.15">
      <c r="A54" s="2">
        <v>53</v>
      </c>
      <c r="B54" s="5">
        <v>43.059986000000002</v>
      </c>
    </row>
    <row r="55" spans="1:2" x14ac:dyDescent="0.15">
      <c r="A55" s="2">
        <v>54</v>
      </c>
      <c r="B55" s="5">
        <v>43.997328000000003</v>
      </c>
    </row>
    <row r="56" spans="1:2" x14ac:dyDescent="0.15">
      <c r="A56" s="2">
        <v>55</v>
      </c>
      <c r="B56" s="5">
        <v>44.935805999999999</v>
      </c>
    </row>
    <row r="57" spans="1:2" x14ac:dyDescent="0.15">
      <c r="A57" s="2">
        <v>56</v>
      </c>
      <c r="B57" s="5">
        <v>45.875383999999997</v>
      </c>
    </row>
    <row r="58" spans="1:2" x14ac:dyDescent="0.15">
      <c r="A58" s="2">
        <v>57</v>
      </c>
      <c r="B58" s="5">
        <v>46.816029999999998</v>
      </c>
    </row>
    <row r="59" spans="1:2" x14ac:dyDescent="0.15">
      <c r="A59" s="2">
        <v>58</v>
      </c>
      <c r="B59" s="5">
        <v>47.757713000000003</v>
      </c>
    </row>
    <row r="60" spans="1:2" x14ac:dyDescent="0.15">
      <c r="A60" s="2">
        <v>59</v>
      </c>
      <c r="B60" s="5">
        <v>48.700403999999999</v>
      </c>
    </row>
    <row r="61" spans="1:2" x14ac:dyDescent="0.15">
      <c r="A61" s="2">
        <v>60</v>
      </c>
      <c r="B61" s="5">
        <v>49.644072000000001</v>
      </c>
    </row>
    <row r="62" spans="1:2" x14ac:dyDescent="0.15">
      <c r="A62" s="2">
        <v>61</v>
      </c>
      <c r="B62" s="5">
        <v>50.588692000000002</v>
      </c>
    </row>
    <row r="63" spans="1:2" x14ac:dyDescent="0.15">
      <c r="A63" s="2">
        <v>62</v>
      </c>
      <c r="B63" s="5">
        <v>51.534236999999997</v>
      </c>
    </row>
    <row r="64" spans="1:2" x14ac:dyDescent="0.15">
      <c r="A64" s="2">
        <v>63</v>
      </c>
      <c r="B64" s="5">
        <v>52.480682000000002</v>
      </c>
    </row>
    <row r="65" spans="1:2" x14ac:dyDescent="0.15">
      <c r="A65" s="2">
        <v>64</v>
      </c>
      <c r="B65" s="5">
        <v>53.428002999999997</v>
      </c>
    </row>
    <row r="66" spans="1:2" x14ac:dyDescent="0.15">
      <c r="A66" s="2">
        <v>65</v>
      </c>
      <c r="B66" s="5">
        <v>54.376176999999998</v>
      </c>
    </row>
    <row r="67" spans="1:2" x14ac:dyDescent="0.15">
      <c r="A67" s="2">
        <v>66</v>
      </c>
      <c r="B67" s="5">
        <v>55.325183000000003</v>
      </c>
    </row>
    <row r="68" spans="1:2" x14ac:dyDescent="0.15">
      <c r="A68" s="2">
        <v>67</v>
      </c>
      <c r="B68" s="5">
        <v>56.274999000000001</v>
      </c>
    </row>
    <row r="69" spans="1:2" x14ac:dyDescent="0.15">
      <c r="A69" s="2">
        <v>68</v>
      </c>
      <c r="B69" s="5">
        <v>57.225605000000002</v>
      </c>
    </row>
    <row r="70" spans="1:2" x14ac:dyDescent="0.15">
      <c r="A70" s="2">
        <v>69</v>
      </c>
      <c r="B70" s="5">
        <v>58.176980999999998</v>
      </c>
    </row>
    <row r="71" spans="1:2" x14ac:dyDescent="0.15">
      <c r="A71" s="2">
        <v>70</v>
      </c>
      <c r="B71" s="5">
        <v>59.129109</v>
      </c>
    </row>
    <row r="72" spans="1:2" x14ac:dyDescent="0.15">
      <c r="A72" s="2">
        <v>71</v>
      </c>
      <c r="B72" s="5">
        <v>60.081971000000003</v>
      </c>
    </row>
    <row r="73" spans="1:2" x14ac:dyDescent="0.15">
      <c r="A73" s="2">
        <v>72</v>
      </c>
      <c r="B73" s="5">
        <v>61.035549000000003</v>
      </c>
    </row>
    <row r="74" spans="1:2" x14ac:dyDescent="0.15">
      <c r="A74" s="2">
        <v>73</v>
      </c>
      <c r="B74" s="5">
        <v>61.989826000000001</v>
      </c>
    </row>
    <row r="75" spans="1:2" x14ac:dyDescent="0.15">
      <c r="A75" s="2">
        <v>74</v>
      </c>
      <c r="B75" s="5">
        <v>62.944788000000003</v>
      </c>
    </row>
    <row r="76" spans="1:2" x14ac:dyDescent="0.15">
      <c r="A76" s="2">
        <v>75</v>
      </c>
      <c r="B76" s="5">
        <v>63.900416999999997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UMTS 2100</vt:lpstr>
      <vt:lpstr>Erlang</vt:lpstr>
      <vt:lpstr>'UMTS 2100'!Área_de_impresión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2019-03-27T08:49:27Z</cp:lastPrinted>
  <dcterms:created xsi:type="dcterms:W3CDTF">2011-01-31T17:50:12Z</dcterms:created>
  <dcterms:modified xsi:type="dcterms:W3CDTF">2021-12-26T12:09:59Z</dcterms:modified>
</cp:coreProperties>
</file>