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F79E7E88-EB06-974C-AD41-6341ADBC84E3}" xr6:coauthVersionLast="47" xr6:coauthVersionMax="47" xr10:uidLastSave="{00000000-0000-0000-0000-000000000000}"/>
  <bookViews>
    <workbookView xWindow="0" yWindow="500" windowWidth="21580" windowHeight="1190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5" l="1"/>
  <c r="L73" i="5"/>
  <c r="L71" i="5"/>
  <c r="L68" i="5"/>
  <c r="L58" i="5"/>
  <c r="L52" i="5"/>
  <c r="L44" i="5"/>
  <c r="L28" i="5"/>
  <c r="L13" i="5"/>
  <c r="G12" i="5"/>
  <c r="E12" i="5"/>
  <c r="E13" i="5" s="1"/>
  <c r="C12" i="5"/>
  <c r="B55" i="5" s="1"/>
  <c r="B25" i="5"/>
  <c r="D24" i="5"/>
  <c r="D25" i="5" s="1"/>
  <c r="C24" i="5"/>
  <c r="C25" i="5" s="1"/>
  <c r="B24" i="5"/>
  <c r="B23" i="5"/>
  <c r="D23" i="5"/>
  <c r="C23" i="5"/>
  <c r="D22" i="5"/>
  <c r="C22" i="5"/>
  <c r="B68" i="5"/>
  <c r="C48" i="5"/>
  <c r="C50" i="5" s="1"/>
  <c r="C51" i="5" s="1"/>
  <c r="D48" i="5"/>
  <c r="D50" i="5" s="1"/>
  <c r="D51" i="5" s="1"/>
  <c r="D52" i="5" s="1"/>
  <c r="E48" i="5"/>
  <c r="E50" i="5" s="1"/>
  <c r="E51" i="5" s="1"/>
  <c r="E52" i="5" s="1"/>
  <c r="F48" i="5"/>
  <c r="F50" i="5" s="1"/>
  <c r="F51" i="5" s="1"/>
  <c r="G48" i="5"/>
  <c r="G50" i="5" s="1"/>
  <c r="G51" i="5" s="1"/>
  <c r="B48" i="5"/>
  <c r="B50" i="5" s="1"/>
  <c r="B51" i="5" s="1"/>
  <c r="B52" i="5" s="1"/>
  <c r="F58" i="5"/>
  <c r="F64" i="5" s="1"/>
  <c r="F65" i="5" s="1"/>
  <c r="F66" i="5" s="1"/>
  <c r="F67" i="5" s="1"/>
  <c r="C68" i="5"/>
  <c r="D68" i="5"/>
  <c r="E68" i="5"/>
  <c r="F68" i="5"/>
  <c r="G68" i="5"/>
  <c r="D4" i="5"/>
  <c r="E4" i="5"/>
  <c r="F4" i="5"/>
  <c r="G4" i="5"/>
  <c r="H4" i="5"/>
  <c r="C4" i="5"/>
  <c r="G57" i="5"/>
  <c r="G58" i="5" s="1"/>
  <c r="E57" i="5"/>
  <c r="E58" i="5" s="1"/>
  <c r="C57" i="5"/>
  <c r="C58" i="5" s="1"/>
  <c r="F57" i="5"/>
  <c r="D57" i="5"/>
  <c r="D58" i="5" s="1"/>
  <c r="D64" i="5" s="1"/>
  <c r="D65" i="5" s="1"/>
  <c r="D66" i="5" s="1"/>
  <c r="D67" i="5" s="1"/>
  <c r="B57" i="5"/>
  <c r="B58" i="5" s="1"/>
  <c r="B64" i="5" s="1"/>
  <c r="B65" i="5" s="1"/>
  <c r="B66" i="5" s="1"/>
  <c r="B67" i="5" s="1"/>
  <c r="B69" i="5" s="1"/>
  <c r="B72" i="5" s="1"/>
  <c r="D43" i="5"/>
  <c r="D44" i="5" s="1"/>
  <c r="E43" i="5"/>
  <c r="E44" i="5" s="1"/>
  <c r="B43" i="5"/>
  <c r="B44" i="5" s="1"/>
  <c r="C37" i="5"/>
  <c r="C43" i="5" s="1"/>
  <c r="D37" i="5"/>
  <c r="E37" i="5"/>
  <c r="F37" i="5"/>
  <c r="F43" i="5" s="1"/>
  <c r="F44" i="5" s="1"/>
  <c r="G37" i="5"/>
  <c r="G43" i="5" s="1"/>
  <c r="C35" i="5"/>
  <c r="D35" i="5"/>
  <c r="E35" i="5"/>
  <c r="F35" i="5"/>
  <c r="G35" i="5"/>
  <c r="B37" i="5"/>
  <c r="B35" i="5"/>
  <c r="L77" i="5" l="1"/>
  <c r="L78" i="5" s="1"/>
  <c r="G52" i="5"/>
  <c r="G44" i="5"/>
  <c r="C52" i="5"/>
  <c r="C44" i="5"/>
  <c r="F52" i="5"/>
  <c r="C26" i="5"/>
  <c r="G13" i="5"/>
  <c r="D26" i="5" s="1"/>
  <c r="D55" i="5"/>
  <c r="F12" i="5"/>
  <c r="F13" i="5" s="1"/>
  <c r="C27" i="5" s="1"/>
  <c r="F55" i="5"/>
  <c r="H12" i="5"/>
  <c r="D12" i="5"/>
  <c r="C13" i="5"/>
  <c r="B26" i="5" s="1"/>
  <c r="F69" i="5"/>
  <c r="F72" i="5" s="1"/>
  <c r="D69" i="5"/>
  <c r="D72" i="5" s="1"/>
  <c r="C28" i="5" l="1"/>
  <c r="D74" i="5" s="1"/>
  <c r="E55" i="5"/>
  <c r="H13" i="5"/>
  <c r="D27" i="5" s="1"/>
  <c r="D28" i="5" s="1"/>
  <c r="F74" i="5" s="1"/>
  <c r="G55" i="5"/>
  <c r="G63" i="5" s="1"/>
  <c r="G64" i="5" s="1"/>
  <c r="G65" i="5" s="1"/>
  <c r="G66" i="5" s="1"/>
  <c r="G67" i="5" s="1"/>
  <c r="G69" i="5" s="1"/>
  <c r="G72" i="5" s="1"/>
  <c r="G81" i="5" s="1"/>
  <c r="C55" i="5"/>
  <c r="D13" i="5"/>
  <c r="B27" i="5" s="1"/>
  <c r="B28" i="5" s="1"/>
  <c r="B74" i="5" s="1"/>
  <c r="E63" i="5" l="1"/>
  <c r="E64" i="5" s="1"/>
  <c r="E65" i="5" s="1"/>
  <c r="E66" i="5" s="1"/>
  <c r="E67" i="5" s="1"/>
  <c r="E69" i="5" s="1"/>
  <c r="E72" i="5" s="1"/>
  <c r="D77" i="5"/>
  <c r="D78" i="5" s="1"/>
  <c r="D79" i="5" s="1"/>
  <c r="F73" i="5"/>
  <c r="G82" i="5" s="1"/>
  <c r="C63" i="5"/>
  <c r="C64" i="5" s="1"/>
  <c r="C65" i="5" s="1"/>
  <c r="C66" i="5" s="1"/>
  <c r="C67" i="5" s="1"/>
  <c r="C69" i="5" s="1"/>
  <c r="C72" i="5" s="1"/>
  <c r="B81" i="5" s="1"/>
  <c r="D73" i="5" l="1"/>
  <c r="E82" i="5" s="1"/>
  <c r="E81" i="5"/>
  <c r="C77" i="5"/>
  <c r="C78" i="5" s="1"/>
  <c r="C79" i="5" s="1"/>
  <c r="B73" i="5"/>
  <c r="B82" i="5" s="1"/>
  <c r="B77" i="5"/>
  <c r="B78" i="5" s="1"/>
  <c r="B79" i="5" s="1"/>
</calcChain>
</file>

<file path=xl/sharedStrings.xml><?xml version="1.0" encoding="utf-8"?>
<sst xmlns="http://schemas.openxmlformats.org/spreadsheetml/2006/main" count="110" uniqueCount="84">
  <si>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</si>
  <si>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</si>
  <si>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</si>
  <si>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</si>
  <si>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</si>
  <si>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</si>
  <si>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</si>
  <si>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</si>
  <si>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</si>
  <si>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</si>
  <si>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</si>
  <si>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</si>
  <si>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</si>
  <si>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</si>
  <si>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</si>
  <si>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</si>
  <si>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</si>
  <si>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</si>
  <si>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</si>
  <si>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</si>
  <si>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</si>
  <si>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</si>
  <si>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</si>
  <si>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</si>
  <si>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</si>
  <si>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</si>
  <si>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</si>
  <si>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</si>
  <si>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</si>
  <si>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</si>
  <si>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</si>
  <si>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</si>
  <si>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</si>
  <si>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</si>
  <si>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</si>
  <si>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</si>
  <si>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</si>
  <si>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</si>
  <si>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</si>
  <si>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</si>
  <si>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</si>
  <si>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</si>
  <si>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</si>
  <si>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</si>
  <si>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</si>
  <si>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</si>
  <si>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</si>
  <si>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</si>
  <si>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Banda De Frecuencia</t>
  </si>
  <si>
    <t>Terreno por tipo</t>
  </si>
  <si>
    <t>Población por tipo</t>
  </si>
  <si>
    <t>Clientes</t>
  </si>
  <si>
    <t>Eb/No [Uds. Naturales]</t>
  </si>
  <si>
    <t>Velocidad binaria</t>
  </si>
  <si>
    <t>Ortogonalidad</t>
  </si>
  <si>
    <t>Factor Actividad</t>
  </si>
  <si>
    <t>Factor Interferencia Intercelular</t>
  </si>
  <si>
    <t>MI</t>
  </si>
  <si>
    <t>Lc</t>
  </si>
  <si>
    <t>G</t>
  </si>
  <si>
    <t>MD</t>
  </si>
  <si>
    <t>Lad</t>
  </si>
  <si>
    <t>L</t>
  </si>
  <si>
    <t>S</t>
  </si>
  <si>
    <t>Ptx</t>
  </si>
  <si>
    <t>Sectores</t>
  </si>
  <si>
    <t>min/HC</t>
  </si>
  <si>
    <t>Factor Hora Cargada</t>
  </si>
  <si>
    <t>min/d Ind</t>
  </si>
  <si>
    <t>min/A Ind</t>
  </si>
  <si>
    <t>A</t>
  </si>
  <si>
    <t>B</t>
  </si>
  <si>
    <t>Lclutter</t>
  </si>
  <si>
    <t>s</t>
  </si>
  <si>
    <t>a(hms)</t>
  </si>
  <si>
    <t>aux</t>
  </si>
  <si>
    <t>Rv</t>
  </si>
  <si>
    <t>Rd</t>
  </si>
  <si>
    <t>Minutos Anuales Totales</t>
  </si>
  <si>
    <t>Radio por Capaciad Definitivo</t>
  </si>
  <si>
    <t>Radio por Propagación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</si>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</sst>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0" borderId="5" xfId="0" applyFill="1" applyBorder="1"/>
    <xf numFmtId="0" fontId="2" fillId="0" borderId="5" xfId="0" applyFont="1" applyFill="1" applyBorder="1"/>
    <xf numFmtId="0" fontId="1" fillId="7" borderId="5" xfId="0" applyFont="1" applyFill="1" applyBorder="1"/>
    <xf numFmtId="0" fontId="1" fillId="7" borderId="0" xfId="0" applyFont="1" applyFill="1"/>
    <xf numFmtId="0" fontId="1" fillId="0" borderId="4" xfId="0" applyFont="1" applyFill="1" applyBorder="1"/>
    <xf numFmtId="0" fontId="2" fillId="0" borderId="4" xfId="0" applyFont="1" applyFill="1" applyBorder="1"/>
    <xf numFmtId="0" fontId="1" fillId="8" borderId="5" xfId="0" applyFont="1" applyFill="1" applyBorder="1"/>
    <xf numFmtId="165" fontId="1" fillId="0" borderId="4" xfId="0" applyNumberFormat="1" applyFont="1" applyFill="1" applyBorder="1"/>
    <xf numFmtId="0" fontId="2" fillId="9" borderId="5" xfId="0" applyFont="1" applyFill="1" applyBorder="1"/>
    <xf numFmtId="165" fontId="0" fillId="9" borderId="10" xfId="0" applyNumberForma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5" fontId="1" fillId="7" borderId="6" xfId="0" applyNumberFormat="1" applyFont="1" applyFill="1" applyBorder="1" applyAlignment="1">
      <alignment horizontal="center"/>
    </xf>
    <xf numFmtId="165" fontId="1" fillId="7" borderId="8" xfId="0" applyNumberFormat="1" applyFont="1" applyFill="1" applyBorder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10" borderId="0" xfId="0" applyFont="1" applyFill="1"/>
    <xf numFmtId="0" fontId="1" fillId="2" borderId="0" xfId="0" applyFont="1" applyFill="1"/>
    <xf numFmtId="0" fontId="0" fillId="11" borderId="0" xfId="0" applyFill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2"/>
  <sheetViews>
    <sheetView tabSelected="1" topLeftCell="A51" zoomScale="80" zoomScaleNormal="80" workbookViewId="0">
      <selection activeCell="M71" sqref="M71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18</v>
      </c>
      <c r="B1" s="12"/>
      <c r="C1" s="12"/>
      <c r="D1" s="12"/>
      <c r="E1" s="12"/>
      <c r="F1" s="12"/>
      <c r="G1" s="12"/>
      <c r="H1" s="12"/>
      <c r="J1" s="62" t="s">
        <v>81</v>
      </c>
      <c r="K1" s="63" t="s">
        <v>82</v>
      </c>
      <c r="L1" s="63" t="s">
        <v>83</v>
      </c>
    </row>
    <row r="2" spans="1:12" x14ac:dyDescent="0.15">
      <c r="A2" s="12"/>
      <c r="B2" s="12"/>
      <c r="C2" s="59" t="s">
        <v>23</v>
      </c>
      <c r="D2" s="59"/>
      <c r="E2" s="59" t="s">
        <v>24</v>
      </c>
      <c r="F2" s="59"/>
      <c r="G2" s="60" t="s">
        <v>25</v>
      </c>
      <c r="H2" s="60"/>
    </row>
    <row r="3" spans="1:12" x14ac:dyDescent="0.15">
      <c r="A3" s="12"/>
      <c r="B3" s="12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14</v>
      </c>
      <c r="H3" s="13" t="s">
        <v>15</v>
      </c>
    </row>
    <row r="4" spans="1:12" x14ac:dyDescent="0.15">
      <c r="A4" s="14" t="s">
        <v>11</v>
      </c>
      <c r="B4" s="14" t="s">
        <v>64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62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2" x14ac:dyDescent="0.15">
      <c r="A6" s="14"/>
      <c r="B6" s="14" t="s">
        <v>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12</v>
      </c>
      <c r="B7" s="14" t="s">
        <v>60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2" x14ac:dyDescent="0.15">
      <c r="A8" s="14"/>
      <c r="B8" s="14" t="s">
        <v>61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2" x14ac:dyDescent="0.15">
      <c r="A9" s="14" t="s">
        <v>13</v>
      </c>
      <c r="B9" s="14" t="s">
        <v>58</v>
      </c>
      <c r="C9" s="14">
        <v>3</v>
      </c>
      <c r="D9" s="14">
        <v>3</v>
      </c>
      <c r="E9" s="14">
        <v>3</v>
      </c>
      <c r="F9" s="14">
        <v>3</v>
      </c>
      <c r="G9" s="14">
        <v>3</v>
      </c>
      <c r="H9" s="14">
        <v>3</v>
      </c>
    </row>
    <row r="10" spans="1:12" x14ac:dyDescent="0.15">
      <c r="A10" s="14"/>
      <c r="B10" s="14" t="s">
        <v>59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63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2" x14ac:dyDescent="0.15">
      <c r="A12" s="14"/>
      <c r="B12" s="15" t="s">
        <v>57</v>
      </c>
      <c r="C12" s="14">
        <f>B75</f>
        <v>1.5</v>
      </c>
      <c r="D12" s="14">
        <f>C12</f>
        <v>1.5</v>
      </c>
      <c r="E12" s="14">
        <f>D75</f>
        <v>1.5</v>
      </c>
      <c r="F12" s="14">
        <f>E12</f>
        <v>1.5</v>
      </c>
      <c r="G12" s="14">
        <f>F75</f>
        <v>4.5</v>
      </c>
      <c r="H12" s="14">
        <f>G12</f>
        <v>4.5</v>
      </c>
    </row>
    <row r="13" spans="1:12" x14ac:dyDescent="0.15">
      <c r="A13" s="16" t="s">
        <v>0</v>
      </c>
      <c r="B13" s="16"/>
      <c r="C13" s="16">
        <f>C4-C5+C6-C7-C8-C9+C10-C11-C12</f>
        <v>119.96910013008056</v>
      </c>
      <c r="D13" s="16">
        <f t="shared" ref="D13:H13" si="1">D4-D5+D6-D7-D8-D9+D10-D11-D12</f>
        <v>117.96910013008056</v>
      </c>
      <c r="E13" s="16">
        <f t="shared" si="1"/>
        <v>125.96910013008056</v>
      </c>
      <c r="F13" s="16">
        <f t="shared" si="1"/>
        <v>123.96910013008056</v>
      </c>
      <c r="G13" s="16">
        <f t="shared" si="1"/>
        <v>124.96910013008056</v>
      </c>
      <c r="H13" s="16">
        <f t="shared" si="1"/>
        <v>122.96910013008056</v>
      </c>
      <c r="J13" s="62">
        <v>1</v>
      </c>
      <c r="K13" s="62">
        <v>1</v>
      </c>
      <c r="L13" s="62">
        <f>J13*K13</f>
        <v>1</v>
      </c>
    </row>
    <row r="15" spans="1:12" x14ac:dyDescent="0.15">
      <c r="A15" s="17"/>
      <c r="B15" s="22" t="s">
        <v>23</v>
      </c>
      <c r="C15" s="22" t="s">
        <v>24</v>
      </c>
      <c r="D15" s="22" t="s">
        <v>25</v>
      </c>
    </row>
    <row r="16" spans="1:12" x14ac:dyDescent="0.15">
      <c r="A16" s="18" t="s">
        <v>40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41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48</v>
      </c>
      <c r="B18" s="20">
        <v>2100</v>
      </c>
      <c r="C18" s="20">
        <v>2100</v>
      </c>
      <c r="D18" s="20">
        <v>2100</v>
      </c>
    </row>
    <row r="19" spans="1:12" x14ac:dyDescent="0.15">
      <c r="A19" s="19" t="s">
        <v>42</v>
      </c>
      <c r="B19" s="17" t="s">
        <v>43</v>
      </c>
      <c r="C19" s="17" t="s">
        <v>44</v>
      </c>
      <c r="D19" s="17" t="s">
        <v>44</v>
      </c>
    </row>
    <row r="20" spans="1:12" x14ac:dyDescent="0.15">
      <c r="A20" s="19" t="s">
        <v>70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71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72</v>
      </c>
      <c r="B22" s="19">
        <v>0</v>
      </c>
      <c r="C22" s="19">
        <f>-2*((LOG10(C18/28))^2)-5.4</f>
        <v>-12.431709482944157</v>
      </c>
      <c r="D22" s="19">
        <f>-4.78*((LOG10(D18))^2)+18.33*LOG10(D18)-40.94</f>
        <v>-32.801254509732452</v>
      </c>
    </row>
    <row r="23" spans="1:12" x14ac:dyDescent="0.15">
      <c r="A23" s="19" t="s">
        <v>73</v>
      </c>
      <c r="B23" s="19">
        <f>(47.88+13.9*LOG10(B18)-13.82*LOG10(B16))/LOG10(50)</f>
        <v>42.511779906193333</v>
      </c>
      <c r="C23" s="19">
        <f>44.9-6.55*LOG10(C16)</f>
        <v>36.107131440614552</v>
      </c>
      <c r="D23" s="19">
        <f>44.9-6.55*LOG10(D16)</f>
        <v>35.224855781586214</v>
      </c>
    </row>
    <row r="24" spans="1:12" x14ac:dyDescent="0.15">
      <c r="A24" s="19" t="s">
        <v>74</v>
      </c>
      <c r="B24" s="19">
        <f>3.2*((LOG10(11.75*B17))^2)-4.97</f>
        <v>0.48441087675501127</v>
      </c>
      <c r="C24" s="19">
        <f>C17*(1.1*LOG10(C18)-0.7)-(1.56*LOG10(C18)-0.8)</f>
        <v>0.698976805851661</v>
      </c>
      <c r="D24" s="19">
        <f>D17*(1.1*LOG10(D18)-0.7)-(1.56*LOG10(D18)-0.8)</f>
        <v>0.698976805851661</v>
      </c>
    </row>
    <row r="25" spans="1:12" x14ac:dyDescent="0.15">
      <c r="A25" s="19" t="s">
        <v>75</v>
      </c>
      <c r="B25" s="19">
        <f>B20+B21*LOG10(B18)-13.82*LOG10(B16)-B24+B22</f>
        <v>136.60621390948052</v>
      </c>
      <c r="C25" s="19">
        <f t="shared" ref="C25:D25" si="2">C20+C21*LOG10(C18)-13.82*LOG10(C16)-C24+C22</f>
        <v>127.24026635372114</v>
      </c>
      <c r="D25" s="19">
        <f t="shared" si="2"/>
        <v>105.00918703567001</v>
      </c>
    </row>
    <row r="26" spans="1:12" x14ac:dyDescent="0.15">
      <c r="A26" s="19" t="s">
        <v>76</v>
      </c>
      <c r="B26" s="17">
        <f>10^((C13-B25)/B23)</f>
        <v>0.40611307524942647</v>
      </c>
      <c r="C26" s="17">
        <f>10^((E13-C25)/C23)</f>
        <v>0.9221351864169115</v>
      </c>
      <c r="D26" s="17">
        <f>10^((G13-D25)/D23)</f>
        <v>3.6867429804190368</v>
      </c>
    </row>
    <row r="27" spans="1:12" x14ac:dyDescent="0.15">
      <c r="A27" s="19" t="s">
        <v>77</v>
      </c>
      <c r="B27" s="19">
        <f>10^((D13-B25)/B23)</f>
        <v>0.36441914818795984</v>
      </c>
      <c r="C27" s="19">
        <f>10^((F13-C25)/C23)</f>
        <v>0.81171556561492553</v>
      </c>
      <c r="D27" s="19">
        <f>10^((H13-D25)/D23)</f>
        <v>3.234929146602822</v>
      </c>
    </row>
    <row r="28" spans="1:12" x14ac:dyDescent="0.15">
      <c r="A28" s="10" t="s">
        <v>45</v>
      </c>
      <c r="B28" s="21">
        <f>MIN(B27,B26)</f>
        <v>0.36441914818795984</v>
      </c>
      <c r="C28" s="21">
        <f t="shared" ref="C28:D28" si="3">MIN(C27,C26)</f>
        <v>0.81171556561492553</v>
      </c>
      <c r="D28" s="21">
        <f t="shared" si="3"/>
        <v>3.234929146602822</v>
      </c>
      <c r="J28" s="62">
        <v>1.5</v>
      </c>
      <c r="K28" s="62">
        <v>0</v>
      </c>
      <c r="L28" s="62">
        <f t="shared" ref="L28:L44" si="4">J28*K28</f>
        <v>0</v>
      </c>
    </row>
    <row r="30" spans="1:12" x14ac:dyDescent="0.15">
      <c r="A30" s="13" t="s">
        <v>46</v>
      </c>
      <c r="B30" s="9"/>
      <c r="C30" s="9"/>
      <c r="D30" s="9"/>
      <c r="E30" s="9"/>
      <c r="F30" s="9"/>
      <c r="G30" s="9"/>
    </row>
    <row r="31" spans="1:12" x14ac:dyDescent="0.15">
      <c r="A31" s="18" t="s">
        <v>30</v>
      </c>
      <c r="B31" s="24">
        <v>235</v>
      </c>
      <c r="C31" s="9"/>
      <c r="D31" s="9"/>
      <c r="E31" s="9"/>
      <c r="F31" s="9"/>
      <c r="G31" s="9"/>
    </row>
    <row r="32" spans="1:12" x14ac:dyDescent="0.15">
      <c r="A32" s="18" t="s">
        <v>31</v>
      </c>
      <c r="B32" s="24">
        <v>363500</v>
      </c>
      <c r="C32" s="9"/>
      <c r="D32" s="9"/>
      <c r="E32" s="9"/>
      <c r="F32" s="9"/>
      <c r="G32" s="9"/>
    </row>
    <row r="33" spans="1:12" x14ac:dyDescent="0.15">
      <c r="A33" s="23"/>
      <c r="B33" s="61" t="s">
        <v>23</v>
      </c>
      <c r="C33" s="61"/>
      <c r="D33" s="61" t="s">
        <v>24</v>
      </c>
      <c r="E33" s="61"/>
      <c r="F33" s="61" t="s">
        <v>25</v>
      </c>
      <c r="G33" s="61"/>
    </row>
    <row r="34" spans="1:12" x14ac:dyDescent="0.15">
      <c r="A34" s="18" t="s">
        <v>32</v>
      </c>
      <c r="B34" s="25">
        <v>0.12</v>
      </c>
      <c r="C34" s="25">
        <v>0.12</v>
      </c>
      <c r="D34" s="25">
        <v>0.23</v>
      </c>
      <c r="E34" s="25">
        <v>0.23</v>
      </c>
      <c r="F34" s="25">
        <v>0.65</v>
      </c>
      <c r="G34" s="25">
        <v>0.65</v>
      </c>
    </row>
    <row r="35" spans="1:12" x14ac:dyDescent="0.15">
      <c r="A35" s="23" t="s">
        <v>49</v>
      </c>
      <c r="B35" s="23">
        <f>$B31*B34</f>
        <v>28.2</v>
      </c>
      <c r="C35" s="23">
        <f t="shared" ref="C35:G35" si="5">$B31*C34</f>
        <v>28.2</v>
      </c>
      <c r="D35" s="23">
        <f t="shared" si="5"/>
        <v>54.050000000000004</v>
      </c>
      <c r="E35" s="23">
        <f t="shared" si="5"/>
        <v>54.050000000000004</v>
      </c>
      <c r="F35" s="23">
        <f t="shared" si="5"/>
        <v>152.75</v>
      </c>
      <c r="G35" s="23">
        <f t="shared" si="5"/>
        <v>152.75</v>
      </c>
    </row>
    <row r="36" spans="1:12" x14ac:dyDescent="0.15">
      <c r="A36" s="18" t="s">
        <v>33</v>
      </c>
      <c r="B36" s="25">
        <v>0.62</v>
      </c>
      <c r="C36" s="25">
        <v>0.62</v>
      </c>
      <c r="D36" s="25">
        <v>0.22</v>
      </c>
      <c r="E36" s="25">
        <v>0.22</v>
      </c>
      <c r="F36" s="25">
        <v>0.16</v>
      </c>
      <c r="G36" s="25">
        <v>0.16</v>
      </c>
    </row>
    <row r="37" spans="1:12" x14ac:dyDescent="0.15">
      <c r="A37" s="23" t="s">
        <v>50</v>
      </c>
      <c r="B37" s="23">
        <f>$B32*B36</f>
        <v>225370</v>
      </c>
      <c r="C37" s="23">
        <f t="shared" ref="C37:G37" si="6">$B32*C36</f>
        <v>225370</v>
      </c>
      <c r="D37" s="23">
        <f t="shared" si="6"/>
        <v>79970</v>
      </c>
      <c r="E37" s="23">
        <f t="shared" si="6"/>
        <v>79970</v>
      </c>
      <c r="F37" s="23">
        <f t="shared" si="6"/>
        <v>58160</v>
      </c>
      <c r="G37" s="23">
        <f t="shared" si="6"/>
        <v>58160</v>
      </c>
    </row>
    <row r="38" spans="1:12" x14ac:dyDescent="0.15">
      <c r="A38" s="18" t="s">
        <v>34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35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12" x14ac:dyDescent="0.15">
      <c r="A40" s="23"/>
      <c r="B40" s="23"/>
      <c r="C40" s="23"/>
      <c r="D40" s="23"/>
      <c r="E40" s="23"/>
      <c r="F40" s="23"/>
      <c r="G40" s="23"/>
    </row>
    <row r="41" spans="1:12" x14ac:dyDescent="0.15">
      <c r="A41" s="23"/>
      <c r="B41" s="23"/>
      <c r="C41" s="23"/>
      <c r="D41" s="23"/>
      <c r="E41" s="23"/>
      <c r="F41" s="23"/>
      <c r="G41" s="23"/>
    </row>
    <row r="42" spans="1:12" x14ac:dyDescent="0.15">
      <c r="A42" s="18" t="s">
        <v>36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3" t="s">
        <v>51</v>
      </c>
      <c r="B43" s="23">
        <f>B37*B38*B39*B42</f>
        <v>69808.357499999998</v>
      </c>
      <c r="C43" s="23">
        <f t="shared" ref="C43:G43" si="7">C37*C38*C39*C42</f>
        <v>76789.193250000011</v>
      </c>
      <c r="D43" s="23">
        <f t="shared" si="7"/>
        <v>24770.7075</v>
      </c>
      <c r="E43" s="23">
        <f t="shared" si="7"/>
        <v>27247.778250000003</v>
      </c>
      <c r="F43" s="23">
        <f t="shared" si="7"/>
        <v>18015.059999999998</v>
      </c>
      <c r="G43" s="23">
        <f t="shared" si="7"/>
        <v>19816.565999999999</v>
      </c>
    </row>
    <row r="44" spans="1:12" x14ac:dyDescent="0.15">
      <c r="A44" s="10" t="s">
        <v>37</v>
      </c>
      <c r="B44" s="26">
        <f>B43/B35</f>
        <v>2475.4736702127661</v>
      </c>
      <c r="C44" s="26">
        <f t="shared" ref="C44:G44" si="8">C43/C35</f>
        <v>2723.021037234043</v>
      </c>
      <c r="D44" s="26">
        <f t="shared" si="8"/>
        <v>458.29246068455132</v>
      </c>
      <c r="E44" s="26">
        <f t="shared" si="8"/>
        <v>504.12170675300649</v>
      </c>
      <c r="F44" s="26">
        <f t="shared" si="8"/>
        <v>117.93819967266774</v>
      </c>
      <c r="G44" s="26">
        <f t="shared" si="8"/>
        <v>129.73201963993452</v>
      </c>
      <c r="J44" s="62">
        <v>0.5</v>
      </c>
      <c r="K44" s="62">
        <v>1</v>
      </c>
      <c r="L44" s="62">
        <f t="shared" si="4"/>
        <v>0.5</v>
      </c>
    </row>
    <row r="46" spans="1:12" x14ac:dyDescent="0.15">
      <c r="A46" s="13" t="s">
        <v>38</v>
      </c>
      <c r="B46" s="53" t="s">
        <v>23</v>
      </c>
      <c r="C46" s="54"/>
      <c r="D46" s="53" t="s">
        <v>24</v>
      </c>
      <c r="E46" s="54"/>
      <c r="F46" s="53" t="s">
        <v>25</v>
      </c>
      <c r="G46" s="54"/>
    </row>
    <row r="47" spans="1:12" ht="13" customHeight="1" x14ac:dyDescent="0.15">
      <c r="A47" s="27" t="s">
        <v>47</v>
      </c>
      <c r="B47" s="18">
        <v>1.4999999999999999E-2</v>
      </c>
      <c r="C47" s="18">
        <v>0.01</v>
      </c>
      <c r="D47" s="18">
        <v>1.2E-2</v>
      </c>
      <c r="E47" s="18">
        <v>1.0999999999999999E-2</v>
      </c>
      <c r="F47" s="18">
        <v>0.01</v>
      </c>
      <c r="G47" s="18">
        <v>7.0000000000000001E-3</v>
      </c>
    </row>
    <row r="48" spans="1:12" ht="13" customHeight="1" x14ac:dyDescent="0.15">
      <c r="A48" s="28" t="s">
        <v>66</v>
      </c>
      <c r="B48" s="29">
        <f>B47*60</f>
        <v>0.89999999999999991</v>
      </c>
      <c r="C48" s="29">
        <f t="shared" ref="C48:G48" si="9">C47*60</f>
        <v>0.6</v>
      </c>
      <c r="D48" s="29">
        <f t="shared" si="9"/>
        <v>0.72</v>
      </c>
      <c r="E48" s="29">
        <f t="shared" si="9"/>
        <v>0.65999999999999992</v>
      </c>
      <c r="F48" s="29">
        <f t="shared" si="9"/>
        <v>0.6</v>
      </c>
      <c r="G48" s="29">
        <f t="shared" si="9"/>
        <v>0.42</v>
      </c>
    </row>
    <row r="49" spans="1:12" ht="13" customHeight="1" x14ac:dyDescent="0.15">
      <c r="A49" s="28" t="s">
        <v>67</v>
      </c>
      <c r="B49" s="29">
        <v>8</v>
      </c>
      <c r="C49" s="29">
        <v>13</v>
      </c>
      <c r="D49" s="29">
        <v>8</v>
      </c>
      <c r="E49" s="29">
        <v>13</v>
      </c>
      <c r="F49" s="29">
        <v>8</v>
      </c>
      <c r="G49" s="29">
        <v>13</v>
      </c>
    </row>
    <row r="50" spans="1:12" ht="13" customHeight="1" x14ac:dyDescent="0.15">
      <c r="A50" s="28" t="s">
        <v>68</v>
      </c>
      <c r="B50" s="30">
        <f>B48*B49</f>
        <v>7.1999999999999993</v>
      </c>
      <c r="C50" s="30">
        <f t="shared" ref="C50:G50" si="10">C48*C49</f>
        <v>7.8</v>
      </c>
      <c r="D50" s="30">
        <f t="shared" si="10"/>
        <v>5.76</v>
      </c>
      <c r="E50" s="30">
        <f t="shared" si="10"/>
        <v>8.5799999999999983</v>
      </c>
      <c r="F50" s="30">
        <f t="shared" si="10"/>
        <v>4.8</v>
      </c>
      <c r="G50" s="30">
        <f t="shared" si="10"/>
        <v>5.46</v>
      </c>
    </row>
    <row r="51" spans="1:12" ht="13" customHeight="1" x14ac:dyDescent="0.15">
      <c r="A51" s="38" t="s">
        <v>69</v>
      </c>
      <c r="B51">
        <f>B50*250</f>
        <v>1799.9999999999998</v>
      </c>
      <c r="C51">
        <f t="shared" ref="C51:G51" si="11">C50*250</f>
        <v>1950</v>
      </c>
      <c r="D51">
        <f t="shared" si="11"/>
        <v>1440</v>
      </c>
      <c r="E51">
        <f t="shared" si="11"/>
        <v>2144.9999999999995</v>
      </c>
      <c r="F51">
        <f t="shared" si="11"/>
        <v>1200</v>
      </c>
      <c r="G51">
        <f t="shared" si="11"/>
        <v>1365</v>
      </c>
    </row>
    <row r="52" spans="1:12" ht="13" customHeight="1" x14ac:dyDescent="0.15">
      <c r="A52" s="39" t="s">
        <v>78</v>
      </c>
      <c r="B52" s="40">
        <f>B51*B43</f>
        <v>125655043.49999999</v>
      </c>
      <c r="C52" s="40">
        <f t="shared" ref="C52:G52" si="12">C51*C43</f>
        <v>149738926.83750004</v>
      </c>
      <c r="D52" s="40">
        <f t="shared" si="12"/>
        <v>35669818.799999997</v>
      </c>
      <c r="E52" s="40">
        <f t="shared" si="12"/>
        <v>58446484.346249998</v>
      </c>
      <c r="F52" s="40">
        <f t="shared" si="12"/>
        <v>21618071.999999996</v>
      </c>
      <c r="G52" s="40">
        <f t="shared" si="12"/>
        <v>27049612.59</v>
      </c>
      <c r="J52" s="62">
        <v>0.75</v>
      </c>
      <c r="K52" s="62">
        <v>1</v>
      </c>
      <c r="L52" s="62">
        <f>J52*K52</f>
        <v>0.75</v>
      </c>
    </row>
    <row r="53" spans="1:12" x14ac:dyDescent="0.15">
      <c r="A53" s="41"/>
      <c r="B53" s="41"/>
      <c r="C53" s="41"/>
      <c r="D53" s="41"/>
      <c r="E53" s="41"/>
      <c r="F53" s="41"/>
      <c r="G53" s="41"/>
    </row>
    <row r="54" spans="1:12" x14ac:dyDescent="0.15">
      <c r="A54" s="13" t="s">
        <v>2</v>
      </c>
      <c r="B54" s="58" t="s">
        <v>23</v>
      </c>
      <c r="C54" s="58"/>
      <c r="D54" s="58" t="s">
        <v>24</v>
      </c>
      <c r="E54" s="58"/>
      <c r="F54" s="58" t="s">
        <v>25</v>
      </c>
      <c r="G54" s="58"/>
    </row>
    <row r="55" spans="1:12" x14ac:dyDescent="0.15">
      <c r="A55" s="14" t="s">
        <v>1</v>
      </c>
      <c r="B55" s="19">
        <f>1-(1/(10^(C12/10)))</f>
        <v>0.29205421561586209</v>
      </c>
      <c r="C55" s="19">
        <f t="shared" ref="C55:G55" si="13">1-(1/(10^(D12/10)))</f>
        <v>0.29205421561586209</v>
      </c>
      <c r="D55" s="19">
        <f t="shared" si="13"/>
        <v>0.29205421561586209</v>
      </c>
      <c r="E55" s="19">
        <f t="shared" si="13"/>
        <v>0.29205421561586209</v>
      </c>
      <c r="F55" s="19">
        <f t="shared" si="13"/>
        <v>0.64518661076642458</v>
      </c>
      <c r="G55" s="19">
        <f t="shared" si="13"/>
        <v>0.64518661076642458</v>
      </c>
    </row>
    <row r="56" spans="1:12" x14ac:dyDescent="0.15">
      <c r="A56" s="19"/>
      <c r="B56" s="31" t="s">
        <v>26</v>
      </c>
      <c r="C56" s="31" t="s">
        <v>4</v>
      </c>
      <c r="D56" s="31" t="s">
        <v>3</v>
      </c>
      <c r="E56" s="31" t="s">
        <v>4</v>
      </c>
      <c r="F56" s="31" t="s">
        <v>3</v>
      </c>
      <c r="G56" s="31" t="s">
        <v>4</v>
      </c>
    </row>
    <row r="57" spans="1:12" x14ac:dyDescent="0.15">
      <c r="A57" s="14" t="s">
        <v>52</v>
      </c>
      <c r="B57" s="14">
        <f>10^(4.6/10)</f>
        <v>2.8840315031266059</v>
      </c>
      <c r="C57" s="14">
        <f>10^(2.6/10)</f>
        <v>1.8197008586099837</v>
      </c>
      <c r="D57" s="14">
        <f>10^(4.6/10)</f>
        <v>2.8840315031266059</v>
      </c>
      <c r="E57" s="14">
        <f>10^(2.6/10)</f>
        <v>1.8197008586099837</v>
      </c>
      <c r="F57" s="14">
        <f>10^(4.6/10)</f>
        <v>2.8840315031266059</v>
      </c>
      <c r="G57" s="14">
        <f>10^(2.6/10)</f>
        <v>1.8197008586099837</v>
      </c>
    </row>
    <row r="58" spans="1:12" x14ac:dyDescent="0.15">
      <c r="A58" s="23" t="s">
        <v>8</v>
      </c>
      <c r="B58" s="23">
        <f>(B57*B61*(1-B60+B62))/(3840/B59)</f>
        <v>6.8143806229890979E-3</v>
      </c>
      <c r="C58" s="23">
        <f t="shared" ref="C58:G58" si="14">(C57*C61*(1-C60+C62))/(3840/C59)</f>
        <v>3.3664465884284699E-2</v>
      </c>
      <c r="D58" s="23">
        <f t="shared" si="14"/>
        <v>6.8143806229890979E-3</v>
      </c>
      <c r="E58" s="23">
        <f t="shared" si="14"/>
        <v>3.3664465884284699E-2</v>
      </c>
      <c r="F58" s="23">
        <f t="shared" si="14"/>
        <v>6.8143806229890979E-3</v>
      </c>
      <c r="G58" s="23">
        <f t="shared" si="14"/>
        <v>3.3664465884284699E-2</v>
      </c>
      <c r="J58" s="62">
        <v>1.25</v>
      </c>
      <c r="K58" s="62">
        <v>1</v>
      </c>
      <c r="L58" s="62">
        <f>J58*K58</f>
        <v>1.25</v>
      </c>
    </row>
    <row r="59" spans="1:12" x14ac:dyDescent="0.15">
      <c r="A59" s="42" t="s">
        <v>53</v>
      </c>
      <c r="B59" s="23">
        <v>12.2</v>
      </c>
      <c r="C59" s="23">
        <v>64</v>
      </c>
      <c r="D59" s="23">
        <v>12.2</v>
      </c>
      <c r="E59" s="23">
        <v>64</v>
      </c>
      <c r="F59" s="23">
        <v>12.2</v>
      </c>
      <c r="G59" s="23">
        <v>64</v>
      </c>
    </row>
    <row r="60" spans="1:12" x14ac:dyDescent="0.15">
      <c r="A60" s="37" t="s">
        <v>54</v>
      </c>
      <c r="B60" s="8">
        <v>0.55000000000000004</v>
      </c>
      <c r="C60" s="8">
        <v>0.55000000000000004</v>
      </c>
      <c r="D60" s="8">
        <v>0.55000000000000004</v>
      </c>
      <c r="E60" s="8">
        <v>0.55000000000000004</v>
      </c>
      <c r="F60" s="8">
        <v>0.55000000000000004</v>
      </c>
      <c r="G60" s="8">
        <v>0.55000000000000004</v>
      </c>
    </row>
    <row r="61" spans="1:12" x14ac:dyDescent="0.15">
      <c r="A61" s="37" t="s">
        <v>55</v>
      </c>
      <c r="B61" s="8">
        <v>0.67</v>
      </c>
      <c r="C61" s="8">
        <v>1</v>
      </c>
      <c r="D61" s="8">
        <v>0.67</v>
      </c>
      <c r="E61" s="8">
        <v>1</v>
      </c>
      <c r="F61" s="8">
        <v>0.67</v>
      </c>
      <c r="G61" s="8">
        <v>1</v>
      </c>
    </row>
    <row r="62" spans="1:12" x14ac:dyDescent="0.15">
      <c r="A62" s="37" t="s">
        <v>56</v>
      </c>
      <c r="B62" s="8">
        <v>0.66</v>
      </c>
      <c r="C62" s="8">
        <v>0.66</v>
      </c>
      <c r="D62" s="8">
        <v>0.66</v>
      </c>
      <c r="E62" s="8">
        <v>0.66</v>
      </c>
      <c r="F62" s="8">
        <v>0.66</v>
      </c>
      <c r="G62" s="8">
        <v>0.66</v>
      </c>
    </row>
    <row r="63" spans="1:12" x14ac:dyDescent="0.15">
      <c r="A63" s="19" t="s">
        <v>9</v>
      </c>
      <c r="B63" s="19">
        <v>0.06</v>
      </c>
      <c r="C63" s="33">
        <f>C55-B63</f>
        <v>0.23205421561586209</v>
      </c>
      <c r="D63" s="19">
        <v>0.05</v>
      </c>
      <c r="E63" s="33">
        <f>E55-D63</f>
        <v>0.2420542156158621</v>
      </c>
      <c r="F63" s="19">
        <v>0.13</v>
      </c>
      <c r="G63" s="33">
        <f>G55-F63</f>
        <v>0.51518661076642458</v>
      </c>
    </row>
    <row r="64" spans="1:12" x14ac:dyDescent="0.15">
      <c r="A64" s="34" t="s">
        <v>29</v>
      </c>
      <c r="B64" s="32">
        <f>B63/B58</f>
        <v>8.8049088126341353</v>
      </c>
      <c r="C64" s="32">
        <f t="shared" ref="C64:G64" si="15">C63/C58</f>
        <v>6.8931500773992678</v>
      </c>
      <c r="D64" s="32">
        <f t="shared" si="15"/>
        <v>7.3374240105284469</v>
      </c>
      <c r="E64" s="32">
        <f t="shared" si="15"/>
        <v>7.1901991984033895</v>
      </c>
      <c r="F64" s="32">
        <f t="shared" si="15"/>
        <v>19.077302427373962</v>
      </c>
      <c r="G64" s="32">
        <f t="shared" si="15"/>
        <v>15.303572988125881</v>
      </c>
    </row>
    <row r="65" spans="1:12" x14ac:dyDescent="0.15">
      <c r="A65" s="19" t="s">
        <v>10</v>
      </c>
      <c r="B65" s="19">
        <f>B64*(1+B62)</f>
        <v>14.616148628972665</v>
      </c>
      <c r="C65" s="19">
        <f t="shared" ref="C65:G65" si="16">C64*(1+C62)</f>
        <v>11.442629128482785</v>
      </c>
      <c r="D65" s="19">
        <f t="shared" si="16"/>
        <v>12.180123857477223</v>
      </c>
      <c r="E65" s="19">
        <f t="shared" si="16"/>
        <v>11.935730669349628</v>
      </c>
      <c r="F65" s="19">
        <f t="shared" si="16"/>
        <v>31.66832202944078</v>
      </c>
      <c r="G65" s="19">
        <f t="shared" si="16"/>
        <v>25.403931160288963</v>
      </c>
    </row>
    <row r="66" spans="1:12" x14ac:dyDescent="0.15">
      <c r="A66" s="34" t="s">
        <v>21</v>
      </c>
      <c r="B66" s="34">
        <f>VLOOKUP(B65,Erlang!$A2:$B76,2,TRUE)</f>
        <v>8.2002682999999994</v>
      </c>
      <c r="C66" s="34">
        <f>VLOOKUP(C65,Erlang!$A2:$B76,2,TRUE)</f>
        <v>5.8415311000000001</v>
      </c>
      <c r="D66" s="34">
        <f>VLOOKUP(D65,Erlang!$A2:$B76,2,TRUE)</f>
        <v>6.6147182999999998</v>
      </c>
      <c r="E66" s="34">
        <f>VLOOKUP(E65,Erlang!$A2:$B76,2,TRUE)</f>
        <v>5.8415311000000001</v>
      </c>
      <c r="F66" s="34">
        <f>VLOOKUP(F65,Erlang!$A2:$B76,2,TRUE)</f>
        <v>22.826789000000002</v>
      </c>
      <c r="G66" s="34">
        <f>VLOOKUP(G65,Erlang!$A2:$B76,2,TRUE)</f>
        <v>17.504635</v>
      </c>
    </row>
    <row r="67" spans="1:12" x14ac:dyDescent="0.15">
      <c r="A67" s="19" t="s">
        <v>22</v>
      </c>
      <c r="B67" s="19">
        <f>B66/(1+B62)</f>
        <v>4.9399206626506018</v>
      </c>
      <c r="C67" s="19">
        <f t="shared" ref="C67:G67" si="17">C66/(1+C62)</f>
        <v>3.5189946385542168</v>
      </c>
      <c r="D67" s="19">
        <f t="shared" si="17"/>
        <v>3.9847700602409635</v>
      </c>
      <c r="E67" s="19">
        <f t="shared" si="17"/>
        <v>3.5189946385542168</v>
      </c>
      <c r="F67" s="19">
        <f t="shared" si="17"/>
        <v>13.751077710843374</v>
      </c>
      <c r="G67" s="19">
        <f t="shared" si="17"/>
        <v>10.544960843373493</v>
      </c>
    </row>
    <row r="68" spans="1:12" x14ac:dyDescent="0.15">
      <c r="A68" s="19" t="s">
        <v>39</v>
      </c>
      <c r="B68" s="19">
        <f t="shared" ref="B68:G68" si="18">B47</f>
        <v>1.4999999999999999E-2</v>
      </c>
      <c r="C68" s="19">
        <f t="shared" si="18"/>
        <v>0.01</v>
      </c>
      <c r="D68" s="19">
        <f t="shared" si="18"/>
        <v>1.2E-2</v>
      </c>
      <c r="E68" s="19">
        <f t="shared" si="18"/>
        <v>1.0999999999999999E-2</v>
      </c>
      <c r="F68" s="19">
        <f t="shared" si="18"/>
        <v>0.01</v>
      </c>
      <c r="G68" s="19">
        <f t="shared" si="18"/>
        <v>7.0000000000000001E-3</v>
      </c>
      <c r="J68" s="62">
        <v>3</v>
      </c>
      <c r="K68" s="62">
        <v>1</v>
      </c>
      <c r="L68" s="62">
        <f>J68*K68</f>
        <v>3</v>
      </c>
    </row>
    <row r="69" spans="1:12" x14ac:dyDescent="0.15">
      <c r="A69" s="19" t="s">
        <v>7</v>
      </c>
      <c r="B69" s="19">
        <f>B67/B68</f>
        <v>329.32804417670678</v>
      </c>
      <c r="C69" s="19">
        <f t="shared" ref="C69:G69" si="19">C67/C68</f>
        <v>351.89946385542169</v>
      </c>
      <c r="D69" s="19">
        <f t="shared" si="19"/>
        <v>332.06417168674693</v>
      </c>
      <c r="E69" s="19">
        <f t="shared" si="19"/>
        <v>319.90860350492881</v>
      </c>
      <c r="F69" s="19">
        <f t="shared" si="19"/>
        <v>1375.1077710843374</v>
      </c>
      <c r="G69" s="19">
        <f t="shared" si="19"/>
        <v>1506.4229776247848</v>
      </c>
    </row>
    <row r="70" spans="1:12" x14ac:dyDescent="0.15">
      <c r="A70" s="37" t="s">
        <v>65</v>
      </c>
      <c r="B70">
        <v>4</v>
      </c>
      <c r="C70">
        <v>4</v>
      </c>
      <c r="D70">
        <v>3</v>
      </c>
      <c r="E70">
        <v>3</v>
      </c>
      <c r="F70">
        <v>3</v>
      </c>
      <c r="G70">
        <v>3</v>
      </c>
    </row>
    <row r="71" spans="1:12" x14ac:dyDescent="0.15">
      <c r="A71" s="35"/>
      <c r="B71" s="53" t="s">
        <v>23</v>
      </c>
      <c r="C71" s="54"/>
      <c r="D71" s="53" t="s">
        <v>24</v>
      </c>
      <c r="E71" s="54"/>
      <c r="F71" s="53" t="s">
        <v>25</v>
      </c>
      <c r="G71" s="54"/>
      <c r="J71" s="62">
        <v>1.5</v>
      </c>
      <c r="K71" s="62">
        <v>0.3</v>
      </c>
      <c r="L71" s="62">
        <f>J71*K71</f>
        <v>0.44999999999999996</v>
      </c>
    </row>
    <row r="72" spans="1:12" x14ac:dyDescent="0.15">
      <c r="A72" s="41" t="s">
        <v>5</v>
      </c>
      <c r="B72" s="44">
        <f>SQRT((B70*B69)/(PI()*B44))</f>
        <v>0.41156673078596706</v>
      </c>
      <c r="C72" s="44">
        <f t="shared" ref="C72:G72" si="20">SQRT((C70*C69)/(PI()*C44))</f>
        <v>0.40563821561438013</v>
      </c>
      <c r="D72" s="44">
        <f t="shared" si="20"/>
        <v>0.83181231233206754</v>
      </c>
      <c r="E72" s="44">
        <f t="shared" si="20"/>
        <v>0.77845041058993059</v>
      </c>
      <c r="F72" s="44">
        <f t="shared" si="20"/>
        <v>3.3367741487999347</v>
      </c>
      <c r="G72" s="44">
        <f t="shared" si="20"/>
        <v>3.3299335503616652</v>
      </c>
    </row>
    <row r="73" spans="1:12" x14ac:dyDescent="0.15">
      <c r="A73" s="39" t="s">
        <v>79</v>
      </c>
      <c r="B73" s="55">
        <f>MIN(B72,C72)</f>
        <v>0.40563821561438013</v>
      </c>
      <c r="C73" s="56"/>
      <c r="D73" s="57">
        <f>MIN(D72,E72)</f>
        <v>0.77845041058993059</v>
      </c>
      <c r="E73" s="57"/>
      <c r="F73" s="57">
        <f>MIN(F72,G72)</f>
        <v>3.3299335503616652</v>
      </c>
      <c r="G73" s="57"/>
      <c r="J73" s="62">
        <v>0.5</v>
      </c>
      <c r="K73" s="62">
        <v>0.3</v>
      </c>
      <c r="L73" s="62">
        <f>J73*K73</f>
        <v>0.15</v>
      </c>
    </row>
    <row r="74" spans="1:12" x14ac:dyDescent="0.15">
      <c r="A74" s="45" t="s">
        <v>80</v>
      </c>
      <c r="B74" s="46">
        <f>B28</f>
        <v>0.36441914818795984</v>
      </c>
      <c r="C74" s="47"/>
      <c r="D74" s="48">
        <f>C28</f>
        <v>0.81171556561492553</v>
      </c>
      <c r="E74" s="49"/>
      <c r="F74" s="48">
        <f>D28</f>
        <v>3.234929146602822</v>
      </c>
      <c r="G74" s="49"/>
    </row>
    <row r="75" spans="1:12" x14ac:dyDescent="0.15">
      <c r="A75" s="43" t="s">
        <v>57</v>
      </c>
      <c r="B75" s="50">
        <v>1.5</v>
      </c>
      <c r="C75" s="51"/>
      <c r="D75" s="52">
        <v>1.5</v>
      </c>
      <c r="E75" s="52"/>
      <c r="F75" s="52">
        <v>4.5</v>
      </c>
      <c r="G75" s="52"/>
    </row>
    <row r="76" spans="1:12" x14ac:dyDescent="0.15">
      <c r="A76" s="35"/>
      <c r="B76" s="35" t="s">
        <v>23</v>
      </c>
      <c r="C76" s="35" t="s">
        <v>24</v>
      </c>
      <c r="D76" s="35" t="s">
        <v>25</v>
      </c>
    </row>
    <row r="77" spans="1:12" x14ac:dyDescent="0.15">
      <c r="A77" s="16" t="s">
        <v>6</v>
      </c>
      <c r="B77" s="36">
        <f>MIN(B72,C72,B28)</f>
        <v>0.36441914818795984</v>
      </c>
      <c r="C77" s="36">
        <f>MIN(D72,E72,C28)</f>
        <v>0.77845041058993059</v>
      </c>
      <c r="D77" s="36">
        <f>MIN(F72,G72,D28)</f>
        <v>3.234929146602822</v>
      </c>
      <c r="J77" s="62">
        <f>SUM(J13:J75)</f>
        <v>10</v>
      </c>
      <c r="K77" s="62">
        <v>1</v>
      </c>
      <c r="L77" s="62">
        <f>SUM(L13:L75)</f>
        <v>7.1000000000000005</v>
      </c>
    </row>
    <row r="78" spans="1:12" x14ac:dyDescent="0.15">
      <c r="A78" s="16" t="s">
        <v>27</v>
      </c>
      <c r="B78" s="16">
        <f>PI()*(B77^2)</f>
        <v>0.41720763736932559</v>
      </c>
      <c r="C78" s="16">
        <f t="shared" ref="C78:D78" si="21">PI()*(C77^2)</f>
        <v>1.903758155339663</v>
      </c>
      <c r="D78" s="16">
        <f t="shared" si="21"/>
        <v>32.876033820382673</v>
      </c>
      <c r="L78" s="64">
        <f>L77/10*1.5</f>
        <v>1.0650000000000002</v>
      </c>
    </row>
    <row r="79" spans="1:12" x14ac:dyDescent="0.15">
      <c r="A79" s="16" t="s">
        <v>28</v>
      </c>
      <c r="B79" s="16">
        <f>ROUNDUP(B35/B78,0)</f>
        <v>68</v>
      </c>
      <c r="C79" s="16">
        <f>ROUNDUP(D35/C78,0)</f>
        <v>29</v>
      </c>
      <c r="D79" s="16">
        <f>ROUNDUP(F35/D78,0)</f>
        <v>5</v>
      </c>
    </row>
    <row r="81" spans="2:7" x14ac:dyDescent="0.15">
      <c r="B81">
        <f>IF(ABS(B72-C72)&lt;=0.1,0,1)</f>
        <v>0</v>
      </c>
      <c r="E81">
        <f>IF(ABS(D72-E72)&lt;=0.1,0,1)</f>
        <v>0</v>
      </c>
      <c r="G81">
        <f>IF(ABS(F72-G72)&lt;=0.1,0,1)</f>
        <v>0</v>
      </c>
    </row>
    <row r="82" spans="2:7" x14ac:dyDescent="0.15">
      <c r="B82">
        <f>IF(ABS(B73-B74)&lt;=0.1,0,1)</f>
        <v>0</v>
      </c>
      <c r="E82">
        <f>IF(ABS(D73-D74)&lt;=0.1,0,1)</f>
        <v>0</v>
      </c>
      <c r="G82">
        <f>IF(ABS(F73-F74)&lt;=0.1,0,1)</f>
        <v>0</v>
      </c>
    </row>
  </sheetData>
  <mergeCells count="24">
    <mergeCell ref="B54:C54"/>
    <mergeCell ref="D54:E54"/>
    <mergeCell ref="F54:G54"/>
    <mergeCell ref="C2:D2"/>
    <mergeCell ref="E2:F2"/>
    <mergeCell ref="G2:H2"/>
    <mergeCell ref="B33:C33"/>
    <mergeCell ref="D33:E33"/>
    <mergeCell ref="F33:G33"/>
    <mergeCell ref="B46:C46"/>
    <mergeCell ref="D46:E46"/>
    <mergeCell ref="F46:G46"/>
    <mergeCell ref="B71:C71"/>
    <mergeCell ref="D71:E71"/>
    <mergeCell ref="F71:G71"/>
    <mergeCell ref="B73:C73"/>
    <mergeCell ref="D73:E73"/>
    <mergeCell ref="F73:G73"/>
    <mergeCell ref="B74:C74"/>
    <mergeCell ref="D74:E74"/>
    <mergeCell ref="F74:G74"/>
    <mergeCell ref="B75:C75"/>
    <mergeCell ref="D75:E75"/>
    <mergeCell ref="F75:G75"/>
  </mergeCells>
  <phoneticPr fontId="5" type="noConversion"/>
  <pageMargins left="0.75000000000000011" right="0.75000000000000011" top="1" bottom="1" header="0.5" footer="0.5"/>
  <pageSetup scale="80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19</v>
      </c>
      <c r="B1" s="1" t="s">
        <v>20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2021-12-26T11:54:33Z</dcterms:modified>
</cp:coreProperties>
</file>