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onioportilla/Dropbox (Personal)/JAPortilla/Docencia/Comunicaciones Móviles/Curso 2021-2022/02 PEI 2/Correcciones/"/>
    </mc:Choice>
  </mc:AlternateContent>
  <xr:revisionPtr revIDLastSave="0" documentId="13_ncr:1_{07ED0EEB-C956-8A4B-9521-3B04D951A2DD}" xr6:coauthVersionLast="47" xr6:coauthVersionMax="47" xr10:uidLastSave="{00000000-0000-0000-0000-000000000000}"/>
  <bookViews>
    <workbookView xWindow="0" yWindow="500" windowWidth="28800" windowHeight="12300" tabRatio="700" xr2:uid="{00000000-000D-0000-FFFF-FFFF00000000}"/>
  </bookViews>
  <sheets>
    <sheet name="UMTS 2100" sheetId="5" r:id="rId1"/>
    <sheet name="Erlang" sheetId="6" r:id="rId2"/>
  </sheets>
  <definedNames>
    <definedName name="_xlnm.Print_Area" localSheetId="0">'UMTS 2100'!$A$1:$H$80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2" i="5" l="1"/>
  <c r="E51" i="5"/>
  <c r="J80" i="5"/>
  <c r="L77" i="5"/>
  <c r="L71" i="5"/>
  <c r="L68" i="5"/>
  <c r="L58" i="5"/>
  <c r="L52" i="5"/>
  <c r="L44" i="5"/>
  <c r="L28" i="5"/>
  <c r="L13" i="5"/>
  <c r="C51" i="5"/>
  <c r="G51" i="5"/>
  <c r="C48" i="5"/>
  <c r="D48" i="5"/>
  <c r="D51" i="5" s="1"/>
  <c r="E48" i="5"/>
  <c r="F48" i="5"/>
  <c r="F51" i="5" s="1"/>
  <c r="G48" i="5"/>
  <c r="B48" i="5"/>
  <c r="B51" i="5" s="1"/>
  <c r="E64" i="5"/>
  <c r="E65" i="5" s="1"/>
  <c r="E66" i="5" s="1"/>
  <c r="E67" i="5" s="1"/>
  <c r="E68" i="5" s="1"/>
  <c r="E70" i="5" s="1"/>
  <c r="C62" i="5"/>
  <c r="D62" i="5"/>
  <c r="D65" i="5" s="1"/>
  <c r="E62" i="5"/>
  <c r="F62" i="5"/>
  <c r="G62" i="5"/>
  <c r="B65" i="5"/>
  <c r="B66" i="5" s="1"/>
  <c r="B67" i="5" s="1"/>
  <c r="B68" i="5" s="1"/>
  <c r="B70" i="5" s="1"/>
  <c r="D55" i="5"/>
  <c r="F55" i="5"/>
  <c r="G64" i="5" s="1"/>
  <c r="G65" i="5" s="1"/>
  <c r="G66" i="5" s="1"/>
  <c r="G67" i="5" s="1"/>
  <c r="G68" i="5" s="1"/>
  <c r="G70" i="5" s="1"/>
  <c r="B55" i="5"/>
  <c r="C64" i="5" s="1"/>
  <c r="C65" i="5" s="1"/>
  <c r="C66" i="5" s="1"/>
  <c r="C67" i="5" s="1"/>
  <c r="C68" i="5" s="1"/>
  <c r="C70" i="5" s="1"/>
  <c r="C37" i="5"/>
  <c r="C40" i="5" s="1"/>
  <c r="C43" i="5" s="1"/>
  <c r="D37" i="5"/>
  <c r="D40" i="5" s="1"/>
  <c r="D43" i="5" s="1"/>
  <c r="E37" i="5"/>
  <c r="E40" i="5" s="1"/>
  <c r="E43" i="5" s="1"/>
  <c r="E50" i="5" s="1"/>
  <c r="E52" i="5" s="1"/>
  <c r="F37" i="5"/>
  <c r="F40" i="5" s="1"/>
  <c r="F43" i="5" s="1"/>
  <c r="F50" i="5" s="1"/>
  <c r="G37" i="5"/>
  <c r="G40" i="5" s="1"/>
  <c r="G43" i="5" s="1"/>
  <c r="B37" i="5"/>
  <c r="C35" i="5"/>
  <c r="D35" i="5"/>
  <c r="E35" i="5"/>
  <c r="F35" i="5"/>
  <c r="G35" i="5"/>
  <c r="B35" i="5"/>
  <c r="D24" i="5"/>
  <c r="C24" i="5"/>
  <c r="B24" i="5"/>
  <c r="D23" i="5"/>
  <c r="C23" i="5"/>
  <c r="D22" i="5"/>
  <c r="C22" i="5"/>
  <c r="B22" i="5"/>
  <c r="D13" i="5"/>
  <c r="C4" i="5"/>
  <c r="C13" i="5" s="1"/>
  <c r="D4" i="5"/>
  <c r="E4" i="5"/>
  <c r="E13" i="5" s="1"/>
  <c r="F4" i="5"/>
  <c r="F13" i="5" s="1"/>
  <c r="G4" i="5"/>
  <c r="G13" i="5" s="1"/>
  <c r="H4" i="5"/>
  <c r="H13" i="5" s="1"/>
  <c r="L80" i="5" l="1"/>
  <c r="L81" i="5" s="1"/>
  <c r="D44" i="5"/>
  <c r="D72" i="5" s="1"/>
  <c r="D50" i="5"/>
  <c r="D52" i="5"/>
  <c r="C52" i="5"/>
  <c r="C44" i="5"/>
  <c r="C72" i="5" s="1"/>
  <c r="C74" i="5" s="1"/>
  <c r="C50" i="5"/>
  <c r="F52" i="5"/>
  <c r="G44" i="5"/>
  <c r="G72" i="5" s="1"/>
  <c r="G50" i="5"/>
  <c r="G52" i="5" s="1"/>
  <c r="D25" i="5"/>
  <c r="D26" i="5" s="1"/>
  <c r="D28" i="5" s="1"/>
  <c r="B25" i="5"/>
  <c r="B26" i="5" s="1"/>
  <c r="B28" i="5" s="1"/>
  <c r="F66" i="5"/>
  <c r="F67" i="5" s="1"/>
  <c r="F68" i="5" s="1"/>
  <c r="F70" i="5" s="1"/>
  <c r="F65" i="5"/>
  <c r="G74" i="5"/>
  <c r="D66" i="5"/>
  <c r="D67" i="5" s="1"/>
  <c r="D68" i="5" s="1"/>
  <c r="D70" i="5" s="1"/>
  <c r="D74" i="5" s="1"/>
  <c r="H35" i="5"/>
  <c r="C25" i="5"/>
  <c r="C26" i="5" s="1"/>
  <c r="C28" i="5" s="1"/>
  <c r="F44" i="5"/>
  <c r="F72" i="5" s="1"/>
  <c r="H37" i="5"/>
  <c r="E44" i="5"/>
  <c r="E72" i="5" s="1"/>
  <c r="E74" i="5" s="1"/>
  <c r="B40" i="5"/>
  <c r="B43" i="5" s="1"/>
  <c r="F74" i="5" l="1"/>
  <c r="D77" i="5" s="1"/>
  <c r="D78" i="5" s="1"/>
  <c r="D79" i="5" s="1"/>
  <c r="C77" i="5"/>
  <c r="C78" i="5" s="1"/>
  <c r="C79" i="5" s="1"/>
  <c r="B44" i="5"/>
  <c r="B72" i="5" s="1"/>
  <c r="B74" i="5" s="1"/>
  <c r="B50" i="5"/>
  <c r="B52" i="5" s="1"/>
  <c r="F75" i="5"/>
  <c r="D75" i="5"/>
  <c r="B77" i="5" l="1"/>
  <c r="B78" i="5" s="1"/>
  <c r="B79" i="5" s="1"/>
  <c r="B75" i="5"/>
</calcChain>
</file>

<file path=xl/sharedStrings.xml><?xml version="1.0" encoding="utf-8"?>
<sst xmlns="http://schemas.openxmlformats.org/spreadsheetml/2006/main" count="107" uniqueCount="82">
  <si>
    <t>Pathloss</t>
    <phoneticPr fontId="5" type="noConversion"/>
  </si>
  <si>
    <t>Carga Total</t>
    <phoneticPr fontId="5" type="noConversion"/>
  </si>
  <si>
    <t xml:space="preserve">Por capacidad </t>
    <phoneticPr fontId="5" type="noConversion"/>
  </si>
  <si>
    <t>Voz</t>
    <phoneticPr fontId="5" type="noConversion"/>
  </si>
  <si>
    <t>Datos</t>
    <phoneticPr fontId="5" type="noConversion"/>
  </si>
  <si>
    <t>Radio por Capacidad</t>
    <phoneticPr fontId="5" type="noConversion"/>
  </si>
  <si>
    <t>Radios Definitivos</t>
    <phoneticPr fontId="5" type="noConversion"/>
  </si>
  <si>
    <t>Usuarios</t>
    <phoneticPr fontId="5" type="noConversion"/>
  </si>
  <si>
    <t>Eb/No</t>
    <phoneticPr fontId="5" type="noConversion"/>
  </si>
  <si>
    <t>Factor de Carga Ind.</t>
    <phoneticPr fontId="5" type="noConversion"/>
  </si>
  <si>
    <t>Distribucion Carga</t>
    <phoneticPr fontId="5" type="noConversion"/>
  </si>
  <si>
    <t>N Conexiones Activas SC</t>
    <phoneticPr fontId="5" type="noConversion"/>
  </si>
  <si>
    <t>Mv</t>
    <phoneticPr fontId="5" type="noConversion"/>
  </si>
  <si>
    <t>Camino</t>
    <phoneticPr fontId="5" type="noConversion"/>
  </si>
  <si>
    <t>BTS</t>
    <phoneticPr fontId="5" type="noConversion"/>
  </si>
  <si>
    <t>Voz</t>
    <phoneticPr fontId="5" type="noConversion"/>
  </si>
  <si>
    <t>Datos</t>
    <phoneticPr fontId="5" type="noConversion"/>
  </si>
  <si>
    <t xml:space="preserve">Voz </t>
    <phoneticPr fontId="5" type="noConversion"/>
  </si>
  <si>
    <t>Datos</t>
    <phoneticPr fontId="5" type="noConversion"/>
  </si>
  <si>
    <t>Propagacion</t>
    <phoneticPr fontId="5" type="noConversion"/>
  </si>
  <si>
    <t>N CANALES</t>
  </si>
  <si>
    <t>A (2 %)</t>
  </si>
  <si>
    <t>Trafico Ofrecido SC</t>
  </si>
  <si>
    <t>Trafico Ofrecido EB</t>
  </si>
  <si>
    <t>Urbano</t>
  </si>
  <si>
    <t>Suburbano</t>
  </si>
  <si>
    <t>Rural</t>
  </si>
  <si>
    <t>Voz</t>
  </si>
  <si>
    <t>Area Nodo B</t>
  </si>
  <si>
    <t>Número Nodos B</t>
  </si>
  <si>
    <t>N Conexiones Activas EB</t>
  </si>
  <si>
    <t>Terreno Total</t>
    <phoneticPr fontId="2" type="noConversion"/>
  </si>
  <si>
    <t>Poblacion total</t>
  </si>
  <si>
    <t>Porcentages Terreno</t>
    <phoneticPr fontId="2" type="noConversion"/>
  </si>
  <si>
    <t>Porcentages Población</t>
    <phoneticPr fontId="2" type="noConversion"/>
  </si>
  <si>
    <t>Penetración de Mercado</t>
    <phoneticPr fontId="2" type="noConversion"/>
  </si>
  <si>
    <t>Market Share</t>
    <phoneticPr fontId="2" type="noConversion"/>
  </si>
  <si>
    <t>Penetración Servicio</t>
    <phoneticPr fontId="2" type="noConversion"/>
  </si>
  <si>
    <t>Densidad</t>
    <phoneticPr fontId="2" type="noConversion"/>
  </si>
  <si>
    <t>Calculo de Tráfico Total</t>
  </si>
  <si>
    <t xml:space="preserve">Trafico individual </t>
  </si>
  <si>
    <t>HBTS</t>
    <phoneticPr fontId="2" type="noConversion"/>
  </si>
  <si>
    <t>h terminal</t>
    <phoneticPr fontId="2" type="noConversion"/>
  </si>
  <si>
    <t>Model</t>
    <phoneticPr fontId="2" type="noConversion"/>
  </si>
  <si>
    <t>Two Slope</t>
    <phoneticPr fontId="2" type="noConversion"/>
  </si>
  <si>
    <t>One Slope</t>
    <phoneticPr fontId="2" type="noConversion"/>
  </si>
  <si>
    <t>Radio por Propagación</t>
    <phoneticPr fontId="2" type="noConversion"/>
  </si>
  <si>
    <t>Datos Ciudad</t>
  </si>
  <si>
    <t>Trafíco Individual</t>
  </si>
  <si>
    <t>Trafico Total Anual</t>
  </si>
  <si>
    <t>Banda De Frecuencia</t>
  </si>
  <si>
    <t xml:space="preserve">Potencia </t>
  </si>
  <si>
    <t>Pérdidas</t>
  </si>
  <si>
    <t>Ganancia Antena</t>
  </si>
  <si>
    <t>MD</t>
  </si>
  <si>
    <t>Pérdidas Adicionales</t>
  </si>
  <si>
    <t xml:space="preserve">Pérdida cable </t>
  </si>
  <si>
    <t xml:space="preserve">Sensibilidad </t>
  </si>
  <si>
    <t xml:space="preserve">Margen Interferencia </t>
  </si>
  <si>
    <t>A</t>
  </si>
  <si>
    <t>B</t>
  </si>
  <si>
    <t>a(hms)</t>
  </si>
  <si>
    <t>Lclutter</t>
  </si>
  <si>
    <t>s</t>
  </si>
  <si>
    <t>Pathloss</t>
  </si>
  <si>
    <t>Aux</t>
  </si>
  <si>
    <t xml:space="preserve">Cliente </t>
  </si>
  <si>
    <t xml:space="preserve">Cliente Servicio </t>
  </si>
  <si>
    <t>Factor Actividad</t>
  </si>
  <si>
    <t>Ortogonalidad</t>
  </si>
  <si>
    <t xml:space="preserve">Factor Interferencia </t>
  </si>
  <si>
    <t xml:space="preserve">Velocidad Binaria </t>
  </si>
  <si>
    <t>Lo ajusto para que la diferencia de los radios sea menor al 10%</t>
  </si>
  <si>
    <t xml:space="preserve">Sectores </t>
  </si>
  <si>
    <t xml:space="preserve">Densidad </t>
  </si>
  <si>
    <t xml:space="preserve">Factor hora carga </t>
  </si>
  <si>
    <t xml:space="preserve">Clientes Servicio </t>
  </si>
  <si>
    <t xml:space="preserve">Minutos Anueles Cliente </t>
  </si>
  <si>
    <t>Compruebo Diferencia de Radios menor al 10%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</si>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</sst>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1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44"/>
      </patternFill>
    </fill>
    <fill>
      <patternFill patternType="solid">
        <fgColor theme="4" tint="0.79995117038483843"/>
        <bgColor indexed="4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4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164" fontId="9" fillId="0" borderId="1" xfId="266" applyNumberFormat="1" applyFont="1" applyFill="1" applyBorder="1" applyAlignment="1">
      <alignment horizontal="center"/>
    </xf>
    <xf numFmtId="0" fontId="10" fillId="0" borderId="1" xfId="266" applyFont="1" applyFill="1" applyBorder="1" applyAlignment="1">
      <alignment horizontal="center"/>
    </xf>
    <xf numFmtId="165" fontId="10" fillId="0" borderId="0" xfId="266" applyNumberFormat="1" applyFont="1" applyFill="1" applyAlignment="1">
      <alignment horizontal="center"/>
    </xf>
    <xf numFmtId="2" fontId="10" fillId="0" borderId="0" xfId="266" applyNumberFormat="1" applyFont="1" applyFill="1" applyAlignment="1">
      <alignment horizontal="center"/>
    </xf>
    <xf numFmtId="166" fontId="10" fillId="0" borderId="0" xfId="266" applyNumberFormat="1" applyFont="1" applyFill="1" applyAlignment="1">
      <alignment horizontal="center"/>
    </xf>
    <xf numFmtId="0" fontId="10" fillId="0" borderId="3" xfId="266" applyFont="1" applyFill="1" applyBorder="1" applyAlignment="1">
      <alignment horizontal="center"/>
    </xf>
    <xf numFmtId="166" fontId="10" fillId="0" borderId="2" xfId="266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7" borderId="4" xfId="0" applyFont="1" applyFill="1" applyBorder="1"/>
    <xf numFmtId="0" fontId="3" fillId="2" borderId="4" xfId="0" applyFont="1" applyFill="1" applyBorder="1"/>
    <xf numFmtId="0" fontId="0" fillId="2" borderId="4" xfId="0" applyFill="1" applyBorder="1"/>
    <xf numFmtId="0" fontId="1" fillId="2" borderId="4" xfId="0" applyFont="1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3" borderId="4" xfId="0" applyFont="1" applyFill="1" applyBorder="1"/>
    <xf numFmtId="0" fontId="1" fillId="0" borderId="4" xfId="0" applyFont="1" applyBorder="1"/>
    <xf numFmtId="0" fontId="0" fillId="6" borderId="4" xfId="0" applyFill="1" applyBorder="1"/>
    <xf numFmtId="0" fontId="0" fillId="0" borderId="4" xfId="0" applyBorder="1"/>
    <xf numFmtId="165" fontId="1" fillId="7" borderId="4" xfId="0" applyNumberFormat="1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Fill="1" applyBorder="1"/>
    <xf numFmtId="0" fontId="1" fillId="6" borderId="4" xfId="0" applyFont="1" applyFill="1" applyBorder="1"/>
    <xf numFmtId="164" fontId="0" fillId="6" borderId="4" xfId="1" applyNumberFormat="1" applyFont="1" applyFill="1" applyBorder="1"/>
    <xf numFmtId="2" fontId="1" fillId="7" borderId="4" xfId="0" applyNumberFormat="1" applyFont="1" applyFill="1" applyBorder="1"/>
    <xf numFmtId="0" fontId="2" fillId="6" borderId="4" xfId="0" applyFont="1" applyFill="1" applyBorder="1"/>
    <xf numFmtId="0" fontId="2" fillId="0" borderId="4" xfId="0" applyFont="1" applyBorder="1"/>
    <xf numFmtId="2" fontId="0" fillId="0" borderId="4" xfId="0" applyNumberFormat="1" applyBorder="1"/>
    <xf numFmtId="0" fontId="1" fillId="5" borderId="4" xfId="0" applyFont="1" applyFill="1" applyBorder="1" applyAlignment="1">
      <alignment horizontal="center"/>
    </xf>
    <xf numFmtId="0" fontId="4" fillId="0" borderId="4" xfId="0" applyFont="1" applyBorder="1"/>
    <xf numFmtId="0" fontId="3" fillId="0" borderId="4" xfId="0" applyFont="1" applyBorder="1"/>
    <xf numFmtId="0" fontId="0" fillId="0" borderId="4" xfId="0" applyFont="1" applyBorder="1"/>
    <xf numFmtId="0" fontId="1" fillId="5" borderId="4" xfId="0" applyFont="1" applyFill="1" applyBorder="1"/>
    <xf numFmtId="165" fontId="1" fillId="3" borderId="4" xfId="0" applyNumberFormat="1" applyFont="1" applyFill="1" applyBorder="1"/>
    <xf numFmtId="0" fontId="0" fillId="0" borderId="5" xfId="0" applyFill="1" applyBorder="1"/>
    <xf numFmtId="9" fontId="0" fillId="6" borderId="4" xfId="1" applyFont="1" applyFill="1" applyBorder="1"/>
    <xf numFmtId="9" fontId="0" fillId="0" borderId="0" xfId="1" applyFont="1"/>
    <xf numFmtId="0" fontId="1" fillId="8" borderId="4" xfId="0" applyFont="1" applyFill="1" applyBorder="1"/>
    <xf numFmtId="0" fontId="1" fillId="5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9" borderId="0" xfId="0" applyFont="1" applyFill="1"/>
    <xf numFmtId="0" fontId="1" fillId="2" borderId="0" xfId="0" applyFont="1" applyFill="1"/>
    <xf numFmtId="0" fontId="0" fillId="10" borderId="0" xfId="0" applyFill="1"/>
    <xf numFmtId="2" fontId="0" fillId="9" borderId="4" xfId="0" applyNumberFormat="1" applyFill="1" applyBorder="1"/>
    <xf numFmtId="0" fontId="0" fillId="11" borderId="4" xfId="0" applyFill="1" applyBorder="1"/>
    <xf numFmtId="165" fontId="1" fillId="11" borderId="4" xfId="0" applyNumberFormat="1" applyFont="1" applyFill="1" applyBorder="1"/>
    <xf numFmtId="0" fontId="0" fillId="9" borderId="4" xfId="0" applyFill="1" applyBorder="1"/>
  </cellXfs>
  <cellStyles count="433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Normal" xfId="0" builtinId="0"/>
    <cellStyle name="Normal 2" xfId="266" xr:uid="{00000000-0005-0000-0000-0000AF01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1"/>
  <sheetViews>
    <sheetView tabSelected="1" topLeftCell="A62" zoomScale="91" zoomScaleNormal="91" workbookViewId="0">
      <selection activeCell="I72" sqref="I72"/>
    </sheetView>
  </sheetViews>
  <sheetFormatPr baseColWidth="10" defaultRowHeight="13" x14ac:dyDescent="0.15"/>
  <cols>
    <col min="1" max="1" width="30.83203125" bestFit="1" customWidth="1"/>
    <col min="2" max="2" width="19.6640625" customWidth="1"/>
    <col min="3" max="3" width="12.33203125" customWidth="1"/>
    <col min="4" max="4" width="13.33203125" customWidth="1"/>
    <col min="5" max="5" width="13.33203125" bestFit="1" customWidth="1"/>
    <col min="6" max="6" width="19.1640625" customWidth="1"/>
    <col min="7" max="7" width="14.1640625" bestFit="1" customWidth="1"/>
  </cols>
  <sheetData>
    <row r="1" spans="1:12" x14ac:dyDescent="0.15">
      <c r="A1" s="11" t="s">
        <v>19</v>
      </c>
      <c r="B1" s="12"/>
      <c r="C1" s="12"/>
      <c r="D1" s="12"/>
      <c r="E1" s="12"/>
      <c r="F1" s="12"/>
      <c r="G1" s="12"/>
      <c r="H1" s="12"/>
      <c r="J1" s="45" t="s">
        <v>79</v>
      </c>
      <c r="K1" s="46" t="s">
        <v>80</v>
      </c>
      <c r="L1" s="46" t="s">
        <v>81</v>
      </c>
    </row>
    <row r="2" spans="1:12" x14ac:dyDescent="0.15">
      <c r="A2" s="12"/>
      <c r="B2" s="12"/>
      <c r="C2" s="42" t="s">
        <v>24</v>
      </c>
      <c r="D2" s="42"/>
      <c r="E2" s="42" t="s">
        <v>25</v>
      </c>
      <c r="F2" s="42"/>
      <c r="G2" s="43" t="s">
        <v>26</v>
      </c>
      <c r="H2" s="43"/>
    </row>
    <row r="3" spans="1:12" x14ac:dyDescent="0.15">
      <c r="A3" s="12"/>
      <c r="B3" s="12"/>
      <c r="C3" s="13" t="s">
        <v>15</v>
      </c>
      <c r="D3" s="13" t="s">
        <v>16</v>
      </c>
      <c r="E3" s="13" t="s">
        <v>17</v>
      </c>
      <c r="F3" s="13" t="s">
        <v>18</v>
      </c>
      <c r="G3" s="13" t="s">
        <v>15</v>
      </c>
      <c r="H3" s="13" t="s">
        <v>16</v>
      </c>
    </row>
    <row r="4" spans="1:12" x14ac:dyDescent="0.15">
      <c r="A4" s="14" t="s">
        <v>12</v>
      </c>
      <c r="B4" s="14" t="s">
        <v>51</v>
      </c>
      <c r="C4" s="14">
        <f>10*LOG10(0.125)+30</f>
        <v>20.969100130080562</v>
      </c>
      <c r="D4" s="14">
        <f t="shared" ref="D4:H4" si="0">10*LOG10(0.125)+30</f>
        <v>20.969100130080562</v>
      </c>
      <c r="E4" s="14">
        <f t="shared" si="0"/>
        <v>20.969100130080562</v>
      </c>
      <c r="F4" s="14">
        <f t="shared" si="0"/>
        <v>20.969100130080562</v>
      </c>
      <c r="G4" s="14">
        <f t="shared" si="0"/>
        <v>20.969100130080562</v>
      </c>
      <c r="H4" s="14">
        <f t="shared" si="0"/>
        <v>20.969100130080562</v>
      </c>
    </row>
    <row r="5" spans="1:12" x14ac:dyDescent="0.15">
      <c r="A5" s="14"/>
      <c r="B5" s="14" t="s">
        <v>52</v>
      </c>
      <c r="C5" s="14">
        <v>4.5</v>
      </c>
      <c r="D5" s="14">
        <v>4.5</v>
      </c>
      <c r="E5" s="14">
        <v>4.5</v>
      </c>
      <c r="F5" s="14">
        <v>4.5</v>
      </c>
      <c r="G5" s="14">
        <v>4.5</v>
      </c>
      <c r="H5" s="14">
        <v>4.5</v>
      </c>
    </row>
    <row r="6" spans="1:12" x14ac:dyDescent="0.15">
      <c r="A6" s="14"/>
      <c r="B6" s="14" t="s">
        <v>53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</row>
    <row r="7" spans="1:12" x14ac:dyDescent="0.15">
      <c r="A7" s="14" t="s">
        <v>13</v>
      </c>
      <c r="B7" s="14" t="s">
        <v>54</v>
      </c>
      <c r="C7" s="14">
        <v>15</v>
      </c>
      <c r="D7" s="14">
        <v>15</v>
      </c>
      <c r="E7" s="14">
        <v>12</v>
      </c>
      <c r="F7" s="14">
        <v>12</v>
      </c>
      <c r="G7" s="14">
        <v>12</v>
      </c>
      <c r="H7" s="14">
        <v>12</v>
      </c>
    </row>
    <row r="8" spans="1:12" x14ac:dyDescent="0.15">
      <c r="A8" s="14"/>
      <c r="B8" s="14" t="s">
        <v>55</v>
      </c>
      <c r="C8" s="14">
        <v>12</v>
      </c>
      <c r="D8" s="14">
        <v>12</v>
      </c>
      <c r="E8" s="14">
        <v>9</v>
      </c>
      <c r="F8" s="14">
        <v>9</v>
      </c>
      <c r="G8" s="14">
        <v>7</v>
      </c>
      <c r="H8" s="14">
        <v>7</v>
      </c>
    </row>
    <row r="9" spans="1:12" x14ac:dyDescent="0.15">
      <c r="A9" s="14" t="s">
        <v>14</v>
      </c>
      <c r="B9" s="14" t="s">
        <v>53</v>
      </c>
      <c r="C9" s="14">
        <v>18</v>
      </c>
      <c r="D9" s="14">
        <v>18</v>
      </c>
      <c r="E9" s="14">
        <v>18</v>
      </c>
      <c r="F9" s="14">
        <v>18</v>
      </c>
      <c r="G9" s="14">
        <v>18</v>
      </c>
      <c r="H9" s="14">
        <v>18</v>
      </c>
    </row>
    <row r="10" spans="1:12" x14ac:dyDescent="0.15">
      <c r="A10" s="14"/>
      <c r="B10" s="14" t="s">
        <v>56</v>
      </c>
      <c r="C10" s="14">
        <v>3</v>
      </c>
      <c r="D10" s="14">
        <v>3</v>
      </c>
      <c r="E10" s="14">
        <v>3</v>
      </c>
      <c r="F10" s="14">
        <v>3</v>
      </c>
      <c r="G10" s="14">
        <v>3</v>
      </c>
      <c r="H10" s="14">
        <v>3</v>
      </c>
    </row>
    <row r="11" spans="1:12" x14ac:dyDescent="0.15">
      <c r="A11" s="14"/>
      <c r="B11" s="14" t="s">
        <v>57</v>
      </c>
      <c r="C11" s="14">
        <v>117</v>
      </c>
      <c r="D11" s="14">
        <v>115</v>
      </c>
      <c r="E11" s="14">
        <v>117</v>
      </c>
      <c r="F11" s="14">
        <v>115</v>
      </c>
      <c r="G11" s="14">
        <v>117</v>
      </c>
      <c r="H11" s="14">
        <v>115</v>
      </c>
    </row>
    <row r="12" spans="1:12" x14ac:dyDescent="0.15">
      <c r="A12" s="14"/>
      <c r="B12" s="15" t="s">
        <v>58</v>
      </c>
      <c r="C12" s="14">
        <v>6</v>
      </c>
      <c r="D12" s="14">
        <v>6</v>
      </c>
      <c r="E12" s="14">
        <v>6</v>
      </c>
      <c r="F12" s="14">
        <v>6</v>
      </c>
      <c r="G12" s="14">
        <v>6</v>
      </c>
      <c r="H12" s="14">
        <v>6</v>
      </c>
    </row>
    <row r="13" spans="1:12" x14ac:dyDescent="0.15">
      <c r="A13" s="16" t="s">
        <v>0</v>
      </c>
      <c r="B13" s="16"/>
      <c r="C13" s="16">
        <f>C4+C6+C9+C11-C5-C7-C8-C10-C12</f>
        <v>115.46910013008056</v>
      </c>
      <c r="D13" s="16">
        <f t="shared" ref="D13:H13" si="1">D4+D6+D9+D11-D5-D7-D8-D10-D12</f>
        <v>113.46910013008056</v>
      </c>
      <c r="E13" s="16">
        <f t="shared" si="1"/>
        <v>121.46910013008056</v>
      </c>
      <c r="F13" s="16">
        <f t="shared" si="1"/>
        <v>119.46910013008056</v>
      </c>
      <c r="G13" s="16">
        <f t="shared" si="1"/>
        <v>123.46910013008056</v>
      </c>
      <c r="H13" s="16">
        <f t="shared" si="1"/>
        <v>121.46910013008056</v>
      </c>
      <c r="J13" s="45">
        <v>1</v>
      </c>
      <c r="K13" s="45">
        <v>1</v>
      </c>
      <c r="L13" s="45">
        <f>J13*K13</f>
        <v>1</v>
      </c>
    </row>
    <row r="15" spans="1:12" x14ac:dyDescent="0.15">
      <c r="A15" s="17"/>
      <c r="B15" s="21" t="s">
        <v>24</v>
      </c>
      <c r="C15" s="21" t="s">
        <v>25</v>
      </c>
      <c r="D15" s="21" t="s">
        <v>26</v>
      </c>
    </row>
    <row r="16" spans="1:12" x14ac:dyDescent="0.15">
      <c r="A16" s="18" t="s">
        <v>41</v>
      </c>
      <c r="B16" s="18">
        <v>38</v>
      </c>
      <c r="C16" s="18">
        <v>22</v>
      </c>
      <c r="D16" s="18">
        <v>30</v>
      </c>
    </row>
    <row r="17" spans="1:12" x14ac:dyDescent="0.15">
      <c r="A17" s="18" t="s">
        <v>42</v>
      </c>
      <c r="B17" s="18">
        <v>1.72</v>
      </c>
      <c r="C17" s="18">
        <v>1.72</v>
      </c>
      <c r="D17" s="18">
        <v>1.72</v>
      </c>
    </row>
    <row r="18" spans="1:12" x14ac:dyDescent="0.15">
      <c r="A18" s="10" t="s">
        <v>50</v>
      </c>
      <c r="B18" s="51">
        <v>2100</v>
      </c>
      <c r="C18" s="51">
        <v>2100</v>
      </c>
      <c r="D18" s="51">
        <v>2100</v>
      </c>
    </row>
    <row r="19" spans="1:12" x14ac:dyDescent="0.15">
      <c r="A19" s="19" t="s">
        <v>43</v>
      </c>
      <c r="B19" s="17" t="s">
        <v>44</v>
      </c>
      <c r="C19" s="17" t="s">
        <v>45</v>
      </c>
      <c r="D19" s="17" t="s">
        <v>45</v>
      </c>
    </row>
    <row r="20" spans="1:12" x14ac:dyDescent="0.15">
      <c r="A20" s="19" t="s">
        <v>59</v>
      </c>
      <c r="B20" s="19">
        <v>46.3</v>
      </c>
      <c r="C20" s="19">
        <v>46.3</v>
      </c>
      <c r="D20" s="19">
        <v>46.3</v>
      </c>
    </row>
    <row r="21" spans="1:12" x14ac:dyDescent="0.15">
      <c r="A21" s="19" t="s">
        <v>60</v>
      </c>
      <c r="B21" s="19">
        <v>33.9</v>
      </c>
      <c r="C21" s="19">
        <v>33.9</v>
      </c>
      <c r="D21" s="19">
        <v>33.9</v>
      </c>
    </row>
    <row r="22" spans="1:12" x14ac:dyDescent="0.15">
      <c r="A22" s="19" t="s">
        <v>61</v>
      </c>
      <c r="B22" s="19">
        <f>3.2*(LOG10(11.75*B17)^2)-4.97</f>
        <v>0.48441087675501127</v>
      </c>
      <c r="C22" s="19">
        <f>C17*(1.1*LOG10(C18)-0.7)-(1.56*LOG10(C18)-0.8)</f>
        <v>0.698976805851661</v>
      </c>
      <c r="D22" s="19">
        <f>D17*(1.1*LOG10(D18)-0.7)-(1.56*LOG10(D18)-0.8)</f>
        <v>0.698976805851661</v>
      </c>
    </row>
    <row r="23" spans="1:12" x14ac:dyDescent="0.15">
      <c r="A23" s="19" t="s">
        <v>62</v>
      </c>
      <c r="B23" s="19">
        <v>0</v>
      </c>
      <c r="C23" s="19">
        <f>-2*(LOG10(C18/28)^2)-5.4</f>
        <v>-12.431709482944157</v>
      </c>
      <c r="D23" s="19">
        <f>-4.78*(LOG10(D18)^2)+18.33*LOG10(D18)-40.94</f>
        <v>-32.801254509732452</v>
      </c>
    </row>
    <row r="24" spans="1:12" x14ac:dyDescent="0.15">
      <c r="A24" s="19" t="s">
        <v>63</v>
      </c>
      <c r="B24" s="19">
        <f>(47.88+13.9*LOG10(B18)-13.82*LOG10(B16))*1/LOG10(50)</f>
        <v>42.511779906193333</v>
      </c>
      <c r="C24" s="19">
        <f>44.9-6.55*LOG10(C16)</f>
        <v>36.107131440614552</v>
      </c>
      <c r="D24" s="19">
        <f>44.9-6.55*LOG10(D16)</f>
        <v>35.224855781586214</v>
      </c>
    </row>
    <row r="25" spans="1:12" x14ac:dyDescent="0.15">
      <c r="A25" s="19" t="s">
        <v>64</v>
      </c>
      <c r="B25" s="19">
        <f>MIN(C13:D13)</f>
        <v>113.46910013008056</v>
      </c>
      <c r="C25" s="19">
        <f>MIN(E13:F13)</f>
        <v>119.46910013008056</v>
      </c>
      <c r="D25" s="19">
        <f>MIN(G13:H13)</f>
        <v>121.46910013008056</v>
      </c>
    </row>
    <row r="26" spans="1:12" x14ac:dyDescent="0.15">
      <c r="A26" s="19" t="s">
        <v>65</v>
      </c>
      <c r="B26" s="17">
        <f>B25-B20-B21*LOG10(B18)+13.82*LOG10(B16)+B22-B23</f>
        <v>-23.137113779399968</v>
      </c>
      <c r="C26" s="17">
        <f t="shared" ref="C26:D26" si="2">C25-C20-C21*LOG10(C18)+13.82*LOG10(C16)+C22-C23</f>
        <v>-7.7711662236405843</v>
      </c>
      <c r="D26" s="17">
        <f t="shared" si="2"/>
        <v>16.459913094410553</v>
      </c>
    </row>
    <row r="27" spans="1:12" x14ac:dyDescent="0.15">
      <c r="A27" s="19"/>
      <c r="B27" s="19"/>
      <c r="C27" s="19"/>
      <c r="D27" s="19"/>
    </row>
    <row r="28" spans="1:12" x14ac:dyDescent="0.15">
      <c r="A28" s="10" t="s">
        <v>46</v>
      </c>
      <c r="B28" s="20">
        <f>10^(B26/B24)</f>
        <v>0.28559340569816971</v>
      </c>
      <c r="C28" s="20">
        <f t="shared" ref="C28:D28" si="3">10^(C26/C24)</f>
        <v>0.60922084495920692</v>
      </c>
      <c r="D28" s="20">
        <f t="shared" si="3"/>
        <v>2.9327916160309186</v>
      </c>
      <c r="J28" s="45">
        <v>1.5</v>
      </c>
      <c r="K28" s="45">
        <v>0</v>
      </c>
      <c r="L28" s="45">
        <f t="shared" ref="L28:L44" si="4">J28*K28</f>
        <v>0</v>
      </c>
    </row>
    <row r="30" spans="1:12" x14ac:dyDescent="0.15">
      <c r="A30" s="13" t="s">
        <v>47</v>
      </c>
      <c r="B30" s="9"/>
      <c r="C30" s="9"/>
      <c r="D30" s="9"/>
      <c r="E30" s="9"/>
      <c r="F30" s="9"/>
      <c r="G30" s="9"/>
    </row>
    <row r="31" spans="1:12" x14ac:dyDescent="0.15">
      <c r="A31" s="18" t="s">
        <v>31</v>
      </c>
      <c r="B31" s="23">
        <v>235</v>
      </c>
      <c r="C31" s="9"/>
      <c r="D31" s="9"/>
      <c r="E31" s="9"/>
      <c r="F31" s="9"/>
      <c r="G31" s="9"/>
    </row>
    <row r="32" spans="1:12" x14ac:dyDescent="0.15">
      <c r="A32" s="18" t="s">
        <v>32</v>
      </c>
      <c r="B32" s="23">
        <v>363500</v>
      </c>
      <c r="C32" s="9"/>
      <c r="D32" s="9"/>
      <c r="E32" s="9"/>
      <c r="F32" s="9"/>
      <c r="G32" s="9"/>
    </row>
    <row r="33" spans="1:12" x14ac:dyDescent="0.15">
      <c r="A33" s="22"/>
      <c r="B33" s="44" t="s">
        <v>24</v>
      </c>
      <c r="C33" s="44"/>
      <c r="D33" s="44" t="s">
        <v>25</v>
      </c>
      <c r="E33" s="44"/>
      <c r="F33" s="44" t="s">
        <v>26</v>
      </c>
      <c r="G33" s="44"/>
    </row>
    <row r="34" spans="1:12" x14ac:dyDescent="0.15">
      <c r="A34" s="18" t="s">
        <v>33</v>
      </c>
      <c r="B34" s="24">
        <v>0.12</v>
      </c>
      <c r="C34" s="24">
        <v>0.12</v>
      </c>
      <c r="D34" s="24">
        <v>0.23</v>
      </c>
      <c r="E34" s="24">
        <v>0.23</v>
      </c>
      <c r="F34" s="24">
        <v>0.65</v>
      </c>
      <c r="G34" s="24">
        <v>0.65</v>
      </c>
    </row>
    <row r="35" spans="1:12" x14ac:dyDescent="0.15">
      <c r="A35" s="22"/>
      <c r="B35" s="22">
        <f>$B$31*B34</f>
        <v>28.2</v>
      </c>
      <c r="C35" s="22">
        <f t="shared" ref="C35:G35" si="5">$B$31*C34</f>
        <v>28.2</v>
      </c>
      <c r="D35" s="22">
        <f t="shared" si="5"/>
        <v>54.050000000000004</v>
      </c>
      <c r="E35" s="22">
        <f t="shared" si="5"/>
        <v>54.050000000000004</v>
      </c>
      <c r="F35" s="22">
        <f t="shared" si="5"/>
        <v>152.75</v>
      </c>
      <c r="G35" s="22">
        <f t="shared" si="5"/>
        <v>152.75</v>
      </c>
      <c r="H35" s="35">
        <f>SUM(B35:G35)/2</f>
        <v>235</v>
      </c>
    </row>
    <row r="36" spans="1:12" x14ac:dyDescent="0.15">
      <c r="A36" s="18" t="s">
        <v>34</v>
      </c>
      <c r="B36" s="24">
        <v>0.62</v>
      </c>
      <c r="C36" s="24">
        <v>0.62</v>
      </c>
      <c r="D36" s="24">
        <v>0.22</v>
      </c>
      <c r="E36" s="24">
        <v>0.22</v>
      </c>
      <c r="F36" s="24">
        <v>0.16</v>
      </c>
      <c r="G36" s="24">
        <v>0.16</v>
      </c>
    </row>
    <row r="37" spans="1:12" x14ac:dyDescent="0.15">
      <c r="A37" s="22"/>
      <c r="B37" s="22">
        <f>$B$32*B36</f>
        <v>225370</v>
      </c>
      <c r="C37" s="22">
        <f t="shared" ref="C37:G37" si="6">$B$32*C36</f>
        <v>225370</v>
      </c>
      <c r="D37" s="22">
        <f t="shared" si="6"/>
        <v>79970</v>
      </c>
      <c r="E37" s="22">
        <f t="shared" si="6"/>
        <v>79970</v>
      </c>
      <c r="F37" s="22">
        <f t="shared" si="6"/>
        <v>58160</v>
      </c>
      <c r="G37" s="22">
        <f t="shared" si="6"/>
        <v>58160</v>
      </c>
      <c r="H37" s="35">
        <f>SUM(B37:G37)/2</f>
        <v>363500</v>
      </c>
    </row>
    <row r="38" spans="1:12" x14ac:dyDescent="0.15">
      <c r="A38" s="18" t="s">
        <v>35</v>
      </c>
      <c r="B38" s="36">
        <v>1.05</v>
      </c>
      <c r="C38" s="36">
        <v>1.05</v>
      </c>
      <c r="D38" s="36">
        <v>1.05</v>
      </c>
      <c r="E38" s="36">
        <v>1.05</v>
      </c>
      <c r="F38" s="36">
        <v>1.05</v>
      </c>
      <c r="G38" s="36">
        <v>1.05</v>
      </c>
    </row>
    <row r="39" spans="1:12" x14ac:dyDescent="0.15">
      <c r="A39" s="18" t="s">
        <v>36</v>
      </c>
      <c r="B39" s="24">
        <v>0.29499999999999998</v>
      </c>
      <c r="C39" s="24">
        <v>0.29499999999999998</v>
      </c>
      <c r="D39" s="24">
        <v>0.29499999999999998</v>
      </c>
      <c r="E39" s="24">
        <v>0.29499999999999998</v>
      </c>
      <c r="F39" s="24">
        <v>0.29499999999999998</v>
      </c>
      <c r="G39" s="24">
        <v>0.29499999999999998</v>
      </c>
    </row>
    <row r="40" spans="1:12" x14ac:dyDescent="0.15">
      <c r="A40" s="22" t="s">
        <v>66</v>
      </c>
      <c r="B40" s="22">
        <f>B37*B38*B39</f>
        <v>69808.357499999998</v>
      </c>
      <c r="C40" s="22">
        <f t="shared" ref="C40:G40" si="7">C37*C38*C39</f>
        <v>69808.357499999998</v>
      </c>
      <c r="D40" s="22">
        <f t="shared" si="7"/>
        <v>24770.7075</v>
      </c>
      <c r="E40" s="22">
        <f t="shared" si="7"/>
        <v>24770.7075</v>
      </c>
      <c r="F40" s="22">
        <f t="shared" si="7"/>
        <v>18015.059999999998</v>
      </c>
      <c r="G40" s="22">
        <f t="shared" si="7"/>
        <v>18015.059999999998</v>
      </c>
    </row>
    <row r="41" spans="1:12" x14ac:dyDescent="0.15">
      <c r="A41" s="22"/>
      <c r="B41" s="22"/>
      <c r="C41" s="22"/>
      <c r="D41" s="22"/>
      <c r="E41" s="22"/>
      <c r="F41" s="22"/>
      <c r="G41" s="22"/>
    </row>
    <row r="42" spans="1:12" x14ac:dyDescent="0.15">
      <c r="A42" s="18" t="s">
        <v>37</v>
      </c>
      <c r="B42" s="18">
        <v>1</v>
      </c>
      <c r="C42" s="18">
        <v>1.1000000000000001</v>
      </c>
      <c r="D42" s="18">
        <v>1</v>
      </c>
      <c r="E42" s="18">
        <v>1.1000000000000001</v>
      </c>
      <c r="F42" s="18">
        <v>1</v>
      </c>
      <c r="G42" s="18">
        <v>1.1000000000000001</v>
      </c>
    </row>
    <row r="43" spans="1:12" x14ac:dyDescent="0.15">
      <c r="A43" s="22" t="s">
        <v>67</v>
      </c>
      <c r="B43" s="22">
        <f>B40*B42</f>
        <v>69808.357499999998</v>
      </c>
      <c r="C43" s="22">
        <f t="shared" ref="C43:G43" si="8">C40*C42</f>
        <v>76789.193250000011</v>
      </c>
      <c r="D43" s="22">
        <f t="shared" si="8"/>
        <v>24770.7075</v>
      </c>
      <c r="E43" s="22">
        <f t="shared" si="8"/>
        <v>27247.778250000003</v>
      </c>
      <c r="F43" s="22">
        <f t="shared" si="8"/>
        <v>18015.059999999998</v>
      </c>
      <c r="G43" s="22">
        <f t="shared" si="8"/>
        <v>19816.565999999999</v>
      </c>
    </row>
    <row r="44" spans="1:12" x14ac:dyDescent="0.15">
      <c r="A44" s="10" t="s">
        <v>38</v>
      </c>
      <c r="B44" s="25">
        <f>B43/B35</f>
        <v>2475.4736702127661</v>
      </c>
      <c r="C44" s="25">
        <f t="shared" ref="C44:G44" si="9">C43/C35</f>
        <v>2723.021037234043</v>
      </c>
      <c r="D44" s="25">
        <f t="shared" si="9"/>
        <v>458.29246068455132</v>
      </c>
      <c r="E44" s="25">
        <f t="shared" si="9"/>
        <v>504.12170675300649</v>
      </c>
      <c r="F44" s="25">
        <f t="shared" si="9"/>
        <v>117.93819967266774</v>
      </c>
      <c r="G44" s="25">
        <f t="shared" si="9"/>
        <v>129.73201963993452</v>
      </c>
      <c r="J44" s="45">
        <v>0.5</v>
      </c>
      <c r="K44" s="45">
        <v>1</v>
      </c>
      <c r="L44" s="45">
        <f t="shared" si="4"/>
        <v>0.5</v>
      </c>
    </row>
    <row r="47" spans="1:12" ht="13" customHeight="1" x14ac:dyDescent="0.15">
      <c r="A47" s="13" t="s">
        <v>39</v>
      </c>
      <c r="B47" s="39" t="s">
        <v>24</v>
      </c>
      <c r="C47" s="39"/>
      <c r="D47" s="39" t="s">
        <v>25</v>
      </c>
      <c r="E47" s="39"/>
      <c r="F47" s="39" t="s">
        <v>26</v>
      </c>
      <c r="G47" s="39"/>
    </row>
    <row r="48" spans="1:12" ht="13" customHeight="1" x14ac:dyDescent="0.15">
      <c r="A48" s="26" t="s">
        <v>48</v>
      </c>
      <c r="B48" s="18">
        <f>B69</f>
        <v>1.4999999999999999E-2</v>
      </c>
      <c r="C48" s="18">
        <f t="shared" ref="C48:G48" si="10">C69</f>
        <v>0.01</v>
      </c>
      <c r="D48" s="18">
        <f t="shared" si="10"/>
        <v>1.2E-2</v>
      </c>
      <c r="E48" s="18">
        <f t="shared" si="10"/>
        <v>1.0999999999999999E-2</v>
      </c>
      <c r="F48" s="18">
        <f t="shared" si="10"/>
        <v>0.01</v>
      </c>
      <c r="G48" s="18">
        <f t="shared" si="10"/>
        <v>7.0000000000000001E-3</v>
      </c>
    </row>
    <row r="49" spans="1:12" ht="13" customHeight="1" x14ac:dyDescent="0.15">
      <c r="A49" s="27" t="s">
        <v>75</v>
      </c>
      <c r="B49" s="28">
        <v>8</v>
      </c>
      <c r="C49" s="48">
        <v>12</v>
      </c>
      <c r="D49" s="28">
        <v>8</v>
      </c>
      <c r="E49" s="48">
        <v>12</v>
      </c>
      <c r="F49" s="28">
        <v>8</v>
      </c>
      <c r="G49" s="48">
        <v>12</v>
      </c>
    </row>
    <row r="50" spans="1:12" ht="13" customHeight="1" x14ac:dyDescent="0.15">
      <c r="A50" s="27" t="s">
        <v>76</v>
      </c>
      <c r="B50" s="28">
        <f>B43</f>
        <v>69808.357499999998</v>
      </c>
      <c r="C50" s="28">
        <f t="shared" ref="C50:G50" si="11">C43</f>
        <v>76789.193250000011</v>
      </c>
      <c r="D50" s="28">
        <f t="shared" si="11"/>
        <v>24770.7075</v>
      </c>
      <c r="E50" s="28">
        <f t="shared" si="11"/>
        <v>27247.778250000003</v>
      </c>
      <c r="F50" s="28">
        <f t="shared" si="11"/>
        <v>18015.059999999998</v>
      </c>
      <c r="G50" s="28">
        <f t="shared" si="11"/>
        <v>19816.565999999999</v>
      </c>
    </row>
    <row r="51" spans="1:12" ht="13" customHeight="1" x14ac:dyDescent="0.15">
      <c r="A51" s="27" t="s">
        <v>77</v>
      </c>
      <c r="B51" s="38">
        <f>B48*60*B49*250</f>
        <v>1799.9999999999998</v>
      </c>
      <c r="C51" s="38">
        <f>C48*60*C49*250</f>
        <v>1799.9999999999998</v>
      </c>
      <c r="D51" s="38">
        <f>D48*60*D49*250</f>
        <v>1440</v>
      </c>
      <c r="E51" s="38">
        <f>E48*60*E49*250</f>
        <v>1979.9999999999998</v>
      </c>
      <c r="F51" s="38">
        <f t="shared" ref="E51:G51" si="12">F48*60*F49*250</f>
        <v>1200</v>
      </c>
      <c r="G51" s="38">
        <f t="shared" si="12"/>
        <v>1260</v>
      </c>
    </row>
    <row r="52" spans="1:12" ht="13" customHeight="1" x14ac:dyDescent="0.15">
      <c r="A52" s="10" t="s">
        <v>49</v>
      </c>
      <c r="B52" s="10">
        <f>B51*B50</f>
        <v>125655043.49999999</v>
      </c>
      <c r="C52" s="10">
        <f t="shared" ref="C52:G52" si="13">C51*C50</f>
        <v>138220547.84999999</v>
      </c>
      <c r="D52" s="10">
        <f t="shared" si="13"/>
        <v>35669818.799999997</v>
      </c>
      <c r="E52" s="10">
        <f t="shared" si="13"/>
        <v>53950600.935000002</v>
      </c>
      <c r="F52" s="10">
        <f t="shared" si="13"/>
        <v>21618071.999999996</v>
      </c>
      <c r="G52" s="10">
        <f t="shared" si="13"/>
        <v>24968873.16</v>
      </c>
      <c r="J52" s="45">
        <v>0.75</v>
      </c>
      <c r="K52" s="45">
        <v>1</v>
      </c>
      <c r="L52" s="45">
        <f>J52*K52</f>
        <v>0.75</v>
      </c>
    </row>
    <row r="54" spans="1:12" x14ac:dyDescent="0.15">
      <c r="A54" s="13" t="s">
        <v>2</v>
      </c>
      <c r="B54" s="39" t="s">
        <v>24</v>
      </c>
      <c r="C54" s="39"/>
      <c r="D54" s="39" t="s">
        <v>25</v>
      </c>
      <c r="E54" s="39"/>
      <c r="F54" s="39" t="s">
        <v>26</v>
      </c>
      <c r="G54" s="39"/>
    </row>
    <row r="55" spans="1:12" x14ac:dyDescent="0.15">
      <c r="A55" s="14" t="s">
        <v>1</v>
      </c>
      <c r="B55" s="40">
        <f>1-1/10^(C12/10)</f>
        <v>0.74881135684904199</v>
      </c>
      <c r="C55" s="41"/>
      <c r="D55" s="40">
        <f t="shared" ref="D55:F55" si="14">1-1/10^(E12/10)</f>
        <v>0.74881135684904199</v>
      </c>
      <c r="E55" s="41"/>
      <c r="F55" s="40">
        <f t="shared" si="14"/>
        <v>0.74881135684904199</v>
      </c>
      <c r="G55" s="41"/>
    </row>
    <row r="56" spans="1:12" x14ac:dyDescent="0.15">
      <c r="A56" s="19"/>
      <c r="B56" s="29" t="s">
        <v>27</v>
      </c>
      <c r="C56" s="29" t="s">
        <v>4</v>
      </c>
      <c r="D56" s="29" t="s">
        <v>3</v>
      </c>
      <c r="E56" s="29" t="s">
        <v>4</v>
      </c>
      <c r="F56" s="29" t="s">
        <v>3</v>
      </c>
      <c r="G56" s="29" t="s">
        <v>4</v>
      </c>
    </row>
    <row r="57" spans="1:12" x14ac:dyDescent="0.15">
      <c r="A57" s="14" t="s">
        <v>8</v>
      </c>
      <c r="B57" s="14">
        <v>4.5999999999999996</v>
      </c>
      <c r="C57" s="14">
        <v>2.6</v>
      </c>
      <c r="D57" s="14">
        <v>4.5999999999999996</v>
      </c>
      <c r="E57" s="14">
        <v>2.6</v>
      </c>
      <c r="F57" s="14">
        <v>4.5999999999999996</v>
      </c>
      <c r="G57" s="14">
        <v>2.6</v>
      </c>
    </row>
    <row r="58" spans="1:12" x14ac:dyDescent="0.15">
      <c r="A58" s="14" t="s">
        <v>68</v>
      </c>
      <c r="B58" s="14">
        <v>0.67</v>
      </c>
      <c r="C58" s="14">
        <v>1</v>
      </c>
      <c r="D58" s="14">
        <v>0.67</v>
      </c>
      <c r="E58" s="14">
        <v>1</v>
      </c>
      <c r="F58" s="14">
        <v>0.67</v>
      </c>
      <c r="G58" s="14">
        <v>1</v>
      </c>
      <c r="J58" s="45">
        <v>1.25</v>
      </c>
      <c r="K58" s="45">
        <v>0</v>
      </c>
      <c r="L58" s="45">
        <f>J58*K58</f>
        <v>0</v>
      </c>
    </row>
    <row r="59" spans="1:12" x14ac:dyDescent="0.15">
      <c r="A59" s="14" t="s">
        <v>69</v>
      </c>
      <c r="B59" s="14">
        <v>0.55000000000000004</v>
      </c>
      <c r="C59" s="14">
        <v>0.55000000000000004</v>
      </c>
      <c r="D59" s="14">
        <v>0.55000000000000004</v>
      </c>
      <c r="E59" s="14">
        <v>0.55000000000000004</v>
      </c>
      <c r="F59" s="14">
        <v>0.55000000000000004</v>
      </c>
      <c r="G59" s="14">
        <v>0.55000000000000004</v>
      </c>
    </row>
    <row r="60" spans="1:12" x14ac:dyDescent="0.15">
      <c r="A60" s="14" t="s">
        <v>70</v>
      </c>
      <c r="B60" s="14">
        <v>0.66</v>
      </c>
      <c r="C60" s="14">
        <v>0.66</v>
      </c>
      <c r="D60" s="14">
        <v>0.66</v>
      </c>
      <c r="E60" s="14">
        <v>0.66</v>
      </c>
      <c r="F60" s="14">
        <v>0.66</v>
      </c>
      <c r="G60" s="14">
        <v>0.66</v>
      </c>
    </row>
    <row r="61" spans="1:12" x14ac:dyDescent="0.15">
      <c r="A61" s="14" t="s">
        <v>71</v>
      </c>
      <c r="B61" s="14">
        <v>12.2</v>
      </c>
      <c r="C61" s="14">
        <v>64</v>
      </c>
      <c r="D61" s="14">
        <v>12.2</v>
      </c>
      <c r="E61" s="14">
        <v>64</v>
      </c>
      <c r="F61" s="14">
        <v>12.2</v>
      </c>
      <c r="G61" s="14">
        <v>64</v>
      </c>
    </row>
    <row r="62" spans="1:12" x14ac:dyDescent="0.15">
      <c r="A62" s="49" t="s">
        <v>9</v>
      </c>
      <c r="B62" s="49">
        <f>B57*B58*(1-B59+B60)/(3840/B61)</f>
        <v>1.0868865624999998E-2</v>
      </c>
      <c r="C62" s="49">
        <f t="shared" ref="C62:G62" si="15">C57*C58*(1-C59+C60)/(3840/C61)</f>
        <v>4.8099999999999997E-2</v>
      </c>
      <c r="D62" s="49">
        <f t="shared" si="15"/>
        <v>1.0868865624999998E-2</v>
      </c>
      <c r="E62" s="49">
        <f t="shared" si="15"/>
        <v>4.8099999999999997E-2</v>
      </c>
      <c r="F62" s="49">
        <f t="shared" si="15"/>
        <v>1.0868865624999998E-2</v>
      </c>
      <c r="G62" s="49">
        <f t="shared" si="15"/>
        <v>4.8099999999999997E-2</v>
      </c>
    </row>
    <row r="63" spans="1:12" x14ac:dyDescent="0.15">
      <c r="A63" s="30"/>
      <c r="B63" s="19"/>
      <c r="C63" s="19"/>
      <c r="D63" s="19"/>
      <c r="E63" s="19"/>
      <c r="F63" s="19"/>
      <c r="G63" s="19"/>
    </row>
    <row r="64" spans="1:12" x14ac:dyDescent="0.15">
      <c r="A64" s="19" t="s">
        <v>10</v>
      </c>
      <c r="B64" s="19">
        <v>0.18</v>
      </c>
      <c r="C64" s="31">
        <f>B55-B64</f>
        <v>0.56881135684904205</v>
      </c>
      <c r="D64" s="19">
        <v>0.15</v>
      </c>
      <c r="E64" s="31">
        <f>D55-D64</f>
        <v>0.59881135684904196</v>
      </c>
      <c r="F64" s="19">
        <v>0.18</v>
      </c>
      <c r="G64" s="31">
        <f>F55-F64</f>
        <v>0.56881135684904205</v>
      </c>
      <c r="H64" t="s">
        <v>72</v>
      </c>
    </row>
    <row r="65" spans="1:12" x14ac:dyDescent="0.15">
      <c r="A65" s="32" t="s">
        <v>30</v>
      </c>
      <c r="B65" s="30">
        <f>B64/B62</f>
        <v>16.561065911604739</v>
      </c>
      <c r="C65" s="30">
        <f t="shared" ref="C65:G65" si="16">C64/C62</f>
        <v>11.825599934491519</v>
      </c>
      <c r="D65" s="30">
        <f>D64/D62</f>
        <v>13.800888259670614</v>
      </c>
      <c r="E65" s="30">
        <f t="shared" si="16"/>
        <v>12.449300558192142</v>
      </c>
      <c r="F65" s="30">
        <f>F64/F62</f>
        <v>16.561065911604739</v>
      </c>
      <c r="G65" s="30">
        <f t="shared" si="16"/>
        <v>11.825599934491519</v>
      </c>
    </row>
    <row r="66" spans="1:12" x14ac:dyDescent="0.15">
      <c r="A66" s="19" t="s">
        <v>11</v>
      </c>
      <c r="B66" s="19">
        <f>B65*(1+B60)</f>
        <v>27.491369413263868</v>
      </c>
      <c r="C66" s="19">
        <f t="shared" ref="C66:G66" si="17">C65*(1+C60)</f>
        <v>19.630495891255922</v>
      </c>
      <c r="D66" s="19">
        <f t="shared" si="17"/>
        <v>22.909474511053222</v>
      </c>
      <c r="E66" s="19">
        <f t="shared" si="17"/>
        <v>20.665838926598958</v>
      </c>
      <c r="F66" s="19">
        <f t="shared" si="17"/>
        <v>27.491369413263868</v>
      </c>
      <c r="G66" s="19">
        <f t="shared" si="17"/>
        <v>19.630495891255922</v>
      </c>
    </row>
    <row r="67" spans="1:12" x14ac:dyDescent="0.15">
      <c r="A67" s="32" t="s">
        <v>22</v>
      </c>
      <c r="B67" s="32">
        <f>VLOOKUP(B66,Erlang!$A$2:$B$76,2)</f>
        <v>19.264779999999998</v>
      </c>
      <c r="C67" s="32">
        <f>VLOOKUP(C66,Erlang!$A$2:$B$76,2)</f>
        <v>12.332992000000001</v>
      </c>
      <c r="D67" s="32">
        <f>VLOOKUP(D66,Erlang!$A$2:$B$76,2)</f>
        <v>14.895921</v>
      </c>
      <c r="E67" s="32">
        <f>VLOOKUP(E66,Erlang!$A$2:$B$76,2)</f>
        <v>13.181538</v>
      </c>
      <c r="F67" s="32">
        <f>VLOOKUP(F66,Erlang!$A$2:$B$76,2)</f>
        <v>19.264779999999998</v>
      </c>
      <c r="G67" s="32">
        <f>VLOOKUP(G66,Erlang!$A$2:$B$76,2)</f>
        <v>12.332992000000001</v>
      </c>
    </row>
    <row r="68" spans="1:12" x14ac:dyDescent="0.15">
      <c r="A68" s="19" t="s">
        <v>23</v>
      </c>
      <c r="B68" s="19">
        <f>B67/(1+B60)</f>
        <v>11.605289156626505</v>
      </c>
      <c r="C68" s="19">
        <f t="shared" ref="C68:G68" si="18">C67/(1+C60)</f>
        <v>7.4295132530120478</v>
      </c>
      <c r="D68" s="19">
        <f t="shared" si="18"/>
        <v>8.973446385542168</v>
      </c>
      <c r="E68" s="19">
        <f t="shared" si="18"/>
        <v>7.9406855421686737</v>
      </c>
      <c r="F68" s="19">
        <f t="shared" si="18"/>
        <v>11.605289156626505</v>
      </c>
      <c r="G68" s="19">
        <f t="shared" si="18"/>
        <v>7.4295132530120478</v>
      </c>
      <c r="J68" s="45">
        <v>3</v>
      </c>
      <c r="K68" s="45">
        <v>0</v>
      </c>
      <c r="L68" s="45">
        <f>J68*K68</f>
        <v>0</v>
      </c>
    </row>
    <row r="69" spans="1:12" x14ac:dyDescent="0.15">
      <c r="A69" s="19" t="s">
        <v>40</v>
      </c>
      <c r="B69" s="19">
        <v>1.4999999999999999E-2</v>
      </c>
      <c r="C69" s="19">
        <v>0.01</v>
      </c>
      <c r="D69" s="19">
        <v>1.2E-2</v>
      </c>
      <c r="E69" s="19">
        <v>1.0999999999999999E-2</v>
      </c>
      <c r="F69" s="19">
        <v>0.01</v>
      </c>
      <c r="G69" s="19">
        <v>7.0000000000000001E-3</v>
      </c>
    </row>
    <row r="70" spans="1:12" x14ac:dyDescent="0.15">
      <c r="A70" s="19" t="s">
        <v>7</v>
      </c>
      <c r="B70" s="19">
        <f>B68/B69</f>
        <v>773.68594377510033</v>
      </c>
      <c r="C70" s="19">
        <f t="shared" ref="C70:G70" si="19">C68/C69</f>
        <v>742.95132530120475</v>
      </c>
      <c r="D70" s="19">
        <f t="shared" si="19"/>
        <v>747.78719879518064</v>
      </c>
      <c r="E70" s="19">
        <f t="shared" si="19"/>
        <v>721.88050383351583</v>
      </c>
      <c r="F70" s="19">
        <f t="shared" si="19"/>
        <v>1160.5289156626504</v>
      </c>
      <c r="G70" s="19">
        <f t="shared" si="19"/>
        <v>1061.3590361445783</v>
      </c>
    </row>
    <row r="71" spans="1:12" x14ac:dyDescent="0.15">
      <c r="A71" s="19" t="s">
        <v>73</v>
      </c>
      <c r="B71" s="19">
        <v>4</v>
      </c>
      <c r="C71" s="19">
        <v>4</v>
      </c>
      <c r="D71" s="19">
        <v>3</v>
      </c>
      <c r="E71" s="19">
        <v>3</v>
      </c>
      <c r="F71" s="19">
        <v>3</v>
      </c>
      <c r="G71" s="19">
        <v>3</v>
      </c>
      <c r="J71" s="45">
        <v>1.5</v>
      </c>
      <c r="K71" s="45">
        <v>0</v>
      </c>
      <c r="L71" s="45">
        <f>J71*K71</f>
        <v>0</v>
      </c>
    </row>
    <row r="72" spans="1:12" x14ac:dyDescent="0.15">
      <c r="A72" s="19" t="s">
        <v>74</v>
      </c>
      <c r="B72" s="28">
        <f>B44</f>
        <v>2475.4736702127661</v>
      </c>
      <c r="C72" s="28">
        <f t="shared" ref="C72:G72" si="20">C44</f>
        <v>2723.021037234043</v>
      </c>
      <c r="D72" s="28">
        <f t="shared" si="20"/>
        <v>458.29246068455132</v>
      </c>
      <c r="E72" s="28">
        <f t="shared" si="20"/>
        <v>504.12170675300649</v>
      </c>
      <c r="F72" s="28">
        <f t="shared" si="20"/>
        <v>117.93819967266774</v>
      </c>
      <c r="G72" s="28">
        <f t="shared" si="20"/>
        <v>129.73201963993452</v>
      </c>
    </row>
    <row r="73" spans="1:12" x14ac:dyDescent="0.15">
      <c r="A73" s="33"/>
      <c r="B73" s="39" t="s">
        <v>24</v>
      </c>
      <c r="C73" s="39"/>
      <c r="D73" s="39" t="s">
        <v>25</v>
      </c>
      <c r="E73" s="39"/>
      <c r="F73" s="39" t="s">
        <v>26</v>
      </c>
      <c r="G73" s="39"/>
    </row>
    <row r="74" spans="1:12" x14ac:dyDescent="0.15">
      <c r="A74" s="16" t="s">
        <v>5</v>
      </c>
      <c r="B74" s="34">
        <f>SQRT((B70*B71)/(PI()*B72))</f>
        <v>0.63082407125507578</v>
      </c>
      <c r="C74" s="34">
        <f t="shared" ref="C74:G74" si="21">SQRT((C70*C71)/(PI()*C72))</f>
        <v>0.58939947123906267</v>
      </c>
      <c r="D74" s="34">
        <f t="shared" si="21"/>
        <v>1.2482550960926861</v>
      </c>
      <c r="E74" s="34">
        <f t="shared" si="21"/>
        <v>1.1693665011264209</v>
      </c>
      <c r="F74" s="34">
        <f t="shared" si="21"/>
        <v>3.0653948745483972</v>
      </c>
      <c r="G74" s="34">
        <f t="shared" si="21"/>
        <v>2.7950736905780249</v>
      </c>
    </row>
    <row r="75" spans="1:12" x14ac:dyDescent="0.15">
      <c r="B75" s="37">
        <f>(B74-C74)/B74</f>
        <v>6.5667437093190659E-2</v>
      </c>
      <c r="C75" s="37"/>
      <c r="D75" s="37">
        <f>(D74-E74)/D74</f>
        <v>6.3199097054122924E-2</v>
      </c>
      <c r="E75" s="37"/>
      <c r="F75" s="37">
        <f>(F74-G74)/F74</f>
        <v>8.8184783701054759E-2</v>
      </c>
      <c r="G75" s="37"/>
      <c r="H75" t="s">
        <v>78</v>
      </c>
    </row>
    <row r="76" spans="1:12" x14ac:dyDescent="0.15">
      <c r="A76" s="33"/>
      <c r="B76" s="33" t="s">
        <v>24</v>
      </c>
      <c r="C76" s="33" t="s">
        <v>25</v>
      </c>
      <c r="D76" s="33" t="s">
        <v>26</v>
      </c>
    </row>
    <row r="77" spans="1:12" x14ac:dyDescent="0.15">
      <c r="A77" s="16" t="s">
        <v>6</v>
      </c>
      <c r="B77" s="50">
        <f>MIN(B74:C74,B28)</f>
        <v>0.28559340569816971</v>
      </c>
      <c r="C77" s="50">
        <f>MIN(D74:E74,C28)</f>
        <v>0.60922084495920692</v>
      </c>
      <c r="D77" s="50">
        <f>MIN(F74:G74,D28)</f>
        <v>2.7950736905780249</v>
      </c>
      <c r="J77" s="45">
        <v>0.5</v>
      </c>
      <c r="K77" s="45">
        <v>0</v>
      </c>
      <c r="L77" s="45">
        <f>J77*K77</f>
        <v>0</v>
      </c>
    </row>
    <row r="78" spans="1:12" x14ac:dyDescent="0.15">
      <c r="A78" s="16" t="s">
        <v>28</v>
      </c>
      <c r="B78" s="16">
        <f>PI()*B77^2</f>
        <v>0.25623958575758754</v>
      </c>
      <c r="C78" s="16">
        <f t="shared" ref="C78:D78" si="22">PI()*C77^2</f>
        <v>1.1660022325492891</v>
      </c>
      <c r="D78" s="16">
        <f t="shared" si="22"/>
        <v>24.543494484021757</v>
      </c>
    </row>
    <row r="79" spans="1:12" x14ac:dyDescent="0.15">
      <c r="A79" s="16" t="s">
        <v>29</v>
      </c>
      <c r="B79" s="16">
        <f>ROUNDUP(B35/B78,0)</f>
        <v>111</v>
      </c>
      <c r="C79" s="16">
        <f>ROUNDUP(D35/C78,0)</f>
        <v>47</v>
      </c>
      <c r="D79" s="16">
        <f>ROUNDUP(F35/D78,0)</f>
        <v>7</v>
      </c>
    </row>
    <row r="80" spans="1:12" x14ac:dyDescent="0.15">
      <c r="J80" s="45">
        <f>SUM(J13:J78)</f>
        <v>10</v>
      </c>
      <c r="K80" s="45">
        <v>1</v>
      </c>
      <c r="L80" s="45">
        <f>SUM(L13:L78)</f>
        <v>2.25</v>
      </c>
    </row>
    <row r="81" spans="12:12" x14ac:dyDescent="0.15">
      <c r="L81" s="47">
        <f>L80/10*1.5</f>
        <v>0.33750000000000002</v>
      </c>
    </row>
  </sheetData>
  <mergeCells count="18">
    <mergeCell ref="D47:E47"/>
    <mergeCell ref="F47:G47"/>
    <mergeCell ref="C2:D2"/>
    <mergeCell ref="E2:F2"/>
    <mergeCell ref="G2:H2"/>
    <mergeCell ref="B33:C33"/>
    <mergeCell ref="D33:E33"/>
    <mergeCell ref="F33:G33"/>
    <mergeCell ref="B47:C47"/>
    <mergeCell ref="F73:G73"/>
    <mergeCell ref="D73:E73"/>
    <mergeCell ref="B73:C73"/>
    <mergeCell ref="B54:C54"/>
    <mergeCell ref="D54:E54"/>
    <mergeCell ref="F54:G54"/>
    <mergeCell ref="B55:C55"/>
    <mergeCell ref="D55:E55"/>
    <mergeCell ref="F55:G55"/>
  </mergeCells>
  <phoneticPr fontId="5" type="noConversion"/>
  <pageMargins left="0.75000000000000011" right="0.75000000000000011" top="1" bottom="1" header="0.5" footer="0.5"/>
  <pageSetup scale="78" fitToHeight="3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topLeftCell="A62" workbookViewId="0">
      <selection sqref="A1:B76"/>
    </sheetView>
  </sheetViews>
  <sheetFormatPr baseColWidth="10" defaultRowHeight="13" x14ac:dyDescent="0.15"/>
  <cols>
    <col min="1" max="1" width="10.83203125" style="8"/>
    <col min="2" max="2" width="13.33203125" style="8" customWidth="1"/>
  </cols>
  <sheetData>
    <row r="1" spans="1:2" x14ac:dyDescent="0.15">
      <c r="A1" s="1" t="s">
        <v>20</v>
      </c>
      <c r="B1" s="1" t="s">
        <v>21</v>
      </c>
    </row>
    <row r="2" spans="1:2" x14ac:dyDescent="0.15">
      <c r="A2" s="2">
        <v>1</v>
      </c>
      <c r="B2" s="3">
        <v>2.0408163E-2</v>
      </c>
    </row>
    <row r="3" spans="1:2" x14ac:dyDescent="0.15">
      <c r="A3" s="2">
        <v>2</v>
      </c>
      <c r="B3" s="3">
        <v>0.22346682000000001</v>
      </c>
    </row>
    <row r="4" spans="1:2" x14ac:dyDescent="0.15">
      <c r="A4" s="2">
        <v>3</v>
      </c>
      <c r="B4" s="3">
        <v>0.60220647999999999</v>
      </c>
    </row>
    <row r="5" spans="1:2" x14ac:dyDescent="0.15">
      <c r="A5" s="2">
        <v>4</v>
      </c>
      <c r="B5" s="4">
        <v>1.0922605000000001</v>
      </c>
    </row>
    <row r="6" spans="1:2" x14ac:dyDescent="0.15">
      <c r="A6" s="2">
        <v>5</v>
      </c>
      <c r="B6" s="4">
        <v>1.6571431000000001</v>
      </c>
    </row>
    <row r="7" spans="1:2" x14ac:dyDescent="0.15">
      <c r="A7" s="2">
        <v>6</v>
      </c>
      <c r="B7" s="4">
        <v>2.2758761000000001</v>
      </c>
    </row>
    <row r="8" spans="1:2" x14ac:dyDescent="0.15">
      <c r="A8" s="2">
        <v>7</v>
      </c>
      <c r="B8" s="4">
        <v>2.9354057</v>
      </c>
    </row>
    <row r="9" spans="1:2" x14ac:dyDescent="0.15">
      <c r="A9" s="2">
        <v>8</v>
      </c>
      <c r="B9" s="4">
        <v>3.6270505000000002</v>
      </c>
    </row>
    <row r="10" spans="1:2" x14ac:dyDescent="0.15">
      <c r="A10" s="2">
        <v>9</v>
      </c>
      <c r="B10" s="4">
        <v>4.3447291999999997</v>
      </c>
    </row>
    <row r="11" spans="1:2" x14ac:dyDescent="0.15">
      <c r="A11" s="2">
        <v>10</v>
      </c>
      <c r="B11" s="4">
        <v>5.0840046000000001</v>
      </c>
    </row>
    <row r="12" spans="1:2" x14ac:dyDescent="0.15">
      <c r="A12" s="2">
        <v>11</v>
      </c>
      <c r="B12" s="4">
        <v>5.8415311000000001</v>
      </c>
    </row>
    <row r="13" spans="1:2" x14ac:dyDescent="0.15">
      <c r="A13" s="2">
        <v>12</v>
      </c>
      <c r="B13" s="4">
        <v>6.6147182999999998</v>
      </c>
    </row>
    <row r="14" spans="1:2" x14ac:dyDescent="0.15">
      <c r="A14" s="2">
        <v>13</v>
      </c>
      <c r="B14" s="4">
        <v>7.4015154000000001</v>
      </c>
    </row>
    <row r="15" spans="1:2" x14ac:dyDescent="0.15">
      <c r="A15" s="2">
        <v>14</v>
      </c>
      <c r="B15" s="4">
        <v>8.2002682999999994</v>
      </c>
    </row>
    <row r="16" spans="1:2" x14ac:dyDescent="0.15">
      <c r="A16" s="2">
        <v>15</v>
      </c>
      <c r="B16" s="4">
        <v>9.0096215999999991</v>
      </c>
    </row>
    <row r="17" spans="1:2" x14ac:dyDescent="0.15">
      <c r="A17" s="2">
        <v>16</v>
      </c>
      <c r="B17" s="4">
        <v>9.8284491999999997</v>
      </c>
    </row>
    <row r="18" spans="1:2" x14ac:dyDescent="0.15">
      <c r="A18" s="2">
        <v>17</v>
      </c>
      <c r="B18" s="5">
        <v>10.655804</v>
      </c>
    </row>
    <row r="19" spans="1:2" x14ac:dyDescent="0.15">
      <c r="A19" s="2">
        <v>18</v>
      </c>
      <c r="B19" s="5">
        <v>11.490881999999999</v>
      </c>
    </row>
    <row r="20" spans="1:2" x14ac:dyDescent="0.15">
      <c r="A20" s="2">
        <v>19</v>
      </c>
      <c r="B20" s="5">
        <v>12.332992000000001</v>
      </c>
    </row>
    <row r="21" spans="1:2" x14ac:dyDescent="0.15">
      <c r="A21" s="2">
        <v>20</v>
      </c>
      <c r="B21" s="5">
        <v>13.181538</v>
      </c>
    </row>
    <row r="22" spans="1:2" x14ac:dyDescent="0.15">
      <c r="A22" s="2">
        <v>21</v>
      </c>
      <c r="B22" s="5">
        <v>14.035999</v>
      </c>
    </row>
    <row r="23" spans="1:2" x14ac:dyDescent="0.15">
      <c r="A23" s="2">
        <v>22</v>
      </c>
      <c r="B23" s="5">
        <v>14.895921</v>
      </c>
    </row>
    <row r="24" spans="1:2" x14ac:dyDescent="0.15">
      <c r="A24" s="2">
        <v>23</v>
      </c>
      <c r="B24" s="5">
        <v>15.760899</v>
      </c>
    </row>
    <row r="25" spans="1:2" x14ac:dyDescent="0.15">
      <c r="A25" s="2">
        <v>24</v>
      </c>
      <c r="B25" s="5">
        <v>16.630576000000001</v>
      </c>
    </row>
    <row r="26" spans="1:2" x14ac:dyDescent="0.15">
      <c r="A26" s="2">
        <v>25</v>
      </c>
      <c r="B26" s="5">
        <v>17.504635</v>
      </c>
    </row>
    <row r="27" spans="1:2" x14ac:dyDescent="0.15">
      <c r="A27" s="2">
        <v>26</v>
      </c>
      <c r="B27" s="5">
        <v>18.382788999999999</v>
      </c>
    </row>
    <row r="28" spans="1:2" x14ac:dyDescent="0.15">
      <c r="A28" s="2">
        <v>27</v>
      </c>
      <c r="B28" s="5">
        <v>19.264779999999998</v>
      </c>
    </row>
    <row r="29" spans="1:2" x14ac:dyDescent="0.15">
      <c r="A29" s="2">
        <v>28</v>
      </c>
      <c r="B29" s="5">
        <v>20.150378</v>
      </c>
    </row>
    <row r="30" spans="1:2" x14ac:dyDescent="0.15">
      <c r="A30" s="2">
        <v>29</v>
      </c>
      <c r="B30" s="5">
        <v>21.039370000000002</v>
      </c>
    </row>
    <row r="31" spans="1:2" x14ac:dyDescent="0.15">
      <c r="A31" s="2">
        <v>30</v>
      </c>
      <c r="B31" s="5">
        <v>21.931564999999999</v>
      </c>
    </row>
    <row r="32" spans="1:2" x14ac:dyDescent="0.15">
      <c r="A32" s="2">
        <v>31</v>
      </c>
      <c r="B32" s="5">
        <v>22.826789000000002</v>
      </c>
    </row>
    <row r="33" spans="1:2" x14ac:dyDescent="0.15">
      <c r="A33" s="2">
        <v>32</v>
      </c>
      <c r="B33" s="5">
        <v>23.724879000000001</v>
      </c>
    </row>
    <row r="34" spans="1:2" x14ac:dyDescent="0.15">
      <c r="A34" s="2">
        <v>33</v>
      </c>
      <c r="B34" s="5">
        <v>24.625689999999999</v>
      </c>
    </row>
    <row r="35" spans="1:2" x14ac:dyDescent="0.15">
      <c r="A35" s="2">
        <v>34</v>
      </c>
      <c r="B35" s="5">
        <v>25.529086</v>
      </c>
    </row>
    <row r="36" spans="1:2" x14ac:dyDescent="0.15">
      <c r="A36" s="2">
        <v>35</v>
      </c>
      <c r="B36" s="5">
        <v>26.434940999999998</v>
      </c>
    </row>
    <row r="37" spans="1:2" x14ac:dyDescent="0.15">
      <c r="A37" s="2">
        <v>36</v>
      </c>
      <c r="B37" s="5">
        <v>27.343139999999998</v>
      </c>
    </row>
    <row r="38" spans="1:2" x14ac:dyDescent="0.15">
      <c r="A38" s="2">
        <v>37</v>
      </c>
      <c r="B38" s="5">
        <v>28.253575999999999</v>
      </c>
    </row>
    <row r="39" spans="1:2" x14ac:dyDescent="0.15">
      <c r="A39" s="2">
        <v>38</v>
      </c>
      <c r="B39" s="5">
        <v>29.166146999999999</v>
      </c>
    </row>
    <row r="40" spans="1:2" x14ac:dyDescent="0.15">
      <c r="A40" s="2">
        <v>39</v>
      </c>
      <c r="B40" s="5">
        <v>30.080763000000001</v>
      </c>
    </row>
    <row r="41" spans="1:2" x14ac:dyDescent="0.15">
      <c r="A41" s="6">
        <v>40</v>
      </c>
      <c r="B41" s="7">
        <v>30.997335</v>
      </c>
    </row>
    <row r="42" spans="1:2" x14ac:dyDescent="0.15">
      <c r="A42" s="2">
        <v>41</v>
      </c>
      <c r="B42" s="5">
        <v>31.915783999999999</v>
      </c>
    </row>
    <row r="43" spans="1:2" x14ac:dyDescent="0.15">
      <c r="A43" s="2">
        <v>42</v>
      </c>
      <c r="B43" s="5">
        <v>32.836033</v>
      </c>
    </row>
    <row r="44" spans="1:2" x14ac:dyDescent="0.15">
      <c r="A44" s="2">
        <v>43</v>
      </c>
      <c r="B44" s="5">
        <v>33.758011000000003</v>
      </c>
    </row>
    <row r="45" spans="1:2" x14ac:dyDescent="0.15">
      <c r="A45" s="2">
        <v>44</v>
      </c>
      <c r="B45" s="5">
        <v>34.681651000000002</v>
      </c>
    </row>
    <row r="46" spans="1:2" x14ac:dyDescent="0.15">
      <c r="A46" s="2">
        <v>45</v>
      </c>
      <c r="B46" s="5">
        <v>35.606892000000002</v>
      </c>
    </row>
    <row r="47" spans="1:2" x14ac:dyDescent="0.15">
      <c r="A47" s="2">
        <v>46</v>
      </c>
      <c r="B47" s="5">
        <v>36.533673999999998</v>
      </c>
    </row>
    <row r="48" spans="1:2" x14ac:dyDescent="0.15">
      <c r="A48" s="2">
        <v>47</v>
      </c>
      <c r="B48" s="5">
        <v>37.461941000000003</v>
      </c>
    </row>
    <row r="49" spans="1:2" x14ac:dyDescent="0.15">
      <c r="A49" s="2">
        <v>48</v>
      </c>
      <c r="B49" s="5">
        <v>38.391641</v>
      </c>
    </row>
    <row r="50" spans="1:2" x14ac:dyDescent="0.15">
      <c r="A50" s="2">
        <v>49</v>
      </c>
      <c r="B50" s="5">
        <v>39.322724000000001</v>
      </c>
    </row>
    <row r="51" spans="1:2" x14ac:dyDescent="0.15">
      <c r="A51" s="2">
        <v>50</v>
      </c>
      <c r="B51" s="5">
        <v>40.255144000000001</v>
      </c>
    </row>
    <row r="52" spans="1:2" x14ac:dyDescent="0.15">
      <c r="A52" s="2">
        <v>51</v>
      </c>
      <c r="B52" s="5">
        <v>41.188854999999997</v>
      </c>
    </row>
    <row r="53" spans="1:2" x14ac:dyDescent="0.15">
      <c r="A53" s="2">
        <v>52</v>
      </c>
      <c r="B53" s="5">
        <v>42.123815999999998</v>
      </c>
    </row>
    <row r="54" spans="1:2" x14ac:dyDescent="0.15">
      <c r="A54" s="2">
        <v>53</v>
      </c>
      <c r="B54" s="5">
        <v>43.059986000000002</v>
      </c>
    </row>
    <row r="55" spans="1:2" x14ac:dyDescent="0.15">
      <c r="A55" s="2">
        <v>54</v>
      </c>
      <c r="B55" s="5">
        <v>43.997328000000003</v>
      </c>
    </row>
    <row r="56" spans="1:2" x14ac:dyDescent="0.15">
      <c r="A56" s="2">
        <v>55</v>
      </c>
      <c r="B56" s="5">
        <v>44.935805999999999</v>
      </c>
    </row>
    <row r="57" spans="1:2" x14ac:dyDescent="0.15">
      <c r="A57" s="2">
        <v>56</v>
      </c>
      <c r="B57" s="5">
        <v>45.875383999999997</v>
      </c>
    </row>
    <row r="58" spans="1:2" x14ac:dyDescent="0.15">
      <c r="A58" s="2">
        <v>57</v>
      </c>
      <c r="B58" s="5">
        <v>46.816029999999998</v>
      </c>
    </row>
    <row r="59" spans="1:2" x14ac:dyDescent="0.15">
      <c r="A59" s="2">
        <v>58</v>
      </c>
      <c r="B59" s="5">
        <v>47.757713000000003</v>
      </c>
    </row>
    <row r="60" spans="1:2" x14ac:dyDescent="0.15">
      <c r="A60" s="2">
        <v>59</v>
      </c>
      <c r="B60" s="5">
        <v>48.700403999999999</v>
      </c>
    </row>
    <row r="61" spans="1:2" x14ac:dyDescent="0.15">
      <c r="A61" s="2">
        <v>60</v>
      </c>
      <c r="B61" s="5">
        <v>49.644072000000001</v>
      </c>
    </row>
    <row r="62" spans="1:2" x14ac:dyDescent="0.15">
      <c r="A62" s="2">
        <v>61</v>
      </c>
      <c r="B62" s="5">
        <v>50.588692000000002</v>
      </c>
    </row>
    <row r="63" spans="1:2" x14ac:dyDescent="0.15">
      <c r="A63" s="2">
        <v>62</v>
      </c>
      <c r="B63" s="5">
        <v>51.534236999999997</v>
      </c>
    </row>
    <row r="64" spans="1:2" x14ac:dyDescent="0.15">
      <c r="A64" s="2">
        <v>63</v>
      </c>
      <c r="B64" s="5">
        <v>52.480682000000002</v>
      </c>
    </row>
    <row r="65" spans="1:2" x14ac:dyDescent="0.15">
      <c r="A65" s="2">
        <v>64</v>
      </c>
      <c r="B65" s="5">
        <v>53.428002999999997</v>
      </c>
    </row>
    <row r="66" spans="1:2" x14ac:dyDescent="0.15">
      <c r="A66" s="2">
        <v>65</v>
      </c>
      <c r="B66" s="5">
        <v>54.376176999999998</v>
      </c>
    </row>
    <row r="67" spans="1:2" x14ac:dyDescent="0.15">
      <c r="A67" s="2">
        <v>66</v>
      </c>
      <c r="B67" s="5">
        <v>55.325183000000003</v>
      </c>
    </row>
    <row r="68" spans="1:2" x14ac:dyDescent="0.15">
      <c r="A68" s="2">
        <v>67</v>
      </c>
      <c r="B68" s="5">
        <v>56.274999000000001</v>
      </c>
    </row>
    <row r="69" spans="1:2" x14ac:dyDescent="0.15">
      <c r="A69" s="2">
        <v>68</v>
      </c>
      <c r="B69" s="5">
        <v>57.225605000000002</v>
      </c>
    </row>
    <row r="70" spans="1:2" x14ac:dyDescent="0.15">
      <c r="A70" s="2">
        <v>69</v>
      </c>
      <c r="B70" s="5">
        <v>58.176980999999998</v>
      </c>
    </row>
    <row r="71" spans="1:2" x14ac:dyDescent="0.15">
      <c r="A71" s="2">
        <v>70</v>
      </c>
      <c r="B71" s="5">
        <v>59.129109</v>
      </c>
    </row>
    <row r="72" spans="1:2" x14ac:dyDescent="0.15">
      <c r="A72" s="2">
        <v>71</v>
      </c>
      <c r="B72" s="5">
        <v>60.081971000000003</v>
      </c>
    </row>
    <row r="73" spans="1:2" x14ac:dyDescent="0.15">
      <c r="A73" s="2">
        <v>72</v>
      </c>
      <c r="B73" s="5">
        <v>61.035549000000003</v>
      </c>
    </row>
    <row r="74" spans="1:2" x14ac:dyDescent="0.15">
      <c r="A74" s="2">
        <v>73</v>
      </c>
      <c r="B74" s="5">
        <v>61.989826000000001</v>
      </c>
    </row>
    <row r="75" spans="1:2" x14ac:dyDescent="0.15">
      <c r="A75" s="2">
        <v>74</v>
      </c>
      <c r="B75" s="5">
        <v>62.944788000000003</v>
      </c>
    </row>
    <row r="76" spans="1:2" x14ac:dyDescent="0.15">
      <c r="A76" s="2">
        <v>75</v>
      </c>
      <c r="B76" s="5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UMTS 2100</vt:lpstr>
      <vt:lpstr>Erlang</vt:lpstr>
      <vt:lpstr>'UMTS 2100'!Área_de_impresión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2019-03-27T08:49:27Z</cp:lastPrinted>
  <dcterms:created xsi:type="dcterms:W3CDTF">2011-01-31T17:50:12Z</dcterms:created>
  <dcterms:modified xsi:type="dcterms:W3CDTF">2021-12-26T11:19:19Z</dcterms:modified>
</cp:coreProperties>
</file>