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E672D2F6-59BE-1A49-B3F4-073806333059}" xr6:coauthVersionLast="47" xr6:coauthVersionMax="47" xr10:uidLastSave="{00000000-0000-0000-0000-000000000000}"/>
  <bookViews>
    <workbookView xWindow="0" yWindow="500" windowWidth="23480" windowHeight="1456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5" l="1"/>
  <c r="J85" i="5"/>
  <c r="L79" i="5"/>
  <c r="L77" i="5"/>
  <c r="L71" i="5"/>
  <c r="L68" i="5"/>
  <c r="L55" i="5"/>
  <c r="L44" i="5"/>
  <c r="L28" i="5"/>
  <c r="L13" i="5"/>
  <c r="C57" i="5"/>
  <c r="C62" i="5" s="1"/>
  <c r="D57" i="5"/>
  <c r="D62" i="5" s="1"/>
  <c r="D64" i="5" s="1"/>
  <c r="D65" i="5" s="1"/>
  <c r="D66" i="5" s="1"/>
  <c r="D67" i="5" s="1"/>
  <c r="D69" i="5" s="1"/>
  <c r="E57" i="5"/>
  <c r="E62" i="5" s="1"/>
  <c r="F57" i="5"/>
  <c r="F62" i="5" s="1"/>
  <c r="F64" i="5" s="1"/>
  <c r="F65" i="5" s="1"/>
  <c r="F66" i="5" s="1"/>
  <c r="F67" i="5" s="1"/>
  <c r="F69" i="5" s="1"/>
  <c r="G57" i="5"/>
  <c r="G62" i="5" s="1"/>
  <c r="B57" i="5"/>
  <c r="B62" i="5" s="1"/>
  <c r="B64" i="5" s="1"/>
  <c r="B65" i="5" s="1"/>
  <c r="B66" i="5" s="1"/>
  <c r="B67" i="5" s="1"/>
  <c r="B69" i="5" s="1"/>
  <c r="D54" i="5"/>
  <c r="E63" i="5" s="1"/>
  <c r="E64" i="5" s="1"/>
  <c r="E65" i="5" s="1"/>
  <c r="E66" i="5" s="1"/>
  <c r="E67" i="5" s="1"/>
  <c r="E69" i="5" s="1"/>
  <c r="F54" i="5"/>
  <c r="G63" i="5" s="1"/>
  <c r="B54" i="5"/>
  <c r="C63" i="5" s="1"/>
  <c r="C47" i="5"/>
  <c r="C49" i="5" s="1"/>
  <c r="C50" i="5" s="1"/>
  <c r="D47" i="5"/>
  <c r="D49" i="5" s="1"/>
  <c r="D50" i="5" s="1"/>
  <c r="E47" i="5"/>
  <c r="E49" i="5" s="1"/>
  <c r="E50" i="5" s="1"/>
  <c r="F47" i="5"/>
  <c r="F49" i="5" s="1"/>
  <c r="F50" i="5" s="1"/>
  <c r="G47" i="5"/>
  <c r="G49" i="5" s="1"/>
  <c r="G50" i="5" s="1"/>
  <c r="B47" i="5"/>
  <c r="B49" i="5" s="1"/>
  <c r="B50" i="5" s="1"/>
  <c r="C37" i="5"/>
  <c r="C41" i="5" s="1"/>
  <c r="D37" i="5"/>
  <c r="D41" i="5" s="1"/>
  <c r="E37" i="5"/>
  <c r="E41" i="5" s="1"/>
  <c r="F37" i="5"/>
  <c r="F41" i="5" s="1"/>
  <c r="G37" i="5"/>
  <c r="G41" i="5" s="1"/>
  <c r="B37" i="5"/>
  <c r="B41" i="5" s="1"/>
  <c r="C35" i="5"/>
  <c r="D35" i="5"/>
  <c r="E35" i="5"/>
  <c r="F35" i="5"/>
  <c r="G35" i="5"/>
  <c r="B35" i="5"/>
  <c r="D24" i="5"/>
  <c r="C24" i="5"/>
  <c r="B24" i="5"/>
  <c r="D23" i="5"/>
  <c r="C23" i="5"/>
  <c r="B23" i="5"/>
  <c r="D22" i="5"/>
  <c r="C22" i="5"/>
  <c r="D13" i="5"/>
  <c r="E13" i="5"/>
  <c r="F13" i="5"/>
  <c r="G13" i="5"/>
  <c r="C13" i="5"/>
  <c r="L85" i="5" l="1"/>
  <c r="L86" i="5" s="1"/>
  <c r="E51" i="5"/>
  <c r="G64" i="5"/>
  <c r="G65" i="5" s="1"/>
  <c r="G66" i="5" s="1"/>
  <c r="G67" i="5" s="1"/>
  <c r="G69" i="5" s="1"/>
  <c r="C64" i="5"/>
  <c r="C65" i="5" s="1"/>
  <c r="C66" i="5" s="1"/>
  <c r="C67" i="5" s="1"/>
  <c r="C69" i="5" s="1"/>
  <c r="C25" i="5"/>
  <c r="C26" i="5" s="1"/>
  <c r="C28" i="5" s="1"/>
  <c r="D73" i="5" s="1"/>
  <c r="B51" i="5"/>
  <c r="B25" i="5"/>
  <c r="B26" i="5" s="1"/>
  <c r="B28" i="5" s="1"/>
  <c r="B73" i="5" s="1"/>
  <c r="G42" i="5"/>
  <c r="C42" i="5"/>
  <c r="G51" i="5"/>
  <c r="C51" i="5"/>
  <c r="D51" i="5"/>
  <c r="F51" i="5"/>
  <c r="D42" i="5"/>
  <c r="D72" i="5" s="1"/>
  <c r="D25" i="5"/>
  <c r="D26" i="5" s="1"/>
  <c r="D28" i="5" s="1"/>
  <c r="F73" i="5" s="1"/>
  <c r="B42" i="5"/>
  <c r="B72" i="5" s="1"/>
  <c r="E42" i="5"/>
  <c r="E72" i="5" s="1"/>
  <c r="F42" i="5"/>
  <c r="F72" i="5" s="1"/>
  <c r="H37" i="5"/>
  <c r="H35" i="5"/>
  <c r="C77" i="5" l="1"/>
  <c r="C78" i="5" s="1"/>
  <c r="C79" i="5" s="1"/>
  <c r="G72" i="5"/>
  <c r="D77" i="5" s="1"/>
  <c r="D78" i="5" s="1"/>
  <c r="D79" i="5" s="1"/>
  <c r="C72" i="5"/>
  <c r="B77" i="5" s="1"/>
  <c r="B78" i="5" s="1"/>
  <c r="B79" i="5" s="1"/>
</calcChain>
</file>

<file path=xl/sharedStrings.xml><?xml version="1.0" encoding="utf-8"?>
<sst xmlns="http://schemas.openxmlformats.org/spreadsheetml/2006/main" count="113" uniqueCount="88">
  <si>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</si>
  <si>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</si>
  <si>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</si>
  <si>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</si>
  <si>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</si>
  <si>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</si>
  <si>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</si>
  <si>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</si>
  <si>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</si>
  <si>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</si>
  <si>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</si>
  <si>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</si>
  <si>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</si>
  <si>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</si>
  <si>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</si>
  <si>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</si>
  <si>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</si>
  <si>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</si>
  <si>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</si>
  <si>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</si>
  <si>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</si>
  <si>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</si>
  <si>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</si>
  <si>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</si>
  <si>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</si>
  <si>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</si>
  <si>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</si>
  <si>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</si>
  <si>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</si>
  <si>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</si>
  <si>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</si>
  <si>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</si>
  <si>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</si>
  <si>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</si>
  <si>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</si>
  <si>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</si>
  <si>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</si>
  <si>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</si>
  <si>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</si>
  <si>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</si>
  <si>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</si>
  <si>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</si>
  <si>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</si>
  <si>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</si>
  <si>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</si>
  <si>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</si>
  <si>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</si>
  <si>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</si>
  <si>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</si>
  <si>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Banda De Frecuencia</t>
  </si>
  <si>
    <t>Grx</t>
  </si>
  <si>
    <t>Ltrx</t>
  </si>
  <si>
    <t>Prx</t>
  </si>
  <si>
    <t>Md</t>
  </si>
  <si>
    <t>Lad</t>
  </si>
  <si>
    <t>MI</t>
  </si>
  <si>
    <t>Gtx</t>
  </si>
  <si>
    <t>Ltx</t>
  </si>
  <si>
    <t>Sensibilidad</t>
  </si>
  <si>
    <t>MAPL</t>
  </si>
  <si>
    <t>A</t>
  </si>
  <si>
    <t>B</t>
  </si>
  <si>
    <t>Lclutter</t>
  </si>
  <si>
    <t>ahms</t>
  </si>
  <si>
    <t>s</t>
  </si>
  <si>
    <t>Aux</t>
  </si>
  <si>
    <t>Terreno</t>
  </si>
  <si>
    <t>Población</t>
  </si>
  <si>
    <t>Clientes del servicio</t>
  </si>
  <si>
    <t>Business hour minute</t>
  </si>
  <si>
    <t>Factor hora cargada</t>
  </si>
  <si>
    <t>Minutos diarios por cliente</t>
  </si>
  <si>
    <t>Minutos anuales por cliente</t>
  </si>
  <si>
    <t>Minutos totales anuales</t>
  </si>
  <si>
    <t>ebno</t>
  </si>
  <si>
    <t>Factor de actividad</t>
  </si>
  <si>
    <t>Factor de ortogonalidad</t>
  </si>
  <si>
    <t>Factor de interferencia intercelular</t>
  </si>
  <si>
    <t>Rb</t>
  </si>
  <si>
    <t>NS</t>
  </si>
  <si>
    <t>Radio por propagación</t>
  </si>
  <si>
    <t>Rcc&gt;Rcp--&gt;MI--</t>
  </si>
  <si>
    <t>Datos país</t>
  </si>
  <si>
    <t>Población total</t>
  </si>
  <si>
    <t>%Población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</si>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</sst>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6" borderId="0" xfId="0" applyFill="1"/>
    <xf numFmtId="0" fontId="2" fillId="4" borderId="4" xfId="0" applyFont="1" applyFill="1" applyBorder="1"/>
    <xf numFmtId="0" fontId="0" fillId="0" borderId="5" xfId="0" applyFill="1" applyBorder="1"/>
    <xf numFmtId="0" fontId="2" fillId="0" borderId="4" xfId="0" applyFont="1" applyFill="1" applyBorder="1"/>
    <xf numFmtId="9" fontId="0" fillId="6" borderId="4" xfId="1" applyFont="1" applyFill="1" applyBorder="1"/>
    <xf numFmtId="2" fontId="0" fillId="6" borderId="4" xfId="0" applyNumberFormat="1" applyFill="1" applyBorder="1"/>
    <xf numFmtId="166" fontId="1" fillId="7" borderId="4" xfId="0" applyNumberFormat="1" applyFont="1" applyFill="1" applyBorder="1"/>
    <xf numFmtId="0" fontId="0" fillId="8" borderId="4" xfId="0" applyFill="1" applyBorder="1"/>
    <xf numFmtId="0" fontId="2" fillId="8" borderId="4" xfId="0" applyFont="1" applyFill="1" applyBorder="1"/>
    <xf numFmtId="0" fontId="2" fillId="0" borderId="0" xfId="0" applyFont="1"/>
    <xf numFmtId="0" fontId="1" fillId="7" borderId="7" xfId="0" applyFont="1" applyFill="1" applyBorder="1"/>
    <xf numFmtId="0" fontId="1" fillId="3" borderId="0" xfId="0" applyFont="1" applyFill="1" applyBorder="1"/>
    <xf numFmtId="9" fontId="0" fillId="0" borderId="0" xfId="1" applyFont="1"/>
    <xf numFmtId="0" fontId="0" fillId="0" borderId="0" xfId="0" applyAlignment="1">
      <alignment horizontal="center"/>
    </xf>
    <xf numFmtId="165" fontId="1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65" fontId="1" fillId="7" borderId="6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9" borderId="0" xfId="0" applyFont="1" applyFill="1"/>
    <xf numFmtId="0" fontId="1" fillId="2" borderId="0" xfId="0" applyFont="1" applyFill="1"/>
    <xf numFmtId="0" fontId="0" fillId="10" borderId="0" xfId="0" applyFill="1"/>
    <xf numFmtId="0" fontId="0" fillId="0" borderId="0" xfId="0" applyAlignment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6"/>
  <sheetViews>
    <sheetView tabSelected="1" topLeftCell="A58" zoomScaleNormal="100" workbookViewId="0">
      <selection activeCell="K74" sqref="K74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4.16406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59" t="s">
        <v>85</v>
      </c>
      <c r="K1" s="60" t="s">
        <v>86</v>
      </c>
      <c r="L1" s="60" t="s">
        <v>87</v>
      </c>
    </row>
    <row r="2" spans="1:12" x14ac:dyDescent="0.15">
      <c r="A2" s="12"/>
      <c r="B2" s="12"/>
      <c r="C2" s="56" t="s">
        <v>24</v>
      </c>
      <c r="D2" s="56"/>
      <c r="E2" s="56" t="s">
        <v>25</v>
      </c>
      <c r="F2" s="56"/>
      <c r="G2" s="57" t="s">
        <v>26</v>
      </c>
      <c r="H2" s="57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</row>
    <row r="5" spans="1:12" x14ac:dyDescent="0.15">
      <c r="A5" s="14"/>
      <c r="B5" s="14" t="s">
        <v>51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2" x14ac:dyDescent="0.15">
      <c r="A6" s="14"/>
      <c r="B6" s="14" t="s">
        <v>52</v>
      </c>
      <c r="C6" s="14">
        <v>0.125</v>
      </c>
      <c r="D6" s="14">
        <v>0.125</v>
      </c>
      <c r="E6" s="14">
        <v>0.125</v>
      </c>
      <c r="F6" s="14">
        <v>0.125</v>
      </c>
      <c r="G6" s="14">
        <v>0.125</v>
      </c>
      <c r="H6" s="14">
        <v>0.125</v>
      </c>
    </row>
    <row r="7" spans="1:12" x14ac:dyDescent="0.15">
      <c r="A7" s="14" t="s">
        <v>13</v>
      </c>
      <c r="B7" s="14" t="s">
        <v>53</v>
      </c>
      <c r="C7" s="14">
        <v>15</v>
      </c>
      <c r="D7" s="14">
        <v>15</v>
      </c>
      <c r="E7" s="14">
        <v>12</v>
      </c>
      <c r="F7" s="14">
        <v>12</v>
      </c>
      <c r="G7" s="14">
        <v>12</v>
      </c>
      <c r="H7" s="14">
        <v>12</v>
      </c>
    </row>
    <row r="8" spans="1:12" x14ac:dyDescent="0.15">
      <c r="A8" s="14"/>
      <c r="B8" s="14" t="s">
        <v>54</v>
      </c>
      <c r="C8" s="14">
        <v>12</v>
      </c>
      <c r="D8" s="14">
        <v>12</v>
      </c>
      <c r="E8" s="14">
        <v>9</v>
      </c>
      <c r="F8" s="14">
        <v>9</v>
      </c>
      <c r="G8" s="14">
        <v>7</v>
      </c>
      <c r="H8" s="14">
        <v>7</v>
      </c>
    </row>
    <row r="9" spans="1:12" x14ac:dyDescent="0.15">
      <c r="A9" s="35"/>
      <c r="B9" s="14" t="s">
        <v>55</v>
      </c>
      <c r="C9" s="14">
        <v>1.5</v>
      </c>
      <c r="D9" s="14">
        <v>1.5</v>
      </c>
      <c r="E9" s="14">
        <v>4</v>
      </c>
      <c r="F9" s="14">
        <v>4</v>
      </c>
      <c r="G9" s="14">
        <v>4.5</v>
      </c>
      <c r="H9" s="14">
        <v>4.5</v>
      </c>
    </row>
    <row r="10" spans="1:12" x14ac:dyDescent="0.15">
      <c r="A10" s="14" t="s">
        <v>14</v>
      </c>
      <c r="B10" s="14" t="s">
        <v>56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57</v>
      </c>
      <c r="C11" s="14">
        <v>3</v>
      </c>
      <c r="D11" s="14">
        <v>3</v>
      </c>
      <c r="E11" s="14">
        <v>3</v>
      </c>
      <c r="F11" s="14">
        <v>3</v>
      </c>
      <c r="G11" s="14">
        <v>3</v>
      </c>
      <c r="H11" s="14">
        <v>3</v>
      </c>
    </row>
    <row r="12" spans="1:12" x14ac:dyDescent="0.15">
      <c r="A12" s="14"/>
      <c r="B12" s="36" t="s">
        <v>58</v>
      </c>
      <c r="C12" s="14">
        <v>-117</v>
      </c>
      <c r="D12" s="14">
        <v>-115</v>
      </c>
      <c r="E12" s="14">
        <v>-117</v>
      </c>
      <c r="F12" s="14">
        <v>-115</v>
      </c>
      <c r="G12" s="14">
        <v>-117</v>
      </c>
      <c r="H12" s="14">
        <v>-115</v>
      </c>
    </row>
    <row r="13" spans="1:12" x14ac:dyDescent="0.15">
      <c r="A13" s="15" t="s">
        <v>0</v>
      </c>
      <c r="B13" s="15" t="s">
        <v>59</v>
      </c>
      <c r="C13" s="15">
        <f>10*LOG10(C6)+C4-C5-C7-C8-C9+C10-C11-C12+30</f>
        <v>119.96910013008056</v>
      </c>
      <c r="D13" s="15">
        <f t="shared" ref="D13:G13" si="0">10*LOG10(D6)+D4-D5-D7-D8-D9+D10-D11-D12+30</f>
        <v>117.96910013008056</v>
      </c>
      <c r="E13" s="15">
        <f t="shared" si="0"/>
        <v>123.46910013008056</v>
      </c>
      <c r="F13" s="15">
        <f t="shared" si="0"/>
        <v>121.46910013008056</v>
      </c>
      <c r="G13" s="15">
        <f t="shared" si="0"/>
        <v>124.96910013008056</v>
      </c>
      <c r="H13" s="15">
        <f>10*LOG10(H6)+H4-H5-H7-H8-H9+H10-H11-H12+30</f>
        <v>122.96910013008056</v>
      </c>
      <c r="J13" s="59">
        <v>1</v>
      </c>
      <c r="K13" s="59">
        <v>1</v>
      </c>
      <c r="L13" s="59">
        <f>J13*K13</f>
        <v>1</v>
      </c>
    </row>
    <row r="15" spans="1:12" x14ac:dyDescent="0.15">
      <c r="A15" s="16"/>
      <c r="B15" s="21" t="s">
        <v>24</v>
      </c>
      <c r="C15" s="21" t="s">
        <v>25</v>
      </c>
      <c r="D15" s="21" t="s">
        <v>26</v>
      </c>
    </row>
    <row r="16" spans="1:12" x14ac:dyDescent="0.15">
      <c r="A16" s="17" t="s">
        <v>41</v>
      </c>
      <c r="B16" s="17">
        <v>38</v>
      </c>
      <c r="C16" s="17">
        <v>22</v>
      </c>
      <c r="D16" s="17">
        <v>30</v>
      </c>
    </row>
    <row r="17" spans="1:12" x14ac:dyDescent="0.15">
      <c r="A17" s="17" t="s">
        <v>42</v>
      </c>
      <c r="B17" s="17">
        <v>1.72</v>
      </c>
      <c r="C17" s="17">
        <v>1.72</v>
      </c>
      <c r="D17" s="17">
        <v>1.72</v>
      </c>
    </row>
    <row r="18" spans="1:12" x14ac:dyDescent="0.15">
      <c r="A18" s="10" t="s">
        <v>49</v>
      </c>
      <c r="B18" s="19">
        <v>1800</v>
      </c>
      <c r="C18" s="19">
        <v>900</v>
      </c>
      <c r="D18" s="19">
        <v>2100</v>
      </c>
    </row>
    <row r="19" spans="1:12" x14ac:dyDescent="0.15">
      <c r="A19" s="18" t="s">
        <v>43</v>
      </c>
      <c r="B19" s="16" t="s">
        <v>44</v>
      </c>
      <c r="C19" s="16" t="s">
        <v>45</v>
      </c>
      <c r="D19" s="16" t="s">
        <v>45</v>
      </c>
    </row>
    <row r="20" spans="1:12" x14ac:dyDescent="0.15">
      <c r="A20" s="27" t="s">
        <v>60</v>
      </c>
      <c r="B20" s="18">
        <v>46.3</v>
      </c>
      <c r="C20" s="18">
        <v>69.55</v>
      </c>
      <c r="D20" s="18">
        <v>46.3</v>
      </c>
    </row>
    <row r="21" spans="1:12" x14ac:dyDescent="0.15">
      <c r="A21" s="27" t="s">
        <v>61</v>
      </c>
      <c r="B21" s="18">
        <v>33.9</v>
      </c>
      <c r="C21" s="18">
        <v>26.16</v>
      </c>
      <c r="D21" s="18">
        <v>33.9</v>
      </c>
    </row>
    <row r="22" spans="1:12" x14ac:dyDescent="0.15">
      <c r="A22" s="27" t="s">
        <v>62</v>
      </c>
      <c r="B22" s="18">
        <v>0</v>
      </c>
      <c r="C22" s="18">
        <f>-2*(LOG10(C18/28))^2-5.4</f>
        <v>-9.942607248242453</v>
      </c>
      <c r="D22" s="18">
        <f>-4.78*(LOG10(D18))^2+18.33*LOG10(D18)-40.94</f>
        <v>-32.801254509732452</v>
      </c>
    </row>
    <row r="23" spans="1:12" x14ac:dyDescent="0.15">
      <c r="A23" s="27" t="s">
        <v>63</v>
      </c>
      <c r="B23" s="18">
        <f>3.2*(LOG10(11.75*B17))^2-4.97</f>
        <v>0.48441087675501127</v>
      </c>
      <c r="C23" s="18">
        <f>C17*(1.1*LOG10(C18)-0.7)-(1.56*LOG10(C18)-0.8)</f>
        <v>0.57680851313385606</v>
      </c>
      <c r="D23" s="18">
        <f>D17*(1.1*LOG10(D18)-0.7)-(1.56*LOG10(D18)-0.8)</f>
        <v>0.698976805851661</v>
      </c>
    </row>
    <row r="24" spans="1:12" x14ac:dyDescent="0.15">
      <c r="A24" s="27" t="s">
        <v>64</v>
      </c>
      <c r="B24" s="18">
        <f>(47.88+13.9*LOG10(B18)-13.82*LOG10(B16))*(1/LOG10(50))</f>
        <v>41.964059597129257</v>
      </c>
      <c r="C24" s="18">
        <f>44.9-6.55*LOG10(C16)</f>
        <v>36.107131440614552</v>
      </c>
      <c r="D24" s="18">
        <f>44.9-6.55*LOG10(D16)</f>
        <v>35.224855781586214</v>
      </c>
    </row>
    <row r="25" spans="1:12" x14ac:dyDescent="0.15">
      <c r="A25" s="27" t="s">
        <v>59</v>
      </c>
      <c r="B25" s="18">
        <f>MIN(C13:D13)</f>
        <v>117.96910013008056</v>
      </c>
      <c r="C25" s="18">
        <f>MIN(E13:F13)</f>
        <v>121.46910013008056</v>
      </c>
      <c r="D25" s="18">
        <f>MIN(G13:H13)</f>
        <v>122.96910013008056</v>
      </c>
    </row>
    <row r="26" spans="1:12" x14ac:dyDescent="0.15">
      <c r="A26" s="27" t="s">
        <v>65</v>
      </c>
      <c r="B26" s="16">
        <f>B25-B20-B21*LOG10(B18)+13.82*LOG10(B16)+B23-B22</f>
        <v>-16.367617610922181</v>
      </c>
      <c r="C26" s="16">
        <f t="shared" ref="C26:D26" si="1">C25-C20-C21*LOG10(C18)+13.82*LOG10(C16)+C23-C22</f>
        <v>3.7078132934870256</v>
      </c>
      <c r="D26" s="16">
        <f t="shared" si="1"/>
        <v>17.959913094410553</v>
      </c>
    </row>
    <row r="27" spans="1:12" x14ac:dyDescent="0.15">
      <c r="A27" s="18"/>
      <c r="B27" s="18"/>
      <c r="C27" s="18"/>
      <c r="D27" s="18"/>
    </row>
    <row r="28" spans="1:12" x14ac:dyDescent="0.15">
      <c r="A28" s="10" t="s">
        <v>46</v>
      </c>
      <c r="B28" s="20">
        <f>10^(B26/B24)</f>
        <v>0.40734374621352376</v>
      </c>
      <c r="C28" s="20">
        <f t="shared" ref="C28:D28" si="2">10^(C26/C24)</f>
        <v>1.2667450724307241</v>
      </c>
      <c r="D28" s="20">
        <f t="shared" si="2"/>
        <v>3.234929146602822</v>
      </c>
      <c r="J28" s="59">
        <v>1.5</v>
      </c>
      <c r="K28" s="59">
        <v>1</v>
      </c>
      <c r="L28" s="59">
        <f t="shared" ref="L28:L44" si="3">J28*K28</f>
        <v>1.5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7" t="s">
        <v>31</v>
      </c>
      <c r="B31" s="23">
        <v>235</v>
      </c>
      <c r="C31" s="23">
        <v>235</v>
      </c>
      <c r="D31" s="23">
        <v>235</v>
      </c>
      <c r="E31" s="23">
        <v>235</v>
      </c>
      <c r="F31" s="23">
        <v>235</v>
      </c>
      <c r="G31" s="23">
        <v>235</v>
      </c>
    </row>
    <row r="32" spans="1:12" x14ac:dyDescent="0.15">
      <c r="A32" s="17" t="s">
        <v>32</v>
      </c>
      <c r="B32" s="23">
        <v>363500</v>
      </c>
      <c r="C32" s="23">
        <v>363500</v>
      </c>
      <c r="D32" s="23">
        <v>363500</v>
      </c>
      <c r="E32" s="23">
        <v>363500</v>
      </c>
      <c r="F32" s="23">
        <v>363500</v>
      </c>
      <c r="G32" s="23">
        <v>363500</v>
      </c>
    </row>
    <row r="33" spans="1:12" x14ac:dyDescent="0.15">
      <c r="A33" s="22"/>
      <c r="B33" s="58" t="s">
        <v>24</v>
      </c>
      <c r="C33" s="58"/>
      <c r="D33" s="58" t="s">
        <v>25</v>
      </c>
      <c r="E33" s="58"/>
      <c r="F33" s="58" t="s">
        <v>26</v>
      </c>
      <c r="G33" s="58"/>
    </row>
    <row r="34" spans="1:12" x14ac:dyDescent="0.15">
      <c r="A34" s="17" t="s">
        <v>33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38" t="s">
        <v>66</v>
      </c>
      <c r="B35" s="22">
        <f>B34*B31</f>
        <v>28.2</v>
      </c>
      <c r="C35" s="22">
        <f t="shared" ref="C35:G35" si="4">C34*C31</f>
        <v>28.2</v>
      </c>
      <c r="D35" s="22">
        <f t="shared" si="4"/>
        <v>54.050000000000004</v>
      </c>
      <c r="E35" s="22">
        <f t="shared" si="4"/>
        <v>54.050000000000004</v>
      </c>
      <c r="F35" s="22">
        <f t="shared" si="4"/>
        <v>152.75</v>
      </c>
      <c r="G35" s="22">
        <f t="shared" si="4"/>
        <v>152.75</v>
      </c>
      <c r="H35" s="37">
        <f>SUM(B35:G35)/2</f>
        <v>235</v>
      </c>
    </row>
    <row r="36" spans="1:12" x14ac:dyDescent="0.15">
      <c r="A36" s="17" t="s">
        <v>34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12" x14ac:dyDescent="0.15">
      <c r="A37" s="38" t="s">
        <v>67</v>
      </c>
      <c r="B37" s="22">
        <f>B36*B32</f>
        <v>225370</v>
      </c>
      <c r="C37" s="22">
        <f t="shared" ref="C37:G37" si="5">C36*C32</f>
        <v>225370</v>
      </c>
      <c r="D37" s="22">
        <f t="shared" si="5"/>
        <v>79970</v>
      </c>
      <c r="E37" s="22">
        <f t="shared" si="5"/>
        <v>79970</v>
      </c>
      <c r="F37" s="22">
        <f t="shared" si="5"/>
        <v>58160</v>
      </c>
      <c r="G37" s="22">
        <f t="shared" si="5"/>
        <v>58160</v>
      </c>
      <c r="H37" s="37">
        <f>SUM(B37:G37)/2</f>
        <v>363500</v>
      </c>
    </row>
    <row r="38" spans="1:12" x14ac:dyDescent="0.15">
      <c r="A38" s="17" t="s">
        <v>35</v>
      </c>
      <c r="B38" s="39">
        <v>1.05</v>
      </c>
      <c r="C38" s="39">
        <v>1.05</v>
      </c>
      <c r="D38" s="39">
        <v>1.05</v>
      </c>
      <c r="E38" s="39">
        <v>1.05</v>
      </c>
      <c r="F38" s="39">
        <v>1.05</v>
      </c>
      <c r="G38" s="39">
        <v>1.05</v>
      </c>
    </row>
    <row r="39" spans="1:12" x14ac:dyDescent="0.15">
      <c r="A39" s="17" t="s">
        <v>36</v>
      </c>
      <c r="B39" s="39">
        <v>0.29499999999999998</v>
      </c>
      <c r="C39" s="39">
        <v>0.29499999999999998</v>
      </c>
      <c r="D39" s="39">
        <v>0.29499999999999998</v>
      </c>
      <c r="E39" s="39">
        <v>0.29499999999999998</v>
      </c>
      <c r="F39" s="39">
        <v>0.29499999999999998</v>
      </c>
      <c r="G39" s="39">
        <v>0.29499999999999998</v>
      </c>
    </row>
    <row r="40" spans="1:12" x14ac:dyDescent="0.15">
      <c r="A40" s="17" t="s">
        <v>37</v>
      </c>
      <c r="B40" s="39">
        <v>1</v>
      </c>
      <c r="C40" s="39">
        <v>1.1000000000000001</v>
      </c>
      <c r="D40" s="39">
        <v>1</v>
      </c>
      <c r="E40" s="39">
        <v>1.1000000000000001</v>
      </c>
      <c r="F40" s="39">
        <v>1</v>
      </c>
      <c r="G40" s="39">
        <v>1.1000000000000001</v>
      </c>
    </row>
    <row r="41" spans="1:12" x14ac:dyDescent="0.15">
      <c r="A41" s="38" t="s">
        <v>68</v>
      </c>
      <c r="B41" s="22">
        <f t="shared" ref="B41:G41" si="6">B40*B39*B38*B37</f>
        <v>69808.357499999998</v>
      </c>
      <c r="C41" s="22">
        <f t="shared" si="6"/>
        <v>76789.193249999997</v>
      </c>
      <c r="D41" s="22">
        <f t="shared" si="6"/>
        <v>24770.707499999997</v>
      </c>
      <c r="E41" s="22">
        <f t="shared" si="6"/>
        <v>27247.778249999999</v>
      </c>
      <c r="F41" s="22">
        <f t="shared" si="6"/>
        <v>18015.059999999998</v>
      </c>
      <c r="G41" s="22">
        <f t="shared" si="6"/>
        <v>19816.565999999999</v>
      </c>
    </row>
    <row r="42" spans="1:12" x14ac:dyDescent="0.15">
      <c r="A42" s="10" t="s">
        <v>38</v>
      </c>
      <c r="B42" s="25">
        <f t="shared" ref="B42:G42" si="7">B41/B35</f>
        <v>2475.4736702127661</v>
      </c>
      <c r="C42" s="25">
        <f t="shared" si="7"/>
        <v>2723.0210372340425</v>
      </c>
      <c r="D42" s="25">
        <f t="shared" si="7"/>
        <v>458.29246068455126</v>
      </c>
      <c r="E42" s="25">
        <f t="shared" si="7"/>
        <v>504.12170675300644</v>
      </c>
      <c r="F42" s="25">
        <f t="shared" si="7"/>
        <v>117.93819967266774</v>
      </c>
      <c r="G42" s="25">
        <f t="shared" si="7"/>
        <v>129.73201963993452</v>
      </c>
    </row>
    <row r="44" spans="1:12" x14ac:dyDescent="0.15">
      <c r="J44" s="59">
        <v>0.5</v>
      </c>
      <c r="K44" s="59">
        <v>1</v>
      </c>
      <c r="L44" s="59">
        <f t="shared" si="3"/>
        <v>0.5</v>
      </c>
    </row>
    <row r="45" spans="1:12" x14ac:dyDescent="0.15">
      <c r="A45" s="13" t="s">
        <v>39</v>
      </c>
      <c r="B45" s="53" t="s">
        <v>24</v>
      </c>
      <c r="C45" s="53"/>
      <c r="D45" s="53" t="s">
        <v>25</v>
      </c>
      <c r="E45" s="53"/>
      <c r="F45" s="53" t="s">
        <v>26</v>
      </c>
      <c r="G45" s="53"/>
    </row>
    <row r="46" spans="1:12" x14ac:dyDescent="0.15">
      <c r="A46" s="26" t="s">
        <v>48</v>
      </c>
      <c r="B46" s="17">
        <v>1.4999999999999999E-2</v>
      </c>
      <c r="C46" s="17">
        <v>0.01</v>
      </c>
      <c r="D46" s="17">
        <v>1.2E-2</v>
      </c>
      <c r="E46" s="17">
        <v>1.0999999999999999E-2</v>
      </c>
      <c r="F46" s="17">
        <v>0.01</v>
      </c>
      <c r="G46" s="17">
        <v>7.0000000000000001E-3</v>
      </c>
    </row>
    <row r="47" spans="1:12" ht="13" customHeight="1" x14ac:dyDescent="0.15">
      <c r="A47" s="27" t="s">
        <v>69</v>
      </c>
      <c r="B47" s="28">
        <f>B46*60</f>
        <v>0.89999999999999991</v>
      </c>
      <c r="C47" s="28">
        <f t="shared" ref="C47:G47" si="8">C46*60</f>
        <v>0.6</v>
      </c>
      <c r="D47" s="28">
        <f t="shared" si="8"/>
        <v>0.72</v>
      </c>
      <c r="E47" s="28">
        <f t="shared" si="8"/>
        <v>0.65999999999999992</v>
      </c>
      <c r="F47" s="28">
        <f t="shared" si="8"/>
        <v>0.6</v>
      </c>
      <c r="G47" s="28">
        <f t="shared" si="8"/>
        <v>0.42</v>
      </c>
    </row>
    <row r="48" spans="1:12" ht="13" customHeight="1" x14ac:dyDescent="0.15">
      <c r="A48" s="26" t="s">
        <v>70</v>
      </c>
      <c r="B48" s="40">
        <v>8</v>
      </c>
      <c r="C48" s="40">
        <v>13</v>
      </c>
      <c r="D48" s="40">
        <v>8</v>
      </c>
      <c r="E48" s="40">
        <v>13</v>
      </c>
      <c r="F48" s="40">
        <v>8</v>
      </c>
      <c r="G48" s="40">
        <v>13</v>
      </c>
    </row>
    <row r="49" spans="1:12" ht="13" customHeight="1" x14ac:dyDescent="0.15">
      <c r="A49" s="27" t="s">
        <v>71</v>
      </c>
      <c r="B49" s="29">
        <f>B47*B48</f>
        <v>7.1999999999999993</v>
      </c>
      <c r="C49" s="29">
        <f t="shared" ref="C49:G49" si="9">C47*C48</f>
        <v>7.8</v>
      </c>
      <c r="D49" s="29">
        <f t="shared" si="9"/>
        <v>5.76</v>
      </c>
      <c r="E49" s="29">
        <f t="shared" si="9"/>
        <v>8.5799999999999983</v>
      </c>
      <c r="F49" s="29">
        <f t="shared" si="9"/>
        <v>4.8</v>
      </c>
      <c r="G49" s="29">
        <f t="shared" si="9"/>
        <v>5.46</v>
      </c>
    </row>
    <row r="50" spans="1:12" ht="13" customHeight="1" x14ac:dyDescent="0.15">
      <c r="A50" s="27" t="s">
        <v>72</v>
      </c>
      <c r="B50" s="29">
        <f>B49*250</f>
        <v>1799.9999999999998</v>
      </c>
      <c r="C50" s="29">
        <f t="shared" ref="C50:G50" si="10">C49*250</f>
        <v>1950</v>
      </c>
      <c r="D50" s="29">
        <f t="shared" si="10"/>
        <v>1440</v>
      </c>
      <c r="E50" s="29">
        <f t="shared" si="10"/>
        <v>2144.9999999999995</v>
      </c>
      <c r="F50" s="29">
        <f t="shared" si="10"/>
        <v>1200</v>
      </c>
      <c r="G50" s="29">
        <f t="shared" si="10"/>
        <v>1365</v>
      </c>
    </row>
    <row r="51" spans="1:12" ht="13" customHeight="1" x14ac:dyDescent="0.15">
      <c r="A51" s="10" t="s">
        <v>73</v>
      </c>
      <c r="B51" s="41">
        <f>B50*B41</f>
        <v>125655043.49999999</v>
      </c>
      <c r="C51" s="41">
        <f t="shared" ref="C51:G51" si="11">C50*C41</f>
        <v>149738926.83750001</v>
      </c>
      <c r="D51" s="41">
        <f t="shared" si="11"/>
        <v>35669818.799999997</v>
      </c>
      <c r="E51" s="41">
        <f t="shared" si="11"/>
        <v>58446484.346249983</v>
      </c>
      <c r="F51" s="41">
        <f t="shared" si="11"/>
        <v>21618071.999999996</v>
      </c>
      <c r="G51" s="41">
        <f t="shared" si="11"/>
        <v>27049612.59</v>
      </c>
    </row>
    <row r="52" spans="1:12" ht="13" customHeight="1" x14ac:dyDescent="0.15"/>
    <row r="53" spans="1:12" x14ac:dyDescent="0.15">
      <c r="A53" s="13" t="s">
        <v>2</v>
      </c>
      <c r="B53" s="53" t="s">
        <v>24</v>
      </c>
      <c r="C53" s="53"/>
      <c r="D53" s="53" t="s">
        <v>25</v>
      </c>
      <c r="E53" s="53"/>
      <c r="F53" s="53" t="s">
        <v>26</v>
      </c>
      <c r="G53" s="53"/>
    </row>
    <row r="54" spans="1:12" x14ac:dyDescent="0.15">
      <c r="A54" s="14" t="s">
        <v>1</v>
      </c>
      <c r="B54" s="54">
        <f>1-(1/10^(C9/10))</f>
        <v>0.29205421561586209</v>
      </c>
      <c r="C54" s="55"/>
      <c r="D54" s="54">
        <f t="shared" ref="D54" si="12">1-(1/10^(E9/10))</f>
        <v>0.6018928294465028</v>
      </c>
      <c r="E54" s="55"/>
      <c r="F54" s="54">
        <f t="shared" ref="F54" si="13">1-(1/10^(G9/10))</f>
        <v>0.64518661076642458</v>
      </c>
      <c r="G54" s="55"/>
    </row>
    <row r="55" spans="1:12" x14ac:dyDescent="0.15">
      <c r="A55" s="18"/>
      <c r="B55" s="30" t="s">
        <v>27</v>
      </c>
      <c r="C55" s="30" t="s">
        <v>4</v>
      </c>
      <c r="D55" s="30" t="s">
        <v>3</v>
      </c>
      <c r="E55" s="30" t="s">
        <v>4</v>
      </c>
      <c r="F55" s="30" t="s">
        <v>3</v>
      </c>
      <c r="G55" s="30" t="s">
        <v>4</v>
      </c>
      <c r="J55" s="59">
        <v>0.75</v>
      </c>
      <c r="K55" s="59">
        <v>1</v>
      </c>
      <c r="L55" s="59">
        <f>J55*K55</f>
        <v>0.75</v>
      </c>
    </row>
    <row r="56" spans="1:12" x14ac:dyDescent="0.15">
      <c r="A56" s="14" t="s">
        <v>8</v>
      </c>
      <c r="B56" s="14">
        <v>4.5999999999999996</v>
      </c>
      <c r="C56" s="14">
        <v>2.6</v>
      </c>
      <c r="D56" s="14">
        <v>4.5999999999999996</v>
      </c>
      <c r="E56" s="14">
        <v>2.6</v>
      </c>
      <c r="F56" s="14">
        <v>4.5999999999999996</v>
      </c>
      <c r="G56" s="14">
        <v>2.6</v>
      </c>
    </row>
    <row r="57" spans="1:12" x14ac:dyDescent="0.15">
      <c r="A57" s="43" t="s">
        <v>74</v>
      </c>
      <c r="B57" s="42">
        <f>10^(B56/10)</f>
        <v>2.8840315031266059</v>
      </c>
      <c r="C57" s="42">
        <f t="shared" ref="C57:G57" si="14">10^(C56/10)</f>
        <v>1.8197008586099837</v>
      </c>
      <c r="D57" s="42">
        <f t="shared" si="14"/>
        <v>2.8840315031266059</v>
      </c>
      <c r="E57" s="42">
        <f t="shared" si="14"/>
        <v>1.8197008586099837</v>
      </c>
      <c r="F57" s="42">
        <f t="shared" si="14"/>
        <v>2.8840315031266059</v>
      </c>
      <c r="G57" s="42">
        <f t="shared" si="14"/>
        <v>1.8197008586099837</v>
      </c>
    </row>
    <row r="58" spans="1:12" x14ac:dyDescent="0.15">
      <c r="A58" s="36" t="s">
        <v>75</v>
      </c>
      <c r="B58" s="14">
        <v>0.67</v>
      </c>
      <c r="C58" s="14">
        <v>1</v>
      </c>
      <c r="D58" s="14">
        <v>0.67</v>
      </c>
      <c r="E58" s="14">
        <v>1</v>
      </c>
      <c r="F58" s="14">
        <v>0.67</v>
      </c>
      <c r="G58" s="14">
        <v>1</v>
      </c>
    </row>
    <row r="59" spans="1:12" x14ac:dyDescent="0.15">
      <c r="A59" s="36" t="s">
        <v>76</v>
      </c>
      <c r="B59" s="14">
        <v>0.55000000000000004</v>
      </c>
      <c r="C59" s="14">
        <v>0.55000000000000004</v>
      </c>
      <c r="D59" s="14">
        <v>0.55000000000000004</v>
      </c>
      <c r="E59" s="14">
        <v>0.55000000000000004</v>
      </c>
      <c r="F59" s="14">
        <v>0.55000000000000004</v>
      </c>
      <c r="G59" s="14">
        <v>0.55000000000000004</v>
      </c>
    </row>
    <row r="60" spans="1:12" x14ac:dyDescent="0.15">
      <c r="A60" s="36" t="s">
        <v>77</v>
      </c>
      <c r="B60" s="14">
        <v>0.66</v>
      </c>
      <c r="C60" s="14">
        <v>0.66</v>
      </c>
      <c r="D60" s="14">
        <v>0.66</v>
      </c>
      <c r="E60" s="14">
        <v>0.66</v>
      </c>
      <c r="F60" s="14">
        <v>0.66</v>
      </c>
      <c r="G60" s="14">
        <v>0.66</v>
      </c>
    </row>
    <row r="61" spans="1:12" x14ac:dyDescent="0.15">
      <c r="A61" s="36" t="s">
        <v>78</v>
      </c>
      <c r="B61" s="14">
        <v>12.2</v>
      </c>
      <c r="C61" s="14">
        <v>64</v>
      </c>
      <c r="D61" s="14">
        <v>12.2</v>
      </c>
      <c r="E61" s="14">
        <v>64</v>
      </c>
      <c r="F61" s="14">
        <v>12.2</v>
      </c>
      <c r="G61" s="14">
        <v>64</v>
      </c>
    </row>
    <row r="62" spans="1:12" x14ac:dyDescent="0.15">
      <c r="A62" s="42" t="s">
        <v>9</v>
      </c>
      <c r="B62" s="42">
        <f>B57*B58*(1-B59+B60)/(3840/B61)</f>
        <v>6.8143806229890979E-3</v>
      </c>
      <c r="C62" s="42">
        <f t="shared" ref="C62:G62" si="15">C57*C58*(1-C59+C60)/(3840/C61)</f>
        <v>3.3664465884284699E-2</v>
      </c>
      <c r="D62" s="42">
        <f t="shared" si="15"/>
        <v>6.8143806229890979E-3</v>
      </c>
      <c r="E62" s="42">
        <f t="shared" si="15"/>
        <v>3.3664465884284699E-2</v>
      </c>
      <c r="F62" s="42">
        <f t="shared" si="15"/>
        <v>6.8143806229890979E-3</v>
      </c>
      <c r="G62" s="42">
        <f t="shared" si="15"/>
        <v>3.3664465884284699E-2</v>
      </c>
    </row>
    <row r="63" spans="1:12" x14ac:dyDescent="0.15">
      <c r="A63" s="18" t="s">
        <v>10</v>
      </c>
      <c r="B63" s="18">
        <v>5.8000000000000003E-2</v>
      </c>
      <c r="C63" s="27">
        <f>B54-B63</f>
        <v>0.23405421561586209</v>
      </c>
      <c r="D63" s="18">
        <v>0.1</v>
      </c>
      <c r="E63" s="27">
        <f>D54-D63</f>
        <v>0.50189282944650282</v>
      </c>
      <c r="F63" s="18">
        <v>0.128</v>
      </c>
      <c r="G63" s="27">
        <f>F54-F63</f>
        <v>0.51718661076642458</v>
      </c>
    </row>
    <row r="64" spans="1:12" x14ac:dyDescent="0.15">
      <c r="A64" s="32" t="s">
        <v>30</v>
      </c>
      <c r="B64" s="31">
        <f>B63/B62</f>
        <v>8.5114118522129978</v>
      </c>
      <c r="C64" s="31">
        <f t="shared" ref="C64:G64" si="16">C63/C62</f>
        <v>6.9525599016000923</v>
      </c>
      <c r="D64" s="31">
        <f t="shared" si="16"/>
        <v>14.674848021056894</v>
      </c>
      <c r="E64" s="31">
        <f t="shared" si="16"/>
        <v>14.908682382535504</v>
      </c>
      <c r="F64" s="31">
        <f t="shared" si="16"/>
        <v>18.783805466952824</v>
      </c>
      <c r="G64" s="31">
        <f t="shared" si="16"/>
        <v>15.362982812326706</v>
      </c>
    </row>
    <row r="65" spans="1:12" x14ac:dyDescent="0.15">
      <c r="A65" s="18" t="s">
        <v>11</v>
      </c>
      <c r="B65" s="18">
        <f>B64*(1+B60)</f>
        <v>14.128943674673577</v>
      </c>
      <c r="C65" s="18">
        <f t="shared" ref="C65:G65" si="17">C64*(1+C60)</f>
        <v>11.541249436656154</v>
      </c>
      <c r="D65" s="18">
        <f t="shared" si="17"/>
        <v>24.360247714954447</v>
      </c>
      <c r="E65" s="18">
        <f t="shared" si="17"/>
        <v>24.748412755008939</v>
      </c>
      <c r="F65" s="18">
        <f t="shared" si="17"/>
        <v>31.181117075141689</v>
      </c>
      <c r="G65" s="18">
        <f t="shared" si="17"/>
        <v>25.502551468462332</v>
      </c>
    </row>
    <row r="66" spans="1:12" x14ac:dyDescent="0.15">
      <c r="A66" s="32" t="s">
        <v>22</v>
      </c>
      <c r="B66" s="32">
        <f>VLOOKUP(B65,Erlang!A2:B100,2)</f>
        <v>8.2002682999999994</v>
      </c>
      <c r="C66" s="32">
        <f>VLOOKUP(C65,Erlang!A2:B100,2)</f>
        <v>5.8415311000000001</v>
      </c>
      <c r="D66" s="32">
        <f>VLOOKUP(D65,Erlang!A2:B100,2)</f>
        <v>16.630576000000001</v>
      </c>
      <c r="E66" s="32">
        <f>VLOOKUP(E65,Erlang!A2:B100,2)</f>
        <v>16.630576000000001</v>
      </c>
      <c r="F66" s="32">
        <f>VLOOKUP(F65,Erlang!A2:B100,2)</f>
        <v>22.826789000000002</v>
      </c>
      <c r="G66" s="32">
        <f>VLOOKUP(G65,Erlang!A2:B100,2)</f>
        <v>17.504635</v>
      </c>
    </row>
    <row r="67" spans="1:12" x14ac:dyDescent="0.15">
      <c r="A67" s="18" t="s">
        <v>23</v>
      </c>
      <c r="B67" s="18">
        <f>B66/(1+B60)</f>
        <v>4.9399206626506018</v>
      </c>
      <c r="C67" s="18">
        <f t="shared" ref="C67:G67" si="18">C66/(1+C60)</f>
        <v>3.5189946385542168</v>
      </c>
      <c r="D67" s="18">
        <f t="shared" si="18"/>
        <v>10.018419277108434</v>
      </c>
      <c r="E67" s="18">
        <f t="shared" si="18"/>
        <v>10.018419277108434</v>
      </c>
      <c r="F67" s="18">
        <f t="shared" si="18"/>
        <v>13.751077710843374</v>
      </c>
      <c r="G67" s="18">
        <f t="shared" si="18"/>
        <v>10.544960843373493</v>
      </c>
    </row>
    <row r="68" spans="1:12" x14ac:dyDescent="0.15">
      <c r="A68" s="17" t="s">
        <v>40</v>
      </c>
      <c r="B68" s="17">
        <v>1.4999999999999999E-2</v>
      </c>
      <c r="C68" s="17">
        <v>0.01</v>
      </c>
      <c r="D68" s="17">
        <v>1.2E-2</v>
      </c>
      <c r="E68" s="17">
        <v>1.0999999999999999E-2</v>
      </c>
      <c r="F68" s="17">
        <v>0.01</v>
      </c>
      <c r="G68" s="17">
        <v>7.0000000000000001E-3</v>
      </c>
      <c r="J68" s="59">
        <v>1.25</v>
      </c>
      <c r="K68" s="59">
        <v>1</v>
      </c>
      <c r="L68" s="59">
        <f>J68*K68</f>
        <v>1.25</v>
      </c>
    </row>
    <row r="69" spans="1:12" x14ac:dyDescent="0.15">
      <c r="A69" s="18" t="s">
        <v>7</v>
      </c>
      <c r="B69" s="18">
        <f>B67/B68</f>
        <v>329.32804417670678</v>
      </c>
      <c r="C69" s="18">
        <f t="shared" ref="C69:G69" si="19">C67/C68</f>
        <v>351.89946385542169</v>
      </c>
      <c r="D69" s="18">
        <f t="shared" si="19"/>
        <v>834.86827309236946</v>
      </c>
      <c r="E69" s="18">
        <f t="shared" si="19"/>
        <v>910.76538882803948</v>
      </c>
      <c r="F69" s="18">
        <f t="shared" si="19"/>
        <v>1375.1077710843374</v>
      </c>
      <c r="G69" s="18">
        <f t="shared" si="19"/>
        <v>1506.4229776247848</v>
      </c>
    </row>
    <row r="70" spans="1:12" x14ac:dyDescent="0.15">
      <c r="A70" s="27" t="s">
        <v>79</v>
      </c>
      <c r="B70" s="18">
        <v>4</v>
      </c>
      <c r="C70" s="18">
        <v>4</v>
      </c>
      <c r="D70" s="18">
        <v>3</v>
      </c>
      <c r="E70" s="18">
        <v>3</v>
      </c>
      <c r="F70" s="18">
        <v>3</v>
      </c>
      <c r="G70" s="18">
        <v>3</v>
      </c>
    </row>
    <row r="71" spans="1:12" x14ac:dyDescent="0.15">
      <c r="A71" s="33"/>
      <c r="B71" s="53" t="s">
        <v>24</v>
      </c>
      <c r="C71" s="53"/>
      <c r="D71" s="53" t="s">
        <v>25</v>
      </c>
      <c r="E71" s="53"/>
      <c r="F71" s="53" t="s">
        <v>26</v>
      </c>
      <c r="G71" s="53"/>
      <c r="J71" s="59">
        <v>3</v>
      </c>
      <c r="K71" s="59">
        <v>1</v>
      </c>
      <c r="L71" s="59">
        <f>J71*K71</f>
        <v>3</v>
      </c>
    </row>
    <row r="72" spans="1:12" x14ac:dyDescent="0.15">
      <c r="A72" s="15" t="s">
        <v>5</v>
      </c>
      <c r="B72" s="34">
        <f>SQRT((B69*B70)/(PI()*B42))</f>
        <v>0.41156673078596706</v>
      </c>
      <c r="C72" s="34">
        <f t="shared" ref="C72:G72" si="20">SQRT((C69*C70)/(PI()*C42))</f>
        <v>0.40563821561438013</v>
      </c>
      <c r="D72" s="34">
        <f t="shared" si="20"/>
        <v>1.318934757417686</v>
      </c>
      <c r="E72" s="34">
        <f t="shared" si="20"/>
        <v>1.3134733063914015</v>
      </c>
      <c r="F72" s="34">
        <f t="shared" si="20"/>
        <v>3.3367741487999347</v>
      </c>
      <c r="G72" s="34">
        <f t="shared" si="20"/>
        <v>3.3299335503616652</v>
      </c>
      <c r="H72" s="44" t="s">
        <v>81</v>
      </c>
    </row>
    <row r="73" spans="1:12" x14ac:dyDescent="0.15">
      <c r="A73" s="45" t="s">
        <v>80</v>
      </c>
      <c r="B73" s="49">
        <f>B28</f>
        <v>0.40734374621352376</v>
      </c>
      <c r="C73" s="50"/>
      <c r="D73" s="51">
        <f>C28</f>
        <v>1.2667450724307241</v>
      </c>
      <c r="E73" s="50"/>
      <c r="F73" s="51">
        <f>D28</f>
        <v>3.234929146602822</v>
      </c>
      <c r="G73" s="52"/>
    </row>
    <row r="74" spans="1:12" x14ac:dyDescent="0.15">
      <c r="A74" s="44"/>
    </row>
    <row r="75" spans="1:12" x14ac:dyDescent="0.15">
      <c r="A75" s="44"/>
    </row>
    <row r="76" spans="1:12" x14ac:dyDescent="0.15">
      <c r="A76" s="33"/>
      <c r="B76" s="33" t="s">
        <v>24</v>
      </c>
      <c r="C76" s="33" t="s">
        <v>25</v>
      </c>
      <c r="D76" s="33" t="s">
        <v>26</v>
      </c>
      <c r="I76" s="62"/>
      <c r="J76" s="62"/>
    </row>
    <row r="77" spans="1:12" x14ac:dyDescent="0.15">
      <c r="A77" s="15" t="s">
        <v>6</v>
      </c>
      <c r="B77" s="34">
        <f>MIN(B72:C73)</f>
        <v>0.40563821561438013</v>
      </c>
      <c r="C77" s="34">
        <f>MIN(D72:E73)</f>
        <v>1.2667450724307241</v>
      </c>
      <c r="D77" s="34">
        <f>MIN(F72:G73)</f>
        <v>3.234929146602822</v>
      </c>
      <c r="G77" s="48"/>
      <c r="H77" s="48"/>
      <c r="J77" s="59">
        <v>1.5</v>
      </c>
      <c r="K77" s="59">
        <v>1</v>
      </c>
      <c r="L77" s="59">
        <f>J77*K77</f>
        <v>1.5</v>
      </c>
    </row>
    <row r="78" spans="1:12" x14ac:dyDescent="0.15">
      <c r="A78" s="15" t="s">
        <v>28</v>
      </c>
      <c r="B78" s="15">
        <f>PI()*B77^2</f>
        <v>0.51692507555926914</v>
      </c>
      <c r="C78" s="15">
        <f t="shared" ref="C78:D78" si="21">PI()*C77^2</f>
        <v>5.0411349071357678</v>
      </c>
      <c r="D78" s="15">
        <f t="shared" si="21"/>
        <v>32.876033820382673</v>
      </c>
    </row>
    <row r="79" spans="1:12" x14ac:dyDescent="0.15">
      <c r="A79" s="15" t="s">
        <v>29</v>
      </c>
      <c r="B79" s="15">
        <f>ROUNDUP(B35/B78,0)</f>
        <v>55</v>
      </c>
      <c r="C79" s="15">
        <f>ROUNDUP(D35/C78,0)</f>
        <v>11</v>
      </c>
      <c r="D79" s="15">
        <f>ROUNDUP(F35/D78,0)</f>
        <v>5</v>
      </c>
      <c r="J79" s="59">
        <v>0.5</v>
      </c>
      <c r="K79" s="59">
        <v>0</v>
      </c>
      <c r="L79" s="59">
        <f>J79*K79</f>
        <v>0</v>
      </c>
    </row>
    <row r="82" spans="1:12" x14ac:dyDescent="0.15">
      <c r="A82" s="46" t="s">
        <v>82</v>
      </c>
    </row>
    <row r="83" spans="1:12" x14ac:dyDescent="0.15">
      <c r="B83" s="44"/>
      <c r="C83" s="44"/>
      <c r="D83" s="44"/>
    </row>
    <row r="84" spans="1:12" x14ac:dyDescent="0.15">
      <c r="A84" s="44" t="s">
        <v>83</v>
      </c>
    </row>
    <row r="85" spans="1:12" x14ac:dyDescent="0.15">
      <c r="A85" s="44" t="s">
        <v>84</v>
      </c>
      <c r="B85" s="47"/>
      <c r="C85" s="47"/>
      <c r="D85" s="47"/>
      <c r="J85" s="59">
        <f>SUM(J13:J83)</f>
        <v>10</v>
      </c>
      <c r="K85" s="59">
        <v>1</v>
      </c>
      <c r="L85" s="59">
        <f>SUM(L13:L83)</f>
        <v>9.5</v>
      </c>
    </row>
    <row r="86" spans="1:12" x14ac:dyDescent="0.15">
      <c r="L86" s="61">
        <f>L85/10*1.5</f>
        <v>1.4249999999999998</v>
      </c>
    </row>
  </sheetData>
  <mergeCells count="22">
    <mergeCell ref="D45:E45"/>
    <mergeCell ref="F45:G45"/>
    <mergeCell ref="C2:D2"/>
    <mergeCell ref="E2:F2"/>
    <mergeCell ref="G2:H2"/>
    <mergeCell ref="B33:C33"/>
    <mergeCell ref="D33:E33"/>
    <mergeCell ref="F33:G33"/>
    <mergeCell ref="B45:C45"/>
    <mergeCell ref="F71:G71"/>
    <mergeCell ref="D71:E71"/>
    <mergeCell ref="B71:C71"/>
    <mergeCell ref="B53:C53"/>
    <mergeCell ref="D53:E53"/>
    <mergeCell ref="F53:G53"/>
    <mergeCell ref="B54:C54"/>
    <mergeCell ref="D54:E54"/>
    <mergeCell ref="F54:G54"/>
    <mergeCell ref="G77:H77"/>
    <mergeCell ref="B73:C73"/>
    <mergeCell ref="D73:E73"/>
    <mergeCell ref="F73:G73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2021-12-26T10:15:14Z</dcterms:modified>
</cp:coreProperties>
</file>