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tonioportilla/Dropbox (Personal)/JAPortilla/Docencia/Comunicaciones Móviles/Curso 2021-2022/02 PEI 2/Correcciones/"/>
    </mc:Choice>
  </mc:AlternateContent>
  <xr:revisionPtr revIDLastSave="0" documentId="13_ncr:1_{3EBCBF3C-8DC8-2747-B33C-AC9920CE5091}" xr6:coauthVersionLast="47" xr6:coauthVersionMax="47" xr10:uidLastSave="{00000000-0000-0000-0000-000000000000}"/>
  <bookViews>
    <workbookView xWindow="0" yWindow="500" windowWidth="23300" windowHeight="14360" tabRatio="960" xr2:uid="{00000000-000D-0000-FFFF-FFFF00000000}"/>
  </bookViews>
  <sheets>
    <sheet name="UMTS 2100" sheetId="5" r:id="rId1"/>
    <sheet name="Erlang" sheetId="6" r:id="rId2"/>
  </sheets>
  <definedNames>
    <definedName name="_xlnm.Print_Area" localSheetId="0">'UMTS 2100'!$A$1:$H$74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5" i="5" l="1"/>
  <c r="L81" i="5"/>
  <c r="L79" i="5"/>
  <c r="L71" i="5"/>
  <c r="L68" i="5"/>
  <c r="L55" i="5"/>
  <c r="L44" i="5"/>
  <c r="L28" i="5"/>
  <c r="L13" i="5"/>
  <c r="D22" i="5"/>
  <c r="D23" i="5"/>
  <c r="C23" i="5"/>
  <c r="C22" i="5"/>
  <c r="B23" i="5"/>
  <c r="C4" i="5"/>
  <c r="B51" i="5"/>
  <c r="B52" i="5" s="1"/>
  <c r="C49" i="5"/>
  <c r="C51" i="5" s="1"/>
  <c r="C52" i="5" s="1"/>
  <c r="D49" i="5"/>
  <c r="D51" i="5" s="1"/>
  <c r="D52" i="5" s="1"/>
  <c r="D54" i="5" s="1"/>
  <c r="E49" i="5"/>
  <c r="E51" i="5" s="1"/>
  <c r="E52" i="5" s="1"/>
  <c r="F49" i="5"/>
  <c r="F51" i="5" s="1"/>
  <c r="F52" i="5" s="1"/>
  <c r="G49" i="5"/>
  <c r="G51" i="5" s="1"/>
  <c r="G52" i="5" s="1"/>
  <c r="B49" i="5"/>
  <c r="C74" i="5"/>
  <c r="D74" i="5"/>
  <c r="E74" i="5"/>
  <c r="F74" i="5"/>
  <c r="G74" i="5"/>
  <c r="B74" i="5"/>
  <c r="G62" i="5"/>
  <c r="G68" i="5" s="1"/>
  <c r="E62" i="5"/>
  <c r="E68" i="5" s="1"/>
  <c r="C62" i="5"/>
  <c r="C68" i="5" s="1"/>
  <c r="D62" i="5"/>
  <c r="D68" i="5" s="1"/>
  <c r="D70" i="5" s="1"/>
  <c r="D71" i="5" s="1"/>
  <c r="D72" i="5" s="1"/>
  <c r="D73" i="5" s="1"/>
  <c r="D75" i="5" s="1"/>
  <c r="F62" i="5"/>
  <c r="F68" i="5" s="1"/>
  <c r="F70" i="5" s="1"/>
  <c r="F71" i="5" s="1"/>
  <c r="F72" i="5" s="1"/>
  <c r="F73" i="5" s="1"/>
  <c r="F75" i="5" s="1"/>
  <c r="B62" i="5"/>
  <c r="D60" i="5"/>
  <c r="E69" i="5" s="1"/>
  <c r="E70" i="5" s="1"/>
  <c r="E71" i="5" s="1"/>
  <c r="E72" i="5" s="1"/>
  <c r="E73" i="5" s="1"/>
  <c r="E75" i="5" s="1"/>
  <c r="F60" i="5"/>
  <c r="G69" i="5" s="1"/>
  <c r="B60" i="5"/>
  <c r="G37" i="5"/>
  <c r="G40" i="5" s="1"/>
  <c r="G53" i="5" s="1"/>
  <c r="F37" i="5"/>
  <c r="F40" i="5" s="1"/>
  <c r="F53" i="5" s="1"/>
  <c r="E37" i="5"/>
  <c r="E40" i="5" s="1"/>
  <c r="E44" i="5" s="1"/>
  <c r="E77" i="5" s="1"/>
  <c r="D37" i="5"/>
  <c r="D40" i="5" s="1"/>
  <c r="D53" i="5" s="1"/>
  <c r="C37" i="5"/>
  <c r="C40" i="5" s="1"/>
  <c r="C53" i="5" s="1"/>
  <c r="B37" i="5"/>
  <c r="B40" i="5" s="1"/>
  <c r="G35" i="5"/>
  <c r="F35" i="5"/>
  <c r="E35" i="5"/>
  <c r="D35" i="5"/>
  <c r="C35" i="5"/>
  <c r="B35" i="5"/>
  <c r="B22" i="5"/>
  <c r="D16" i="5"/>
  <c r="D26" i="5" s="1"/>
  <c r="C16" i="5"/>
  <c r="C24" i="5" s="1"/>
  <c r="B16" i="5"/>
  <c r="B24" i="5" s="1"/>
  <c r="D4" i="5"/>
  <c r="D13" i="5" s="1"/>
  <c r="E4" i="5"/>
  <c r="E13" i="5" s="1"/>
  <c r="F4" i="5"/>
  <c r="F13" i="5" s="1"/>
  <c r="G4" i="5"/>
  <c r="G13" i="5" s="1"/>
  <c r="H4" i="5"/>
  <c r="H13" i="5" s="1"/>
  <c r="C13" i="5"/>
  <c r="L85" i="5" l="1"/>
  <c r="L86" i="5" s="1"/>
  <c r="C54" i="5"/>
  <c r="G54" i="5"/>
  <c r="B53" i="5"/>
  <c r="B54" i="5" s="1"/>
  <c r="B44" i="5"/>
  <c r="B77" i="5" s="1"/>
  <c r="F54" i="5"/>
  <c r="D24" i="5"/>
  <c r="D28" i="5" s="1"/>
  <c r="F80" i="5" s="1"/>
  <c r="C26" i="5"/>
  <c r="C28" i="5" s="1"/>
  <c r="D80" i="5" s="1"/>
  <c r="E53" i="5"/>
  <c r="E54" i="5" s="1"/>
  <c r="C55" i="5" s="1"/>
  <c r="B26" i="5"/>
  <c r="B28" i="5" s="1"/>
  <c r="B80" i="5" s="1"/>
  <c r="B68" i="5"/>
  <c r="B70" i="5" s="1"/>
  <c r="B71" i="5" s="1"/>
  <c r="B72" i="5" s="1"/>
  <c r="B73" i="5" s="1"/>
  <c r="B75" i="5" s="1"/>
  <c r="B79" i="5" s="1"/>
  <c r="C69" i="5"/>
  <c r="C70" i="5" s="1"/>
  <c r="C71" i="5" s="1"/>
  <c r="C72" i="5" s="1"/>
  <c r="C73" i="5" s="1"/>
  <c r="C75" i="5" s="1"/>
  <c r="C79" i="5" s="1"/>
  <c r="E79" i="5"/>
  <c r="G70" i="5"/>
  <c r="G71" i="5" s="1"/>
  <c r="G72" i="5" s="1"/>
  <c r="G73" i="5" s="1"/>
  <c r="G75" i="5" s="1"/>
  <c r="G79" i="5" s="1"/>
  <c r="D44" i="5"/>
  <c r="D77" i="5" s="1"/>
  <c r="D79" i="5" s="1"/>
  <c r="G44" i="5"/>
  <c r="G77" i="5" s="1"/>
  <c r="F44" i="5"/>
  <c r="F77" i="5" s="1"/>
  <c r="F79" i="5" s="1"/>
  <c r="C44" i="5"/>
  <c r="C77" i="5" s="1"/>
  <c r="B55" i="5" l="1"/>
  <c r="D83" i="5"/>
  <c r="D84" i="5" s="1"/>
  <c r="D85" i="5" s="1"/>
  <c r="C83" i="5"/>
  <c r="C84" i="5" s="1"/>
  <c r="C85" i="5" s="1"/>
  <c r="B83" i="5"/>
  <c r="B84" i="5" s="1"/>
  <c r="B85" i="5" s="1"/>
</calcChain>
</file>

<file path=xl/sharedStrings.xml><?xml version="1.0" encoding="utf-8"?>
<sst xmlns="http://schemas.openxmlformats.org/spreadsheetml/2006/main" count="113" uniqueCount="88">
  <si>
    <t>Pathloss</t>
    <phoneticPr fontId="6" type="noConversion"/>
  </si>
  <si>
    <t>Carga Total</t>
    <phoneticPr fontId="6" type="noConversion"/>
  </si>
  <si>
    <t xml:space="preserve">Por capacidad </t>
    <phoneticPr fontId="6" type="noConversion"/>
  </si>
  <si>
    <t>Voz</t>
    <phoneticPr fontId="6" type="noConversion"/>
  </si>
  <si>
    <t>Datos</t>
    <phoneticPr fontId="6" type="noConversion"/>
  </si>
  <si>
    <t>Radio por Capacidad</t>
    <phoneticPr fontId="6" type="noConversion"/>
  </si>
  <si>
    <t>Radios Definitivos</t>
    <phoneticPr fontId="6" type="noConversion"/>
  </si>
  <si>
    <t>Usuarios</t>
    <phoneticPr fontId="6" type="noConversion"/>
  </si>
  <si>
    <t>Factor de Carga Ind.</t>
    <phoneticPr fontId="6" type="noConversion"/>
  </si>
  <si>
    <t>Distribucion Carga</t>
    <phoneticPr fontId="6" type="noConversion"/>
  </si>
  <si>
    <t>N Conexiones Activas SC</t>
    <phoneticPr fontId="6" type="noConversion"/>
  </si>
  <si>
    <t>Mv</t>
    <phoneticPr fontId="6" type="noConversion"/>
  </si>
  <si>
    <t>Camino</t>
    <phoneticPr fontId="6" type="noConversion"/>
  </si>
  <si>
    <t>BTS</t>
    <phoneticPr fontId="6" type="noConversion"/>
  </si>
  <si>
    <t>Voz</t>
    <phoneticPr fontId="6" type="noConversion"/>
  </si>
  <si>
    <t>Datos</t>
    <phoneticPr fontId="6" type="noConversion"/>
  </si>
  <si>
    <t xml:space="preserve">Voz </t>
    <phoneticPr fontId="6" type="noConversion"/>
  </si>
  <si>
    <t>Datos</t>
    <phoneticPr fontId="6" type="noConversion"/>
  </si>
  <si>
    <t>Propagacion</t>
    <phoneticPr fontId="6" type="noConversion"/>
  </si>
  <si>
    <t>N CANALES</t>
  </si>
  <si>
    <t>A (2 %)</t>
  </si>
  <si>
    <t>Trafico Ofrecido SC</t>
  </si>
  <si>
    <t>Trafico Ofrecido EB</t>
  </si>
  <si>
    <t>Urbano</t>
  </si>
  <si>
    <t>Suburbano</t>
  </si>
  <si>
    <t>Rural</t>
  </si>
  <si>
    <t>Voz</t>
  </si>
  <si>
    <t>Area Nodo B</t>
  </si>
  <si>
    <t>Número Nodos B</t>
  </si>
  <si>
    <t>N Conexiones Activas EB</t>
  </si>
  <si>
    <t>Terreno Total</t>
    <phoneticPr fontId="3" type="noConversion"/>
  </si>
  <si>
    <t>Poblacion total</t>
  </si>
  <si>
    <t>Porcentages Terreno</t>
    <phoneticPr fontId="3" type="noConversion"/>
  </si>
  <si>
    <t>Porcentages Población</t>
    <phoneticPr fontId="3" type="noConversion"/>
  </si>
  <si>
    <t>Penetración de Mercado</t>
    <phoneticPr fontId="3" type="noConversion"/>
  </si>
  <si>
    <t>Market Share</t>
    <phoneticPr fontId="3" type="noConversion"/>
  </si>
  <si>
    <t>Penetración Servicio</t>
    <phoneticPr fontId="3" type="noConversion"/>
  </si>
  <si>
    <t>Densidad</t>
    <phoneticPr fontId="3" type="noConversion"/>
  </si>
  <si>
    <t>Calculo de Tráfico Total</t>
  </si>
  <si>
    <t xml:space="preserve">Trafico individual </t>
  </si>
  <si>
    <t>HBTS</t>
    <phoneticPr fontId="3" type="noConversion"/>
  </si>
  <si>
    <t>h terminal</t>
    <phoneticPr fontId="3" type="noConversion"/>
  </si>
  <si>
    <t>Model</t>
    <phoneticPr fontId="3" type="noConversion"/>
  </si>
  <si>
    <t>Two Slope</t>
    <phoneticPr fontId="3" type="noConversion"/>
  </si>
  <si>
    <t>One Slope</t>
    <phoneticPr fontId="3" type="noConversion"/>
  </si>
  <si>
    <t>Radio por Propagación</t>
    <phoneticPr fontId="3" type="noConversion"/>
  </si>
  <si>
    <t>Datos Ciudad</t>
  </si>
  <si>
    <t>Trafíco Individual</t>
  </si>
  <si>
    <t>Trafico Total Anual</t>
  </si>
  <si>
    <t>Banda De Frecuencia</t>
  </si>
  <si>
    <t>Ptx(dBm)</t>
  </si>
  <si>
    <t>L(dB)</t>
  </si>
  <si>
    <t>Gantena(dB)</t>
  </si>
  <si>
    <t>MD(dB)</t>
  </si>
  <si>
    <t>Lad(dB)</t>
  </si>
  <si>
    <t>Lcables(dB)</t>
  </si>
  <si>
    <t>Gant(dB)</t>
  </si>
  <si>
    <t>Sensibilidad(dBm)</t>
  </si>
  <si>
    <t>MI(dB)</t>
  </si>
  <si>
    <t>A</t>
  </si>
  <si>
    <t>B</t>
  </si>
  <si>
    <t>Lcutter</t>
  </si>
  <si>
    <t>a(hms)</t>
  </si>
  <si>
    <t>s</t>
  </si>
  <si>
    <t>Aux</t>
  </si>
  <si>
    <t>Terreno por tipo</t>
  </si>
  <si>
    <t>Población por tipo</t>
  </si>
  <si>
    <t>Clientes</t>
  </si>
  <si>
    <t>MI</t>
  </si>
  <si>
    <t>Factor de actividad</t>
  </si>
  <si>
    <t>Tasa de chip</t>
  </si>
  <si>
    <t>Velocidad binaria</t>
  </si>
  <si>
    <t>Factor de ortogonalidad</t>
  </si>
  <si>
    <t>Factor de interferencia</t>
  </si>
  <si>
    <t>Sectores</t>
  </si>
  <si>
    <t>Densidad</t>
  </si>
  <si>
    <t>Radio por Propagación</t>
  </si>
  <si>
    <t xml:space="preserve">Minutos diarios </t>
  </si>
  <si>
    <t>Factor Hora Cargada</t>
  </si>
  <si>
    <t xml:space="preserve">Minutos </t>
  </si>
  <si>
    <t>Minutos anuales hora cargada (por cliente)</t>
  </si>
  <si>
    <t>Minutos diarios hora cargada (por cliente)</t>
  </si>
  <si>
    <t>MINUTOS VOZ</t>
  </si>
  <si>
    <t>MINUTOS DATOS</t>
  </si>
  <si>
    <t>Eb/No (unidades naturales)</t>
  </si>
  <si>
    <t>Max. Marks</t>
  </si>
  <si>
    <t>Factor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</si>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</sst>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"/>
  </numFmts>
  <fonts count="13" x14ac:knownFonts="1">
    <font>
      <sz val="10"/>
      <name val="Verdana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44"/>
      </patternFill>
    </fill>
    <fill>
      <patternFill patternType="solid">
        <fgColor theme="4" tint="0.79995117038483843"/>
        <bgColor indexed="44"/>
      </patternFill>
    </fill>
    <fill>
      <patternFill patternType="solid">
        <fgColor theme="6" tint="0.79998168889431442"/>
        <bgColor indexed="4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35">
    <xf numFmtId="0" fontId="0" fillId="0" borderId="0"/>
    <xf numFmtId="9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61">
    <xf numFmtId="0" fontId="0" fillId="0" borderId="0" xfId="0"/>
    <xf numFmtId="164" fontId="10" fillId="0" borderId="1" xfId="266" applyNumberFormat="1" applyFont="1" applyFill="1" applyBorder="1" applyAlignment="1">
      <alignment horizontal="center"/>
    </xf>
    <xf numFmtId="0" fontId="11" fillId="0" borderId="1" xfId="266" applyFont="1" applyFill="1" applyBorder="1" applyAlignment="1">
      <alignment horizontal="center"/>
    </xf>
    <xf numFmtId="165" fontId="11" fillId="0" borderId="0" xfId="266" applyNumberFormat="1" applyFont="1" applyFill="1" applyAlignment="1">
      <alignment horizontal="center"/>
    </xf>
    <xf numFmtId="2" fontId="11" fillId="0" borderId="0" xfId="266" applyNumberFormat="1" applyFont="1" applyFill="1" applyAlignment="1">
      <alignment horizontal="center"/>
    </xf>
    <xf numFmtId="166" fontId="11" fillId="0" borderId="0" xfId="266" applyNumberFormat="1" applyFont="1" applyFill="1" applyAlignment="1">
      <alignment horizontal="center"/>
    </xf>
    <xf numFmtId="0" fontId="11" fillId="0" borderId="3" xfId="266" applyFont="1" applyFill="1" applyBorder="1" applyAlignment="1">
      <alignment horizontal="center"/>
    </xf>
    <xf numFmtId="166" fontId="11" fillId="0" borderId="2" xfId="266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2" fillId="7" borderId="4" xfId="0" applyFont="1" applyFill="1" applyBorder="1"/>
    <xf numFmtId="0" fontId="4" fillId="2" borderId="4" xfId="0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0" fillId="4" borderId="4" xfId="0" applyFill="1" applyBorder="1"/>
    <xf numFmtId="0" fontId="2" fillId="4" borderId="4" xfId="0" applyFont="1" applyFill="1" applyBorder="1"/>
    <xf numFmtId="0" fontId="2" fillId="3" borderId="4" xfId="0" applyFont="1" applyFill="1" applyBorder="1"/>
    <xf numFmtId="0" fontId="2" fillId="0" borderId="4" xfId="0" applyFont="1" applyBorder="1"/>
    <xf numFmtId="0" fontId="0" fillId="6" borderId="4" xfId="0" applyFill="1" applyBorder="1"/>
    <xf numFmtId="0" fontId="0" fillId="0" borderId="4" xfId="0" applyBorder="1"/>
    <xf numFmtId="165" fontId="2" fillId="7" borderId="4" xfId="0" applyNumberFormat="1" applyFont="1" applyFill="1" applyBorder="1"/>
    <xf numFmtId="0" fontId="2" fillId="2" borderId="4" xfId="0" applyFont="1" applyFill="1" applyBorder="1" applyAlignment="1">
      <alignment horizontal="center"/>
    </xf>
    <xf numFmtId="0" fontId="0" fillId="0" borderId="4" xfId="0" applyFill="1" applyBorder="1"/>
    <xf numFmtId="0" fontId="2" fillId="6" borderId="4" xfId="0" applyFont="1" applyFill="1" applyBorder="1"/>
    <xf numFmtId="164" fontId="0" fillId="6" borderId="4" xfId="1" applyNumberFormat="1" applyFont="1" applyFill="1" applyBorder="1"/>
    <xf numFmtId="2" fontId="2" fillId="7" borderId="4" xfId="0" applyNumberFormat="1" applyFont="1" applyFill="1" applyBorder="1"/>
    <xf numFmtId="0" fontId="3" fillId="6" borderId="4" xfId="0" applyFont="1" applyFill="1" applyBorder="1"/>
    <xf numFmtId="0" fontId="3" fillId="0" borderId="4" xfId="0" applyFont="1" applyBorder="1"/>
    <xf numFmtId="2" fontId="0" fillId="0" borderId="4" xfId="0" applyNumberFormat="1" applyBorder="1"/>
    <xf numFmtId="166" fontId="0" fillId="0" borderId="4" xfId="0" applyNumberFormat="1" applyBorder="1"/>
    <xf numFmtId="0" fontId="2" fillId="5" borderId="4" xfId="0" applyFont="1" applyFill="1" applyBorder="1" applyAlignment="1">
      <alignment horizontal="center"/>
    </xf>
    <xf numFmtId="0" fontId="5" fillId="0" borderId="4" xfId="0" applyFont="1" applyBorder="1"/>
    <xf numFmtId="0" fontId="4" fillId="0" borderId="4" xfId="0" applyFont="1" applyBorder="1"/>
    <xf numFmtId="0" fontId="0" fillId="0" borderId="4" xfId="0" applyFont="1" applyBorder="1"/>
    <xf numFmtId="0" fontId="2" fillId="5" borderId="4" xfId="0" applyFont="1" applyFill="1" applyBorder="1"/>
    <xf numFmtId="165" fontId="2" fillId="3" borderId="4" xfId="0" applyNumberFormat="1" applyFont="1" applyFill="1" applyBorder="1"/>
    <xf numFmtId="9" fontId="0" fillId="6" borderId="4" xfId="0" applyNumberFormat="1" applyFill="1" applyBorder="1"/>
    <xf numFmtId="10" fontId="0" fillId="6" borderId="4" xfId="0" applyNumberFormat="1" applyFill="1" applyBorder="1"/>
    <xf numFmtId="0" fontId="1" fillId="8" borderId="4" xfId="433" applyBorder="1"/>
    <xf numFmtId="0" fontId="1" fillId="8" borderId="4" xfId="433" applyBorder="1" applyAlignment="1">
      <alignment horizontal="center"/>
    </xf>
    <xf numFmtId="0" fontId="1" fillId="8" borderId="0" xfId="433"/>
    <xf numFmtId="165" fontId="0" fillId="0" borderId="0" xfId="0" applyNumberFormat="1"/>
    <xf numFmtId="166" fontId="12" fillId="9" borderId="4" xfId="434" applyNumberFormat="1" applyFont="1" applyBorder="1"/>
    <xf numFmtId="0" fontId="12" fillId="9" borderId="0" xfId="434" applyFont="1" applyAlignment="1">
      <alignment horizontal="center"/>
    </xf>
    <xf numFmtId="0" fontId="3" fillId="0" borderId="0" xfId="0" applyFont="1"/>
    <xf numFmtId="0" fontId="12" fillId="9" borderId="8" xfId="434" applyFont="1" applyBorder="1"/>
    <xf numFmtId="0" fontId="3" fillId="4" borderId="4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65" fontId="12" fillId="9" borderId="9" xfId="434" applyNumberFormat="1" applyFont="1" applyBorder="1" applyAlignment="1">
      <alignment horizontal="center"/>
    </xf>
    <xf numFmtId="0" fontId="12" fillId="9" borderId="10" xfId="434" applyFont="1" applyBorder="1" applyAlignment="1">
      <alignment horizontal="center"/>
    </xf>
    <xf numFmtId="165" fontId="12" fillId="9" borderId="10" xfId="434" applyNumberFormat="1" applyFont="1" applyBorder="1" applyAlignment="1">
      <alignment horizontal="center"/>
    </xf>
    <xf numFmtId="0" fontId="2" fillId="10" borderId="0" xfId="0" applyFont="1" applyFill="1"/>
    <xf numFmtId="0" fontId="2" fillId="2" borderId="0" xfId="0" applyFont="1" applyFill="1"/>
    <xf numFmtId="0" fontId="0" fillId="11" borderId="0" xfId="0" applyFill="1"/>
    <xf numFmtId="0" fontId="0" fillId="10" borderId="4" xfId="0" applyFill="1" applyBorder="1"/>
  </cellXfs>
  <cellStyles count="435">
    <cellStyle name="20% - Énfasis1" xfId="433" builtinId="30"/>
    <cellStyle name="40% - Énfasis2" xfId="434" builtinId="35"/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Normal" xfId="0" builtinId="0"/>
    <cellStyle name="Normal 2" xfId="266" xr:uid="{00000000-0005-0000-0000-0000B1010000}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1"/>
  <sheetViews>
    <sheetView tabSelected="1" topLeftCell="A51" zoomScale="80" zoomScaleNormal="80" workbookViewId="0">
      <selection activeCell="K82" sqref="K82"/>
    </sheetView>
  </sheetViews>
  <sheetFormatPr baseColWidth="10" defaultRowHeight="13" x14ac:dyDescent="0.15"/>
  <cols>
    <col min="1" max="1" width="39.33203125" customWidth="1"/>
    <col min="2" max="2" width="19.6640625" customWidth="1"/>
    <col min="3" max="3" width="15.1640625" customWidth="1"/>
    <col min="4" max="4" width="13.33203125" customWidth="1"/>
    <col min="5" max="5" width="13.33203125" bestFit="1" customWidth="1"/>
    <col min="6" max="6" width="19.1640625" customWidth="1"/>
    <col min="7" max="7" width="14.1640625" bestFit="1" customWidth="1"/>
  </cols>
  <sheetData>
    <row r="1" spans="1:12" x14ac:dyDescent="0.15">
      <c r="A1" s="11" t="s">
        <v>18</v>
      </c>
      <c r="B1" s="12"/>
      <c r="C1" s="12"/>
      <c r="D1" s="12"/>
      <c r="E1" s="12"/>
      <c r="F1" s="12"/>
      <c r="G1" s="12"/>
      <c r="H1" s="12"/>
      <c r="J1" s="57" t="s">
        <v>85</v>
      </c>
      <c r="K1" s="58" t="s">
        <v>86</v>
      </c>
      <c r="L1" s="58" t="s">
        <v>87</v>
      </c>
    </row>
    <row r="2" spans="1:12" x14ac:dyDescent="0.15">
      <c r="A2" s="12"/>
      <c r="B2" s="12"/>
      <c r="C2" s="47" t="s">
        <v>23</v>
      </c>
      <c r="D2" s="47"/>
      <c r="E2" s="47" t="s">
        <v>24</v>
      </c>
      <c r="F2" s="47"/>
      <c r="G2" s="48" t="s">
        <v>25</v>
      </c>
      <c r="H2" s="48"/>
    </row>
    <row r="3" spans="1:12" x14ac:dyDescent="0.15">
      <c r="A3" s="12"/>
      <c r="B3" s="12"/>
      <c r="C3" s="13" t="s">
        <v>14</v>
      </c>
      <c r="D3" s="13" t="s">
        <v>15</v>
      </c>
      <c r="E3" s="13" t="s">
        <v>16</v>
      </c>
      <c r="F3" s="13" t="s">
        <v>17</v>
      </c>
      <c r="G3" s="13" t="s">
        <v>14</v>
      </c>
      <c r="H3" s="13" t="s">
        <v>15</v>
      </c>
    </row>
    <row r="4" spans="1:12" x14ac:dyDescent="0.15">
      <c r="A4" s="14" t="s">
        <v>11</v>
      </c>
      <c r="B4" s="14" t="s">
        <v>50</v>
      </c>
      <c r="C4" s="14">
        <f>10*LOG10(0.125)+30</f>
        <v>20.969100130080562</v>
      </c>
      <c r="D4" s="14">
        <f t="shared" ref="D4:H4" si="0">10*LOG10(0.125)+30</f>
        <v>20.969100130080562</v>
      </c>
      <c r="E4" s="14">
        <f t="shared" si="0"/>
        <v>20.969100130080562</v>
      </c>
      <c r="F4" s="14">
        <f t="shared" si="0"/>
        <v>20.969100130080562</v>
      </c>
      <c r="G4" s="14">
        <f t="shared" si="0"/>
        <v>20.969100130080562</v>
      </c>
      <c r="H4" s="14">
        <f t="shared" si="0"/>
        <v>20.969100130080562</v>
      </c>
    </row>
    <row r="5" spans="1:12" x14ac:dyDescent="0.15">
      <c r="A5" s="14"/>
      <c r="B5" s="14" t="s">
        <v>51</v>
      </c>
      <c r="C5" s="14">
        <v>4.5</v>
      </c>
      <c r="D5" s="14">
        <v>4.5</v>
      </c>
      <c r="E5" s="14">
        <v>4.5</v>
      </c>
      <c r="F5" s="14">
        <v>4.5</v>
      </c>
      <c r="G5" s="14">
        <v>4.5</v>
      </c>
      <c r="H5" s="14">
        <v>4.5</v>
      </c>
    </row>
    <row r="6" spans="1:12" x14ac:dyDescent="0.15">
      <c r="A6" s="14"/>
      <c r="B6" s="14" t="s">
        <v>52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</row>
    <row r="7" spans="1:12" x14ac:dyDescent="0.15">
      <c r="A7" s="14" t="s">
        <v>12</v>
      </c>
      <c r="B7" s="14" t="s">
        <v>53</v>
      </c>
      <c r="C7" s="14">
        <v>15</v>
      </c>
      <c r="D7" s="14">
        <v>15</v>
      </c>
      <c r="E7" s="14">
        <v>12</v>
      </c>
      <c r="F7" s="14">
        <v>12</v>
      </c>
      <c r="G7" s="14">
        <v>12</v>
      </c>
      <c r="H7" s="14">
        <v>12</v>
      </c>
    </row>
    <row r="8" spans="1:12" x14ac:dyDescent="0.15">
      <c r="A8" s="14"/>
      <c r="B8" s="14" t="s">
        <v>54</v>
      </c>
      <c r="C8" s="14">
        <v>12</v>
      </c>
      <c r="D8" s="14">
        <v>12</v>
      </c>
      <c r="E8" s="14">
        <v>9</v>
      </c>
      <c r="F8" s="14">
        <v>9</v>
      </c>
      <c r="G8" s="14">
        <v>7</v>
      </c>
      <c r="H8" s="14">
        <v>7</v>
      </c>
    </row>
    <row r="9" spans="1:12" x14ac:dyDescent="0.15">
      <c r="A9" s="14" t="s">
        <v>13</v>
      </c>
      <c r="B9" s="14" t="s">
        <v>55</v>
      </c>
      <c r="C9" s="14">
        <v>3</v>
      </c>
      <c r="D9" s="14">
        <v>3</v>
      </c>
      <c r="E9" s="14">
        <v>3</v>
      </c>
      <c r="F9" s="14">
        <v>3</v>
      </c>
      <c r="G9" s="14">
        <v>3</v>
      </c>
      <c r="H9" s="14">
        <v>3</v>
      </c>
    </row>
    <row r="10" spans="1:12" x14ac:dyDescent="0.15">
      <c r="A10" s="14"/>
      <c r="B10" s="14" t="s">
        <v>56</v>
      </c>
      <c r="C10" s="14">
        <v>18</v>
      </c>
      <c r="D10" s="14">
        <v>18</v>
      </c>
      <c r="E10" s="14">
        <v>18</v>
      </c>
      <c r="F10" s="14">
        <v>18</v>
      </c>
      <c r="G10" s="14">
        <v>18</v>
      </c>
      <c r="H10" s="14">
        <v>18</v>
      </c>
    </row>
    <row r="11" spans="1:12" x14ac:dyDescent="0.15">
      <c r="A11" s="14"/>
      <c r="B11" s="14" t="s">
        <v>57</v>
      </c>
      <c r="C11" s="14">
        <v>-117</v>
      </c>
      <c r="D11" s="14">
        <v>-115</v>
      </c>
      <c r="E11" s="14">
        <v>-117</v>
      </c>
      <c r="F11" s="14">
        <v>-115</v>
      </c>
      <c r="G11" s="14">
        <v>-117</v>
      </c>
      <c r="H11" s="14">
        <v>-115</v>
      </c>
    </row>
    <row r="12" spans="1:12" x14ac:dyDescent="0.15">
      <c r="A12" s="14"/>
      <c r="B12" s="15" t="s">
        <v>58</v>
      </c>
      <c r="C12" s="14">
        <v>1.3</v>
      </c>
      <c r="D12" s="14">
        <v>1.3</v>
      </c>
      <c r="E12" s="14">
        <v>1.6</v>
      </c>
      <c r="F12" s="14">
        <v>1.6</v>
      </c>
      <c r="G12" s="14">
        <v>4.2</v>
      </c>
      <c r="H12" s="14">
        <v>4.2</v>
      </c>
    </row>
    <row r="13" spans="1:12" x14ac:dyDescent="0.15">
      <c r="A13" s="16" t="s">
        <v>0</v>
      </c>
      <c r="B13" s="16"/>
      <c r="C13" s="16">
        <f>C4-C5+C6-C7-C8-C9+C10-C11-C12</f>
        <v>120.16910013008057</v>
      </c>
      <c r="D13" s="16">
        <f t="shared" ref="D13:H13" si="1">D4-D5+D6-D7-D8-D9+D10-D11-D12</f>
        <v>118.16910013008057</v>
      </c>
      <c r="E13" s="16">
        <f t="shared" si="1"/>
        <v>125.86910013008057</v>
      </c>
      <c r="F13" s="16">
        <f t="shared" si="1"/>
        <v>123.86910013008057</v>
      </c>
      <c r="G13" s="16">
        <f t="shared" si="1"/>
        <v>125.26910013008056</v>
      </c>
      <c r="H13" s="16">
        <f t="shared" si="1"/>
        <v>123.26910013008056</v>
      </c>
      <c r="J13" s="57">
        <v>1</v>
      </c>
      <c r="K13" s="57">
        <v>1</v>
      </c>
      <c r="L13" s="57">
        <f>J13*K13</f>
        <v>1</v>
      </c>
    </row>
    <row r="15" spans="1:12" x14ac:dyDescent="0.15">
      <c r="A15" s="17"/>
      <c r="B15" s="21" t="s">
        <v>23</v>
      </c>
      <c r="C15" s="21" t="s">
        <v>24</v>
      </c>
      <c r="D15" s="21" t="s">
        <v>25</v>
      </c>
    </row>
    <row r="16" spans="1:12" x14ac:dyDescent="0.15">
      <c r="A16" s="18" t="s">
        <v>40</v>
      </c>
      <c r="B16" s="18">
        <f>30+8</f>
        <v>38</v>
      </c>
      <c r="C16" s="18">
        <f>10+12</f>
        <v>22</v>
      </c>
      <c r="D16" s="18">
        <f>0+30</f>
        <v>30</v>
      </c>
    </row>
    <row r="17" spans="1:12" x14ac:dyDescent="0.15">
      <c r="A17" s="18" t="s">
        <v>41</v>
      </c>
      <c r="B17" s="18">
        <v>1.72</v>
      </c>
      <c r="C17" s="18">
        <v>1.72</v>
      </c>
      <c r="D17" s="18">
        <v>1.72</v>
      </c>
    </row>
    <row r="18" spans="1:12" x14ac:dyDescent="0.15">
      <c r="A18" s="10" t="s">
        <v>49</v>
      </c>
      <c r="B18" s="60">
        <v>2100</v>
      </c>
      <c r="C18" s="60">
        <v>2100</v>
      </c>
      <c r="D18" s="60">
        <v>2100</v>
      </c>
    </row>
    <row r="19" spans="1:12" x14ac:dyDescent="0.15">
      <c r="A19" s="19" t="s">
        <v>42</v>
      </c>
      <c r="B19" s="17" t="s">
        <v>43</v>
      </c>
      <c r="C19" s="17" t="s">
        <v>44</v>
      </c>
      <c r="D19" s="17" t="s">
        <v>44</v>
      </c>
    </row>
    <row r="20" spans="1:12" x14ac:dyDescent="0.15">
      <c r="A20" s="19" t="s">
        <v>59</v>
      </c>
      <c r="B20" s="19">
        <v>46.3</v>
      </c>
      <c r="C20" s="19">
        <v>46.3</v>
      </c>
      <c r="D20" s="19">
        <v>46.3</v>
      </c>
    </row>
    <row r="21" spans="1:12" x14ac:dyDescent="0.15">
      <c r="A21" s="19" t="s">
        <v>60</v>
      </c>
      <c r="B21" s="19">
        <v>33.9</v>
      </c>
      <c r="C21" s="19">
        <v>33.9</v>
      </c>
      <c r="D21" s="19">
        <v>33.9</v>
      </c>
    </row>
    <row r="22" spans="1:12" x14ac:dyDescent="0.15">
      <c r="A22" s="19" t="s">
        <v>61</v>
      </c>
      <c r="B22" s="19">
        <f>0</f>
        <v>0</v>
      </c>
      <c r="C22" s="19">
        <f>-2*(LOG10(C18/28))^2-5.4</f>
        <v>-12.431709482944157</v>
      </c>
      <c r="D22" s="19">
        <f>-4.78*(LOG10(D18))^2+18.33*LOG10(D18)-40.94</f>
        <v>-32.801254509732452</v>
      </c>
    </row>
    <row r="23" spans="1:12" x14ac:dyDescent="0.15">
      <c r="A23" s="19" t="s">
        <v>62</v>
      </c>
      <c r="B23" s="19">
        <f>3.2*(LOG10(11.75*B17))^2-4.97</f>
        <v>0.48441087675501127</v>
      </c>
      <c r="C23" s="19">
        <f>C17*(1.1*LOG10(C18)-0.7)-(1.56*LOG10(C18)-0.8)</f>
        <v>0.698976805851661</v>
      </c>
      <c r="D23" s="19">
        <f>D17*(1.1*LOG10(D18)-0.7)-(1.56*LOG10(D18)-0.8)</f>
        <v>0.698976805851661</v>
      </c>
    </row>
    <row r="24" spans="1:12" x14ac:dyDescent="0.15">
      <c r="A24" s="19" t="s">
        <v>63</v>
      </c>
      <c r="B24" s="19">
        <f>(47.88+13.9*LOG10(B18)-13.82*LOG10(B16))*1/LOG10(50)</f>
        <v>42.511779906193333</v>
      </c>
      <c r="C24" s="19">
        <f>44.9-6.55*LOG10(C16)</f>
        <v>36.107131440614552</v>
      </c>
      <c r="D24" s="19">
        <f>44.9-6.55*LOG10(D16)</f>
        <v>35.224855781586214</v>
      </c>
    </row>
    <row r="25" spans="1:12" x14ac:dyDescent="0.15">
      <c r="A25" s="19"/>
      <c r="B25" s="19"/>
      <c r="C25" s="19"/>
      <c r="D25" s="19"/>
    </row>
    <row r="26" spans="1:12" x14ac:dyDescent="0.15">
      <c r="A26" s="19" t="s">
        <v>64</v>
      </c>
      <c r="B26" s="17">
        <f>B20+B21*LOG10(B18)-13.82*LOG10(B16)-B23+B22</f>
        <v>136.60621390948052</v>
      </c>
      <c r="C26" s="17">
        <f t="shared" ref="C26:D26" si="2">C20+C21*LOG10(C18)-13.82*LOG10(C16)-C23+C22</f>
        <v>127.24026635372114</v>
      </c>
      <c r="D26" s="17">
        <f t="shared" si="2"/>
        <v>105.00918703567001</v>
      </c>
    </row>
    <row r="27" spans="1:12" x14ac:dyDescent="0.15">
      <c r="A27" s="19"/>
      <c r="B27" s="19"/>
      <c r="C27" s="19"/>
      <c r="D27" s="19"/>
    </row>
    <row r="28" spans="1:12" x14ac:dyDescent="0.15">
      <c r="A28" s="10" t="s">
        <v>45</v>
      </c>
      <c r="B28" s="20">
        <f>10^((MIN(C13,D13)-B26)/B24)</f>
        <v>0.36838824778676543</v>
      </c>
      <c r="C28" s="20">
        <f>10^((MIN(E13,F13)-C26)/C24)</f>
        <v>0.80655565065838664</v>
      </c>
      <c r="D28" s="20">
        <f>10^((MIN(G13,H13)-D26)/D24)</f>
        <v>3.2989937007933809</v>
      </c>
      <c r="J28" s="57">
        <v>1.5</v>
      </c>
      <c r="K28" s="57">
        <v>0</v>
      </c>
      <c r="L28" s="57">
        <f t="shared" ref="L28:L44" si="3">J28*K28</f>
        <v>0</v>
      </c>
    </row>
    <row r="30" spans="1:12" x14ac:dyDescent="0.15">
      <c r="A30" s="13" t="s">
        <v>46</v>
      </c>
      <c r="B30" s="9"/>
      <c r="C30" s="9"/>
      <c r="D30" s="9"/>
      <c r="E30" s="9"/>
      <c r="F30" s="9"/>
      <c r="G30" s="9"/>
    </row>
    <row r="31" spans="1:12" x14ac:dyDescent="0.15">
      <c r="A31" s="18" t="s">
        <v>30</v>
      </c>
      <c r="B31" s="23">
        <v>235</v>
      </c>
      <c r="C31" s="9"/>
      <c r="D31" s="9"/>
      <c r="E31" s="9"/>
      <c r="F31" s="9"/>
      <c r="G31" s="9"/>
    </row>
    <row r="32" spans="1:12" x14ac:dyDescent="0.15">
      <c r="A32" s="18" t="s">
        <v>31</v>
      </c>
      <c r="B32" s="23">
        <v>363500</v>
      </c>
      <c r="C32" s="9"/>
      <c r="D32" s="9"/>
      <c r="E32" s="9"/>
      <c r="F32" s="9"/>
      <c r="G32" s="9"/>
    </row>
    <row r="33" spans="1:12" x14ac:dyDescent="0.15">
      <c r="A33" s="22"/>
      <c r="B33" s="49" t="s">
        <v>23</v>
      </c>
      <c r="C33" s="49"/>
      <c r="D33" s="49" t="s">
        <v>24</v>
      </c>
      <c r="E33" s="49"/>
      <c r="F33" s="49" t="s">
        <v>25</v>
      </c>
      <c r="G33" s="49"/>
    </row>
    <row r="34" spans="1:12" x14ac:dyDescent="0.15">
      <c r="A34" s="18" t="s">
        <v>32</v>
      </c>
      <c r="B34" s="24">
        <v>0.12</v>
      </c>
      <c r="C34" s="24">
        <v>0.12</v>
      </c>
      <c r="D34" s="24">
        <v>0.23</v>
      </c>
      <c r="E34" s="24">
        <v>0.23</v>
      </c>
      <c r="F34" s="24">
        <v>0.65</v>
      </c>
      <c r="G34" s="24">
        <v>0.65</v>
      </c>
    </row>
    <row r="35" spans="1:12" x14ac:dyDescent="0.15">
      <c r="A35" s="22" t="s">
        <v>65</v>
      </c>
      <c r="B35" s="22">
        <f>B31*B34</f>
        <v>28.2</v>
      </c>
      <c r="C35" s="22">
        <f>B31*C34</f>
        <v>28.2</v>
      </c>
      <c r="D35" s="22">
        <f>B31*D34</f>
        <v>54.050000000000004</v>
      </c>
      <c r="E35" s="22">
        <f>B31*E34</f>
        <v>54.050000000000004</v>
      </c>
      <c r="F35" s="22">
        <f>B31*F34</f>
        <v>152.75</v>
      </c>
      <c r="G35" s="22">
        <f>B31*G34</f>
        <v>152.75</v>
      </c>
    </row>
    <row r="36" spans="1:12" x14ac:dyDescent="0.15">
      <c r="A36" s="18" t="s">
        <v>33</v>
      </c>
      <c r="B36" s="24">
        <v>0.62</v>
      </c>
      <c r="C36" s="24">
        <v>0.62</v>
      </c>
      <c r="D36" s="24">
        <v>0.22</v>
      </c>
      <c r="E36" s="24">
        <v>0.22</v>
      </c>
      <c r="F36" s="24">
        <v>0.16</v>
      </c>
      <c r="G36" s="24">
        <v>0.16</v>
      </c>
    </row>
    <row r="37" spans="1:12" x14ac:dyDescent="0.15">
      <c r="A37" s="22" t="s">
        <v>66</v>
      </c>
      <c r="B37" s="22">
        <f>B32*B36</f>
        <v>225370</v>
      </c>
      <c r="C37" s="22">
        <f>B32*C36</f>
        <v>225370</v>
      </c>
      <c r="D37" s="22">
        <f>B32*D36</f>
        <v>79970</v>
      </c>
      <c r="E37" s="22">
        <f>B32*E36</f>
        <v>79970</v>
      </c>
      <c r="F37" s="22">
        <f>B32*F36</f>
        <v>58160</v>
      </c>
      <c r="G37" s="22">
        <f>B32*G36</f>
        <v>58160</v>
      </c>
    </row>
    <row r="38" spans="1:12" x14ac:dyDescent="0.15">
      <c r="A38" s="18" t="s">
        <v>34</v>
      </c>
      <c r="B38" s="36">
        <v>1.05</v>
      </c>
      <c r="C38" s="36">
        <v>1.05</v>
      </c>
      <c r="D38" s="36">
        <v>1.05</v>
      </c>
      <c r="E38" s="36">
        <v>1.05</v>
      </c>
      <c r="F38" s="36">
        <v>1.05</v>
      </c>
      <c r="G38" s="36">
        <v>1.05</v>
      </c>
    </row>
    <row r="39" spans="1:12" x14ac:dyDescent="0.15">
      <c r="A39" s="18" t="s">
        <v>35</v>
      </c>
      <c r="B39" s="37">
        <v>0.29499999999999998</v>
      </c>
      <c r="C39" s="37">
        <v>0.29499999999999998</v>
      </c>
      <c r="D39" s="37">
        <v>0.29499999999999998</v>
      </c>
      <c r="E39" s="37">
        <v>0.29499999999999998</v>
      </c>
      <c r="F39" s="37">
        <v>0.29499999999999998</v>
      </c>
      <c r="G39" s="37">
        <v>0.29499999999999998</v>
      </c>
    </row>
    <row r="40" spans="1:12" x14ac:dyDescent="0.15">
      <c r="A40" s="22" t="s">
        <v>67</v>
      </c>
      <c r="B40" s="22">
        <f>B37*B38*B39*B42</f>
        <v>69808.357499999998</v>
      </c>
      <c r="C40" s="22">
        <f t="shared" ref="C40:G40" si="4">C37*C38*C39*C42</f>
        <v>76789.193250000011</v>
      </c>
      <c r="D40" s="22">
        <f t="shared" si="4"/>
        <v>24770.7075</v>
      </c>
      <c r="E40" s="22">
        <f t="shared" si="4"/>
        <v>27247.778250000003</v>
      </c>
      <c r="F40" s="22">
        <f t="shared" si="4"/>
        <v>18015.059999999998</v>
      </c>
      <c r="G40" s="22">
        <f t="shared" si="4"/>
        <v>19816.565999999999</v>
      </c>
    </row>
    <row r="41" spans="1:12" x14ac:dyDescent="0.15">
      <c r="A41" s="22"/>
      <c r="B41" s="22"/>
      <c r="C41" s="22"/>
      <c r="D41" s="22"/>
      <c r="E41" s="22"/>
      <c r="F41" s="22"/>
      <c r="G41" s="22"/>
    </row>
    <row r="42" spans="1:12" x14ac:dyDescent="0.15">
      <c r="A42" s="18" t="s">
        <v>36</v>
      </c>
      <c r="B42" s="36">
        <v>1</v>
      </c>
      <c r="C42" s="36">
        <v>1.1000000000000001</v>
      </c>
      <c r="D42" s="36">
        <v>1</v>
      </c>
      <c r="E42" s="36">
        <v>1.1000000000000001</v>
      </c>
      <c r="F42" s="36">
        <v>1</v>
      </c>
      <c r="G42" s="36">
        <v>1.1000000000000001</v>
      </c>
    </row>
    <row r="43" spans="1:12" x14ac:dyDescent="0.15">
      <c r="A43" s="22"/>
      <c r="B43" s="22"/>
      <c r="C43" s="22"/>
      <c r="D43" s="22"/>
      <c r="E43" s="22"/>
      <c r="F43" s="22"/>
      <c r="G43" s="22"/>
    </row>
    <row r="44" spans="1:12" x14ac:dyDescent="0.15">
      <c r="A44" s="10" t="s">
        <v>37</v>
      </c>
      <c r="B44" s="25">
        <f>B40/B35</f>
        <v>2475.4736702127661</v>
      </c>
      <c r="C44" s="25">
        <f t="shared" ref="C44:G44" si="5">C40/C35</f>
        <v>2723.021037234043</v>
      </c>
      <c r="D44" s="25">
        <f t="shared" si="5"/>
        <v>458.29246068455132</v>
      </c>
      <c r="E44" s="25">
        <f t="shared" si="5"/>
        <v>504.12170675300649</v>
      </c>
      <c r="F44" s="25">
        <f t="shared" si="5"/>
        <v>117.93819967266774</v>
      </c>
      <c r="G44" s="25">
        <f t="shared" si="5"/>
        <v>129.73201963993452</v>
      </c>
      <c r="J44" s="57">
        <v>0.5</v>
      </c>
      <c r="K44" s="57">
        <v>1</v>
      </c>
      <c r="L44" s="57">
        <f t="shared" si="3"/>
        <v>0.5</v>
      </c>
    </row>
    <row r="47" spans="1:12" ht="13" customHeight="1" x14ac:dyDescent="0.15">
      <c r="A47" s="13" t="s">
        <v>38</v>
      </c>
      <c r="B47" s="52" t="s">
        <v>23</v>
      </c>
      <c r="C47" s="52"/>
      <c r="D47" s="52" t="s">
        <v>24</v>
      </c>
      <c r="E47" s="52"/>
      <c r="F47" s="52" t="s">
        <v>25</v>
      </c>
      <c r="G47" s="52"/>
    </row>
    <row r="48" spans="1:12" ht="13" customHeight="1" x14ac:dyDescent="0.15">
      <c r="A48" s="26" t="s">
        <v>47</v>
      </c>
      <c r="B48" s="18">
        <v>1.4999999999999999E-2</v>
      </c>
      <c r="C48" s="18">
        <v>0.01</v>
      </c>
      <c r="D48" s="18">
        <v>1.2E-2</v>
      </c>
      <c r="E48" s="18">
        <v>1.0999999999999999E-2</v>
      </c>
      <c r="F48" s="18">
        <v>0.01</v>
      </c>
      <c r="G48" s="18">
        <v>7.0000000000000001E-3</v>
      </c>
    </row>
    <row r="49" spans="1:12" ht="13" customHeight="1" x14ac:dyDescent="0.15">
      <c r="A49" s="27" t="s">
        <v>77</v>
      </c>
      <c r="B49" s="28">
        <f t="shared" ref="B49:G49" si="6">B48*60</f>
        <v>0.89999999999999991</v>
      </c>
      <c r="C49" s="28">
        <f t="shared" si="6"/>
        <v>0.6</v>
      </c>
      <c r="D49" s="28">
        <f t="shared" si="6"/>
        <v>0.72</v>
      </c>
      <c r="E49" s="28">
        <f t="shared" si="6"/>
        <v>0.65999999999999992</v>
      </c>
      <c r="F49" s="28">
        <f t="shared" si="6"/>
        <v>0.6</v>
      </c>
      <c r="G49" s="28">
        <f t="shared" si="6"/>
        <v>0.42</v>
      </c>
    </row>
    <row r="50" spans="1:12" ht="13" customHeight="1" x14ac:dyDescent="0.15">
      <c r="A50" t="s">
        <v>78</v>
      </c>
      <c r="B50">
        <v>8</v>
      </c>
      <c r="C50">
        <v>13</v>
      </c>
      <c r="D50">
        <v>8</v>
      </c>
      <c r="E50">
        <v>13</v>
      </c>
      <c r="F50">
        <v>8</v>
      </c>
      <c r="G50">
        <v>13</v>
      </c>
    </row>
    <row r="51" spans="1:12" ht="13" customHeight="1" x14ac:dyDescent="0.15">
      <c r="A51" t="s">
        <v>81</v>
      </c>
      <c r="B51">
        <f>B49*B50</f>
        <v>7.1999999999999993</v>
      </c>
      <c r="C51">
        <f t="shared" ref="C51:G51" si="7">C49*C50</f>
        <v>7.8</v>
      </c>
      <c r="D51">
        <f t="shared" si="7"/>
        <v>5.76</v>
      </c>
      <c r="E51">
        <f t="shared" si="7"/>
        <v>8.5799999999999983</v>
      </c>
      <c r="F51">
        <f t="shared" si="7"/>
        <v>4.8</v>
      </c>
      <c r="G51">
        <f t="shared" si="7"/>
        <v>5.46</v>
      </c>
    </row>
    <row r="52" spans="1:12" ht="13" customHeight="1" x14ac:dyDescent="0.15">
      <c r="A52" t="s">
        <v>80</v>
      </c>
      <c r="B52">
        <f>B51*250</f>
        <v>1799.9999999999998</v>
      </c>
      <c r="C52">
        <f t="shared" ref="C52:G52" si="8">C51*250</f>
        <v>1950</v>
      </c>
      <c r="D52">
        <f t="shared" si="8"/>
        <v>1440</v>
      </c>
      <c r="E52">
        <f t="shared" si="8"/>
        <v>2144.9999999999995</v>
      </c>
      <c r="F52">
        <f t="shared" si="8"/>
        <v>1200</v>
      </c>
      <c r="G52">
        <f t="shared" si="8"/>
        <v>1365</v>
      </c>
    </row>
    <row r="53" spans="1:12" x14ac:dyDescent="0.15">
      <c r="A53" t="s">
        <v>67</v>
      </c>
      <c r="B53">
        <f>B40</f>
        <v>69808.357499999998</v>
      </c>
      <c r="C53">
        <f t="shared" ref="C53:G53" si="9">C40</f>
        <v>76789.193250000011</v>
      </c>
      <c r="D53">
        <f t="shared" si="9"/>
        <v>24770.7075</v>
      </c>
      <c r="E53">
        <f t="shared" si="9"/>
        <v>27247.778250000003</v>
      </c>
      <c r="F53">
        <f t="shared" si="9"/>
        <v>18015.059999999998</v>
      </c>
      <c r="G53">
        <f t="shared" si="9"/>
        <v>19816.565999999999</v>
      </c>
    </row>
    <row r="54" spans="1:12" x14ac:dyDescent="0.15">
      <c r="A54" t="s">
        <v>79</v>
      </c>
      <c r="B54" s="29">
        <f>B52*B53</f>
        <v>125655043.49999999</v>
      </c>
      <c r="C54" s="29">
        <f t="shared" ref="C54:G54" si="10">C52*C53</f>
        <v>149738926.83750004</v>
      </c>
      <c r="D54" s="29">
        <f t="shared" si="10"/>
        <v>35669818.799999997</v>
      </c>
      <c r="E54" s="29">
        <f t="shared" si="10"/>
        <v>58446484.346249998</v>
      </c>
      <c r="F54" s="29">
        <f t="shared" si="10"/>
        <v>21618071.999999996</v>
      </c>
      <c r="G54" s="29">
        <f t="shared" si="10"/>
        <v>27049612.59</v>
      </c>
    </row>
    <row r="55" spans="1:12" ht="15" x14ac:dyDescent="0.2">
      <c r="A55" s="10" t="s">
        <v>48</v>
      </c>
      <c r="B55" s="42">
        <f>B54+D54+F54</f>
        <v>182942934.29999998</v>
      </c>
      <c r="C55" s="42">
        <f>C54+E54+G54</f>
        <v>235235023.77375004</v>
      </c>
      <c r="D55" s="10"/>
      <c r="E55" s="10"/>
      <c r="F55" s="10"/>
      <c r="G55" s="10"/>
      <c r="J55" s="57">
        <v>0.75</v>
      </c>
      <c r="K55" s="57">
        <v>1</v>
      </c>
      <c r="L55" s="57">
        <f>J55*K55</f>
        <v>0.75</v>
      </c>
    </row>
    <row r="56" spans="1:12" ht="15" x14ac:dyDescent="0.2">
      <c r="B56" s="43" t="s">
        <v>82</v>
      </c>
      <c r="C56" s="43" t="s">
        <v>83</v>
      </c>
    </row>
    <row r="58" spans="1:12" x14ac:dyDescent="0.15">
      <c r="A58" s="13" t="s">
        <v>2</v>
      </c>
      <c r="B58" s="52" t="s">
        <v>23</v>
      </c>
      <c r="C58" s="52"/>
      <c r="D58" s="52" t="s">
        <v>24</v>
      </c>
      <c r="E58" s="52"/>
      <c r="F58" s="52" t="s">
        <v>25</v>
      </c>
      <c r="G58" s="52"/>
    </row>
    <row r="59" spans="1:12" x14ac:dyDescent="0.15">
      <c r="A59" t="s">
        <v>68</v>
      </c>
      <c r="B59" s="53">
        <v>1.3</v>
      </c>
      <c r="C59" s="53"/>
      <c r="D59" s="53">
        <v>1.6</v>
      </c>
      <c r="E59" s="53"/>
      <c r="F59" s="53">
        <v>4.2</v>
      </c>
      <c r="G59" s="53"/>
    </row>
    <row r="60" spans="1:12" x14ac:dyDescent="0.15">
      <c r="A60" s="14" t="s">
        <v>1</v>
      </c>
      <c r="B60" s="50">
        <f>1-1/(10^(B59/10))</f>
        <v>0.25868975869908262</v>
      </c>
      <c r="C60" s="51"/>
      <c r="D60" s="50">
        <f t="shared" ref="D60" si="11">1-1/(10^(D59/10))</f>
        <v>0.30816902908106347</v>
      </c>
      <c r="E60" s="51"/>
      <c r="F60" s="50">
        <f t="shared" ref="F60" si="12">1-1/(10^(F59/10))</f>
        <v>0.61981060367943885</v>
      </c>
      <c r="G60" s="51"/>
    </row>
    <row r="61" spans="1:12" x14ac:dyDescent="0.15">
      <c r="A61" s="19"/>
      <c r="B61" s="30" t="s">
        <v>26</v>
      </c>
      <c r="C61" s="30" t="s">
        <v>4</v>
      </c>
      <c r="D61" s="30" t="s">
        <v>3</v>
      </c>
      <c r="E61" s="30" t="s">
        <v>4</v>
      </c>
      <c r="F61" s="30" t="s">
        <v>3</v>
      </c>
      <c r="G61" s="30" t="s">
        <v>4</v>
      </c>
    </row>
    <row r="62" spans="1:12" ht="15" x14ac:dyDescent="0.2">
      <c r="A62" s="46" t="s">
        <v>84</v>
      </c>
      <c r="B62" s="39">
        <f>10^(4.6/10)</f>
        <v>2.8840315031266059</v>
      </c>
      <c r="C62" s="39">
        <f>10^(2.6/10)</f>
        <v>1.8197008586099837</v>
      </c>
      <c r="D62" s="39">
        <f t="shared" ref="D62:F62" si="13">10^(4.6/10)</f>
        <v>2.8840315031266059</v>
      </c>
      <c r="E62" s="39">
        <f>10^(2.6/10)</f>
        <v>1.8197008586099837</v>
      </c>
      <c r="F62" s="39">
        <f t="shared" si="13"/>
        <v>2.8840315031266059</v>
      </c>
      <c r="G62" s="39">
        <f>10^(2.6/10)</f>
        <v>1.8197008586099837</v>
      </c>
    </row>
    <row r="63" spans="1:12" ht="15" x14ac:dyDescent="0.2">
      <c r="A63" s="38" t="s">
        <v>69</v>
      </c>
      <c r="B63" s="39">
        <v>0.67</v>
      </c>
      <c r="C63" s="39">
        <v>1</v>
      </c>
      <c r="D63" s="39">
        <v>0.67</v>
      </c>
      <c r="E63" s="39">
        <v>1</v>
      </c>
      <c r="F63" s="39">
        <v>0.67</v>
      </c>
      <c r="G63" s="39">
        <v>1</v>
      </c>
    </row>
    <row r="64" spans="1:12" ht="15" x14ac:dyDescent="0.2">
      <c r="A64" s="38" t="s">
        <v>70</v>
      </c>
      <c r="B64" s="39">
        <v>3840</v>
      </c>
      <c r="C64" s="39">
        <v>3840</v>
      </c>
      <c r="D64" s="39">
        <v>3840</v>
      </c>
      <c r="E64" s="39">
        <v>3840</v>
      </c>
      <c r="F64" s="39">
        <v>3840</v>
      </c>
      <c r="G64" s="39">
        <v>3840</v>
      </c>
    </row>
    <row r="65" spans="1:12" ht="15" x14ac:dyDescent="0.2">
      <c r="A65" s="38" t="s">
        <v>71</v>
      </c>
      <c r="B65" s="39">
        <v>12.2</v>
      </c>
      <c r="C65" s="39">
        <v>64</v>
      </c>
      <c r="D65" s="39">
        <v>12.2</v>
      </c>
      <c r="E65" s="39">
        <v>64</v>
      </c>
      <c r="F65" s="39">
        <v>12.2</v>
      </c>
      <c r="G65" s="39">
        <v>64</v>
      </c>
    </row>
    <row r="66" spans="1:12" ht="15" x14ac:dyDescent="0.2">
      <c r="A66" s="40" t="s">
        <v>72</v>
      </c>
      <c r="B66" s="14">
        <v>0.55000000000000004</v>
      </c>
      <c r="C66" s="14">
        <v>0.55000000000000004</v>
      </c>
      <c r="D66" s="14">
        <v>0.55000000000000004</v>
      </c>
      <c r="E66" s="14">
        <v>0.55000000000000004</v>
      </c>
      <c r="F66" s="14">
        <v>0.55000000000000004</v>
      </c>
      <c r="G66" s="14">
        <v>0.55000000000000004</v>
      </c>
    </row>
    <row r="67" spans="1:12" ht="15" x14ac:dyDescent="0.2">
      <c r="A67" s="40" t="s">
        <v>73</v>
      </c>
      <c r="B67" s="14">
        <v>0.66</v>
      </c>
      <c r="C67" s="14">
        <v>0.66</v>
      </c>
      <c r="D67" s="14">
        <v>0.66</v>
      </c>
      <c r="E67" s="14">
        <v>0.66</v>
      </c>
      <c r="F67" s="14">
        <v>0.66</v>
      </c>
      <c r="G67" s="14">
        <v>0.66</v>
      </c>
    </row>
    <row r="68" spans="1:12" ht="15" x14ac:dyDescent="0.2">
      <c r="A68" s="14" t="s">
        <v>8</v>
      </c>
      <c r="B68" s="38">
        <f>B62*B63/(B64/B65)*(1-B66+B67)</f>
        <v>6.814380622989097E-3</v>
      </c>
      <c r="C68" s="38">
        <f t="shared" ref="C68:G68" si="14">C62*C63/(C64/C65)*(1-C66+C67)</f>
        <v>3.3664465884284692E-2</v>
      </c>
      <c r="D68" s="38">
        <f t="shared" si="14"/>
        <v>6.814380622989097E-3</v>
      </c>
      <c r="E68" s="38">
        <f t="shared" si="14"/>
        <v>3.3664465884284692E-2</v>
      </c>
      <c r="F68" s="38">
        <f t="shared" si="14"/>
        <v>6.814380622989097E-3</v>
      </c>
      <c r="G68" s="38">
        <f t="shared" si="14"/>
        <v>3.3664465884284692E-2</v>
      </c>
      <c r="J68" s="57">
        <v>1.25</v>
      </c>
      <c r="K68" s="57">
        <v>1</v>
      </c>
      <c r="L68" s="57">
        <f>J68*K68</f>
        <v>1.25</v>
      </c>
    </row>
    <row r="69" spans="1:12" x14ac:dyDescent="0.15">
      <c r="A69" s="19" t="s">
        <v>9</v>
      </c>
      <c r="B69" s="19">
        <v>5.2999999999999999E-2</v>
      </c>
      <c r="C69" s="32">
        <f>B60-B69</f>
        <v>0.20568975869908263</v>
      </c>
      <c r="D69" s="19">
        <v>5.2999999999999999E-2</v>
      </c>
      <c r="E69" s="32">
        <f>D60-D69</f>
        <v>0.25516902908106348</v>
      </c>
      <c r="F69" s="19">
        <v>0.124</v>
      </c>
      <c r="G69" s="32">
        <f>F60-F69</f>
        <v>0.49581060367943885</v>
      </c>
    </row>
    <row r="70" spans="1:12" x14ac:dyDescent="0.15">
      <c r="A70" s="33" t="s">
        <v>29</v>
      </c>
      <c r="B70" s="31">
        <f>B69/B68</f>
        <v>7.7776694511601541</v>
      </c>
      <c r="C70" s="31">
        <f t="shared" ref="C70:G70" si="15">C69/C68</f>
        <v>6.1099962021112324</v>
      </c>
      <c r="D70" s="31">
        <f t="shared" si="15"/>
        <v>7.7776694511601541</v>
      </c>
      <c r="E70" s="31">
        <f t="shared" si="15"/>
        <v>7.5797735796004995</v>
      </c>
      <c r="F70" s="31">
        <f t="shared" si="15"/>
        <v>18.196811546110549</v>
      </c>
      <c r="G70" s="31">
        <f t="shared" si="15"/>
        <v>14.72801040075001</v>
      </c>
    </row>
    <row r="71" spans="1:12" x14ac:dyDescent="0.15">
      <c r="A71" s="19" t="s">
        <v>10</v>
      </c>
      <c r="B71" s="19">
        <f>B70*(1+B67)</f>
        <v>12.910931288925857</v>
      </c>
      <c r="C71" s="19">
        <f t="shared" ref="C71:F71" si="16">C70*(1+C67)</f>
        <v>10.142593695504647</v>
      </c>
      <c r="D71" s="19">
        <f t="shared" si="16"/>
        <v>12.910931288925857</v>
      </c>
      <c r="E71" s="19">
        <f t="shared" si="16"/>
        <v>12.58242414213683</v>
      </c>
      <c r="F71" s="19">
        <f t="shared" si="16"/>
        <v>30.206707166543513</v>
      </c>
      <c r="G71" s="19">
        <f>G70*(1+G67)</f>
        <v>24.44849726524502</v>
      </c>
      <c r="J71" s="57">
        <v>3</v>
      </c>
      <c r="K71" s="57">
        <v>1</v>
      </c>
      <c r="L71" s="57">
        <f>J71*K71</f>
        <v>3</v>
      </c>
    </row>
    <row r="72" spans="1:12" x14ac:dyDescent="0.15">
      <c r="A72" s="33" t="s">
        <v>21</v>
      </c>
      <c r="B72" s="33">
        <f>VLOOKUP(B71,Erlang!A2:B76,2)</f>
        <v>6.6147182999999998</v>
      </c>
      <c r="C72" s="33">
        <f>VLOOKUP(C71,Erlang!A2:B76,2)</f>
        <v>5.0840046000000001</v>
      </c>
      <c r="D72" s="33">
        <f>VLOOKUP(D71,Erlang!A2:B76,2)</f>
        <v>6.6147182999999998</v>
      </c>
      <c r="E72" s="33">
        <f>VLOOKUP(E71,Erlang!A2:B76,2)</f>
        <v>6.6147182999999998</v>
      </c>
      <c r="F72" s="33">
        <f>VLOOKUP(F71,Erlang!A2:B76,2)</f>
        <v>21.931564999999999</v>
      </c>
      <c r="G72" s="33">
        <f>VLOOKUP(G71,Erlang!A2:B76,2)</f>
        <v>16.630576000000001</v>
      </c>
    </row>
    <row r="73" spans="1:12" x14ac:dyDescent="0.15">
      <c r="A73" s="19" t="s">
        <v>22</v>
      </c>
      <c r="B73" s="19">
        <f>B72/(1+B67)</f>
        <v>3.9847700602409635</v>
      </c>
      <c r="C73" s="19">
        <f t="shared" ref="C73:G73" si="17">C72/(1+C67)</f>
        <v>3.0626533734939758</v>
      </c>
      <c r="D73" s="19">
        <f t="shared" si="17"/>
        <v>3.9847700602409635</v>
      </c>
      <c r="E73" s="19">
        <f t="shared" si="17"/>
        <v>3.9847700602409635</v>
      </c>
      <c r="F73" s="19">
        <f t="shared" si="17"/>
        <v>13.211786144578312</v>
      </c>
      <c r="G73" s="19">
        <f t="shared" si="17"/>
        <v>10.018419277108434</v>
      </c>
    </row>
    <row r="74" spans="1:12" x14ac:dyDescent="0.15">
      <c r="A74" s="19" t="s">
        <v>39</v>
      </c>
      <c r="B74" s="19">
        <f>B48</f>
        <v>1.4999999999999999E-2</v>
      </c>
      <c r="C74" s="19">
        <f t="shared" ref="C74:G74" si="18">C48</f>
        <v>0.01</v>
      </c>
      <c r="D74" s="19">
        <f t="shared" si="18"/>
        <v>1.2E-2</v>
      </c>
      <c r="E74" s="19">
        <f t="shared" si="18"/>
        <v>1.0999999999999999E-2</v>
      </c>
      <c r="F74" s="19">
        <f t="shared" si="18"/>
        <v>0.01</v>
      </c>
      <c r="G74" s="19">
        <f t="shared" si="18"/>
        <v>7.0000000000000001E-3</v>
      </c>
    </row>
    <row r="75" spans="1:12" x14ac:dyDescent="0.15">
      <c r="A75" s="19" t="s">
        <v>7</v>
      </c>
      <c r="B75" s="19">
        <f>B73/B74</f>
        <v>265.65133734939758</v>
      </c>
      <c r="C75" s="19">
        <f t="shared" ref="C75:G75" si="19">C73/C74</f>
        <v>306.26533734939756</v>
      </c>
      <c r="D75" s="19">
        <f t="shared" si="19"/>
        <v>332.06417168674693</v>
      </c>
      <c r="E75" s="19">
        <f t="shared" si="19"/>
        <v>362.25182365826942</v>
      </c>
      <c r="F75" s="19">
        <f t="shared" si="19"/>
        <v>1321.1786144578311</v>
      </c>
      <c r="G75" s="19">
        <f t="shared" si="19"/>
        <v>1431.2027538726334</v>
      </c>
    </row>
    <row r="76" spans="1:12" x14ac:dyDescent="0.15">
      <c r="A76" s="19" t="s">
        <v>74</v>
      </c>
      <c r="B76" s="19">
        <v>4</v>
      </c>
      <c r="C76" s="19">
        <v>4</v>
      </c>
      <c r="D76" s="19">
        <v>3</v>
      </c>
      <c r="E76" s="19">
        <v>3</v>
      </c>
      <c r="F76" s="19">
        <v>3</v>
      </c>
      <c r="G76" s="19">
        <v>3</v>
      </c>
    </row>
    <row r="77" spans="1:12" x14ac:dyDescent="0.15">
      <c r="A77" s="19" t="s">
        <v>75</v>
      </c>
      <c r="B77" s="28">
        <f>B44</f>
        <v>2475.4736702127661</v>
      </c>
      <c r="C77" s="28">
        <f t="shared" ref="C77:G77" si="20">C44</f>
        <v>2723.021037234043</v>
      </c>
      <c r="D77" s="28">
        <f t="shared" si="20"/>
        <v>458.29246068455132</v>
      </c>
      <c r="E77" s="28">
        <f t="shared" si="20"/>
        <v>504.12170675300649</v>
      </c>
      <c r="F77" s="28">
        <f t="shared" si="20"/>
        <v>117.93819967266774</v>
      </c>
      <c r="G77" s="28">
        <f t="shared" si="20"/>
        <v>129.73201963993452</v>
      </c>
    </row>
    <row r="78" spans="1:12" x14ac:dyDescent="0.15">
      <c r="A78" s="34"/>
      <c r="B78" s="52" t="s">
        <v>23</v>
      </c>
      <c r="C78" s="52"/>
      <c r="D78" s="52" t="s">
        <v>24</v>
      </c>
      <c r="E78" s="52"/>
      <c r="F78" s="52" t="s">
        <v>25</v>
      </c>
      <c r="G78" s="52"/>
    </row>
    <row r="79" spans="1:12" x14ac:dyDescent="0.15">
      <c r="A79" s="16" t="s">
        <v>5</v>
      </c>
      <c r="B79" s="35">
        <f>SQRT(B75*B76/(PI()*B77))</f>
        <v>0.3696425068583617</v>
      </c>
      <c r="C79" s="35">
        <f t="shared" ref="C79:G79" si="21">SQRT(C75*C76/(PI()*C77))</f>
        <v>0.37842383658771689</v>
      </c>
      <c r="D79" s="35">
        <f t="shared" si="21"/>
        <v>0.83181231233206754</v>
      </c>
      <c r="E79" s="35">
        <f t="shared" si="21"/>
        <v>0.82836794013601101</v>
      </c>
      <c r="F79" s="35">
        <f t="shared" si="21"/>
        <v>3.2706887087642889</v>
      </c>
      <c r="G79" s="35">
        <f t="shared" si="21"/>
        <v>3.24573219253059</v>
      </c>
      <c r="J79" s="57">
        <v>1.5</v>
      </c>
      <c r="K79" s="57">
        <v>0.3</v>
      </c>
      <c r="L79" s="57">
        <f>J79*K79</f>
        <v>0.44999999999999996</v>
      </c>
    </row>
    <row r="80" spans="1:12" ht="15" x14ac:dyDescent="0.2">
      <c r="A80" s="45" t="s">
        <v>76</v>
      </c>
      <c r="B80" s="54">
        <f>B28</f>
        <v>0.36838824778676543</v>
      </c>
      <c r="C80" s="55"/>
      <c r="D80" s="56">
        <f>C28</f>
        <v>0.80655565065838664</v>
      </c>
      <c r="E80" s="55"/>
      <c r="F80" s="56">
        <f>D28</f>
        <v>3.2989937007933809</v>
      </c>
      <c r="G80" s="55"/>
    </row>
    <row r="81" spans="1:12" x14ac:dyDescent="0.15">
      <c r="J81" s="57">
        <v>0.5</v>
      </c>
      <c r="K81" s="57">
        <v>0.3</v>
      </c>
      <c r="L81" s="57">
        <f>J81*K81</f>
        <v>0.15</v>
      </c>
    </row>
    <row r="82" spans="1:12" x14ac:dyDescent="0.15">
      <c r="A82" s="34"/>
      <c r="B82" s="34" t="s">
        <v>23</v>
      </c>
      <c r="C82" s="34" t="s">
        <v>24</v>
      </c>
      <c r="D82" s="34" t="s">
        <v>25</v>
      </c>
    </row>
    <row r="83" spans="1:12" x14ac:dyDescent="0.15">
      <c r="A83" s="16" t="s">
        <v>6</v>
      </c>
      <c r="B83" s="35">
        <f>MIN(B79,C79,B80)</f>
        <v>0.36838824778676543</v>
      </c>
      <c r="C83" s="35">
        <f>MIN(D79,E79,D80)</f>
        <v>0.80655565065838664</v>
      </c>
      <c r="D83" s="35">
        <f>MIN(F79,G79,F80)</f>
        <v>3.24573219253059</v>
      </c>
      <c r="F83" s="41"/>
    </row>
    <row r="84" spans="1:12" x14ac:dyDescent="0.15">
      <c r="A84" s="16" t="s">
        <v>27</v>
      </c>
      <c r="B84" s="16">
        <f>PI()*B83^2</f>
        <v>0.42634522833841548</v>
      </c>
      <c r="C84" s="16">
        <f t="shared" ref="C84:D84" si="22">PI()*C83^2</f>
        <v>2.0437066074452965</v>
      </c>
      <c r="D84" s="16">
        <f t="shared" si="22"/>
        <v>33.095979493224718</v>
      </c>
      <c r="F84" s="41"/>
    </row>
    <row r="85" spans="1:12" x14ac:dyDescent="0.15">
      <c r="A85" s="16" t="s">
        <v>28</v>
      </c>
      <c r="B85" s="16">
        <f>ROUNDUP(B35/B84,0)</f>
        <v>67</v>
      </c>
      <c r="C85" s="16">
        <f>ROUNDUP(D35/C84,0)</f>
        <v>27</v>
      </c>
      <c r="D85" s="16">
        <f>ROUNDUP(F35/D84,0)</f>
        <v>5</v>
      </c>
      <c r="J85" s="57">
        <f>SUM(J13:J83)</f>
        <v>10</v>
      </c>
      <c r="K85" s="57">
        <v>1</v>
      </c>
      <c r="L85" s="57">
        <f>SUM(L13:L83)</f>
        <v>7.1000000000000005</v>
      </c>
    </row>
    <row r="86" spans="1:12" x14ac:dyDescent="0.15">
      <c r="L86" s="59">
        <f>L85/10*1.5</f>
        <v>1.0650000000000002</v>
      </c>
    </row>
    <row r="87" spans="1:12" x14ac:dyDescent="0.15">
      <c r="D87" s="44"/>
    </row>
    <row r="88" spans="1:12" x14ac:dyDescent="0.15">
      <c r="B88" s="44"/>
      <c r="C88" s="44"/>
    </row>
    <row r="89" spans="1:12" x14ac:dyDescent="0.15">
      <c r="B89" s="44"/>
      <c r="C89" s="44"/>
    </row>
    <row r="90" spans="1:12" x14ac:dyDescent="0.15">
      <c r="B90" s="44"/>
      <c r="C90" s="44"/>
    </row>
    <row r="91" spans="1:12" x14ac:dyDescent="0.15">
      <c r="B91" s="44"/>
    </row>
  </sheetData>
  <mergeCells count="24">
    <mergeCell ref="B80:C80"/>
    <mergeCell ref="D80:E80"/>
    <mergeCell ref="F80:G80"/>
    <mergeCell ref="F78:G78"/>
    <mergeCell ref="D78:E78"/>
    <mergeCell ref="B78:C78"/>
    <mergeCell ref="B60:C60"/>
    <mergeCell ref="D60:E60"/>
    <mergeCell ref="F60:G60"/>
    <mergeCell ref="D47:E47"/>
    <mergeCell ref="F47:G47"/>
    <mergeCell ref="B47:C47"/>
    <mergeCell ref="B58:C58"/>
    <mergeCell ref="D58:E58"/>
    <mergeCell ref="F58:G58"/>
    <mergeCell ref="B59:C59"/>
    <mergeCell ref="D59:E59"/>
    <mergeCell ref="F59:G59"/>
    <mergeCell ref="C2:D2"/>
    <mergeCell ref="E2:F2"/>
    <mergeCell ref="G2:H2"/>
    <mergeCell ref="B33:C33"/>
    <mergeCell ref="D33:E33"/>
    <mergeCell ref="F33:G33"/>
  </mergeCells>
  <phoneticPr fontId="6" type="noConversion"/>
  <pageMargins left="0.75000000000000011" right="0.75000000000000011" top="1" bottom="1" header="0.5" footer="0.5"/>
  <pageSetup scale="78" fitToHeight="3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zoomScale="60" zoomScaleNormal="60" workbookViewId="0">
      <selection activeCell="G49" sqref="G49"/>
    </sheetView>
  </sheetViews>
  <sheetFormatPr baseColWidth="10" defaultRowHeight="13" x14ac:dyDescent="0.15"/>
  <cols>
    <col min="1" max="1" width="10.83203125" style="8"/>
    <col min="2" max="2" width="13.33203125" style="8" customWidth="1"/>
  </cols>
  <sheetData>
    <row r="1" spans="1:2" x14ac:dyDescent="0.15">
      <c r="A1" s="1" t="s">
        <v>19</v>
      </c>
      <c r="B1" s="1" t="s">
        <v>20</v>
      </c>
    </row>
    <row r="2" spans="1:2" x14ac:dyDescent="0.15">
      <c r="A2" s="2">
        <v>1</v>
      </c>
      <c r="B2" s="3">
        <v>2.0408163E-2</v>
      </c>
    </row>
    <row r="3" spans="1:2" x14ac:dyDescent="0.15">
      <c r="A3" s="2">
        <v>2</v>
      </c>
      <c r="B3" s="3">
        <v>0.22346682000000001</v>
      </c>
    </row>
    <row r="4" spans="1:2" x14ac:dyDescent="0.15">
      <c r="A4" s="2">
        <v>3</v>
      </c>
      <c r="B4" s="3">
        <v>0.60220647999999999</v>
      </c>
    </row>
    <row r="5" spans="1:2" x14ac:dyDescent="0.15">
      <c r="A5" s="2">
        <v>4</v>
      </c>
      <c r="B5" s="4">
        <v>1.0922605000000001</v>
      </c>
    </row>
    <row r="6" spans="1:2" x14ac:dyDescent="0.15">
      <c r="A6" s="2">
        <v>5</v>
      </c>
      <c r="B6" s="4">
        <v>1.6571431000000001</v>
      </c>
    </row>
    <row r="7" spans="1:2" x14ac:dyDescent="0.15">
      <c r="A7" s="2">
        <v>6</v>
      </c>
      <c r="B7" s="4">
        <v>2.2758761000000001</v>
      </c>
    </row>
    <row r="8" spans="1:2" x14ac:dyDescent="0.15">
      <c r="A8" s="2">
        <v>7</v>
      </c>
      <c r="B8" s="4">
        <v>2.9354057</v>
      </c>
    </row>
    <row r="9" spans="1:2" x14ac:dyDescent="0.15">
      <c r="A9" s="2">
        <v>8</v>
      </c>
      <c r="B9" s="4">
        <v>3.6270505000000002</v>
      </c>
    </row>
    <row r="10" spans="1:2" x14ac:dyDescent="0.15">
      <c r="A10" s="2">
        <v>9</v>
      </c>
      <c r="B10" s="4">
        <v>4.3447291999999997</v>
      </c>
    </row>
    <row r="11" spans="1:2" x14ac:dyDescent="0.15">
      <c r="A11" s="2">
        <v>10</v>
      </c>
      <c r="B11" s="4">
        <v>5.0840046000000001</v>
      </c>
    </row>
    <row r="12" spans="1:2" x14ac:dyDescent="0.15">
      <c r="A12" s="2">
        <v>11</v>
      </c>
      <c r="B12" s="4">
        <v>5.8415311000000001</v>
      </c>
    </row>
    <row r="13" spans="1:2" x14ac:dyDescent="0.15">
      <c r="A13" s="2">
        <v>12</v>
      </c>
      <c r="B13" s="4">
        <v>6.6147182999999998</v>
      </c>
    </row>
    <row r="14" spans="1:2" x14ac:dyDescent="0.15">
      <c r="A14" s="2">
        <v>13</v>
      </c>
      <c r="B14" s="4">
        <v>7.4015154000000001</v>
      </c>
    </row>
    <row r="15" spans="1:2" x14ac:dyDescent="0.15">
      <c r="A15" s="2">
        <v>14</v>
      </c>
      <c r="B15" s="4">
        <v>8.2002682999999994</v>
      </c>
    </row>
    <row r="16" spans="1:2" x14ac:dyDescent="0.15">
      <c r="A16" s="2">
        <v>15</v>
      </c>
      <c r="B16" s="4">
        <v>9.0096215999999991</v>
      </c>
    </row>
    <row r="17" spans="1:2" x14ac:dyDescent="0.15">
      <c r="A17" s="2">
        <v>16</v>
      </c>
      <c r="B17" s="4">
        <v>9.8284491999999997</v>
      </c>
    </row>
    <row r="18" spans="1:2" x14ac:dyDescent="0.15">
      <c r="A18" s="2">
        <v>17</v>
      </c>
      <c r="B18" s="5">
        <v>10.655804</v>
      </c>
    </row>
    <row r="19" spans="1:2" x14ac:dyDescent="0.15">
      <c r="A19" s="2">
        <v>18</v>
      </c>
      <c r="B19" s="5">
        <v>11.490881999999999</v>
      </c>
    </row>
    <row r="20" spans="1:2" x14ac:dyDescent="0.15">
      <c r="A20" s="2">
        <v>19</v>
      </c>
      <c r="B20" s="5">
        <v>12.332992000000001</v>
      </c>
    </row>
    <row r="21" spans="1:2" x14ac:dyDescent="0.15">
      <c r="A21" s="2">
        <v>20</v>
      </c>
      <c r="B21" s="5">
        <v>13.181538</v>
      </c>
    </row>
    <row r="22" spans="1:2" x14ac:dyDescent="0.15">
      <c r="A22" s="2">
        <v>21</v>
      </c>
      <c r="B22" s="5">
        <v>14.035999</v>
      </c>
    </row>
    <row r="23" spans="1:2" x14ac:dyDescent="0.15">
      <c r="A23" s="2">
        <v>22</v>
      </c>
      <c r="B23" s="5">
        <v>14.895921</v>
      </c>
    </row>
    <row r="24" spans="1:2" x14ac:dyDescent="0.15">
      <c r="A24" s="2">
        <v>23</v>
      </c>
      <c r="B24" s="5">
        <v>15.760899</v>
      </c>
    </row>
    <row r="25" spans="1:2" x14ac:dyDescent="0.15">
      <c r="A25" s="2">
        <v>24</v>
      </c>
      <c r="B25" s="5">
        <v>16.630576000000001</v>
      </c>
    </row>
    <row r="26" spans="1:2" x14ac:dyDescent="0.15">
      <c r="A26" s="2">
        <v>25</v>
      </c>
      <c r="B26" s="5">
        <v>17.504635</v>
      </c>
    </row>
    <row r="27" spans="1:2" x14ac:dyDescent="0.15">
      <c r="A27" s="2">
        <v>26</v>
      </c>
      <c r="B27" s="5">
        <v>18.382788999999999</v>
      </c>
    </row>
    <row r="28" spans="1:2" x14ac:dyDescent="0.15">
      <c r="A28" s="2">
        <v>27</v>
      </c>
      <c r="B28" s="5">
        <v>19.264779999999998</v>
      </c>
    </row>
    <row r="29" spans="1:2" x14ac:dyDescent="0.15">
      <c r="A29" s="2">
        <v>28</v>
      </c>
      <c r="B29" s="5">
        <v>20.150378</v>
      </c>
    </row>
    <row r="30" spans="1:2" x14ac:dyDescent="0.15">
      <c r="A30" s="2">
        <v>29</v>
      </c>
      <c r="B30" s="5">
        <v>21.039370000000002</v>
      </c>
    </row>
    <row r="31" spans="1:2" x14ac:dyDescent="0.15">
      <c r="A31" s="2">
        <v>30</v>
      </c>
      <c r="B31" s="5">
        <v>21.931564999999999</v>
      </c>
    </row>
    <row r="32" spans="1:2" x14ac:dyDescent="0.15">
      <c r="A32" s="2">
        <v>31</v>
      </c>
      <c r="B32" s="5">
        <v>22.826789000000002</v>
      </c>
    </row>
    <row r="33" spans="1:2" x14ac:dyDescent="0.15">
      <c r="A33" s="2">
        <v>32</v>
      </c>
      <c r="B33" s="5">
        <v>23.724879000000001</v>
      </c>
    </row>
    <row r="34" spans="1:2" x14ac:dyDescent="0.15">
      <c r="A34" s="2">
        <v>33</v>
      </c>
      <c r="B34" s="5">
        <v>24.625689999999999</v>
      </c>
    </row>
    <row r="35" spans="1:2" x14ac:dyDescent="0.15">
      <c r="A35" s="2">
        <v>34</v>
      </c>
      <c r="B35" s="5">
        <v>25.529086</v>
      </c>
    </row>
    <row r="36" spans="1:2" x14ac:dyDescent="0.15">
      <c r="A36" s="2">
        <v>35</v>
      </c>
      <c r="B36" s="5">
        <v>26.434940999999998</v>
      </c>
    </row>
    <row r="37" spans="1:2" x14ac:dyDescent="0.15">
      <c r="A37" s="2">
        <v>36</v>
      </c>
      <c r="B37" s="5">
        <v>27.343139999999998</v>
      </c>
    </row>
    <row r="38" spans="1:2" x14ac:dyDescent="0.15">
      <c r="A38" s="2">
        <v>37</v>
      </c>
      <c r="B38" s="5">
        <v>28.253575999999999</v>
      </c>
    </row>
    <row r="39" spans="1:2" x14ac:dyDescent="0.15">
      <c r="A39" s="2">
        <v>38</v>
      </c>
      <c r="B39" s="5">
        <v>29.166146999999999</v>
      </c>
    </row>
    <row r="40" spans="1:2" x14ac:dyDescent="0.15">
      <c r="A40" s="2">
        <v>39</v>
      </c>
      <c r="B40" s="5">
        <v>30.080763000000001</v>
      </c>
    </row>
    <row r="41" spans="1:2" x14ac:dyDescent="0.15">
      <c r="A41" s="6">
        <v>40</v>
      </c>
      <c r="B41" s="7">
        <v>30.997335</v>
      </c>
    </row>
    <row r="42" spans="1:2" x14ac:dyDescent="0.15">
      <c r="A42" s="2">
        <v>41</v>
      </c>
      <c r="B42" s="5">
        <v>31.915783999999999</v>
      </c>
    </row>
    <row r="43" spans="1:2" x14ac:dyDescent="0.15">
      <c r="A43" s="2">
        <v>42</v>
      </c>
      <c r="B43" s="5">
        <v>32.836033</v>
      </c>
    </row>
    <row r="44" spans="1:2" x14ac:dyDescent="0.15">
      <c r="A44" s="2">
        <v>43</v>
      </c>
      <c r="B44" s="5">
        <v>33.758011000000003</v>
      </c>
    </row>
    <row r="45" spans="1:2" x14ac:dyDescent="0.15">
      <c r="A45" s="2">
        <v>44</v>
      </c>
      <c r="B45" s="5">
        <v>34.681651000000002</v>
      </c>
    </row>
    <row r="46" spans="1:2" x14ac:dyDescent="0.15">
      <c r="A46" s="2">
        <v>45</v>
      </c>
      <c r="B46" s="5">
        <v>35.606892000000002</v>
      </c>
    </row>
    <row r="47" spans="1:2" x14ac:dyDescent="0.15">
      <c r="A47" s="2">
        <v>46</v>
      </c>
      <c r="B47" s="5">
        <v>36.533673999999998</v>
      </c>
    </row>
    <row r="48" spans="1:2" x14ac:dyDescent="0.15">
      <c r="A48" s="2">
        <v>47</v>
      </c>
      <c r="B48" s="5">
        <v>37.461941000000003</v>
      </c>
    </row>
    <row r="49" spans="1:2" x14ac:dyDescent="0.15">
      <c r="A49" s="2">
        <v>48</v>
      </c>
      <c r="B49" s="5">
        <v>38.391641</v>
      </c>
    </row>
    <row r="50" spans="1:2" x14ac:dyDescent="0.15">
      <c r="A50" s="2">
        <v>49</v>
      </c>
      <c r="B50" s="5">
        <v>39.322724000000001</v>
      </c>
    </row>
    <row r="51" spans="1:2" x14ac:dyDescent="0.15">
      <c r="A51" s="2">
        <v>50</v>
      </c>
      <c r="B51" s="5">
        <v>40.255144000000001</v>
      </c>
    </row>
    <row r="52" spans="1:2" x14ac:dyDescent="0.15">
      <c r="A52" s="2">
        <v>51</v>
      </c>
      <c r="B52" s="5">
        <v>41.188854999999997</v>
      </c>
    </row>
    <row r="53" spans="1:2" x14ac:dyDescent="0.15">
      <c r="A53" s="2">
        <v>52</v>
      </c>
      <c r="B53" s="5">
        <v>42.123815999999998</v>
      </c>
    </row>
    <row r="54" spans="1:2" x14ac:dyDescent="0.15">
      <c r="A54" s="2">
        <v>53</v>
      </c>
      <c r="B54" s="5">
        <v>43.059986000000002</v>
      </c>
    </row>
    <row r="55" spans="1:2" x14ac:dyDescent="0.15">
      <c r="A55" s="2">
        <v>54</v>
      </c>
      <c r="B55" s="5">
        <v>43.997328000000003</v>
      </c>
    </row>
    <row r="56" spans="1:2" x14ac:dyDescent="0.15">
      <c r="A56" s="2">
        <v>55</v>
      </c>
      <c r="B56" s="5">
        <v>44.935805999999999</v>
      </c>
    </row>
    <row r="57" spans="1:2" x14ac:dyDescent="0.15">
      <c r="A57" s="2">
        <v>56</v>
      </c>
      <c r="B57" s="5">
        <v>45.875383999999997</v>
      </c>
    </row>
    <row r="58" spans="1:2" x14ac:dyDescent="0.15">
      <c r="A58" s="2">
        <v>57</v>
      </c>
      <c r="B58" s="5">
        <v>46.816029999999998</v>
      </c>
    </row>
    <row r="59" spans="1:2" x14ac:dyDescent="0.15">
      <c r="A59" s="2">
        <v>58</v>
      </c>
      <c r="B59" s="5">
        <v>47.757713000000003</v>
      </c>
    </row>
    <row r="60" spans="1:2" x14ac:dyDescent="0.15">
      <c r="A60" s="2">
        <v>59</v>
      </c>
      <c r="B60" s="5">
        <v>48.700403999999999</v>
      </c>
    </row>
    <row r="61" spans="1:2" x14ac:dyDescent="0.15">
      <c r="A61" s="2">
        <v>60</v>
      </c>
      <c r="B61" s="5">
        <v>49.644072000000001</v>
      </c>
    </row>
    <row r="62" spans="1:2" x14ac:dyDescent="0.15">
      <c r="A62" s="2">
        <v>61</v>
      </c>
      <c r="B62" s="5">
        <v>50.588692000000002</v>
      </c>
    </row>
    <row r="63" spans="1:2" x14ac:dyDescent="0.15">
      <c r="A63" s="2">
        <v>62</v>
      </c>
      <c r="B63" s="5">
        <v>51.534236999999997</v>
      </c>
    </row>
    <row r="64" spans="1:2" x14ac:dyDescent="0.15">
      <c r="A64" s="2">
        <v>63</v>
      </c>
      <c r="B64" s="5">
        <v>52.480682000000002</v>
      </c>
    </row>
    <row r="65" spans="1:2" x14ac:dyDescent="0.15">
      <c r="A65" s="2">
        <v>64</v>
      </c>
      <c r="B65" s="5">
        <v>53.428002999999997</v>
      </c>
    </row>
    <row r="66" spans="1:2" x14ac:dyDescent="0.15">
      <c r="A66" s="2">
        <v>65</v>
      </c>
      <c r="B66" s="5">
        <v>54.376176999999998</v>
      </c>
    </row>
    <row r="67" spans="1:2" x14ac:dyDescent="0.15">
      <c r="A67" s="2">
        <v>66</v>
      </c>
      <c r="B67" s="5">
        <v>55.325183000000003</v>
      </c>
    </row>
    <row r="68" spans="1:2" x14ac:dyDescent="0.15">
      <c r="A68" s="2">
        <v>67</v>
      </c>
      <c r="B68" s="5">
        <v>56.274999000000001</v>
      </c>
    </row>
    <row r="69" spans="1:2" x14ac:dyDescent="0.15">
      <c r="A69" s="2">
        <v>68</v>
      </c>
      <c r="B69" s="5">
        <v>57.225605000000002</v>
      </c>
    </row>
    <row r="70" spans="1:2" x14ac:dyDescent="0.15">
      <c r="A70" s="2">
        <v>69</v>
      </c>
      <c r="B70" s="5">
        <v>58.176980999999998</v>
      </c>
    </row>
    <row r="71" spans="1:2" x14ac:dyDescent="0.15">
      <c r="A71" s="2">
        <v>70</v>
      </c>
      <c r="B71" s="5">
        <v>59.129109</v>
      </c>
    </row>
    <row r="72" spans="1:2" x14ac:dyDescent="0.15">
      <c r="A72" s="2">
        <v>71</v>
      </c>
      <c r="B72" s="5">
        <v>60.081971000000003</v>
      </c>
    </row>
    <row r="73" spans="1:2" x14ac:dyDescent="0.15">
      <c r="A73" s="2">
        <v>72</v>
      </c>
      <c r="B73" s="5">
        <v>61.035549000000003</v>
      </c>
    </row>
    <row r="74" spans="1:2" x14ac:dyDescent="0.15">
      <c r="A74" s="2">
        <v>73</v>
      </c>
      <c r="B74" s="5">
        <v>61.989826000000001</v>
      </c>
    </row>
    <row r="75" spans="1:2" x14ac:dyDescent="0.15">
      <c r="A75" s="2">
        <v>74</v>
      </c>
      <c r="B75" s="5">
        <v>62.944788000000003</v>
      </c>
    </row>
    <row r="76" spans="1:2" x14ac:dyDescent="0.15">
      <c r="A76" s="2">
        <v>75</v>
      </c>
      <c r="B76" s="5">
        <v>63.900416999999997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UMTS 2100</vt:lpstr>
      <vt:lpstr>Erlang</vt:lpstr>
      <vt:lpstr>'UMTS 2100'!Área_de_impresión</vt:lpstr>
    </vt:vector>
  </TitlesOfParts>
  <Company>Escuela Politecnica Superior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Portilla Figueras José Antonio</cp:lastModifiedBy>
  <cp:lastPrinted>2019-03-27T08:49:27Z</cp:lastPrinted>
  <dcterms:created xsi:type="dcterms:W3CDTF">2011-01-31T17:50:12Z</dcterms:created>
  <dcterms:modified xsi:type="dcterms:W3CDTF">2021-12-26T10:02:42Z</dcterms:modified>
</cp:coreProperties>
</file>