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ioportilla/Dropbox (Personal)/JAPortilla/Docencia/Comunicaciones Móviles/Curso 2021-2022/02 PEI 2/Correcciones/"/>
    </mc:Choice>
  </mc:AlternateContent>
  <xr:revisionPtr revIDLastSave="0" documentId="13_ncr:1_{6089197B-FC5A-4549-8FF7-ABAE3325FCB6}" xr6:coauthVersionLast="47" xr6:coauthVersionMax="47" xr10:uidLastSave="{00000000-0000-0000-0000-000000000000}"/>
  <bookViews>
    <workbookView xWindow="0" yWindow="500" windowWidth="22080" windowHeight="13440" tabRatio="475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2100'!$A$1:$H$79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7" i="5" l="1"/>
  <c r="M73" i="5"/>
  <c r="M71" i="5"/>
  <c r="M68" i="5"/>
  <c r="M58" i="5"/>
  <c r="M52" i="5"/>
  <c r="M44" i="5"/>
  <c r="M28" i="5"/>
  <c r="M13" i="5"/>
  <c r="M77" i="5" l="1"/>
  <c r="M78" i="5" s="1"/>
  <c r="D65" i="5"/>
  <c r="D66" i="5" s="1"/>
  <c r="D67" i="5" s="1"/>
  <c r="D68" i="5" s="1"/>
  <c r="D69" i="5" s="1"/>
  <c r="D70" i="5" s="1"/>
  <c r="G65" i="5"/>
  <c r="G58" i="5"/>
  <c r="E58" i="5"/>
  <c r="E65" i="5" s="1"/>
  <c r="C58" i="5"/>
  <c r="C65" i="5" s="1"/>
  <c r="F58" i="5"/>
  <c r="F65" i="5" s="1"/>
  <c r="F66" i="5" s="1"/>
  <c r="F67" i="5" s="1"/>
  <c r="F68" i="5" s="1"/>
  <c r="F69" i="5" s="1"/>
  <c r="F70" i="5" s="1"/>
  <c r="D58" i="5"/>
  <c r="B58" i="5"/>
  <c r="B65" i="5" s="1"/>
  <c r="B66" i="5" s="1"/>
  <c r="B67" i="5" s="1"/>
  <c r="B68" i="5" s="1"/>
  <c r="B69" i="5" s="1"/>
  <c r="C56" i="5"/>
  <c r="C64" i="5" s="1"/>
  <c r="C66" i="5" s="1"/>
  <c r="C67" i="5" s="1"/>
  <c r="C68" i="5" s="1"/>
  <c r="C69" i="5" s="1"/>
  <c r="C70" i="5" s="1"/>
  <c r="D56" i="5"/>
  <c r="E56" i="5"/>
  <c r="E64" i="5" s="1"/>
  <c r="F56" i="5"/>
  <c r="G56" i="5"/>
  <c r="G64" i="5" s="1"/>
  <c r="G66" i="5" s="1"/>
  <c r="G67" i="5" s="1"/>
  <c r="G68" i="5" s="1"/>
  <c r="G69" i="5" s="1"/>
  <c r="G70" i="5" s="1"/>
  <c r="B56" i="5"/>
  <c r="C50" i="5"/>
  <c r="C51" i="5" s="1"/>
  <c r="C52" i="5" s="1"/>
  <c r="D50" i="5"/>
  <c r="D51" i="5" s="1"/>
  <c r="D52" i="5" s="1"/>
  <c r="E50" i="5"/>
  <c r="E51" i="5" s="1"/>
  <c r="E52" i="5" s="1"/>
  <c r="F50" i="5"/>
  <c r="F51" i="5" s="1"/>
  <c r="F52" i="5" s="1"/>
  <c r="G50" i="5"/>
  <c r="G51" i="5" s="1"/>
  <c r="G52" i="5" s="1"/>
  <c r="B50" i="5"/>
  <c r="B51" i="5" s="1"/>
  <c r="B52" i="5" s="1"/>
  <c r="F37" i="5"/>
  <c r="F35" i="5"/>
  <c r="E35" i="5"/>
  <c r="B35" i="5"/>
  <c r="B37" i="5"/>
  <c r="B43" i="5" s="1"/>
  <c r="B44" i="5" s="1"/>
  <c r="C38" i="5"/>
  <c r="D38" i="5"/>
  <c r="E38" i="5"/>
  <c r="F38" i="5"/>
  <c r="G38" i="5"/>
  <c r="B38" i="5"/>
  <c r="C39" i="5"/>
  <c r="D39" i="5"/>
  <c r="E39" i="5"/>
  <c r="F39" i="5"/>
  <c r="G39" i="5"/>
  <c r="B39" i="5"/>
  <c r="G37" i="5"/>
  <c r="E37" i="5"/>
  <c r="D37" i="5"/>
  <c r="C37" i="5"/>
  <c r="G35" i="5"/>
  <c r="D35" i="5"/>
  <c r="C35" i="5"/>
  <c r="D24" i="5"/>
  <c r="C24" i="5"/>
  <c r="D22" i="5"/>
  <c r="C22" i="5"/>
  <c r="B22" i="5"/>
  <c r="D16" i="5"/>
  <c r="D23" i="5" s="1"/>
  <c r="C16" i="5"/>
  <c r="C23" i="5" s="1"/>
  <c r="B16" i="5"/>
  <c r="B23" i="5" s="1"/>
  <c r="D4" i="5"/>
  <c r="D13" i="5" s="1"/>
  <c r="E4" i="5"/>
  <c r="E13" i="5" s="1"/>
  <c r="F4" i="5"/>
  <c r="F13" i="5" s="1"/>
  <c r="G4" i="5"/>
  <c r="G13" i="5" s="1"/>
  <c r="H4" i="5"/>
  <c r="H13" i="5" s="1"/>
  <c r="C4" i="5"/>
  <c r="C13" i="5" s="1"/>
  <c r="G73" i="5" l="1"/>
  <c r="E43" i="5"/>
  <c r="E44" i="5" s="1"/>
  <c r="E66" i="5"/>
  <c r="E67" i="5" s="1"/>
  <c r="E68" i="5" s="1"/>
  <c r="E69" i="5" s="1"/>
  <c r="E70" i="5" s="1"/>
  <c r="E73" i="5" s="1"/>
  <c r="B26" i="5"/>
  <c r="B28" i="5" s="1"/>
  <c r="F28" i="5" s="1"/>
  <c r="B70" i="5"/>
  <c r="B73" i="5" s="1"/>
  <c r="C26" i="5"/>
  <c r="C28" i="5" s="1"/>
  <c r="G28" i="5" s="1"/>
  <c r="C43" i="5"/>
  <c r="C44" i="5" s="1"/>
  <c r="C73" i="5" s="1"/>
  <c r="F43" i="5"/>
  <c r="F44" i="5" s="1"/>
  <c r="F73" i="5" s="1"/>
  <c r="E53" i="5"/>
  <c r="D43" i="5"/>
  <c r="D44" i="5" s="1"/>
  <c r="D73" i="5" s="1"/>
  <c r="J73" i="5" s="1"/>
  <c r="G43" i="5"/>
  <c r="G44" i="5" s="1"/>
  <c r="F53" i="5"/>
  <c r="B53" i="5"/>
  <c r="D53" i="5"/>
  <c r="C53" i="5"/>
  <c r="D26" i="5"/>
  <c r="D28" i="5" s="1"/>
  <c r="H28" i="5" l="1"/>
  <c r="G53" i="5"/>
  <c r="D76" i="5"/>
  <c r="D77" i="5" s="1"/>
  <c r="D78" i="5" s="1"/>
  <c r="C76" i="5"/>
  <c r="C77" i="5" s="1"/>
  <c r="C78" i="5" s="1"/>
  <c r="B76" i="5"/>
  <c r="B77" i="5" s="1"/>
  <c r="B78" i="5" s="1"/>
  <c r="I73" i="5"/>
</calcChain>
</file>

<file path=xl/sharedStrings.xml><?xml version="1.0" encoding="utf-8"?>
<sst xmlns="http://schemas.openxmlformats.org/spreadsheetml/2006/main" count="107" uniqueCount="82">
  <si>
    <t>Pathloss</t>
    <phoneticPr fontId="5" type="noConversion"/>
  </si>
  <si>
    <t>Carga Total</t>
    <phoneticPr fontId="5" type="noConversion"/>
  </si>
  <si>
    <t xml:space="preserve">Por capacidad </t>
    <phoneticPr fontId="5" type="noConversion"/>
  </si>
  <si>
    <t>Voz</t>
    <phoneticPr fontId="5" type="noConversion"/>
  </si>
  <si>
    <t>Datos</t>
    <phoneticPr fontId="5" type="noConversion"/>
  </si>
  <si>
    <t>Radio por Capacidad</t>
    <phoneticPr fontId="5" type="noConversion"/>
  </si>
  <si>
    <t>Radios Definitivos</t>
    <phoneticPr fontId="5" type="noConversion"/>
  </si>
  <si>
    <t>Eb/No</t>
    <phoneticPr fontId="5" type="noConversion"/>
  </si>
  <si>
    <t>Distribucion Carga</t>
    <phoneticPr fontId="5" type="noConversion"/>
  </si>
  <si>
    <t>N Conexiones Activas SC</t>
    <phoneticPr fontId="5" type="noConversion"/>
  </si>
  <si>
    <t>Mv</t>
    <phoneticPr fontId="5" type="noConversion"/>
  </si>
  <si>
    <t>Camino</t>
    <phoneticPr fontId="5" type="noConversion"/>
  </si>
  <si>
    <t>BTS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</si>
  <si>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</si>
  <si>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</si>
  <si>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</si>
  <si>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Datos</t>
    <phoneticPr fontId="5" type="noConversion"/>
  </si>
  <si>
    <t>Propagacion</t>
    <phoneticPr fontId="5" type="noConversion"/>
  </si>
  <si>
    <t>N CANALES</t>
  </si>
  <si>
    <t>A (2 %)</t>
  </si>
  <si>
    <t>Trafico Ofrecido SC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</si>
  <si>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</si>
  <si>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</si>
  <si>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</si>
  <si>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</si>
  <si>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</si>
  <si>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</si>
  <si>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</si>
  <si>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</si>
  <si>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</si>
  <si>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</si>
  <si>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</si>
  <si>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</si>
  <si>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</si>
  <si>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</si>
  <si>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Densidad</t>
    <phoneticPr fontId="2" type="noConversion"/>
  </si>
  <si>
    <t>Calculo de Tráfico Total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</si>
  <si>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</si>
  <si>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</si>
  <si>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</si>
  <si>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</si>
  <si>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</si>
  <si>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Radio por Propagación</t>
    <phoneticPr fontId="2" type="noConversion"/>
  </si>
  <si>
    <t>Datos Ciudad</t>
  </si>
  <si>
    <t>Banda De Frecuencia</t>
  </si>
  <si>
    <t>Ptx [dBm]</t>
  </si>
  <si>
    <t>L</t>
  </si>
  <si>
    <t>Gmv</t>
  </si>
  <si>
    <t>MD</t>
  </si>
  <si>
    <t>Lad</t>
  </si>
  <si>
    <t>Lcables</t>
  </si>
  <si>
    <t>Gbts</t>
  </si>
  <si>
    <t>Sensibilidad [dBm]</t>
  </si>
  <si>
    <t>Margen Interferencia</t>
  </si>
  <si>
    <t>A</t>
  </si>
  <si>
    <t>a(hms)</t>
  </si>
  <si>
    <t>s</t>
  </si>
  <si>
    <t>Lclutter</t>
  </si>
  <si>
    <t>aux=s*log(d)</t>
  </si>
  <si>
    <t>B</t>
  </si>
  <si>
    <t>Terreno por tipo</t>
  </si>
  <si>
    <t>Población por tipo</t>
  </si>
  <si>
    <t>Clientes</t>
  </si>
  <si>
    <t>min hora cargada</t>
  </si>
  <si>
    <t>min diarios/cliente</t>
  </si>
  <si>
    <t>fBH</t>
  </si>
  <si>
    <t>min anuales/cliente</t>
  </si>
  <si>
    <t xml:space="preserve">mill min totales anuales </t>
  </si>
  <si>
    <t>Factor de Carga Ind.</t>
  </si>
  <si>
    <t>Tasa chip</t>
  </si>
  <si>
    <t>Velocidad binaria  [Kbps]</t>
  </si>
  <si>
    <t>Ortogonalidad</t>
  </si>
  <si>
    <t>Factor Actividad</t>
  </si>
  <si>
    <t>Factor Interferencia</t>
  </si>
  <si>
    <t>Trafíco Individual (a)</t>
  </si>
  <si>
    <t>Trafico Ofrecido EB (A)</t>
  </si>
  <si>
    <t>Usuarios (M)</t>
  </si>
  <si>
    <t>Sectores</t>
  </si>
  <si>
    <t>Comprobación: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</si>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</sst>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164" fontId="9" fillId="0" borderId="1" xfId="266" applyNumberFormat="1" applyFont="1" applyFill="1" applyBorder="1" applyAlignment="1">
      <alignment horizontal="center"/>
    </xf>
    <xf numFmtId="0" fontId="10" fillId="0" borderId="1" xfId="266" applyFont="1" applyFill="1" applyBorder="1" applyAlignment="1">
      <alignment horizontal="center"/>
    </xf>
    <xf numFmtId="165" fontId="10" fillId="0" borderId="0" xfId="266" applyNumberFormat="1" applyFont="1" applyFill="1" applyAlignment="1">
      <alignment horizontal="center"/>
    </xf>
    <xf numFmtId="2" fontId="10" fillId="0" borderId="0" xfId="266" applyNumberFormat="1" applyFont="1" applyFill="1" applyAlignment="1">
      <alignment horizontal="center"/>
    </xf>
    <xf numFmtId="166" fontId="10" fillId="0" borderId="0" xfId="266" applyNumberFormat="1" applyFont="1" applyFill="1" applyAlignment="1">
      <alignment horizontal="center"/>
    </xf>
    <xf numFmtId="0" fontId="10" fillId="0" borderId="3" xfId="266" applyFont="1" applyFill="1" applyBorder="1" applyAlignment="1">
      <alignment horizontal="center"/>
    </xf>
    <xf numFmtId="166" fontId="10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165" fontId="1" fillId="7" borderId="4" xfId="0" applyNumberFormat="1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Fill="1" applyBorder="1"/>
    <xf numFmtId="0" fontId="1" fillId="6" borderId="4" xfId="0" applyFont="1" applyFill="1" applyBorder="1"/>
    <xf numFmtId="164" fontId="0" fillId="6" borderId="4" xfId="1" applyNumberFormat="1" applyFont="1" applyFill="1" applyBorder="1"/>
    <xf numFmtId="2" fontId="1" fillId="7" borderId="4" xfId="0" applyNumberFormat="1" applyFont="1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4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  <xf numFmtId="0" fontId="0" fillId="8" borderId="4" xfId="0" applyFill="1" applyBorder="1"/>
    <xf numFmtId="0" fontId="3" fillId="8" borderId="4" xfId="0" applyFont="1" applyFill="1" applyBorder="1"/>
    <xf numFmtId="165" fontId="2" fillId="0" borderId="5" xfId="0" applyNumberFormat="1" applyFont="1" applyFill="1" applyBorder="1"/>
    <xf numFmtId="0" fontId="2" fillId="0" borderId="0" xfId="0" applyFont="1"/>
    <xf numFmtId="0" fontId="1" fillId="5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9" borderId="0" xfId="0" applyFont="1" applyFill="1"/>
    <xf numFmtId="0" fontId="1" fillId="2" borderId="0" xfId="0" applyFont="1" applyFill="1"/>
    <xf numFmtId="0" fontId="0" fillId="10" borderId="0" xfId="0" applyFill="1"/>
    <xf numFmtId="0" fontId="0" fillId="9" borderId="4" xfId="0" applyFill="1" applyBorder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8"/>
  <sheetViews>
    <sheetView tabSelected="1" topLeftCell="A49" zoomScale="90" zoomScaleNormal="90" workbookViewId="0">
      <selection activeCell="K1" sqref="K1:M1048576"/>
    </sheetView>
  </sheetViews>
  <sheetFormatPr baseColWidth="10" defaultRowHeight="13" x14ac:dyDescent="0.15"/>
  <cols>
    <col min="1" max="1" width="30.83203125" bestFit="1" customWidth="1"/>
    <col min="2" max="2" width="19.6640625" customWidth="1"/>
    <col min="3" max="3" width="12.33203125" customWidth="1"/>
    <col min="4" max="4" width="13.33203125" customWidth="1"/>
    <col min="5" max="5" width="13.33203125" bestFit="1" customWidth="1"/>
    <col min="6" max="6" width="19.1640625" customWidth="1"/>
    <col min="7" max="7" width="14.1640625" bestFit="1" customWidth="1"/>
  </cols>
  <sheetData>
    <row r="1" spans="1:13" x14ac:dyDescent="0.15">
      <c r="A1" s="11" t="s">
        <v>17</v>
      </c>
      <c r="B1" s="12"/>
      <c r="C1" s="12"/>
      <c r="D1" s="12"/>
      <c r="E1" s="12"/>
      <c r="F1" s="12"/>
      <c r="G1" s="12"/>
      <c r="H1" s="12"/>
      <c r="K1" s="43" t="s">
        <v>79</v>
      </c>
      <c r="L1" s="44" t="s">
        <v>80</v>
      </c>
      <c r="M1" s="44" t="s">
        <v>81</v>
      </c>
    </row>
    <row r="2" spans="1:13" x14ac:dyDescent="0.15">
      <c r="A2" s="12"/>
      <c r="B2" s="12"/>
      <c r="C2" s="40" t="s">
        <v>21</v>
      </c>
      <c r="D2" s="40"/>
      <c r="E2" s="40" t="s">
        <v>22</v>
      </c>
      <c r="F2" s="40"/>
      <c r="G2" s="41" t="s">
        <v>23</v>
      </c>
      <c r="H2" s="41"/>
    </row>
    <row r="3" spans="1:13" x14ac:dyDescent="0.15">
      <c r="A3" s="12"/>
      <c r="B3" s="12"/>
      <c r="C3" s="13" t="s">
        <v>13</v>
      </c>
      <c r="D3" s="13" t="s">
        <v>14</v>
      </c>
      <c r="E3" s="13" t="s">
        <v>15</v>
      </c>
      <c r="F3" s="13" t="s">
        <v>16</v>
      </c>
      <c r="G3" s="13" t="s">
        <v>13</v>
      </c>
      <c r="H3" s="13" t="s">
        <v>14</v>
      </c>
    </row>
    <row r="4" spans="1:13" x14ac:dyDescent="0.15">
      <c r="A4" s="14" t="s">
        <v>10</v>
      </c>
      <c r="B4" s="14" t="s">
        <v>45</v>
      </c>
      <c r="C4" s="14">
        <f>10*LOG(0.125)+30</f>
        <v>20.969100130080562</v>
      </c>
      <c r="D4" s="14">
        <f t="shared" ref="D4:H4" si="0">10*LOG(0.125)+30</f>
        <v>20.969100130080562</v>
      </c>
      <c r="E4" s="14">
        <f t="shared" si="0"/>
        <v>20.969100130080562</v>
      </c>
      <c r="F4" s="14">
        <f t="shared" si="0"/>
        <v>20.969100130080562</v>
      </c>
      <c r="G4" s="14">
        <f t="shared" si="0"/>
        <v>20.969100130080562</v>
      </c>
      <c r="H4" s="14">
        <f t="shared" si="0"/>
        <v>20.969100130080562</v>
      </c>
    </row>
    <row r="5" spans="1:13" x14ac:dyDescent="0.15">
      <c r="A5" s="14"/>
      <c r="B5" s="14" t="s">
        <v>46</v>
      </c>
      <c r="C5" s="14">
        <v>4.5</v>
      </c>
      <c r="D5" s="14">
        <v>4.5</v>
      </c>
      <c r="E5" s="14">
        <v>4.5</v>
      </c>
      <c r="F5" s="14">
        <v>4.5</v>
      </c>
      <c r="G5" s="14">
        <v>4.5</v>
      </c>
      <c r="H5" s="14">
        <v>4.5</v>
      </c>
    </row>
    <row r="6" spans="1:13" x14ac:dyDescent="0.15">
      <c r="A6" s="14"/>
      <c r="B6" s="14" t="s">
        <v>47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</row>
    <row r="7" spans="1:13" x14ac:dyDescent="0.15">
      <c r="A7" s="14" t="s">
        <v>11</v>
      </c>
      <c r="B7" s="14" t="s">
        <v>48</v>
      </c>
      <c r="C7" s="14">
        <v>15</v>
      </c>
      <c r="D7" s="14">
        <v>15</v>
      </c>
      <c r="E7" s="14">
        <v>12</v>
      </c>
      <c r="F7" s="14">
        <v>12</v>
      </c>
      <c r="G7" s="14">
        <v>12</v>
      </c>
      <c r="H7" s="14">
        <v>12</v>
      </c>
    </row>
    <row r="8" spans="1:13" x14ac:dyDescent="0.15">
      <c r="A8" s="14"/>
      <c r="B8" s="14" t="s">
        <v>49</v>
      </c>
      <c r="C8" s="14">
        <v>12</v>
      </c>
      <c r="D8" s="14">
        <v>12</v>
      </c>
      <c r="E8" s="14">
        <v>9</v>
      </c>
      <c r="F8" s="14">
        <v>9</v>
      </c>
      <c r="G8" s="14">
        <v>7</v>
      </c>
      <c r="H8" s="14">
        <v>7</v>
      </c>
    </row>
    <row r="9" spans="1:13" x14ac:dyDescent="0.15">
      <c r="A9" s="14" t="s">
        <v>12</v>
      </c>
      <c r="B9" s="14" t="s">
        <v>50</v>
      </c>
      <c r="C9" s="14">
        <v>3</v>
      </c>
      <c r="D9" s="14">
        <v>3</v>
      </c>
      <c r="E9" s="14">
        <v>3</v>
      </c>
      <c r="F9" s="14">
        <v>3</v>
      </c>
      <c r="G9" s="14">
        <v>3</v>
      </c>
      <c r="H9" s="14">
        <v>3</v>
      </c>
    </row>
    <row r="10" spans="1:13" x14ac:dyDescent="0.15">
      <c r="A10" s="14"/>
      <c r="B10" s="14" t="s">
        <v>51</v>
      </c>
      <c r="C10" s="14">
        <v>18</v>
      </c>
      <c r="D10" s="14">
        <v>18</v>
      </c>
      <c r="E10" s="14">
        <v>18</v>
      </c>
      <c r="F10" s="14">
        <v>18</v>
      </c>
      <c r="G10" s="14">
        <v>18</v>
      </c>
      <c r="H10" s="14">
        <v>18</v>
      </c>
    </row>
    <row r="11" spans="1:13" x14ac:dyDescent="0.15">
      <c r="A11" s="14"/>
      <c r="B11" s="14" t="s">
        <v>52</v>
      </c>
      <c r="C11" s="14">
        <v>-117</v>
      </c>
      <c r="D11" s="14">
        <v>-115</v>
      </c>
      <c r="E11" s="14">
        <v>-117</v>
      </c>
      <c r="F11" s="14">
        <v>-115</v>
      </c>
      <c r="G11" s="14">
        <v>-117</v>
      </c>
      <c r="H11" s="14">
        <v>-115</v>
      </c>
    </row>
    <row r="12" spans="1:13" x14ac:dyDescent="0.15">
      <c r="A12" s="14" t="s">
        <v>53</v>
      </c>
      <c r="B12" s="15"/>
      <c r="C12" s="14">
        <v>1.5</v>
      </c>
      <c r="D12" s="14">
        <v>1.5</v>
      </c>
      <c r="E12" s="14">
        <v>1.5</v>
      </c>
      <c r="F12" s="14">
        <v>1.5</v>
      </c>
      <c r="G12" s="14">
        <v>4.5</v>
      </c>
      <c r="H12" s="14">
        <v>4.5</v>
      </c>
    </row>
    <row r="13" spans="1:13" x14ac:dyDescent="0.15">
      <c r="A13" s="16" t="s">
        <v>0</v>
      </c>
      <c r="B13" s="16"/>
      <c r="C13" s="16">
        <f>C4+C6+C10-C5-C7-C8-C9-C11-C12</f>
        <v>119.96910013008056</v>
      </c>
      <c r="D13" s="16">
        <f t="shared" ref="D13:H13" si="1">D4+D6+D10-D5-D7-D8-D9-D11-D12</f>
        <v>117.96910013008056</v>
      </c>
      <c r="E13" s="16">
        <f t="shared" si="1"/>
        <v>125.96910013008056</v>
      </c>
      <c r="F13" s="16">
        <f t="shared" si="1"/>
        <v>123.96910013008056</v>
      </c>
      <c r="G13" s="16">
        <f t="shared" si="1"/>
        <v>124.96910013008056</v>
      </c>
      <c r="H13" s="16">
        <f t="shared" si="1"/>
        <v>122.96910013008056</v>
      </c>
      <c r="K13" s="43">
        <v>1</v>
      </c>
      <c r="L13" s="43">
        <v>1</v>
      </c>
      <c r="M13" s="43">
        <f>K13*L13</f>
        <v>1</v>
      </c>
    </row>
    <row r="15" spans="1:13" x14ac:dyDescent="0.15">
      <c r="A15" s="17"/>
      <c r="B15" s="21" t="s">
        <v>21</v>
      </c>
      <c r="C15" s="21" t="s">
        <v>22</v>
      </c>
      <c r="D15" s="21" t="s">
        <v>23</v>
      </c>
    </row>
    <row r="16" spans="1:13" x14ac:dyDescent="0.15">
      <c r="A16" s="18" t="s">
        <v>37</v>
      </c>
      <c r="B16" s="18">
        <f>30+8</f>
        <v>38</v>
      </c>
      <c r="C16" s="18">
        <f>10+12</f>
        <v>22</v>
      </c>
      <c r="D16" s="18">
        <f>0+30</f>
        <v>30</v>
      </c>
    </row>
    <row r="17" spans="1:13" x14ac:dyDescent="0.15">
      <c r="A17" s="18" t="s">
        <v>38</v>
      </c>
      <c r="B17" s="18">
        <v>1.72</v>
      </c>
      <c r="C17" s="18">
        <v>1.72</v>
      </c>
      <c r="D17" s="18">
        <v>1.72</v>
      </c>
    </row>
    <row r="18" spans="1:13" x14ac:dyDescent="0.15">
      <c r="A18" s="10" t="s">
        <v>44</v>
      </c>
      <c r="B18" s="46">
        <v>2100</v>
      </c>
      <c r="C18" s="46">
        <v>2100</v>
      </c>
      <c r="D18" s="46">
        <v>2100</v>
      </c>
    </row>
    <row r="19" spans="1:13" x14ac:dyDescent="0.15">
      <c r="A19" s="19" t="s">
        <v>39</v>
      </c>
      <c r="B19" s="17" t="s">
        <v>40</v>
      </c>
      <c r="C19" s="17" t="s">
        <v>41</v>
      </c>
      <c r="D19" s="17" t="s">
        <v>41</v>
      </c>
    </row>
    <row r="20" spans="1:13" x14ac:dyDescent="0.15">
      <c r="A20" s="19" t="s">
        <v>54</v>
      </c>
      <c r="B20" s="19">
        <v>46.3</v>
      </c>
      <c r="C20" s="19">
        <v>46.3</v>
      </c>
      <c r="D20" s="19">
        <v>46.3</v>
      </c>
    </row>
    <row r="21" spans="1:13" x14ac:dyDescent="0.15">
      <c r="A21" s="19" t="s">
        <v>59</v>
      </c>
      <c r="B21" s="19">
        <v>33.9</v>
      </c>
      <c r="C21" s="19">
        <v>33.9</v>
      </c>
      <c r="D21" s="19">
        <v>33.9</v>
      </c>
    </row>
    <row r="22" spans="1:13" x14ac:dyDescent="0.15">
      <c r="A22" s="19" t="s">
        <v>55</v>
      </c>
      <c r="B22" s="19">
        <f>3.2*(LOG(11.75*B17)^2)-4.97</f>
        <v>0.48441087675501127</v>
      </c>
      <c r="C22" s="19">
        <f>C17*(1.1*LOG(C18)-0.7)-(1.56*LOG(C18)-0.8)</f>
        <v>0.698976805851661</v>
      </c>
      <c r="D22" s="19">
        <f>D17*(1.1*LOG(D18)-0.7)-(1.56*LOG(D18)-0.8)</f>
        <v>0.698976805851661</v>
      </c>
    </row>
    <row r="23" spans="1:13" x14ac:dyDescent="0.15">
      <c r="A23" s="19" t="s">
        <v>56</v>
      </c>
      <c r="B23" s="19">
        <f>(47.88+13.9*LOG(B18)-13.82*LOG(B16))*(1/LOG(50))</f>
        <v>42.511779906193333</v>
      </c>
      <c r="C23" s="19">
        <f>44.9-6.55*LOG(C16)</f>
        <v>36.107131440614552</v>
      </c>
      <c r="D23" s="19">
        <f>44.9-6.55*LOG(D16)</f>
        <v>35.224855781586214</v>
      </c>
    </row>
    <row r="24" spans="1:13" x14ac:dyDescent="0.15">
      <c r="A24" s="19" t="s">
        <v>57</v>
      </c>
      <c r="B24" s="19">
        <v>0</v>
      </c>
      <c r="C24" s="19">
        <f>-2*(LOG(C18/28)^2)-5.4</f>
        <v>-12.431709482944157</v>
      </c>
      <c r="D24" s="19">
        <f>-4.78*(LOG(D18)^2)+18.33*LOG(D18)-40.94</f>
        <v>-32.801254509732452</v>
      </c>
    </row>
    <row r="25" spans="1:13" x14ac:dyDescent="0.15">
      <c r="A25" s="19"/>
      <c r="B25" s="19"/>
      <c r="C25" s="19"/>
      <c r="D25" s="19"/>
    </row>
    <row r="26" spans="1:13" x14ac:dyDescent="0.15">
      <c r="A26" s="27" t="s">
        <v>58</v>
      </c>
      <c r="B26" s="17">
        <f>MIN(C13,D13)-B20-B21*LOG(B18)+13.82*LOG(B16)+B22-B24</f>
        <v>-18.637113779399968</v>
      </c>
      <c r="C26" s="17">
        <f>MIN(E13,F13)-C20-C21*LOG(C18)+13.82*LOG(C16)+C22-C24</f>
        <v>-3.2711662236405843</v>
      </c>
      <c r="D26" s="17">
        <f>MIN(G13,H13)-D20-D21*LOG(D18)+13.82*LOG(D16)+D22-D24</f>
        <v>17.959913094410553</v>
      </c>
    </row>
    <row r="27" spans="1:13" x14ac:dyDescent="0.15">
      <c r="A27" s="19"/>
      <c r="B27" s="19"/>
      <c r="C27" s="19"/>
      <c r="D27" s="19"/>
      <c r="F27" s="38" t="s">
        <v>78</v>
      </c>
    </row>
    <row r="28" spans="1:13" x14ac:dyDescent="0.15">
      <c r="A28" s="10" t="s">
        <v>42</v>
      </c>
      <c r="B28" s="20">
        <f>10^(B26/B23)</f>
        <v>0.36441914818795956</v>
      </c>
      <c r="C28" s="20">
        <f t="shared" ref="C28:D28" si="2">10^(C26/C23)</f>
        <v>0.81171556561492508</v>
      </c>
      <c r="D28" s="20">
        <f t="shared" si="2"/>
        <v>3.234929146602822</v>
      </c>
      <c r="F28">
        <f>(B28-B73)*100</f>
        <v>-4.7147582598007496</v>
      </c>
      <c r="G28">
        <f>(C28-E73)*100</f>
        <v>3.3265155024994497</v>
      </c>
      <c r="H28">
        <f>(D28-F73)*100</f>
        <v>-10.184500219711268</v>
      </c>
      <c r="K28" s="43">
        <v>1.5</v>
      </c>
      <c r="L28" s="43">
        <v>0</v>
      </c>
      <c r="M28" s="43">
        <f t="shared" ref="M28:M44" si="3">K28*L28</f>
        <v>0</v>
      </c>
    </row>
    <row r="30" spans="1:13" x14ac:dyDescent="0.15">
      <c r="A30" s="13" t="s">
        <v>43</v>
      </c>
      <c r="B30" s="9"/>
      <c r="C30" s="9"/>
      <c r="D30" s="9"/>
      <c r="E30" s="9"/>
      <c r="F30" s="9"/>
      <c r="G30" s="9"/>
    </row>
    <row r="31" spans="1:13" x14ac:dyDescent="0.15">
      <c r="A31" s="18" t="s">
        <v>28</v>
      </c>
      <c r="B31" s="23">
        <v>235</v>
      </c>
      <c r="C31" s="9"/>
      <c r="D31" s="9"/>
      <c r="E31" s="9"/>
      <c r="F31" s="9"/>
      <c r="G31" s="9"/>
    </row>
    <row r="32" spans="1:13" x14ac:dyDescent="0.15">
      <c r="A32" s="18" t="s">
        <v>29</v>
      </c>
      <c r="B32" s="23">
        <v>363500</v>
      </c>
      <c r="C32" s="9"/>
      <c r="D32" s="9"/>
      <c r="E32" s="9"/>
      <c r="F32" s="9"/>
      <c r="G32" s="9"/>
    </row>
    <row r="33" spans="1:13" x14ac:dyDescent="0.15">
      <c r="A33" s="22"/>
      <c r="B33" s="42" t="s">
        <v>21</v>
      </c>
      <c r="C33" s="42"/>
      <c r="D33" s="42" t="s">
        <v>22</v>
      </c>
      <c r="E33" s="42"/>
      <c r="F33" s="42" t="s">
        <v>23</v>
      </c>
      <c r="G33" s="42"/>
    </row>
    <row r="34" spans="1:13" x14ac:dyDescent="0.15">
      <c r="A34" s="18" t="s">
        <v>30</v>
      </c>
      <c r="B34" s="24">
        <v>0.12</v>
      </c>
      <c r="C34" s="24">
        <v>0.12</v>
      </c>
      <c r="D34" s="24">
        <v>0.23</v>
      </c>
      <c r="E34" s="24">
        <v>0.23</v>
      </c>
      <c r="F34" s="24">
        <v>0.65</v>
      </c>
      <c r="G34" s="24">
        <v>0.65</v>
      </c>
    </row>
    <row r="35" spans="1:13" x14ac:dyDescent="0.15">
      <c r="A35" s="22" t="s">
        <v>60</v>
      </c>
      <c r="B35" s="22">
        <f>B34*B31</f>
        <v>28.2</v>
      </c>
      <c r="C35" s="22">
        <f>C34*B31</f>
        <v>28.2</v>
      </c>
      <c r="D35" s="22">
        <f>D34*B31</f>
        <v>54.050000000000004</v>
      </c>
      <c r="E35" s="22">
        <f>E34*B31</f>
        <v>54.050000000000004</v>
      </c>
      <c r="F35" s="22">
        <f>F34*B31</f>
        <v>152.75</v>
      </c>
      <c r="G35" s="22">
        <f>G34*B31</f>
        <v>152.75</v>
      </c>
    </row>
    <row r="36" spans="1:13" x14ac:dyDescent="0.15">
      <c r="A36" s="18" t="s">
        <v>31</v>
      </c>
      <c r="B36" s="24">
        <v>0.62</v>
      </c>
      <c r="C36" s="24">
        <v>0.62</v>
      </c>
      <c r="D36" s="24">
        <v>0.22</v>
      </c>
      <c r="E36" s="24">
        <v>0.22</v>
      </c>
      <c r="F36" s="24">
        <v>0.16</v>
      </c>
      <c r="G36" s="24">
        <v>0.16</v>
      </c>
    </row>
    <row r="37" spans="1:13" x14ac:dyDescent="0.15">
      <c r="A37" s="22" t="s">
        <v>61</v>
      </c>
      <c r="B37" s="22">
        <f>B36*B32</f>
        <v>225370</v>
      </c>
      <c r="C37" s="22">
        <f>C36*B32</f>
        <v>225370</v>
      </c>
      <c r="D37" s="22">
        <f>D36*B32</f>
        <v>79970</v>
      </c>
      <c r="E37" s="22">
        <f>E36*B32</f>
        <v>79970</v>
      </c>
      <c r="F37" s="22">
        <f>F36*B32</f>
        <v>58160</v>
      </c>
      <c r="G37" s="22">
        <f>G36*B32</f>
        <v>58160</v>
      </c>
    </row>
    <row r="38" spans="1:13" x14ac:dyDescent="0.15">
      <c r="A38" s="18" t="s">
        <v>32</v>
      </c>
      <c r="B38" s="18">
        <f>105/100</f>
        <v>1.05</v>
      </c>
      <c r="C38" s="18">
        <f t="shared" ref="C38:G38" si="4">105/100</f>
        <v>1.05</v>
      </c>
      <c r="D38" s="18">
        <f t="shared" si="4"/>
        <v>1.05</v>
      </c>
      <c r="E38" s="18">
        <f t="shared" si="4"/>
        <v>1.05</v>
      </c>
      <c r="F38" s="18">
        <f t="shared" si="4"/>
        <v>1.05</v>
      </c>
      <c r="G38" s="18">
        <f t="shared" si="4"/>
        <v>1.05</v>
      </c>
    </row>
    <row r="39" spans="1:13" x14ac:dyDescent="0.15">
      <c r="A39" s="18" t="s">
        <v>33</v>
      </c>
      <c r="B39" s="18">
        <f>29.5/100</f>
        <v>0.29499999999999998</v>
      </c>
      <c r="C39" s="18">
        <f t="shared" ref="C39:G39" si="5">29.5/100</f>
        <v>0.29499999999999998</v>
      </c>
      <c r="D39" s="18">
        <f t="shared" si="5"/>
        <v>0.29499999999999998</v>
      </c>
      <c r="E39" s="18">
        <f t="shared" si="5"/>
        <v>0.29499999999999998</v>
      </c>
      <c r="F39" s="18">
        <f t="shared" si="5"/>
        <v>0.29499999999999998</v>
      </c>
      <c r="G39" s="18">
        <f t="shared" si="5"/>
        <v>0.29499999999999998</v>
      </c>
    </row>
    <row r="40" spans="1:13" x14ac:dyDescent="0.15">
      <c r="A40" s="22"/>
      <c r="B40" s="22"/>
      <c r="C40" s="22"/>
      <c r="D40" s="22"/>
      <c r="E40" s="22"/>
      <c r="F40" s="22"/>
      <c r="G40" s="22"/>
    </row>
    <row r="41" spans="1:13" x14ac:dyDescent="0.15">
      <c r="A41" s="22"/>
      <c r="B41" s="22"/>
      <c r="C41" s="22"/>
      <c r="D41" s="22"/>
      <c r="E41" s="22"/>
      <c r="F41" s="22"/>
      <c r="G41" s="22"/>
    </row>
    <row r="42" spans="1:13" x14ac:dyDescent="0.15">
      <c r="A42" s="18" t="s">
        <v>34</v>
      </c>
      <c r="B42" s="18">
        <v>1</v>
      </c>
      <c r="C42" s="18">
        <v>1.1000000000000001</v>
      </c>
      <c r="D42" s="18">
        <v>1</v>
      </c>
      <c r="E42" s="18">
        <v>1.1000000000000001</v>
      </c>
      <c r="F42" s="18">
        <v>1</v>
      </c>
      <c r="G42" s="18">
        <v>1.1000000000000001</v>
      </c>
    </row>
    <row r="43" spans="1:13" x14ac:dyDescent="0.15">
      <c r="A43" s="22" t="s">
        <v>62</v>
      </c>
      <c r="B43" s="22">
        <f>B37*B38*B39*B42</f>
        <v>69808.357499999998</v>
      </c>
      <c r="C43" s="22">
        <f t="shared" ref="C43:G43" si="6">C37*C38*C39*C42</f>
        <v>76789.193250000011</v>
      </c>
      <c r="D43" s="22">
        <f t="shared" si="6"/>
        <v>24770.7075</v>
      </c>
      <c r="E43" s="22">
        <f t="shared" si="6"/>
        <v>27247.778250000003</v>
      </c>
      <c r="F43" s="22">
        <f t="shared" si="6"/>
        <v>18015.059999999998</v>
      </c>
      <c r="G43" s="22">
        <f t="shared" si="6"/>
        <v>19816.565999999999</v>
      </c>
    </row>
    <row r="44" spans="1:13" x14ac:dyDescent="0.15">
      <c r="A44" s="10" t="s">
        <v>35</v>
      </c>
      <c r="B44" s="25">
        <f>B43/B35</f>
        <v>2475.4736702127661</v>
      </c>
      <c r="C44" s="25">
        <f t="shared" ref="C44:G44" si="7">C43/C35</f>
        <v>2723.021037234043</v>
      </c>
      <c r="D44" s="25">
        <f t="shared" si="7"/>
        <v>458.29246068455132</v>
      </c>
      <c r="E44" s="25">
        <f t="shared" si="7"/>
        <v>504.12170675300649</v>
      </c>
      <c r="F44" s="25">
        <f t="shared" si="7"/>
        <v>117.93819967266774</v>
      </c>
      <c r="G44" s="25">
        <f t="shared" si="7"/>
        <v>129.73201963993452</v>
      </c>
      <c r="K44" s="43">
        <v>0.5</v>
      </c>
      <c r="L44" s="43">
        <v>1</v>
      </c>
      <c r="M44" s="43">
        <f t="shared" si="3"/>
        <v>0.5</v>
      </c>
    </row>
    <row r="47" spans="1:13" ht="13" customHeight="1" x14ac:dyDescent="0.15">
      <c r="A47" s="13" t="s">
        <v>36</v>
      </c>
      <c r="B47" s="39" t="s">
        <v>21</v>
      </c>
      <c r="C47" s="39"/>
      <c r="D47" s="39" t="s">
        <v>22</v>
      </c>
      <c r="E47" s="39"/>
      <c r="F47" s="39" t="s">
        <v>23</v>
      </c>
      <c r="G47" s="39"/>
    </row>
    <row r="48" spans="1:13" ht="13" customHeight="1" x14ac:dyDescent="0.15">
      <c r="A48" s="26" t="s">
        <v>74</v>
      </c>
      <c r="B48" s="18">
        <v>1.4999999999999999E-2</v>
      </c>
      <c r="C48" s="18">
        <v>0.01</v>
      </c>
      <c r="D48" s="18">
        <v>1.2E-2</v>
      </c>
      <c r="E48" s="18">
        <v>1.0999999999999999E-2</v>
      </c>
      <c r="F48" s="18">
        <v>0.01</v>
      </c>
      <c r="G48" s="18">
        <v>7.0000000000000001E-3</v>
      </c>
    </row>
    <row r="49" spans="1:13" ht="13" customHeight="1" x14ac:dyDescent="0.15">
      <c r="A49" s="26" t="s">
        <v>65</v>
      </c>
      <c r="B49" s="18">
        <v>8</v>
      </c>
      <c r="C49" s="18">
        <v>13</v>
      </c>
      <c r="D49" s="18">
        <v>8</v>
      </c>
      <c r="E49" s="18">
        <v>13</v>
      </c>
      <c r="F49" s="18">
        <v>8</v>
      </c>
      <c r="G49" s="18">
        <v>13</v>
      </c>
    </row>
    <row r="50" spans="1:13" ht="13" customHeight="1" x14ac:dyDescent="0.15">
      <c r="A50" s="27" t="s">
        <v>63</v>
      </c>
      <c r="B50" s="28">
        <f>B48*60</f>
        <v>0.89999999999999991</v>
      </c>
      <c r="C50" s="28">
        <f t="shared" ref="C50:G50" si="8">C48*60</f>
        <v>0.6</v>
      </c>
      <c r="D50" s="28">
        <f t="shared" si="8"/>
        <v>0.72</v>
      </c>
      <c r="E50" s="28">
        <f t="shared" si="8"/>
        <v>0.65999999999999992</v>
      </c>
      <c r="F50" s="28">
        <f t="shared" si="8"/>
        <v>0.6</v>
      </c>
      <c r="G50" s="28">
        <f t="shared" si="8"/>
        <v>0.42</v>
      </c>
    </row>
    <row r="51" spans="1:13" ht="13" customHeight="1" x14ac:dyDescent="0.15">
      <c r="A51" s="27" t="s">
        <v>64</v>
      </c>
      <c r="B51" s="28">
        <f>B50*B49</f>
        <v>7.1999999999999993</v>
      </c>
      <c r="C51" s="28">
        <f t="shared" ref="C51:G51" si="9">C50*C49</f>
        <v>7.8</v>
      </c>
      <c r="D51" s="28">
        <f t="shared" si="9"/>
        <v>5.76</v>
      </c>
      <c r="E51" s="28">
        <f t="shared" si="9"/>
        <v>8.5799999999999983</v>
      </c>
      <c r="F51" s="28">
        <f t="shared" si="9"/>
        <v>4.8</v>
      </c>
      <c r="G51" s="28">
        <f t="shared" si="9"/>
        <v>5.46</v>
      </c>
    </row>
    <row r="52" spans="1:13" ht="13" customHeight="1" x14ac:dyDescent="0.15">
      <c r="A52" s="27" t="s">
        <v>66</v>
      </c>
      <c r="B52" s="29">
        <f>B51*250</f>
        <v>1799.9999999999998</v>
      </c>
      <c r="C52" s="29">
        <f t="shared" ref="C52:G52" si="10">C51*250</f>
        <v>1950</v>
      </c>
      <c r="D52" s="29">
        <f t="shared" si="10"/>
        <v>1440</v>
      </c>
      <c r="E52" s="29">
        <f t="shared" si="10"/>
        <v>2144.9999999999995</v>
      </c>
      <c r="F52" s="29">
        <f t="shared" si="10"/>
        <v>1200</v>
      </c>
      <c r="G52" s="29">
        <f t="shared" si="10"/>
        <v>1365</v>
      </c>
      <c r="K52" s="43">
        <v>0.75</v>
      </c>
      <c r="L52" s="43">
        <v>1</v>
      </c>
      <c r="M52" s="43">
        <f>K52*L52</f>
        <v>0.75</v>
      </c>
    </row>
    <row r="53" spans="1:13" ht="13" customHeight="1" x14ac:dyDescent="0.15">
      <c r="A53" s="10" t="s">
        <v>67</v>
      </c>
      <c r="B53" s="10">
        <f>B52*B43</f>
        <v>125655043.49999999</v>
      </c>
      <c r="C53" s="10">
        <f t="shared" ref="C53:G53" si="11">C52*C43</f>
        <v>149738926.83750004</v>
      </c>
      <c r="D53" s="10">
        <f t="shared" si="11"/>
        <v>35669818.799999997</v>
      </c>
      <c r="E53" s="10">
        <f t="shared" si="11"/>
        <v>58446484.346249998</v>
      </c>
      <c r="F53" s="10">
        <f t="shared" si="11"/>
        <v>21618071.999999996</v>
      </c>
      <c r="G53" s="10">
        <f t="shared" si="11"/>
        <v>27049612.59</v>
      </c>
    </row>
    <row r="55" spans="1:13" x14ac:dyDescent="0.15">
      <c r="A55" s="13" t="s">
        <v>2</v>
      </c>
      <c r="B55" s="39" t="s">
        <v>21</v>
      </c>
      <c r="C55" s="39"/>
      <c r="D55" s="39" t="s">
        <v>22</v>
      </c>
      <c r="E55" s="39"/>
      <c r="F55" s="39" t="s">
        <v>23</v>
      </c>
      <c r="G55" s="39"/>
    </row>
    <row r="56" spans="1:13" x14ac:dyDescent="0.15">
      <c r="A56" s="14" t="s">
        <v>1</v>
      </c>
      <c r="B56" s="19">
        <f>1-(1/10^(C12/10))</f>
        <v>0.29205421561586209</v>
      </c>
      <c r="C56" s="19">
        <f t="shared" ref="C56:G56" si="12">1-(1/10^(D12/10))</f>
        <v>0.29205421561586209</v>
      </c>
      <c r="D56" s="19">
        <f t="shared" si="12"/>
        <v>0.29205421561586209</v>
      </c>
      <c r="E56" s="19">
        <f t="shared" si="12"/>
        <v>0.29205421561586209</v>
      </c>
      <c r="F56" s="19">
        <f t="shared" si="12"/>
        <v>0.64518661076642458</v>
      </c>
      <c r="G56" s="19">
        <f t="shared" si="12"/>
        <v>0.64518661076642458</v>
      </c>
    </row>
    <row r="57" spans="1:13" x14ac:dyDescent="0.15">
      <c r="A57" s="19"/>
      <c r="B57" s="30" t="s">
        <v>24</v>
      </c>
      <c r="C57" s="30" t="s">
        <v>4</v>
      </c>
      <c r="D57" s="30" t="s">
        <v>3</v>
      </c>
      <c r="E57" s="30" t="s">
        <v>4</v>
      </c>
      <c r="F57" s="30" t="s">
        <v>3</v>
      </c>
      <c r="G57" s="30" t="s">
        <v>4</v>
      </c>
    </row>
    <row r="58" spans="1:13" x14ac:dyDescent="0.15">
      <c r="A58" s="14" t="s">
        <v>7</v>
      </c>
      <c r="B58" s="14">
        <f>10^(4.6/10)</f>
        <v>2.8840315031266059</v>
      </c>
      <c r="C58" s="14">
        <f>10^(2.6/10)</f>
        <v>1.8197008586099837</v>
      </c>
      <c r="D58" s="14">
        <f>10^(4.6/10)</f>
        <v>2.8840315031266059</v>
      </c>
      <c r="E58" s="14">
        <f>10^(2.6/10)</f>
        <v>1.8197008586099837</v>
      </c>
      <c r="F58" s="14">
        <f>10^(4.6/10)</f>
        <v>2.8840315031266059</v>
      </c>
      <c r="G58" s="14">
        <f>10^(2.6/10)</f>
        <v>1.8197008586099837</v>
      </c>
      <c r="K58" s="43">
        <v>1.25</v>
      </c>
      <c r="L58" s="43">
        <v>1</v>
      </c>
      <c r="M58" s="43">
        <f>K58*L58</f>
        <v>1.25</v>
      </c>
    </row>
    <row r="59" spans="1:13" x14ac:dyDescent="0.15">
      <c r="A59" s="14" t="s">
        <v>69</v>
      </c>
      <c r="B59" s="14">
        <v>3840</v>
      </c>
      <c r="C59" s="14">
        <v>3840</v>
      </c>
      <c r="D59" s="14">
        <v>3840</v>
      </c>
      <c r="E59" s="14">
        <v>3840</v>
      </c>
      <c r="F59" s="14">
        <v>3840</v>
      </c>
      <c r="G59" s="14">
        <v>3840</v>
      </c>
    </row>
    <row r="60" spans="1:13" x14ac:dyDescent="0.15">
      <c r="A60" s="14" t="s">
        <v>70</v>
      </c>
      <c r="B60" s="14">
        <v>12.2</v>
      </c>
      <c r="C60" s="14">
        <v>64</v>
      </c>
      <c r="D60" s="14">
        <v>12.2</v>
      </c>
      <c r="E60" s="14">
        <v>64</v>
      </c>
      <c r="F60" s="14">
        <v>12.2</v>
      </c>
      <c r="G60" s="14">
        <v>64</v>
      </c>
    </row>
    <row r="61" spans="1:13" x14ac:dyDescent="0.15">
      <c r="A61" s="14" t="s">
        <v>71</v>
      </c>
      <c r="B61" s="14">
        <v>0.55000000000000004</v>
      </c>
      <c r="C61" s="14">
        <v>0.55000000000000004</v>
      </c>
      <c r="D61" s="14">
        <v>0.55000000000000004</v>
      </c>
      <c r="E61" s="14">
        <v>0.55000000000000004</v>
      </c>
      <c r="F61" s="14">
        <v>0.55000000000000004</v>
      </c>
      <c r="G61" s="14">
        <v>0.55000000000000004</v>
      </c>
    </row>
    <row r="62" spans="1:13" x14ac:dyDescent="0.15">
      <c r="A62" s="14" t="s">
        <v>72</v>
      </c>
      <c r="B62" s="14">
        <v>0.67</v>
      </c>
      <c r="C62" s="14">
        <v>1</v>
      </c>
      <c r="D62" s="14">
        <v>0.67</v>
      </c>
      <c r="E62" s="14">
        <v>1</v>
      </c>
      <c r="F62" s="14">
        <v>0.67</v>
      </c>
      <c r="G62" s="14">
        <v>1</v>
      </c>
    </row>
    <row r="63" spans="1:13" x14ac:dyDescent="0.15">
      <c r="A63" s="14" t="s">
        <v>73</v>
      </c>
      <c r="B63" s="14">
        <v>0.66</v>
      </c>
      <c r="C63" s="14">
        <v>0.66</v>
      </c>
      <c r="D63" s="14">
        <v>0.66</v>
      </c>
      <c r="E63" s="14">
        <v>0.66</v>
      </c>
      <c r="F63" s="14">
        <v>0.66</v>
      </c>
      <c r="G63" s="14">
        <v>0.66</v>
      </c>
    </row>
    <row r="64" spans="1:13" x14ac:dyDescent="0.15">
      <c r="A64" s="35" t="s">
        <v>8</v>
      </c>
      <c r="B64" s="35">
        <v>5.8000000000000003E-2</v>
      </c>
      <c r="C64" s="36">
        <f>C56-B64</f>
        <v>0.23405421561586209</v>
      </c>
      <c r="D64" s="35">
        <v>4.9000000000000002E-2</v>
      </c>
      <c r="E64" s="36">
        <f>E56-D64</f>
        <v>0.2430542156158621</v>
      </c>
      <c r="F64" s="35">
        <v>0.13</v>
      </c>
      <c r="G64" s="36">
        <f>G56-F64</f>
        <v>0.51518661076642458</v>
      </c>
    </row>
    <row r="65" spans="1:13" x14ac:dyDescent="0.15">
      <c r="A65" s="22" t="s">
        <v>68</v>
      </c>
      <c r="B65" s="22">
        <f>B58*B62*(1-B61+B63)/(B59/B60)</f>
        <v>6.8143806229890979E-3</v>
      </c>
      <c r="C65" s="22">
        <f t="shared" ref="C65:G65" si="13">C58*C62*(1-C61+C63)/(C59/C60)</f>
        <v>3.3664465884284699E-2</v>
      </c>
      <c r="D65" s="22">
        <f t="shared" si="13"/>
        <v>6.8143806229890979E-3</v>
      </c>
      <c r="E65" s="22">
        <f t="shared" si="13"/>
        <v>3.3664465884284699E-2</v>
      </c>
      <c r="F65" s="22">
        <f t="shared" si="13"/>
        <v>6.8143806229890979E-3</v>
      </c>
      <c r="G65" s="22">
        <f t="shared" si="13"/>
        <v>3.3664465884284699E-2</v>
      </c>
    </row>
    <row r="66" spans="1:13" x14ac:dyDescent="0.15">
      <c r="A66" s="32" t="s">
        <v>27</v>
      </c>
      <c r="B66" s="31">
        <f>B64/B65</f>
        <v>8.5114118522129978</v>
      </c>
      <c r="C66" s="31">
        <f t="shared" ref="C66:G66" si="14">C64/C65</f>
        <v>6.9525599016000923</v>
      </c>
      <c r="D66" s="31">
        <f t="shared" si="14"/>
        <v>7.1906755303178782</v>
      </c>
      <c r="E66" s="31">
        <f t="shared" si="14"/>
        <v>7.2199041105038022</v>
      </c>
      <c r="F66" s="31">
        <f t="shared" si="14"/>
        <v>19.077302427373962</v>
      </c>
      <c r="G66" s="31">
        <f t="shared" si="14"/>
        <v>15.303572988125881</v>
      </c>
    </row>
    <row r="67" spans="1:13" x14ac:dyDescent="0.15">
      <c r="A67" s="19" t="s">
        <v>9</v>
      </c>
      <c r="B67" s="19">
        <f>B66*(1+B63)</f>
        <v>14.128943674673577</v>
      </c>
      <c r="C67" s="19">
        <f t="shared" ref="C67:G67" si="15">C66*(1+C63)</f>
        <v>11.541249436656154</v>
      </c>
      <c r="D67" s="19">
        <f t="shared" si="15"/>
        <v>11.93652138032768</v>
      </c>
      <c r="E67" s="19">
        <f t="shared" si="15"/>
        <v>11.985040823436313</v>
      </c>
      <c r="F67" s="19">
        <f t="shared" si="15"/>
        <v>31.66832202944078</v>
      </c>
      <c r="G67" s="19">
        <f t="shared" si="15"/>
        <v>25.403931160288963</v>
      </c>
    </row>
    <row r="68" spans="1:13" x14ac:dyDescent="0.15">
      <c r="A68" s="32" t="s">
        <v>20</v>
      </c>
      <c r="B68" s="32">
        <f>VLOOKUP(B67,Erlang!$A:$B,2)</f>
        <v>8.2002682999999994</v>
      </c>
      <c r="C68" s="32">
        <f>VLOOKUP(C67,Erlang!$A:$B,2)</f>
        <v>5.8415311000000001</v>
      </c>
      <c r="D68" s="32">
        <f>VLOOKUP(D67,Erlang!$A:$B,2)</f>
        <v>5.8415311000000001</v>
      </c>
      <c r="E68" s="32">
        <f>VLOOKUP(E67,Erlang!$A:$B,2)</f>
        <v>5.8415311000000001</v>
      </c>
      <c r="F68" s="32">
        <f>VLOOKUP(F67,Erlang!$A:$B,2)</f>
        <v>22.826789000000002</v>
      </c>
      <c r="G68" s="32">
        <f>VLOOKUP(G67,Erlang!$A:$B,2)</f>
        <v>17.504635</v>
      </c>
      <c r="K68" s="43">
        <v>3</v>
      </c>
      <c r="L68" s="43">
        <v>1</v>
      </c>
      <c r="M68" s="43">
        <f>K68*L68</f>
        <v>3</v>
      </c>
    </row>
    <row r="69" spans="1:13" x14ac:dyDescent="0.15">
      <c r="A69" s="19" t="s">
        <v>75</v>
      </c>
      <c r="B69" s="19">
        <f>B68/(1+B63)</f>
        <v>4.9399206626506018</v>
      </c>
      <c r="C69" s="19">
        <f t="shared" ref="C69:G69" si="16">C68/(1+C63)</f>
        <v>3.5189946385542168</v>
      </c>
      <c r="D69" s="19">
        <f t="shared" si="16"/>
        <v>3.5189946385542168</v>
      </c>
      <c r="E69" s="19">
        <f t="shared" si="16"/>
        <v>3.5189946385542168</v>
      </c>
      <c r="F69" s="19">
        <f t="shared" si="16"/>
        <v>13.751077710843374</v>
      </c>
      <c r="G69" s="19">
        <f t="shared" si="16"/>
        <v>10.544960843373493</v>
      </c>
    </row>
    <row r="70" spans="1:13" x14ac:dyDescent="0.15">
      <c r="A70" s="19" t="s">
        <v>76</v>
      </c>
      <c r="B70" s="19">
        <f>B69/B48</f>
        <v>329.32804417670678</v>
      </c>
      <c r="C70" s="19">
        <f t="shared" ref="C70:G70" si="17">C69/C48</f>
        <v>351.89946385542169</v>
      </c>
      <c r="D70" s="19">
        <f t="shared" si="17"/>
        <v>293.24955321285137</v>
      </c>
      <c r="E70" s="19">
        <f t="shared" si="17"/>
        <v>319.90860350492881</v>
      </c>
      <c r="F70" s="19">
        <f t="shared" si="17"/>
        <v>1375.1077710843374</v>
      </c>
      <c r="G70" s="19">
        <f t="shared" si="17"/>
        <v>1506.4229776247848</v>
      </c>
    </row>
    <row r="71" spans="1:13" x14ac:dyDescent="0.15">
      <c r="A71" s="18" t="s">
        <v>77</v>
      </c>
      <c r="B71" s="18">
        <v>4</v>
      </c>
      <c r="C71" s="18">
        <v>4</v>
      </c>
      <c r="D71" s="18">
        <v>3</v>
      </c>
      <c r="E71" s="18">
        <v>3</v>
      </c>
      <c r="F71" s="18">
        <v>3</v>
      </c>
      <c r="G71" s="18">
        <v>3</v>
      </c>
      <c r="K71" s="43">
        <v>1.5</v>
      </c>
      <c r="L71" s="43">
        <v>0.3</v>
      </c>
      <c r="M71" s="43">
        <f>K71*L71</f>
        <v>0.44999999999999996</v>
      </c>
    </row>
    <row r="72" spans="1:13" x14ac:dyDescent="0.15">
      <c r="A72" s="33"/>
      <c r="B72" s="39" t="s">
        <v>21</v>
      </c>
      <c r="C72" s="39"/>
      <c r="D72" s="39" t="s">
        <v>22</v>
      </c>
      <c r="E72" s="39"/>
      <c r="F72" s="39" t="s">
        <v>23</v>
      </c>
      <c r="G72" s="39"/>
      <c r="I72" t="s">
        <v>78</v>
      </c>
    </row>
    <row r="73" spans="1:13" x14ac:dyDescent="0.15">
      <c r="A73" s="16" t="s">
        <v>5</v>
      </c>
      <c r="B73" s="34">
        <f>SQRT((B71*B70)/(PI()*B44))</f>
        <v>0.41156673078596706</v>
      </c>
      <c r="C73" s="34">
        <f t="shared" ref="C73:G73" si="18">SQRT((C71*C70)/(PI()*C44))</f>
        <v>0.40563821561438013</v>
      </c>
      <c r="D73" s="34">
        <f t="shared" si="18"/>
        <v>0.78168722459531637</v>
      </c>
      <c r="E73" s="34">
        <f t="shared" si="18"/>
        <v>0.77845041058993059</v>
      </c>
      <c r="F73" s="34">
        <f t="shared" si="18"/>
        <v>3.3367741487999347</v>
      </c>
      <c r="G73" s="34">
        <f t="shared" si="18"/>
        <v>3.3299335503616652</v>
      </c>
      <c r="I73" s="37">
        <f>(B73-C73)*100</f>
        <v>0.59285151715869344</v>
      </c>
      <c r="J73">
        <f>(D73-E73)*100</f>
        <v>0.32368140053857797</v>
      </c>
      <c r="K73" s="43">
        <v>0.5</v>
      </c>
      <c r="L73" s="43">
        <v>0.3</v>
      </c>
      <c r="M73" s="43">
        <f>K73*L73</f>
        <v>0.15</v>
      </c>
    </row>
    <row r="75" spans="1:13" x14ac:dyDescent="0.15">
      <c r="A75" s="33"/>
      <c r="B75" s="33" t="s">
        <v>21</v>
      </c>
      <c r="C75" s="33" t="s">
        <v>22</v>
      </c>
      <c r="D75" s="33" t="s">
        <v>23</v>
      </c>
    </row>
    <row r="76" spans="1:13" x14ac:dyDescent="0.15">
      <c r="A76" s="16" t="s">
        <v>6</v>
      </c>
      <c r="B76" s="34">
        <f>MIN(B73,C73,B28)</f>
        <v>0.36441914818795956</v>
      </c>
      <c r="C76" s="34">
        <f>MIN(D73,E73,C28)</f>
        <v>0.77845041058993059</v>
      </c>
      <c r="D76" s="34">
        <f>MIN(F73,G73,D28)</f>
        <v>3.234929146602822</v>
      </c>
    </row>
    <row r="77" spans="1:13" x14ac:dyDescent="0.15">
      <c r="A77" s="16" t="s">
        <v>25</v>
      </c>
      <c r="B77" s="16">
        <f>PI()*(B76^2)</f>
        <v>0.41720763736932492</v>
      </c>
      <c r="C77" s="16">
        <f t="shared" ref="C77:D77" si="19">PI()*(C76^2)</f>
        <v>1.903758155339663</v>
      </c>
      <c r="D77" s="16">
        <f t="shared" si="19"/>
        <v>32.876033820382673</v>
      </c>
      <c r="K77" s="43">
        <f>SUM(K13:K75)</f>
        <v>10</v>
      </c>
      <c r="L77" s="43">
        <v>1</v>
      </c>
      <c r="M77" s="43">
        <f>SUM(M13:M75)</f>
        <v>7.1000000000000005</v>
      </c>
    </row>
    <row r="78" spans="1:13" x14ac:dyDescent="0.15">
      <c r="A78" s="16" t="s">
        <v>26</v>
      </c>
      <c r="B78" s="16">
        <f>ROUNDUP(B35/B77,0)</f>
        <v>68</v>
      </c>
      <c r="C78" s="16">
        <f>ROUNDUP(D35/C77,0)</f>
        <v>29</v>
      </c>
      <c r="D78" s="16">
        <f>ROUNDUP(F35/D77,0)</f>
        <v>5</v>
      </c>
      <c r="M78" s="45">
        <f>M77/10*1.5</f>
        <v>1.0650000000000002</v>
      </c>
    </row>
  </sheetData>
  <mergeCells count="15">
    <mergeCell ref="F72:G72"/>
    <mergeCell ref="D72:E72"/>
    <mergeCell ref="B72:C72"/>
    <mergeCell ref="B55:C55"/>
    <mergeCell ref="D55:E55"/>
    <mergeCell ref="F55:G55"/>
    <mergeCell ref="D47:E47"/>
    <mergeCell ref="F47:G47"/>
    <mergeCell ref="C2:D2"/>
    <mergeCell ref="E2:F2"/>
    <mergeCell ref="G2:H2"/>
    <mergeCell ref="B33:C33"/>
    <mergeCell ref="D33:E33"/>
    <mergeCell ref="F33:G33"/>
    <mergeCell ref="B47:C47"/>
  </mergeCells>
  <phoneticPr fontId="5" type="noConversion"/>
  <pageMargins left="0.75000000000000011" right="0.75000000000000011" top="1" bottom="1" header="0.5" footer="0.5"/>
  <pageSetup scale="78" fitToHeight="3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sqref="A1:B76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18</v>
      </c>
      <c r="B1" s="1" t="s">
        <v>19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2021-12-29T18:19:15Z</dcterms:modified>
</cp:coreProperties>
</file>