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onioportilla/Dropbox (Personal)/JAPortilla/Docencia/Comunicaciones Móviles/Curso 2021-2022/02 PEI 2/Correcciones/"/>
    </mc:Choice>
  </mc:AlternateContent>
  <xr:revisionPtr revIDLastSave="0" documentId="13_ncr:1_{B054F752-554B-9C4F-9C7A-4C176F33D34E}" xr6:coauthVersionLast="47" xr6:coauthVersionMax="47" xr10:uidLastSave="{00000000-0000-0000-0000-000000000000}"/>
  <bookViews>
    <workbookView xWindow="0" yWindow="500" windowWidth="25120" windowHeight="12300" tabRatio="960" xr2:uid="{00000000-000D-0000-FFFF-FFFF00000000}"/>
  </bookViews>
  <sheets>
    <sheet name="UMTS 2100" sheetId="7" r:id="rId1"/>
    <sheet name="Erlang" sheetId="6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" i="7" l="1"/>
  <c r="L73" i="7"/>
  <c r="L71" i="7"/>
  <c r="L68" i="7"/>
  <c r="L58" i="7"/>
  <c r="L52" i="7"/>
  <c r="L44" i="7"/>
  <c r="L27" i="7"/>
  <c r="L13" i="7"/>
  <c r="G58" i="7"/>
  <c r="G59" i="7" s="1"/>
  <c r="E58" i="7"/>
  <c r="C58" i="7"/>
  <c r="C59" i="7" s="1"/>
  <c r="C70" i="7"/>
  <c r="D70" i="7"/>
  <c r="E70" i="7"/>
  <c r="F70" i="7"/>
  <c r="G70" i="7"/>
  <c r="B70" i="7"/>
  <c r="B50" i="7"/>
  <c r="B51" i="7" s="1"/>
  <c r="G48" i="7"/>
  <c r="G50" i="7" s="1"/>
  <c r="G51" i="7" s="1"/>
  <c r="F48" i="7"/>
  <c r="F50" i="7" s="1"/>
  <c r="F51" i="7" s="1"/>
  <c r="E48" i="7"/>
  <c r="E50" i="7" s="1"/>
  <c r="E51" i="7" s="1"/>
  <c r="D48" i="7"/>
  <c r="D50" i="7" s="1"/>
  <c r="D51" i="7" s="1"/>
  <c r="C48" i="7"/>
  <c r="C50" i="7" s="1"/>
  <c r="C51" i="7" s="1"/>
  <c r="B48" i="7"/>
  <c r="F58" i="7"/>
  <c r="F59" i="7" s="1"/>
  <c r="F66" i="7" s="1"/>
  <c r="F67" i="7" s="1"/>
  <c r="F68" i="7" s="1"/>
  <c r="E59" i="7"/>
  <c r="D58" i="7"/>
  <c r="D59" i="7" s="1"/>
  <c r="D66" i="7" s="1"/>
  <c r="D67" i="7" s="1"/>
  <c r="D68" i="7" s="1"/>
  <c r="B58" i="7"/>
  <c r="B59" i="7" s="1"/>
  <c r="B66" i="7" s="1"/>
  <c r="B67" i="7" s="1"/>
  <c r="G36" i="7"/>
  <c r="G39" i="7" s="1"/>
  <c r="G42" i="7" s="1"/>
  <c r="F36" i="7"/>
  <c r="F39" i="7" s="1"/>
  <c r="F42" i="7" s="1"/>
  <c r="E36" i="7"/>
  <c r="E39" i="7" s="1"/>
  <c r="E42" i="7" s="1"/>
  <c r="D36" i="7"/>
  <c r="D39" i="7" s="1"/>
  <c r="D42" i="7" s="1"/>
  <c r="C36" i="7"/>
  <c r="C39" i="7" s="1"/>
  <c r="C42" i="7" s="1"/>
  <c r="B36" i="7"/>
  <c r="B39" i="7" s="1"/>
  <c r="B42" i="7" s="1"/>
  <c r="G34" i="7"/>
  <c r="F34" i="7"/>
  <c r="E34" i="7"/>
  <c r="D34" i="7"/>
  <c r="C34" i="7"/>
  <c r="B34" i="7"/>
  <c r="D24" i="7"/>
  <c r="C24" i="7"/>
  <c r="D23" i="7"/>
  <c r="C23" i="7"/>
  <c r="B23" i="7"/>
  <c r="D22" i="7"/>
  <c r="C22" i="7"/>
  <c r="B22" i="7"/>
  <c r="H14" i="7"/>
  <c r="G56" i="7" s="1"/>
  <c r="G65" i="7" s="1"/>
  <c r="G14" i="7"/>
  <c r="F56" i="7" s="1"/>
  <c r="F14" i="7"/>
  <c r="E56" i="7" s="1"/>
  <c r="E65" i="7" s="1"/>
  <c r="E14" i="7"/>
  <c r="D56" i="7" s="1"/>
  <c r="D14" i="7"/>
  <c r="C56" i="7" s="1"/>
  <c r="C65" i="7" s="1"/>
  <c r="C14" i="7"/>
  <c r="B56" i="7" s="1"/>
  <c r="H4" i="7"/>
  <c r="H13" i="7" s="1"/>
  <c r="G4" i="7"/>
  <c r="G13" i="7" s="1"/>
  <c r="F4" i="7"/>
  <c r="F13" i="7" s="1"/>
  <c r="E4" i="7"/>
  <c r="E13" i="7" s="1"/>
  <c r="D4" i="7"/>
  <c r="D13" i="7" s="1"/>
  <c r="C4" i="7"/>
  <c r="C13" i="7" s="1"/>
  <c r="L77" i="7" l="1"/>
  <c r="L78" i="7" s="1"/>
  <c r="B68" i="7"/>
  <c r="B69" i="7" s="1"/>
  <c r="B71" i="7" s="1"/>
  <c r="D69" i="7"/>
  <c r="F69" i="7"/>
  <c r="F71" i="7" s="1"/>
  <c r="G66" i="7"/>
  <c r="G67" i="7" s="1"/>
  <c r="E66" i="7"/>
  <c r="E67" i="7" s="1"/>
  <c r="C66" i="7"/>
  <c r="C67" i="7" s="1"/>
  <c r="E52" i="7"/>
  <c r="D52" i="7"/>
  <c r="B52" i="7"/>
  <c r="C52" i="7"/>
  <c r="F52" i="7"/>
  <c r="G52" i="7"/>
  <c r="E43" i="7"/>
  <c r="C25" i="7"/>
  <c r="C26" i="7" s="1"/>
  <c r="C27" i="7" s="1"/>
  <c r="B43" i="7"/>
  <c r="F43" i="7"/>
  <c r="C43" i="7"/>
  <c r="G43" i="7"/>
  <c r="B25" i="7"/>
  <c r="B26" i="7" s="1"/>
  <c r="B27" i="7" s="1"/>
  <c r="D25" i="7"/>
  <c r="D26" i="7" s="1"/>
  <c r="D27" i="7" s="1"/>
  <c r="D71" i="7"/>
  <c r="D43" i="7"/>
  <c r="B74" i="7" l="1"/>
  <c r="E68" i="7"/>
  <c r="E69" i="7" s="1"/>
  <c r="E71" i="7" s="1"/>
  <c r="E74" i="7" s="1"/>
  <c r="C68" i="7"/>
  <c r="C69" i="7" s="1"/>
  <c r="C71" i="7" s="1"/>
  <c r="C74" i="7" s="1"/>
  <c r="I65" i="7" s="1"/>
  <c r="G68" i="7"/>
  <c r="G69" i="7" s="1"/>
  <c r="G71" i="7" s="1"/>
  <c r="G74" i="7" s="1"/>
  <c r="F74" i="7"/>
  <c r="D74" i="7"/>
  <c r="C77" i="7" l="1"/>
  <c r="C78" i="7" s="1"/>
  <c r="C79" i="7" s="1"/>
  <c r="I67" i="7"/>
  <c r="D77" i="7"/>
  <c r="D78" i="7" s="1"/>
  <c r="D79" i="7" s="1"/>
  <c r="B77" i="7"/>
  <c r="B78" i="7" s="1"/>
  <c r="B79" i="7" s="1"/>
  <c r="I66" i="7"/>
</calcChain>
</file>

<file path=xl/sharedStrings.xml><?xml version="1.0" encoding="utf-8"?>
<sst xmlns="http://schemas.openxmlformats.org/spreadsheetml/2006/main" count="118" uniqueCount="83">
  <si>
    <t>N CANALES</t>
  </si>
  <si>
    <t>A (2 %)</t>
  </si>
  <si>
    <t>Urbano</t>
  </si>
  <si>
    <t>Suburbano</t>
  </si>
  <si>
    <t>Rural</t>
  </si>
  <si>
    <t>Voz</t>
  </si>
  <si>
    <t>Area Nodo B</t>
  </si>
  <si>
    <t>Número Nodos B</t>
  </si>
  <si>
    <t>Poblacion total</t>
  </si>
  <si>
    <t>Calculo de Tráfico Total</t>
  </si>
  <si>
    <t>Datos Ciudad</t>
  </si>
  <si>
    <t>Trafíco Individual</t>
  </si>
  <si>
    <t>Trafico Total Anual</t>
  </si>
  <si>
    <t>Propagacion</t>
    <phoneticPr fontId="5" type="noConversion"/>
  </si>
  <si>
    <t>Voz</t>
    <phoneticPr fontId="5" type="noConversion"/>
  </si>
  <si>
    <t>Datos</t>
    <phoneticPr fontId="5" type="noConversion"/>
  </si>
  <si>
    <t xml:space="preserve">Voz </t>
    <phoneticPr fontId="5" type="noConversion"/>
  </si>
  <si>
    <t>Mv</t>
    <phoneticPr fontId="5" type="noConversion"/>
  </si>
  <si>
    <t>potencia</t>
  </si>
  <si>
    <t>ganancia</t>
  </si>
  <si>
    <t>perdidas</t>
  </si>
  <si>
    <t>Camino</t>
    <phoneticPr fontId="5" type="noConversion"/>
  </si>
  <si>
    <t>margenes</t>
  </si>
  <si>
    <t>BTS</t>
    <phoneticPr fontId="5" type="noConversion"/>
  </si>
  <si>
    <t>Sensibilidad</t>
  </si>
  <si>
    <t>MI</t>
  </si>
  <si>
    <t>Pathloss</t>
    <phoneticPr fontId="5" type="noConversion"/>
  </si>
  <si>
    <t>NFR</t>
  </si>
  <si>
    <t>HBTS</t>
    <phoneticPr fontId="5" type="noConversion"/>
  </si>
  <si>
    <t>h terminal</t>
    <phoneticPr fontId="5" type="noConversion"/>
  </si>
  <si>
    <t>Model</t>
    <phoneticPr fontId="5" type="noConversion"/>
  </si>
  <si>
    <t>Two Slope</t>
    <phoneticPr fontId="5" type="noConversion"/>
  </si>
  <si>
    <t>One Slope</t>
    <phoneticPr fontId="5" type="noConversion"/>
  </si>
  <si>
    <t>A</t>
  </si>
  <si>
    <t>B</t>
  </si>
  <si>
    <t>a(hms)</t>
  </si>
  <si>
    <t>s</t>
  </si>
  <si>
    <t>Lclutter</t>
  </si>
  <si>
    <t>Pathloss min</t>
  </si>
  <si>
    <t>aux</t>
  </si>
  <si>
    <t>Radio por Propagación</t>
    <phoneticPr fontId="5" type="noConversion"/>
  </si>
  <si>
    <t>Terreno Total</t>
    <phoneticPr fontId="3" type="noConversion"/>
  </si>
  <si>
    <t>Porcentages terreno</t>
  </si>
  <si>
    <t>Valor terreno</t>
  </si>
  <si>
    <t>Porcentages poblacion</t>
  </si>
  <si>
    <t>Valor poblacion</t>
  </si>
  <si>
    <t>Cuota mercado</t>
  </si>
  <si>
    <t>Penetracion mercado</t>
  </si>
  <si>
    <t>Clientes operador</t>
  </si>
  <si>
    <t>voz</t>
  </si>
  <si>
    <t>datos</t>
  </si>
  <si>
    <t>Penetracion servicio</t>
  </si>
  <si>
    <t>Clientes servicio</t>
  </si>
  <si>
    <t>Densidad</t>
    <phoneticPr fontId="3" type="noConversion"/>
  </si>
  <si>
    <t>minutos anuales individuales</t>
  </si>
  <si>
    <t>minutos diarios individuales</t>
  </si>
  <si>
    <t>factor hora carga</t>
  </si>
  <si>
    <t>minutos hora carga</t>
  </si>
  <si>
    <t xml:space="preserve">Por capacidad </t>
    <phoneticPr fontId="5" type="noConversion"/>
  </si>
  <si>
    <t>Carga Total</t>
    <phoneticPr fontId="5" type="noConversion"/>
  </si>
  <si>
    <t>EbN0</t>
  </si>
  <si>
    <t>factor carga</t>
  </si>
  <si>
    <t>Velocidad binaria</t>
  </si>
  <si>
    <t>Ortogonalidad</t>
  </si>
  <si>
    <t>Factor Actividad</t>
  </si>
  <si>
    <t>W</t>
  </si>
  <si>
    <t>comprobacion</t>
  </si>
  <si>
    <t>Lt</t>
  </si>
  <si>
    <t xml:space="preserve">Nac </t>
  </si>
  <si>
    <t>Nac sc</t>
  </si>
  <si>
    <t>A sc</t>
  </si>
  <si>
    <t>a</t>
  </si>
  <si>
    <t>M</t>
  </si>
  <si>
    <t>numero de sectores</t>
  </si>
  <si>
    <t>Radio por Capacidad</t>
    <phoneticPr fontId="5" type="noConversion"/>
  </si>
  <si>
    <t>Radios Definitivos</t>
    <phoneticPr fontId="5" type="noConversion"/>
  </si>
  <si>
    <t>Nos interesa tener el menor numero</t>
  </si>
  <si>
    <t>Bandas de frecuencias</t>
  </si>
  <si>
    <t>Factor Interferencia Inter</t>
  </si>
  <si>
    <t>Cojo 2100 porque nos especifica 3G-UMTS 2100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</si>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</sst>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9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44"/>
      </patternFill>
    </fill>
    <fill>
      <patternFill patternType="solid">
        <fgColor theme="4" tint="0.79995117038483843"/>
        <bgColor indexed="4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</borders>
  <cellStyleXfs count="43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6">
    <xf numFmtId="0" fontId="0" fillId="0" borderId="0" xfId="0"/>
    <xf numFmtId="164" fontId="7" fillId="0" borderId="1" xfId="266" applyNumberFormat="1" applyFont="1" applyFill="1" applyBorder="1" applyAlignment="1">
      <alignment horizontal="center"/>
    </xf>
    <xf numFmtId="0" fontId="8" fillId="0" borderId="1" xfId="266" applyFont="1" applyFill="1" applyBorder="1" applyAlignment="1">
      <alignment horizontal="center"/>
    </xf>
    <xf numFmtId="165" fontId="8" fillId="0" borderId="0" xfId="266" applyNumberFormat="1" applyFont="1" applyFill="1" applyAlignment="1">
      <alignment horizontal="center"/>
    </xf>
    <xf numFmtId="2" fontId="8" fillId="0" borderId="0" xfId="266" applyNumberFormat="1" applyFont="1" applyFill="1" applyAlignment="1">
      <alignment horizontal="center"/>
    </xf>
    <xf numFmtId="166" fontId="8" fillId="0" borderId="0" xfId="266" applyNumberFormat="1" applyFont="1" applyFill="1" applyAlignment="1">
      <alignment horizontal="center"/>
    </xf>
    <xf numFmtId="0" fontId="8" fillId="0" borderId="3" xfId="266" applyFont="1" applyFill="1" applyBorder="1" applyAlignment="1">
      <alignment horizontal="center"/>
    </xf>
    <xf numFmtId="166" fontId="8" fillId="0" borderId="2" xfId="266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7" borderId="4" xfId="0" applyFont="1" applyFill="1" applyBorder="1"/>
    <xf numFmtId="0" fontId="1" fillId="2" borderId="4" xfId="0" applyFont="1" applyFill="1" applyBorder="1"/>
    <xf numFmtId="0" fontId="0" fillId="4" borderId="4" xfId="0" applyFill="1" applyBorder="1"/>
    <xf numFmtId="0" fontId="1" fillId="3" borderId="4" xfId="0" applyFont="1" applyFill="1" applyBorder="1"/>
    <xf numFmtId="0" fontId="0" fillId="6" borderId="4" xfId="0" applyFill="1" applyBorder="1"/>
    <xf numFmtId="0" fontId="2" fillId="6" borderId="4" xfId="0" applyFont="1" applyFill="1" applyBorder="1"/>
    <xf numFmtId="0" fontId="2" fillId="0" borderId="4" xfId="0" applyFont="1" applyBorder="1"/>
    <xf numFmtId="2" fontId="0" fillId="0" borderId="4" xfId="0" applyNumberFormat="1" applyBorder="1"/>
    <xf numFmtId="166" fontId="0" fillId="0" borderId="4" xfId="0" applyNumberFormat="1" applyBorder="1"/>
    <xf numFmtId="0" fontId="1" fillId="2" borderId="5" xfId="0" applyFont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0" xfId="0" applyFill="1" applyBorder="1"/>
    <xf numFmtId="0" fontId="1" fillId="2" borderId="10" xfId="0" applyFont="1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0" xfId="0" applyFill="1" applyBorder="1"/>
    <xf numFmtId="0" fontId="1" fillId="4" borderId="0" xfId="0" applyFont="1" applyFill="1" applyBorder="1"/>
    <xf numFmtId="0" fontId="0" fillId="4" borderId="12" xfId="0" applyFill="1" applyBorder="1"/>
    <xf numFmtId="0" fontId="1" fillId="3" borderId="13" xfId="0" applyFont="1" applyFill="1" applyBorder="1"/>
    <xf numFmtId="0" fontId="0" fillId="0" borderId="5" xfId="0" applyBorder="1"/>
    <xf numFmtId="0" fontId="1" fillId="2" borderId="14" xfId="0" applyFont="1" applyFill="1" applyBorder="1"/>
    <xf numFmtId="0" fontId="1" fillId="2" borderId="15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1" xfId="0" applyBorder="1"/>
    <xf numFmtId="0" fontId="1" fillId="0" borderId="16" xfId="0" applyFont="1" applyBorder="1"/>
    <xf numFmtId="0" fontId="1" fillId="0" borderId="17" xfId="0" applyFont="1" applyBorder="1"/>
    <xf numFmtId="0" fontId="0" fillId="0" borderId="16" xfId="0" applyBorder="1"/>
    <xf numFmtId="0" fontId="0" fillId="0" borderId="17" xfId="0" applyBorder="1"/>
    <xf numFmtId="0" fontId="1" fillId="3" borderId="18" xfId="0" applyFont="1" applyFill="1" applyBorder="1"/>
    <xf numFmtId="0" fontId="1" fillId="2" borderId="19" xfId="0" applyFont="1" applyFill="1" applyBorder="1"/>
    <xf numFmtId="0" fontId="0" fillId="6" borderId="5" xfId="0" applyFill="1" applyBorder="1"/>
    <xf numFmtId="0" fontId="1" fillId="6" borderId="7" xfId="0" applyFont="1" applyFill="1" applyBorder="1"/>
    <xf numFmtId="0" fontId="0" fillId="6" borderId="20" xfId="0" applyFill="1" applyBorder="1"/>
    <xf numFmtId="0" fontId="1" fillId="6" borderId="21" xfId="0" applyFont="1" applyFill="1" applyBorder="1"/>
    <xf numFmtId="0" fontId="0" fillId="0" borderId="5" xfId="0" applyFill="1" applyBorder="1"/>
    <xf numFmtId="0" fontId="0" fillId="6" borderId="11" xfId="0" applyFill="1" applyBorder="1"/>
    <xf numFmtId="164" fontId="0" fillId="6" borderId="24" xfId="1" applyNumberFormat="1" applyFont="1" applyFill="1" applyBorder="1"/>
    <xf numFmtId="164" fontId="0" fillId="6" borderId="10" xfId="1" applyNumberFormat="1" applyFont="1" applyFill="1" applyBorder="1"/>
    <xf numFmtId="0" fontId="0" fillId="0" borderId="11" xfId="0" applyFill="1" applyBorder="1"/>
    <xf numFmtId="0" fontId="0" fillId="0" borderId="24" xfId="0" applyFill="1" applyBorder="1"/>
    <xf numFmtId="0" fontId="0" fillId="6" borderId="24" xfId="0" applyFill="1" applyBorder="1"/>
    <xf numFmtId="0" fontId="0" fillId="0" borderId="10" xfId="0" applyFill="1" applyBorder="1"/>
    <xf numFmtId="0" fontId="0" fillId="6" borderId="10" xfId="0" applyFill="1" applyBorder="1"/>
    <xf numFmtId="0" fontId="0" fillId="0" borderId="25" xfId="0" applyFill="1" applyBorder="1"/>
    <xf numFmtId="0" fontId="1" fillId="7" borderId="13" xfId="0" applyFont="1" applyFill="1" applyBorder="1"/>
    <xf numFmtId="0" fontId="1" fillId="7" borderId="26" xfId="0" applyFont="1" applyFill="1" applyBorder="1"/>
    <xf numFmtId="0" fontId="1" fillId="2" borderId="29" xfId="0" applyFont="1" applyFill="1" applyBorder="1"/>
    <xf numFmtId="0" fontId="0" fillId="4" borderId="30" xfId="0" applyFill="1" applyBorder="1"/>
    <xf numFmtId="0" fontId="0" fillId="0" borderId="24" xfId="0" applyBorder="1"/>
    <xf numFmtId="0" fontId="0" fillId="0" borderId="30" xfId="0" applyBorder="1"/>
    <xf numFmtId="0" fontId="1" fillId="5" borderId="24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0" fillId="4" borderId="24" xfId="0" applyFill="1" applyBorder="1"/>
    <xf numFmtId="0" fontId="0" fillId="4" borderId="31" xfId="0" applyFill="1" applyBorder="1"/>
    <xf numFmtId="0" fontId="2" fillId="0" borderId="30" xfId="0" applyFont="1" applyBorder="1"/>
    <xf numFmtId="0" fontId="0" fillId="0" borderId="10" xfId="0" applyBorder="1"/>
    <xf numFmtId="0" fontId="0" fillId="0" borderId="31" xfId="0" applyBorder="1"/>
    <xf numFmtId="0" fontId="0" fillId="0" borderId="30" xfId="0" applyFont="1" applyBorder="1"/>
    <xf numFmtId="0" fontId="2" fillId="0" borderId="24" xfId="0" applyFont="1" applyBorder="1"/>
    <xf numFmtId="0" fontId="2" fillId="0" borderId="10" xfId="0" applyFont="1" applyBorder="1"/>
    <xf numFmtId="0" fontId="2" fillId="0" borderId="31" xfId="0" applyFont="1" applyBorder="1"/>
    <xf numFmtId="0" fontId="0" fillId="0" borderId="24" xfId="0" applyFont="1" applyBorder="1"/>
    <xf numFmtId="10" fontId="0" fillId="0" borderId="0" xfId="0" applyNumberFormat="1"/>
    <xf numFmtId="0" fontId="1" fillId="5" borderId="30" xfId="0" applyFont="1" applyFill="1" applyBorder="1"/>
    <xf numFmtId="0" fontId="1" fillId="3" borderId="27" xfId="0" applyFont="1" applyFill="1" applyBorder="1"/>
    <xf numFmtId="0" fontId="1" fillId="3" borderId="28" xfId="0" applyFont="1" applyFill="1" applyBorder="1"/>
    <xf numFmtId="0" fontId="1" fillId="5" borderId="22" xfId="0" applyFont="1" applyFill="1" applyBorder="1"/>
    <xf numFmtId="0" fontId="1" fillId="5" borderId="32" xfId="0" applyFont="1" applyFill="1" applyBorder="1"/>
    <xf numFmtId="0" fontId="1" fillId="5" borderId="23" xfId="0" applyFont="1" applyFill="1" applyBorder="1"/>
    <xf numFmtId="0" fontId="1" fillId="3" borderId="24" xfId="0" applyFont="1" applyFill="1" applyBorder="1"/>
    <xf numFmtId="0" fontId="1" fillId="3" borderId="10" xfId="0" applyFont="1" applyFill="1" applyBorder="1"/>
    <xf numFmtId="0" fontId="2" fillId="0" borderId="0" xfId="0" applyFont="1"/>
    <xf numFmtId="0" fontId="2" fillId="0" borderId="34" xfId="0" applyFont="1" applyFill="1" applyBorder="1"/>
    <xf numFmtId="0" fontId="1" fillId="3" borderId="29" xfId="0" applyFont="1" applyFill="1" applyBorder="1"/>
    <xf numFmtId="0" fontId="1" fillId="3" borderId="35" xfId="0" applyFont="1" applyFill="1" applyBorder="1"/>
    <xf numFmtId="0" fontId="1" fillId="3" borderId="32" xfId="0" applyFont="1" applyFill="1" applyBorder="1"/>
    <xf numFmtId="0" fontId="1" fillId="5" borderId="30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8" borderId="0" xfId="0" applyFont="1" applyFill="1"/>
    <xf numFmtId="0" fontId="1" fillId="2" borderId="0" xfId="0" applyFont="1" applyFill="1"/>
    <xf numFmtId="0" fontId="0" fillId="9" borderId="0" xfId="0" applyFill="1"/>
  </cellXfs>
  <cellStyles count="433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Normal" xfId="0" builtinId="0"/>
    <cellStyle name="Normal 2" xfId="266" xr:uid="{00000000-0005-0000-0000-0000AF01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"/>
  <sheetViews>
    <sheetView tabSelected="1" topLeftCell="A5" workbookViewId="0">
      <selection activeCell="G17" sqref="G17"/>
    </sheetView>
  </sheetViews>
  <sheetFormatPr baseColWidth="10" defaultRowHeight="13" x14ac:dyDescent="0.15"/>
  <cols>
    <col min="1" max="1" width="22.6640625" customWidth="1"/>
    <col min="2" max="2" width="16.83203125" customWidth="1"/>
    <col min="3" max="3" width="17.6640625" customWidth="1"/>
    <col min="4" max="4" width="15.33203125" customWidth="1"/>
    <col min="5" max="5" width="16.6640625" customWidth="1"/>
    <col min="6" max="6" width="12.1640625" customWidth="1"/>
    <col min="7" max="7" width="12.33203125" customWidth="1"/>
  </cols>
  <sheetData>
    <row r="1" spans="1:12" x14ac:dyDescent="0.15">
      <c r="A1" s="19" t="s">
        <v>13</v>
      </c>
      <c r="B1" s="20"/>
      <c r="C1" s="21"/>
      <c r="D1" s="22"/>
      <c r="E1" s="21"/>
      <c r="F1" s="22"/>
      <c r="G1" s="21"/>
      <c r="H1" s="22"/>
      <c r="J1" s="103" t="s">
        <v>80</v>
      </c>
      <c r="K1" s="104" t="s">
        <v>81</v>
      </c>
      <c r="L1" s="104" t="s">
        <v>82</v>
      </c>
    </row>
    <row r="2" spans="1:12" x14ac:dyDescent="0.15">
      <c r="A2" s="23"/>
      <c r="B2" s="24"/>
      <c r="C2" s="99" t="s">
        <v>2</v>
      </c>
      <c r="D2" s="100"/>
      <c r="E2" s="99" t="s">
        <v>3</v>
      </c>
      <c r="F2" s="100"/>
      <c r="G2" s="101" t="s">
        <v>4</v>
      </c>
      <c r="H2" s="102"/>
    </row>
    <row r="3" spans="1:12" x14ac:dyDescent="0.15">
      <c r="A3" s="25"/>
      <c r="B3" s="26"/>
      <c r="C3" s="11" t="s">
        <v>14</v>
      </c>
      <c r="D3" s="11" t="s">
        <v>15</v>
      </c>
      <c r="E3" s="11" t="s">
        <v>16</v>
      </c>
      <c r="F3" s="11" t="s">
        <v>15</v>
      </c>
      <c r="G3" s="11" t="s">
        <v>14</v>
      </c>
      <c r="H3" s="27" t="s">
        <v>15</v>
      </c>
    </row>
    <row r="4" spans="1:12" x14ac:dyDescent="0.15">
      <c r="A4" s="28" t="s">
        <v>17</v>
      </c>
      <c r="B4" s="29" t="s">
        <v>18</v>
      </c>
      <c r="C4" s="12">
        <f>10*LOG10(0.125)+30</f>
        <v>20.969100130080562</v>
      </c>
      <c r="D4" s="12">
        <f t="shared" ref="D4:H4" si="0">10*LOG10(0.125)+30</f>
        <v>20.969100130080562</v>
      </c>
      <c r="E4" s="12">
        <f t="shared" si="0"/>
        <v>20.969100130080562</v>
      </c>
      <c r="F4" s="12">
        <f t="shared" si="0"/>
        <v>20.969100130080562</v>
      </c>
      <c r="G4" s="12">
        <f t="shared" si="0"/>
        <v>20.969100130080562</v>
      </c>
      <c r="H4" s="12">
        <f t="shared" si="0"/>
        <v>20.969100130080562</v>
      </c>
    </row>
    <row r="5" spans="1:12" x14ac:dyDescent="0.15">
      <c r="A5" s="28"/>
      <c r="B5" s="29" t="s">
        <v>19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</row>
    <row r="6" spans="1:12" x14ac:dyDescent="0.15">
      <c r="A6" s="28"/>
      <c r="B6" s="29" t="s">
        <v>20</v>
      </c>
      <c r="C6" s="12">
        <v>4.5</v>
      </c>
      <c r="D6" s="12">
        <v>4.5</v>
      </c>
      <c r="E6" s="12">
        <v>4.5</v>
      </c>
      <c r="F6" s="12">
        <v>4.5</v>
      </c>
      <c r="G6" s="12">
        <v>4.5</v>
      </c>
      <c r="H6" s="12">
        <v>4.5</v>
      </c>
    </row>
    <row r="7" spans="1:12" x14ac:dyDescent="0.15">
      <c r="A7" s="28" t="s">
        <v>21</v>
      </c>
      <c r="B7" s="29" t="s">
        <v>22</v>
      </c>
      <c r="C7" s="12">
        <v>15</v>
      </c>
      <c r="D7" s="12">
        <v>15</v>
      </c>
      <c r="E7" s="12">
        <v>12</v>
      </c>
      <c r="F7" s="12">
        <v>12</v>
      </c>
      <c r="G7" s="12">
        <v>12</v>
      </c>
      <c r="H7" s="30">
        <v>12</v>
      </c>
    </row>
    <row r="8" spans="1:12" x14ac:dyDescent="0.15">
      <c r="A8" s="28"/>
      <c r="B8" s="29" t="s">
        <v>20</v>
      </c>
      <c r="C8" s="12">
        <v>12</v>
      </c>
      <c r="D8" s="12">
        <v>12</v>
      </c>
      <c r="E8" s="12">
        <v>9</v>
      </c>
      <c r="F8" s="12">
        <v>9</v>
      </c>
      <c r="G8" s="12">
        <v>7</v>
      </c>
      <c r="H8" s="30">
        <v>7</v>
      </c>
    </row>
    <row r="9" spans="1:12" x14ac:dyDescent="0.15">
      <c r="A9" s="28" t="s">
        <v>23</v>
      </c>
      <c r="B9" s="29" t="s">
        <v>20</v>
      </c>
      <c r="C9" s="12">
        <v>3</v>
      </c>
      <c r="D9" s="12">
        <v>3</v>
      </c>
      <c r="E9" s="12">
        <v>3</v>
      </c>
      <c r="F9" s="12">
        <v>3</v>
      </c>
      <c r="G9" s="12">
        <v>3</v>
      </c>
      <c r="H9" s="12">
        <v>3</v>
      </c>
    </row>
    <row r="10" spans="1:12" x14ac:dyDescent="0.15">
      <c r="A10" s="28"/>
      <c r="B10" s="29" t="s">
        <v>19</v>
      </c>
      <c r="C10" s="12">
        <v>18</v>
      </c>
      <c r="D10" s="12">
        <v>18</v>
      </c>
      <c r="E10" s="12">
        <v>18</v>
      </c>
      <c r="F10" s="12">
        <v>18</v>
      </c>
      <c r="G10" s="12">
        <v>18</v>
      </c>
      <c r="H10" s="12">
        <v>18</v>
      </c>
    </row>
    <row r="11" spans="1:12" x14ac:dyDescent="0.15">
      <c r="A11" s="28"/>
      <c r="B11" s="29" t="s">
        <v>24</v>
      </c>
      <c r="C11" s="12">
        <v>-117</v>
      </c>
      <c r="D11" s="12">
        <v>-115</v>
      </c>
      <c r="E11" s="12">
        <v>-117</v>
      </c>
      <c r="F11" s="12">
        <v>-115</v>
      </c>
      <c r="G11" s="12">
        <v>-117</v>
      </c>
      <c r="H11" s="30">
        <v>-115</v>
      </c>
    </row>
    <row r="12" spans="1:12" ht="14" thickBot="1" x14ac:dyDescent="0.2">
      <c r="A12" s="28"/>
      <c r="B12" s="31" t="s">
        <v>25</v>
      </c>
      <c r="C12" s="32">
        <v>1.5</v>
      </c>
      <c r="D12" s="32">
        <v>1.5</v>
      </c>
      <c r="E12" s="32">
        <v>1.5</v>
      </c>
      <c r="F12" s="32">
        <v>1.5</v>
      </c>
      <c r="G12" s="32">
        <v>5.5</v>
      </c>
      <c r="H12" s="32">
        <v>5.5</v>
      </c>
    </row>
    <row r="13" spans="1:12" x14ac:dyDescent="0.15">
      <c r="A13" s="90" t="s">
        <v>26</v>
      </c>
      <c r="B13" s="91"/>
      <c r="C13" s="92">
        <f>C4+C5-C6-C7-C8-C9+C10-C11-C12</f>
        <v>119.96910013008056</v>
      </c>
      <c r="D13" s="92">
        <f t="shared" ref="D13:H13" si="1">D4+D5-D6-D7-D8-D9+D10-D11-D12</f>
        <v>117.96910013008056</v>
      </c>
      <c r="E13" s="92">
        <f t="shared" si="1"/>
        <v>125.96910013008056</v>
      </c>
      <c r="F13" s="92">
        <f t="shared" si="1"/>
        <v>123.96910013008056</v>
      </c>
      <c r="G13" s="92">
        <f t="shared" si="1"/>
        <v>123.96910013008056</v>
      </c>
      <c r="H13" s="92">
        <f t="shared" si="1"/>
        <v>121.96910013008056</v>
      </c>
      <c r="J13" s="103">
        <v>1</v>
      </c>
      <c r="K13" s="103">
        <v>1</v>
      </c>
      <c r="L13" s="103">
        <f>J13*K13</f>
        <v>1</v>
      </c>
    </row>
    <row r="14" spans="1:12" ht="14" thickBot="1" x14ac:dyDescent="0.2">
      <c r="B14" t="s">
        <v>27</v>
      </c>
      <c r="C14">
        <f>10^(C12/10)</f>
        <v>1.4125375446227544</v>
      </c>
      <c r="D14">
        <f t="shared" ref="D14:H14" si="2">10^(D12/10)</f>
        <v>1.4125375446227544</v>
      </c>
      <c r="E14">
        <f t="shared" si="2"/>
        <v>1.4125375446227544</v>
      </c>
      <c r="F14">
        <f t="shared" si="2"/>
        <v>1.4125375446227544</v>
      </c>
      <c r="G14">
        <f t="shared" si="2"/>
        <v>3.5481338923357555</v>
      </c>
      <c r="H14">
        <f t="shared" si="2"/>
        <v>3.5481338923357555</v>
      </c>
    </row>
    <row r="15" spans="1:12" x14ac:dyDescent="0.15">
      <c r="A15" s="34"/>
      <c r="B15" s="35" t="s">
        <v>2</v>
      </c>
      <c r="C15" s="35" t="s">
        <v>3</v>
      </c>
      <c r="D15" s="36" t="s">
        <v>4</v>
      </c>
    </row>
    <row r="16" spans="1:12" x14ac:dyDescent="0.15">
      <c r="A16" s="28" t="s">
        <v>28</v>
      </c>
      <c r="B16" s="37">
        <v>38</v>
      </c>
      <c r="C16" s="37">
        <v>22</v>
      </c>
      <c r="D16" s="38">
        <v>30</v>
      </c>
    </row>
    <row r="17" spans="1:12" ht="14" thickBot="1" x14ac:dyDescent="0.2">
      <c r="A17" s="28" t="s">
        <v>29</v>
      </c>
      <c r="B17" s="37">
        <v>1.72</v>
      </c>
      <c r="C17" s="37">
        <v>1.72</v>
      </c>
      <c r="D17" s="37">
        <v>1.72</v>
      </c>
    </row>
    <row r="18" spans="1:12" ht="14" thickBot="1" x14ac:dyDescent="0.2">
      <c r="A18" s="33" t="s">
        <v>77</v>
      </c>
      <c r="B18" s="33">
        <v>2100</v>
      </c>
      <c r="C18" s="33">
        <v>2100</v>
      </c>
      <c r="D18" s="33">
        <v>2100</v>
      </c>
      <c r="E18" s="88" t="s">
        <v>79</v>
      </c>
    </row>
    <row r="19" spans="1:12" x14ac:dyDescent="0.15">
      <c r="A19" s="39" t="s">
        <v>30</v>
      </c>
      <c r="B19" s="40" t="s">
        <v>31</v>
      </c>
      <c r="C19" s="40" t="s">
        <v>32</v>
      </c>
      <c r="D19" s="41" t="s">
        <v>32</v>
      </c>
    </row>
    <row r="20" spans="1:12" x14ac:dyDescent="0.15">
      <c r="A20" s="39" t="s">
        <v>33</v>
      </c>
      <c r="B20" s="42">
        <v>46.3</v>
      </c>
      <c r="C20" s="42">
        <v>46.3</v>
      </c>
      <c r="D20" s="42">
        <v>46.3</v>
      </c>
    </row>
    <row r="21" spans="1:12" x14ac:dyDescent="0.15">
      <c r="A21" s="39" t="s">
        <v>34</v>
      </c>
      <c r="B21" s="42">
        <v>33.9</v>
      </c>
      <c r="C21" s="42">
        <v>33.9</v>
      </c>
      <c r="D21" s="42">
        <v>33.9</v>
      </c>
    </row>
    <row r="22" spans="1:12" x14ac:dyDescent="0.15">
      <c r="A22" s="39" t="s">
        <v>35</v>
      </c>
      <c r="B22" s="42">
        <f>3.2*LOG10(11.75*B17)^2-4.97</f>
        <v>0.48441087675501127</v>
      </c>
      <c r="C22" s="42">
        <f>C17*(1.1*LOG10(C18)-0.7)-(1.56*LOG10(C18)-0.8)</f>
        <v>0.698976805851661</v>
      </c>
      <c r="D22" s="42">
        <f>D17*(1.1*LOG10(D18)-0.7)-(1.56*LOG10(D18)-0.8)</f>
        <v>0.698976805851661</v>
      </c>
    </row>
    <row r="23" spans="1:12" x14ac:dyDescent="0.15">
      <c r="A23" s="39" t="s">
        <v>36</v>
      </c>
      <c r="B23" s="42">
        <f>(47.88+13.9*LOG10(B18)-13.82*LOG10(B16))*(1/LOG10(50))</f>
        <v>42.511779906193333</v>
      </c>
      <c r="C23" s="42">
        <f>44.9-6.55*LOG10(C16)</f>
        <v>36.107131440614552</v>
      </c>
      <c r="D23" s="42">
        <f>44.9-6.55*LOG10(D16)</f>
        <v>35.224855781586214</v>
      </c>
    </row>
    <row r="24" spans="1:12" x14ac:dyDescent="0.15">
      <c r="A24" s="39" t="s">
        <v>37</v>
      </c>
      <c r="B24" s="42">
        <v>0</v>
      </c>
      <c r="C24" s="42">
        <f>-2*LOG10(C18/28)^2-5.4</f>
        <v>-12.431709482944157</v>
      </c>
      <c r="D24" s="43">
        <f>-4.78*LOG10(D18)^2+18.33*LOG10(D18)-40.94</f>
        <v>-32.801254509732452</v>
      </c>
    </row>
    <row r="25" spans="1:12" x14ac:dyDescent="0.15">
      <c r="A25" s="39" t="s">
        <v>38</v>
      </c>
      <c r="B25" s="40">
        <f>MIN(C13,D13)</f>
        <v>117.96910013008056</v>
      </c>
      <c r="C25" s="40">
        <f>MIN(E13,F13)</f>
        <v>123.96910013008056</v>
      </c>
      <c r="D25" s="41">
        <f>MIN(G13,H13)</f>
        <v>121.96910013008056</v>
      </c>
    </row>
    <row r="26" spans="1:12" ht="14" thickBot="1" x14ac:dyDescent="0.2">
      <c r="A26" s="39" t="s">
        <v>39</v>
      </c>
      <c r="B26" s="42">
        <f>B25-B20-B21*LOG10(B18)+13.82*LOG10(B16)+B22-B24</f>
        <v>-18.637113779399968</v>
      </c>
      <c r="C26" s="42">
        <f t="shared" ref="C26:D26" si="3">C25-C20-C21*LOG10(C18)+13.82*LOG10(C16)+C22-C24</f>
        <v>-3.2711662236405843</v>
      </c>
      <c r="D26" s="42">
        <f t="shared" si="3"/>
        <v>16.959913094410553</v>
      </c>
    </row>
    <row r="27" spans="1:12" ht="14" thickBot="1" x14ac:dyDescent="0.2">
      <c r="A27" s="33" t="s">
        <v>40</v>
      </c>
      <c r="B27" s="44">
        <f>10^(B26/B23)</f>
        <v>0.36441914818795956</v>
      </c>
      <c r="C27" s="44">
        <f t="shared" ref="C27:D27" si="4">10^(C26/C23)</f>
        <v>0.81171556561492508</v>
      </c>
      <c r="D27" s="44">
        <f t="shared" si="4"/>
        <v>3.0302309410923245</v>
      </c>
      <c r="J27" s="103">
        <v>1.5</v>
      </c>
      <c r="K27" s="103">
        <v>0</v>
      </c>
      <c r="L27" s="103">
        <f>J27*K27</f>
        <v>0</v>
      </c>
    </row>
    <row r="28" spans="1:12" ht="14" thickBot="1" x14ac:dyDescent="0.2"/>
    <row r="29" spans="1:12" ht="14" thickBot="1" x14ac:dyDescent="0.2">
      <c r="A29" s="45" t="s">
        <v>10</v>
      </c>
      <c r="B29" s="9"/>
      <c r="C29" s="9"/>
      <c r="D29" s="9"/>
      <c r="E29" s="9"/>
      <c r="F29" s="9"/>
      <c r="G29" s="9"/>
    </row>
    <row r="30" spans="1:12" x14ac:dyDescent="0.15">
      <c r="A30" s="46" t="s">
        <v>41</v>
      </c>
      <c r="B30" s="47">
        <v>235</v>
      </c>
      <c r="C30" s="9"/>
      <c r="D30" s="9"/>
      <c r="E30" s="9"/>
      <c r="F30" s="9"/>
      <c r="G30" s="9"/>
    </row>
    <row r="31" spans="1:12" ht="14" thickBot="1" x14ac:dyDescent="0.2">
      <c r="A31" s="48" t="s">
        <v>8</v>
      </c>
      <c r="B31" s="49">
        <v>363500</v>
      </c>
      <c r="C31" s="9"/>
      <c r="D31" s="9"/>
      <c r="E31" s="9"/>
      <c r="F31" s="9"/>
      <c r="G31" s="9"/>
    </row>
    <row r="32" spans="1:12" x14ac:dyDescent="0.15">
      <c r="A32" s="50"/>
      <c r="B32" s="95" t="s">
        <v>2</v>
      </c>
      <c r="C32" s="96"/>
      <c r="D32" s="95" t="s">
        <v>3</v>
      </c>
      <c r="E32" s="96"/>
      <c r="F32" s="95" t="s">
        <v>4</v>
      </c>
      <c r="G32" s="96"/>
    </row>
    <row r="33" spans="1:12" x14ac:dyDescent="0.15">
      <c r="A33" s="51" t="s">
        <v>42</v>
      </c>
      <c r="B33" s="52">
        <v>0.12</v>
      </c>
      <c r="C33" s="53">
        <v>0.12</v>
      </c>
      <c r="D33" s="52">
        <v>0.23</v>
      </c>
      <c r="E33" s="53">
        <v>0.23</v>
      </c>
      <c r="F33" s="52">
        <v>0.65</v>
      </c>
      <c r="G33" s="53">
        <v>0.65</v>
      </c>
    </row>
    <row r="34" spans="1:12" x14ac:dyDescent="0.15">
      <c r="A34" s="54" t="s">
        <v>43</v>
      </c>
      <c r="B34" s="55">
        <f>$B30*B33</f>
        <v>28.2</v>
      </c>
      <c r="C34" s="55">
        <f t="shared" ref="C34:G34" si="5">$B30*C33</f>
        <v>28.2</v>
      </c>
      <c r="D34" s="55">
        <f t="shared" si="5"/>
        <v>54.050000000000004</v>
      </c>
      <c r="E34" s="55">
        <f t="shared" si="5"/>
        <v>54.050000000000004</v>
      </c>
      <c r="F34" s="55">
        <f t="shared" si="5"/>
        <v>152.75</v>
      </c>
      <c r="G34" s="55">
        <f t="shared" si="5"/>
        <v>152.75</v>
      </c>
    </row>
    <row r="35" spans="1:12" x14ac:dyDescent="0.15">
      <c r="A35" s="51" t="s">
        <v>44</v>
      </c>
      <c r="B35" s="52">
        <v>0.62</v>
      </c>
      <c r="C35" s="53">
        <v>0.62</v>
      </c>
      <c r="D35" s="52">
        <v>0.22</v>
      </c>
      <c r="E35" s="53">
        <v>0.22</v>
      </c>
      <c r="F35" s="52">
        <v>0.16</v>
      </c>
      <c r="G35" s="53">
        <v>0.16</v>
      </c>
    </row>
    <row r="36" spans="1:12" x14ac:dyDescent="0.15">
      <c r="A36" s="54" t="s">
        <v>45</v>
      </c>
      <c r="B36" s="55">
        <f>$B31*B35</f>
        <v>225370</v>
      </c>
      <c r="C36" s="55">
        <f t="shared" ref="C36:G36" si="6">$B31*C35</f>
        <v>225370</v>
      </c>
      <c r="D36" s="55">
        <f t="shared" si="6"/>
        <v>79970</v>
      </c>
      <c r="E36" s="55">
        <f t="shared" si="6"/>
        <v>79970</v>
      </c>
      <c r="F36" s="55">
        <f t="shared" si="6"/>
        <v>58160</v>
      </c>
      <c r="G36" s="55">
        <f t="shared" si="6"/>
        <v>58160</v>
      </c>
    </row>
    <row r="37" spans="1:12" x14ac:dyDescent="0.15">
      <c r="A37" s="51" t="s">
        <v>46</v>
      </c>
      <c r="B37" s="56">
        <v>0.29499999999999998</v>
      </c>
      <c r="C37" s="56">
        <v>0.29499999999999998</v>
      </c>
      <c r="D37" s="56">
        <v>0.29499999999999998</v>
      </c>
      <c r="E37" s="56">
        <v>0.29499999999999998</v>
      </c>
      <c r="F37" s="56">
        <v>0.29499999999999998</v>
      </c>
      <c r="G37" s="56">
        <v>0.29499999999999998</v>
      </c>
    </row>
    <row r="38" spans="1:12" x14ac:dyDescent="0.15">
      <c r="A38" s="51" t="s">
        <v>47</v>
      </c>
      <c r="B38" s="56">
        <v>1.05</v>
      </c>
      <c r="C38" s="56">
        <v>1.05</v>
      </c>
      <c r="D38" s="56">
        <v>1.05</v>
      </c>
      <c r="E38" s="56">
        <v>1.05</v>
      </c>
      <c r="F38" s="56">
        <v>1.05</v>
      </c>
      <c r="G38" s="56">
        <v>1.05</v>
      </c>
    </row>
    <row r="39" spans="1:12" x14ac:dyDescent="0.15">
      <c r="A39" s="54" t="s">
        <v>48</v>
      </c>
      <c r="B39" s="55">
        <f>B36*B37*B38</f>
        <v>69808.357499999998</v>
      </c>
      <c r="C39" s="55">
        <f t="shared" ref="C39:G39" si="7">C36*C37*C38</f>
        <v>69808.357499999998</v>
      </c>
      <c r="D39" s="55">
        <f t="shared" si="7"/>
        <v>24770.7075</v>
      </c>
      <c r="E39" s="55">
        <f t="shared" si="7"/>
        <v>24770.7075</v>
      </c>
      <c r="F39" s="55">
        <f t="shared" si="7"/>
        <v>18015.060000000001</v>
      </c>
      <c r="G39" s="55">
        <f t="shared" si="7"/>
        <v>18015.060000000001</v>
      </c>
    </row>
    <row r="40" spans="1:12" x14ac:dyDescent="0.15">
      <c r="A40" s="54"/>
      <c r="B40" s="55" t="s">
        <v>49</v>
      </c>
      <c r="C40" s="57" t="s">
        <v>50</v>
      </c>
      <c r="D40" s="55" t="s">
        <v>49</v>
      </c>
      <c r="E40" s="57" t="s">
        <v>50</v>
      </c>
      <c r="F40" s="55" t="s">
        <v>49</v>
      </c>
      <c r="G40" s="57" t="s">
        <v>50</v>
      </c>
    </row>
    <row r="41" spans="1:12" x14ac:dyDescent="0.15">
      <c r="A41" s="51" t="s">
        <v>51</v>
      </c>
      <c r="B41" s="56">
        <v>1</v>
      </c>
      <c r="C41" s="58">
        <v>1.1000000000000001</v>
      </c>
      <c r="D41" s="56">
        <v>1</v>
      </c>
      <c r="E41" s="58">
        <v>1.1000000000000001</v>
      </c>
      <c r="F41" s="56">
        <v>1</v>
      </c>
      <c r="G41" s="58">
        <v>1.1000000000000001</v>
      </c>
    </row>
    <row r="42" spans="1:12" ht="14" thickBot="1" x14ac:dyDescent="0.2">
      <c r="A42" s="54" t="s">
        <v>52</v>
      </c>
      <c r="B42" s="59">
        <f>B39*B41</f>
        <v>69808.357499999998</v>
      </c>
      <c r="C42" s="59">
        <f t="shared" ref="C42:G42" si="8">C39*C41</f>
        <v>76789.193250000011</v>
      </c>
      <c r="D42" s="59">
        <f t="shared" si="8"/>
        <v>24770.7075</v>
      </c>
      <c r="E42" s="59">
        <f t="shared" si="8"/>
        <v>27247.778250000003</v>
      </c>
      <c r="F42" s="59">
        <f t="shared" si="8"/>
        <v>18015.060000000001</v>
      </c>
      <c r="G42" s="59">
        <f t="shared" si="8"/>
        <v>19816.566000000003</v>
      </c>
    </row>
    <row r="43" spans="1:12" ht="14" thickBot="1" x14ac:dyDescent="0.2">
      <c r="A43" s="60" t="s">
        <v>53</v>
      </c>
      <c r="B43" s="61">
        <f>B42/B34</f>
        <v>2475.4736702127661</v>
      </c>
      <c r="C43" s="61">
        <f t="shared" ref="C43:G43" si="9">C42/C34</f>
        <v>2723.021037234043</v>
      </c>
      <c r="D43" s="61">
        <f t="shared" si="9"/>
        <v>458.29246068455132</v>
      </c>
      <c r="E43" s="61">
        <f t="shared" si="9"/>
        <v>504.12170675300649</v>
      </c>
      <c r="F43" s="61">
        <f t="shared" si="9"/>
        <v>117.93819967266776</v>
      </c>
      <c r="G43" s="61">
        <f t="shared" si="9"/>
        <v>129.73201963993455</v>
      </c>
    </row>
    <row r="44" spans="1:12" x14ac:dyDescent="0.15">
      <c r="J44" s="103">
        <v>0.5</v>
      </c>
      <c r="K44" s="103">
        <v>1</v>
      </c>
      <c r="L44" s="103">
        <f t="shared" ref="L28:L44" si="10">J44*K44</f>
        <v>0.5</v>
      </c>
    </row>
    <row r="46" spans="1:12" x14ac:dyDescent="0.15">
      <c r="A46" s="11" t="s">
        <v>9</v>
      </c>
      <c r="B46" s="95" t="s">
        <v>2</v>
      </c>
      <c r="C46" s="96"/>
      <c r="D46" s="95" t="s">
        <v>3</v>
      </c>
      <c r="E46" s="96"/>
      <c r="F46" s="95" t="s">
        <v>4</v>
      </c>
      <c r="G46" s="96"/>
    </row>
    <row r="47" spans="1:12" x14ac:dyDescent="0.15">
      <c r="A47" s="15" t="s">
        <v>11</v>
      </c>
      <c r="B47" s="14">
        <v>1.4999999999999999E-2</v>
      </c>
      <c r="C47" s="14">
        <v>0.01</v>
      </c>
      <c r="D47" s="14">
        <v>1.2E-2</v>
      </c>
      <c r="E47" s="14">
        <v>1.0999999999999999E-2</v>
      </c>
      <c r="F47" s="14">
        <v>0.01</v>
      </c>
      <c r="G47" s="14">
        <v>7.0000000000000001E-3</v>
      </c>
    </row>
    <row r="48" spans="1:12" x14ac:dyDescent="0.15">
      <c r="A48" s="16" t="s">
        <v>57</v>
      </c>
      <c r="B48">
        <f>B47*60</f>
        <v>0.89999999999999991</v>
      </c>
      <c r="C48">
        <f t="shared" ref="C48:G48" si="11">C47*60</f>
        <v>0.6</v>
      </c>
      <c r="D48">
        <f t="shared" si="11"/>
        <v>0.72</v>
      </c>
      <c r="E48">
        <f t="shared" si="11"/>
        <v>0.65999999999999992</v>
      </c>
      <c r="F48">
        <f t="shared" si="11"/>
        <v>0.6</v>
      </c>
      <c r="G48">
        <f t="shared" si="11"/>
        <v>0.42</v>
      </c>
    </row>
    <row r="49" spans="1:12" x14ac:dyDescent="0.15">
      <c r="A49" s="16" t="s">
        <v>56</v>
      </c>
      <c r="B49" s="17">
        <v>8</v>
      </c>
      <c r="C49" s="17">
        <v>13</v>
      </c>
      <c r="D49" s="17">
        <v>8</v>
      </c>
      <c r="E49" s="17">
        <v>13</v>
      </c>
      <c r="F49" s="17">
        <v>8</v>
      </c>
      <c r="G49" s="17">
        <v>13</v>
      </c>
    </row>
    <row r="50" spans="1:12" x14ac:dyDescent="0.15">
      <c r="A50" s="16" t="s">
        <v>55</v>
      </c>
      <c r="B50" s="18">
        <f>B48*B49</f>
        <v>7.1999999999999993</v>
      </c>
      <c r="C50" s="18">
        <f t="shared" ref="C50:G50" si="12">C48*C49</f>
        <v>7.8</v>
      </c>
      <c r="D50" s="18">
        <f t="shared" si="12"/>
        <v>5.76</v>
      </c>
      <c r="E50" s="18">
        <f t="shared" si="12"/>
        <v>8.5799999999999983</v>
      </c>
      <c r="F50" s="18">
        <f t="shared" si="12"/>
        <v>4.8</v>
      </c>
      <c r="G50" s="18">
        <f t="shared" si="12"/>
        <v>5.46</v>
      </c>
    </row>
    <row r="51" spans="1:12" x14ac:dyDescent="0.15">
      <c r="A51" s="89" t="s">
        <v>54</v>
      </c>
      <c r="B51">
        <f>B50*250</f>
        <v>1799.9999999999998</v>
      </c>
      <c r="C51">
        <f t="shared" ref="C51:G51" si="13">C50*250</f>
        <v>1950</v>
      </c>
      <c r="D51">
        <f t="shared" si="13"/>
        <v>1440</v>
      </c>
      <c r="E51">
        <f t="shared" si="13"/>
        <v>2144.9999999999995</v>
      </c>
      <c r="F51">
        <f t="shared" si="13"/>
        <v>1200</v>
      </c>
      <c r="G51">
        <f t="shared" si="13"/>
        <v>1365</v>
      </c>
    </row>
    <row r="52" spans="1:12" x14ac:dyDescent="0.15">
      <c r="A52" s="10" t="s">
        <v>12</v>
      </c>
      <c r="B52" s="10">
        <f>B51*B42</f>
        <v>125655043.49999999</v>
      </c>
      <c r="C52" s="10">
        <f t="shared" ref="C52:G52" si="14">C51*C42</f>
        <v>149738926.83750004</v>
      </c>
      <c r="D52" s="10">
        <f t="shared" si="14"/>
        <v>35669818.799999997</v>
      </c>
      <c r="E52" s="10">
        <f t="shared" si="14"/>
        <v>58446484.346249998</v>
      </c>
      <c r="F52" s="10">
        <f t="shared" si="14"/>
        <v>21618072</v>
      </c>
      <c r="G52" s="10">
        <f t="shared" si="14"/>
        <v>27049612.590000004</v>
      </c>
      <c r="J52" s="103">
        <v>0.75</v>
      </c>
      <c r="K52" s="103">
        <v>1</v>
      </c>
      <c r="L52" s="103">
        <f>J52*K52</f>
        <v>0.75</v>
      </c>
    </row>
    <row r="54" spans="1:12" ht="14" thickBot="1" x14ac:dyDescent="0.2"/>
    <row r="55" spans="1:12" x14ac:dyDescent="0.15">
      <c r="A55" s="62" t="s">
        <v>58</v>
      </c>
      <c r="B55" s="97" t="s">
        <v>2</v>
      </c>
      <c r="C55" s="98"/>
      <c r="D55" s="97" t="s">
        <v>3</v>
      </c>
      <c r="E55" s="98"/>
      <c r="F55" s="97" t="s">
        <v>4</v>
      </c>
      <c r="G55" s="98"/>
    </row>
    <row r="56" spans="1:12" x14ac:dyDescent="0.15">
      <c r="A56" s="63" t="s">
        <v>59</v>
      </c>
      <c r="B56" s="64">
        <f t="shared" ref="B56:G56" si="15">1-1/C14</f>
        <v>0.29205421561586209</v>
      </c>
      <c r="C56" s="64">
        <f t="shared" si="15"/>
        <v>0.29205421561586209</v>
      </c>
      <c r="D56" s="64">
        <f t="shared" si="15"/>
        <v>0.29205421561586209</v>
      </c>
      <c r="E56" s="64">
        <f t="shared" si="15"/>
        <v>0.29205421561586209</v>
      </c>
      <c r="F56" s="64">
        <f t="shared" si="15"/>
        <v>0.71816170687355463</v>
      </c>
      <c r="G56" s="64">
        <f t="shared" si="15"/>
        <v>0.71816170687355463</v>
      </c>
    </row>
    <row r="57" spans="1:12" x14ac:dyDescent="0.15">
      <c r="A57" s="65"/>
      <c r="B57" s="66" t="s">
        <v>5</v>
      </c>
      <c r="C57" s="67" t="s">
        <v>15</v>
      </c>
      <c r="D57" s="66" t="s">
        <v>14</v>
      </c>
      <c r="E57" s="67" t="s">
        <v>15</v>
      </c>
      <c r="F57" s="68" t="s">
        <v>14</v>
      </c>
      <c r="G57" s="67" t="s">
        <v>15</v>
      </c>
    </row>
    <row r="58" spans="1:12" x14ac:dyDescent="0.15">
      <c r="A58" s="63" t="s">
        <v>60</v>
      </c>
      <c r="B58" s="69">
        <f>10^(4.6/10)</f>
        <v>2.8840315031266059</v>
      </c>
      <c r="C58" s="30">
        <f>10^(2.6/10)</f>
        <v>1.8197008586099837</v>
      </c>
      <c r="D58" s="69">
        <f>10^(4.6/10)</f>
        <v>2.8840315031266059</v>
      </c>
      <c r="E58" s="30">
        <f>10^(2.6/10)</f>
        <v>1.8197008586099837</v>
      </c>
      <c r="F58" s="70">
        <f>10^(4.6/10)</f>
        <v>2.8840315031266059</v>
      </c>
      <c r="G58" s="30">
        <f>10^(2.6/10)</f>
        <v>1.8197008586099837</v>
      </c>
      <c r="J58" s="103">
        <v>1.25</v>
      </c>
      <c r="K58" s="103">
        <v>1</v>
      </c>
      <c r="L58" s="103">
        <f>J58*K58</f>
        <v>1.25</v>
      </c>
    </row>
    <row r="59" spans="1:12" x14ac:dyDescent="0.15">
      <c r="A59" s="63" t="s">
        <v>61</v>
      </c>
      <c r="B59" s="69">
        <f>B58*B62*((1-B61)+B63)/(B64/B60)</f>
        <v>6.8143806229890979E-3</v>
      </c>
      <c r="C59" s="69">
        <f t="shared" ref="C59:G59" si="16">C58*C62*((1-C61)+C63)/(C64/C60)</f>
        <v>3.3664465884284699E-2</v>
      </c>
      <c r="D59" s="69">
        <f t="shared" si="16"/>
        <v>6.8143806229890979E-3</v>
      </c>
      <c r="E59" s="69">
        <f t="shared" si="16"/>
        <v>3.3664465884284699E-2</v>
      </c>
      <c r="F59" s="69">
        <f t="shared" si="16"/>
        <v>6.8143806229890979E-3</v>
      </c>
      <c r="G59" s="69">
        <f t="shared" si="16"/>
        <v>3.3664465884284699E-2</v>
      </c>
    </row>
    <row r="60" spans="1:12" x14ac:dyDescent="0.15">
      <c r="A60" s="71" t="s">
        <v>62</v>
      </c>
      <c r="B60" s="64">
        <v>12.2</v>
      </c>
      <c r="C60" s="72">
        <v>64</v>
      </c>
      <c r="D60" s="64">
        <v>12.2</v>
      </c>
      <c r="E60" s="72">
        <v>64</v>
      </c>
      <c r="F60" s="73">
        <v>12.2</v>
      </c>
      <c r="G60" s="72">
        <v>64</v>
      </c>
    </row>
    <row r="61" spans="1:12" x14ac:dyDescent="0.15">
      <c r="A61" s="65" t="s">
        <v>63</v>
      </c>
      <c r="B61" s="64">
        <v>0.55000000000000004</v>
      </c>
      <c r="C61" s="64">
        <v>0.55000000000000004</v>
      </c>
      <c r="D61" s="64">
        <v>0.55000000000000004</v>
      </c>
      <c r="E61" s="64">
        <v>0.55000000000000004</v>
      </c>
      <c r="F61" s="64">
        <v>0.55000000000000004</v>
      </c>
      <c r="G61" s="64">
        <v>0.55000000000000004</v>
      </c>
    </row>
    <row r="62" spans="1:12" x14ac:dyDescent="0.15">
      <c r="A62" s="74" t="s">
        <v>64</v>
      </c>
      <c r="B62" s="75">
        <v>0.67</v>
      </c>
      <c r="C62" s="76">
        <v>1</v>
      </c>
      <c r="D62" s="75">
        <v>0.67</v>
      </c>
      <c r="E62" s="76">
        <v>1</v>
      </c>
      <c r="F62" s="77">
        <v>0.67</v>
      </c>
      <c r="G62" s="76">
        <v>1</v>
      </c>
    </row>
    <row r="63" spans="1:12" x14ac:dyDescent="0.15">
      <c r="A63" s="71" t="s">
        <v>78</v>
      </c>
      <c r="B63" s="64">
        <v>0.66</v>
      </c>
      <c r="C63" s="64">
        <v>0.66</v>
      </c>
      <c r="D63" s="64">
        <v>0.66</v>
      </c>
      <c r="E63" s="64">
        <v>0.66</v>
      </c>
      <c r="F63" s="64">
        <v>0.66</v>
      </c>
      <c r="G63" s="64">
        <v>0.66</v>
      </c>
    </row>
    <row r="64" spans="1:12" x14ac:dyDescent="0.15">
      <c r="A64" s="74" t="s">
        <v>65</v>
      </c>
      <c r="B64" s="78">
        <v>3840</v>
      </c>
      <c r="C64" s="78">
        <v>3840</v>
      </c>
      <c r="D64" s="78">
        <v>3840</v>
      </c>
      <c r="E64" s="78">
        <v>3840</v>
      </c>
      <c r="F64" s="78">
        <v>3840</v>
      </c>
      <c r="G64" s="78">
        <v>3840</v>
      </c>
      <c r="I64" t="s">
        <v>66</v>
      </c>
    </row>
    <row r="65" spans="1:12" x14ac:dyDescent="0.15">
      <c r="A65" s="65" t="s">
        <v>67</v>
      </c>
      <c r="B65" s="64">
        <v>0.06</v>
      </c>
      <c r="C65" s="72">
        <f>C56-B65</f>
        <v>0.23205421561586209</v>
      </c>
      <c r="D65" s="64">
        <v>0.05</v>
      </c>
      <c r="E65" s="72">
        <f>E56-D65</f>
        <v>0.2420542156158621</v>
      </c>
      <c r="F65" s="73">
        <v>0.15</v>
      </c>
      <c r="G65" s="72">
        <f>G56-F65</f>
        <v>0.56816170687355461</v>
      </c>
      <c r="I65" s="79">
        <f>C74-B74</f>
        <v>-5.9285151715869344E-3</v>
      </c>
    </row>
    <row r="66" spans="1:12" x14ac:dyDescent="0.15">
      <c r="A66" s="65" t="s">
        <v>68</v>
      </c>
      <c r="B66" s="64">
        <f>B65/B59</f>
        <v>8.8049088126341353</v>
      </c>
      <c r="C66" s="64">
        <f t="shared" ref="C66:G66" si="17">C65/C59</f>
        <v>6.8931500773992678</v>
      </c>
      <c r="D66" s="64">
        <f t="shared" si="17"/>
        <v>7.3374240105284469</v>
      </c>
      <c r="E66" s="64">
        <f t="shared" si="17"/>
        <v>7.1901991984033895</v>
      </c>
      <c r="F66" s="64">
        <f t="shared" si="17"/>
        <v>22.01227203158534</v>
      </c>
      <c r="G66" s="64">
        <f t="shared" si="17"/>
        <v>16.877193561499062</v>
      </c>
      <c r="I66" s="79">
        <f>E74-D74</f>
        <v>-5.3361901742136952E-2</v>
      </c>
    </row>
    <row r="67" spans="1:12" x14ac:dyDescent="0.15">
      <c r="A67" s="65" t="s">
        <v>69</v>
      </c>
      <c r="B67" s="64">
        <f>B66*(1+B63)</f>
        <v>14.616148628972665</v>
      </c>
      <c r="C67" s="64">
        <f t="shared" ref="C67:G67" si="18">C66*(1+C63)</f>
        <v>11.442629128482785</v>
      </c>
      <c r="D67" s="64">
        <f t="shared" si="18"/>
        <v>12.180123857477223</v>
      </c>
      <c r="E67" s="64">
        <f t="shared" si="18"/>
        <v>11.935730669349628</v>
      </c>
      <c r="F67" s="64">
        <f t="shared" si="18"/>
        <v>36.540371572431667</v>
      </c>
      <c r="G67" s="64">
        <f t="shared" si="18"/>
        <v>28.016141312088447</v>
      </c>
      <c r="I67" s="79">
        <f>G74-F74</f>
        <v>-7.9248088791378901E-2</v>
      </c>
    </row>
    <row r="68" spans="1:12" x14ac:dyDescent="0.15">
      <c r="A68" s="65" t="s">
        <v>70</v>
      </c>
      <c r="B68" s="64">
        <f>VLOOKUP(ROUNDDOWN(B67,0),Erlang!$A$2:$B$76,2,TRUE)</f>
        <v>8.2002682999999994</v>
      </c>
      <c r="C68" s="64">
        <f>VLOOKUP(ROUNDDOWN(C67,0),Erlang!$A$2:$B$76,2,TRUE)</f>
        <v>5.8415311000000001</v>
      </c>
      <c r="D68" s="64">
        <f>VLOOKUP(ROUNDDOWN(D67,0),Erlang!$A$2:$B$76,2,TRUE)</f>
        <v>6.6147182999999998</v>
      </c>
      <c r="E68" s="64">
        <f>VLOOKUP(ROUNDDOWN(E67,0),Erlang!$A$2:$B$76,2,TRUE)</f>
        <v>5.8415311000000001</v>
      </c>
      <c r="F68" s="64">
        <f>VLOOKUP(ROUNDDOWN(F67,0),Erlang!$A$2:$B$76,2,TRUE)</f>
        <v>27.343139999999998</v>
      </c>
      <c r="G68" s="64">
        <f>VLOOKUP(ROUNDDOWN(G67,0),Erlang!$A$2:$B$76,2,TRUE)</f>
        <v>20.150378</v>
      </c>
      <c r="J68" s="103">
        <v>3</v>
      </c>
      <c r="K68" s="103">
        <v>1</v>
      </c>
      <c r="L68" s="103">
        <f>J68*K68</f>
        <v>3</v>
      </c>
    </row>
    <row r="69" spans="1:12" x14ac:dyDescent="0.15">
      <c r="A69" s="65" t="s">
        <v>33</v>
      </c>
      <c r="B69" s="64">
        <f>B68/(1+B63)</f>
        <v>4.9399206626506018</v>
      </c>
      <c r="C69" s="64">
        <f t="shared" ref="C69:G69" si="19">C68/(1+C63)</f>
        <v>3.5189946385542168</v>
      </c>
      <c r="D69" s="64">
        <f t="shared" si="19"/>
        <v>3.9847700602409635</v>
      </c>
      <c r="E69" s="64">
        <f t="shared" si="19"/>
        <v>3.5189946385542168</v>
      </c>
      <c r="F69" s="64">
        <f t="shared" si="19"/>
        <v>16.471771084337348</v>
      </c>
      <c r="G69" s="64">
        <f t="shared" si="19"/>
        <v>12.138781927710843</v>
      </c>
    </row>
    <row r="70" spans="1:12" x14ac:dyDescent="0.15">
      <c r="A70" s="65" t="s">
        <v>71</v>
      </c>
      <c r="B70" s="64">
        <f>B47</f>
        <v>1.4999999999999999E-2</v>
      </c>
      <c r="C70" s="64">
        <f t="shared" ref="C70:G70" si="20">C47</f>
        <v>0.01</v>
      </c>
      <c r="D70" s="64">
        <f t="shared" si="20"/>
        <v>1.2E-2</v>
      </c>
      <c r="E70" s="64">
        <f t="shared" si="20"/>
        <v>1.0999999999999999E-2</v>
      </c>
      <c r="F70" s="64">
        <f t="shared" si="20"/>
        <v>0.01</v>
      </c>
      <c r="G70" s="64">
        <f t="shared" si="20"/>
        <v>7.0000000000000001E-3</v>
      </c>
    </row>
    <row r="71" spans="1:12" x14ac:dyDescent="0.15">
      <c r="A71" s="65" t="s">
        <v>72</v>
      </c>
      <c r="B71" s="64">
        <f>B69/B70</f>
        <v>329.32804417670678</v>
      </c>
      <c r="C71" s="64">
        <f t="shared" ref="C71:G71" si="21">C69/C70</f>
        <v>351.89946385542169</v>
      </c>
      <c r="D71" s="64">
        <f t="shared" si="21"/>
        <v>332.06417168674693</v>
      </c>
      <c r="E71" s="64">
        <f t="shared" si="21"/>
        <v>319.90860350492881</v>
      </c>
      <c r="F71" s="64">
        <f t="shared" si="21"/>
        <v>1647.1771084337347</v>
      </c>
      <c r="G71" s="64">
        <f t="shared" si="21"/>
        <v>1734.1117039586918</v>
      </c>
      <c r="J71" s="103">
        <v>1.5</v>
      </c>
      <c r="K71" s="103">
        <v>0.3</v>
      </c>
      <c r="L71" s="103">
        <f>J71*K71</f>
        <v>0.44999999999999996</v>
      </c>
    </row>
    <row r="72" spans="1:12" x14ac:dyDescent="0.15">
      <c r="A72" s="65" t="s">
        <v>73</v>
      </c>
      <c r="B72" s="64">
        <v>4</v>
      </c>
      <c r="C72" s="64">
        <v>4</v>
      </c>
      <c r="D72" s="64">
        <v>3</v>
      </c>
      <c r="E72" s="64">
        <v>3</v>
      </c>
      <c r="F72" s="64">
        <v>3</v>
      </c>
      <c r="G72" s="64">
        <v>3</v>
      </c>
    </row>
    <row r="73" spans="1:12" x14ac:dyDescent="0.15">
      <c r="A73" s="80"/>
      <c r="B73" s="93" t="s">
        <v>2</v>
      </c>
      <c r="C73" s="94"/>
      <c r="D73" s="93" t="s">
        <v>3</v>
      </c>
      <c r="E73" s="94"/>
      <c r="F73" s="93" t="s">
        <v>4</v>
      </c>
      <c r="G73" s="94"/>
      <c r="J73" s="103">
        <v>0.5</v>
      </c>
      <c r="K73" s="103">
        <v>0.3</v>
      </c>
      <c r="L73" s="103">
        <f>J73*K73</f>
        <v>0.15</v>
      </c>
    </row>
    <row r="74" spans="1:12" ht="14" thickBot="1" x14ac:dyDescent="0.2">
      <c r="A74" s="81" t="s">
        <v>74</v>
      </c>
      <c r="B74" s="82">
        <f>SQRT((B72*B71)/(PI()*B43))</f>
        <v>0.41156673078596706</v>
      </c>
      <c r="C74" s="82">
        <f t="shared" ref="C74:G74" si="22">SQRT((C72*C71)/(PI()*C43))</f>
        <v>0.40563821561438013</v>
      </c>
      <c r="D74" s="82">
        <f t="shared" si="22"/>
        <v>0.83181231233206754</v>
      </c>
      <c r="E74" s="82">
        <f t="shared" si="22"/>
        <v>0.77845041058993059</v>
      </c>
      <c r="F74" s="82">
        <f t="shared" si="22"/>
        <v>3.6519817035764368</v>
      </c>
      <c r="G74" s="82">
        <f t="shared" si="22"/>
        <v>3.5727336147850579</v>
      </c>
    </row>
    <row r="75" spans="1:12" ht="14" thickBot="1" x14ac:dyDescent="0.2"/>
    <row r="76" spans="1:12" x14ac:dyDescent="0.15">
      <c r="A76" s="83"/>
      <c r="B76" s="84" t="s">
        <v>2</v>
      </c>
      <c r="C76" s="84" t="s">
        <v>3</v>
      </c>
      <c r="D76" s="85" t="s">
        <v>4</v>
      </c>
    </row>
    <row r="77" spans="1:12" x14ac:dyDescent="0.15">
      <c r="A77" s="86" t="s">
        <v>75</v>
      </c>
      <c r="B77" s="13">
        <f>MIN(B74,C74,B27)</f>
        <v>0.36441914818795956</v>
      </c>
      <c r="C77" s="13">
        <f>MIN(D74,E74,C27)</f>
        <v>0.77845041058993059</v>
      </c>
      <c r="D77" s="87">
        <f>MIN(F74,G74,D27)</f>
        <v>3.0302309410923245</v>
      </c>
      <c r="J77" s="103">
        <f>SUM(J13:J75)</f>
        <v>10</v>
      </c>
      <c r="K77" s="103">
        <v>1</v>
      </c>
      <c r="L77" s="103">
        <f>SUM(L13:L75)</f>
        <v>7.1000000000000005</v>
      </c>
    </row>
    <row r="78" spans="1:12" x14ac:dyDescent="0.15">
      <c r="A78" s="86" t="s">
        <v>6</v>
      </c>
      <c r="B78" s="13">
        <f>PI()*(B77)^2</f>
        <v>0.41720763736932492</v>
      </c>
      <c r="C78" s="13">
        <f t="shared" ref="C78:D78" si="23">PI()*(C77)^2</f>
        <v>1.903758155339663</v>
      </c>
      <c r="D78" s="13">
        <f t="shared" si="23"/>
        <v>28.847044829300266</v>
      </c>
      <c r="L78" s="105">
        <f>L77/10*1.5</f>
        <v>1.0650000000000002</v>
      </c>
    </row>
    <row r="79" spans="1:12" x14ac:dyDescent="0.15">
      <c r="A79" s="86" t="s">
        <v>7</v>
      </c>
      <c r="B79" s="13">
        <f>ROUNDUP(B34/B78,0)</f>
        <v>68</v>
      </c>
      <c r="C79" s="13">
        <f>ROUNDUP(D34/C78,0)</f>
        <v>29</v>
      </c>
      <c r="D79" s="13">
        <f>ROUNDUP(F34/D78,0)</f>
        <v>6</v>
      </c>
      <c r="E79" t="s">
        <v>76</v>
      </c>
    </row>
  </sheetData>
  <mergeCells count="15">
    <mergeCell ref="C2:D2"/>
    <mergeCell ref="E2:F2"/>
    <mergeCell ref="G2:H2"/>
    <mergeCell ref="B32:C32"/>
    <mergeCell ref="D32:E32"/>
    <mergeCell ref="F32:G32"/>
    <mergeCell ref="B73:C73"/>
    <mergeCell ref="D73:E73"/>
    <mergeCell ref="F73:G73"/>
    <mergeCell ref="B46:C46"/>
    <mergeCell ref="D46:E46"/>
    <mergeCell ref="F46:G46"/>
    <mergeCell ref="B55:C55"/>
    <mergeCell ref="D55:E55"/>
    <mergeCell ref="F55:G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topLeftCell="A34" workbookViewId="0">
      <selection activeCell="D27" sqref="D27"/>
    </sheetView>
  </sheetViews>
  <sheetFormatPr baseColWidth="10" defaultRowHeight="13" x14ac:dyDescent="0.15"/>
  <cols>
    <col min="1" max="1" width="10.83203125" style="8"/>
    <col min="2" max="2" width="13.33203125" style="8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2">
        <v>1</v>
      </c>
      <c r="B2" s="3">
        <v>2.0408163E-2</v>
      </c>
    </row>
    <row r="3" spans="1:2" x14ac:dyDescent="0.15">
      <c r="A3" s="2">
        <v>2</v>
      </c>
      <c r="B3" s="3">
        <v>0.22346682000000001</v>
      </c>
    </row>
    <row r="4" spans="1:2" x14ac:dyDescent="0.15">
      <c r="A4" s="2">
        <v>3</v>
      </c>
      <c r="B4" s="3">
        <v>0.60220647999999999</v>
      </c>
    </row>
    <row r="5" spans="1:2" x14ac:dyDescent="0.15">
      <c r="A5" s="2">
        <v>4</v>
      </c>
      <c r="B5" s="4">
        <v>1.0922605000000001</v>
      </c>
    </row>
    <row r="6" spans="1:2" x14ac:dyDescent="0.15">
      <c r="A6" s="2">
        <v>5</v>
      </c>
      <c r="B6" s="4">
        <v>1.6571431000000001</v>
      </c>
    </row>
    <row r="7" spans="1:2" x14ac:dyDescent="0.15">
      <c r="A7" s="2">
        <v>6</v>
      </c>
      <c r="B7" s="4">
        <v>2.2758761000000001</v>
      </c>
    </row>
    <row r="8" spans="1:2" x14ac:dyDescent="0.15">
      <c r="A8" s="2">
        <v>7</v>
      </c>
      <c r="B8" s="4">
        <v>2.9354057</v>
      </c>
    </row>
    <row r="9" spans="1:2" x14ac:dyDescent="0.15">
      <c r="A9" s="2">
        <v>8</v>
      </c>
      <c r="B9" s="4">
        <v>3.6270505000000002</v>
      </c>
    </row>
    <row r="10" spans="1:2" x14ac:dyDescent="0.15">
      <c r="A10" s="2">
        <v>9</v>
      </c>
      <c r="B10" s="4">
        <v>4.3447291999999997</v>
      </c>
    </row>
    <row r="11" spans="1:2" x14ac:dyDescent="0.15">
      <c r="A11" s="2">
        <v>10</v>
      </c>
      <c r="B11" s="4">
        <v>5.0840046000000001</v>
      </c>
    </row>
    <row r="12" spans="1:2" x14ac:dyDescent="0.15">
      <c r="A12" s="2">
        <v>11</v>
      </c>
      <c r="B12" s="4">
        <v>5.8415311000000001</v>
      </c>
    </row>
    <row r="13" spans="1:2" x14ac:dyDescent="0.15">
      <c r="A13" s="2">
        <v>12</v>
      </c>
      <c r="B13" s="4">
        <v>6.6147182999999998</v>
      </c>
    </row>
    <row r="14" spans="1:2" x14ac:dyDescent="0.15">
      <c r="A14" s="2">
        <v>13</v>
      </c>
      <c r="B14" s="4">
        <v>7.4015154000000001</v>
      </c>
    </row>
    <row r="15" spans="1:2" x14ac:dyDescent="0.15">
      <c r="A15" s="2">
        <v>14</v>
      </c>
      <c r="B15" s="4">
        <v>8.2002682999999994</v>
      </c>
    </row>
    <row r="16" spans="1:2" x14ac:dyDescent="0.15">
      <c r="A16" s="2">
        <v>15</v>
      </c>
      <c r="B16" s="4">
        <v>9.0096215999999991</v>
      </c>
    </row>
    <row r="17" spans="1:2" x14ac:dyDescent="0.15">
      <c r="A17" s="2">
        <v>16</v>
      </c>
      <c r="B17" s="4">
        <v>9.8284491999999997</v>
      </c>
    </row>
    <row r="18" spans="1:2" x14ac:dyDescent="0.15">
      <c r="A18" s="2">
        <v>17</v>
      </c>
      <c r="B18" s="5">
        <v>10.655804</v>
      </c>
    </row>
    <row r="19" spans="1:2" x14ac:dyDescent="0.15">
      <c r="A19" s="2">
        <v>18</v>
      </c>
      <c r="B19" s="5">
        <v>11.490881999999999</v>
      </c>
    </row>
    <row r="20" spans="1:2" x14ac:dyDescent="0.15">
      <c r="A20" s="2">
        <v>19</v>
      </c>
      <c r="B20" s="5">
        <v>12.332992000000001</v>
      </c>
    </row>
    <row r="21" spans="1:2" x14ac:dyDescent="0.15">
      <c r="A21" s="2">
        <v>20</v>
      </c>
      <c r="B21" s="5">
        <v>13.181538</v>
      </c>
    </row>
    <row r="22" spans="1:2" x14ac:dyDescent="0.15">
      <c r="A22" s="2">
        <v>21</v>
      </c>
      <c r="B22" s="5">
        <v>14.035999</v>
      </c>
    </row>
    <row r="23" spans="1:2" x14ac:dyDescent="0.15">
      <c r="A23" s="2">
        <v>22</v>
      </c>
      <c r="B23" s="5">
        <v>14.895921</v>
      </c>
    </row>
    <row r="24" spans="1:2" x14ac:dyDescent="0.15">
      <c r="A24" s="2">
        <v>23</v>
      </c>
      <c r="B24" s="5">
        <v>15.760899</v>
      </c>
    </row>
    <row r="25" spans="1:2" x14ac:dyDescent="0.15">
      <c r="A25" s="2">
        <v>24</v>
      </c>
      <c r="B25" s="5">
        <v>16.630576000000001</v>
      </c>
    </row>
    <row r="26" spans="1:2" x14ac:dyDescent="0.15">
      <c r="A26" s="2">
        <v>25</v>
      </c>
      <c r="B26" s="5">
        <v>17.504635</v>
      </c>
    </row>
    <row r="27" spans="1:2" x14ac:dyDescent="0.15">
      <c r="A27" s="2">
        <v>26</v>
      </c>
      <c r="B27" s="5">
        <v>18.382788999999999</v>
      </c>
    </row>
    <row r="28" spans="1:2" x14ac:dyDescent="0.15">
      <c r="A28" s="2">
        <v>27</v>
      </c>
      <c r="B28" s="5">
        <v>19.264779999999998</v>
      </c>
    </row>
    <row r="29" spans="1:2" x14ac:dyDescent="0.15">
      <c r="A29" s="2">
        <v>28</v>
      </c>
      <c r="B29" s="5">
        <v>20.150378</v>
      </c>
    </row>
    <row r="30" spans="1:2" x14ac:dyDescent="0.15">
      <c r="A30" s="2">
        <v>29</v>
      </c>
      <c r="B30" s="5">
        <v>21.039370000000002</v>
      </c>
    </row>
    <row r="31" spans="1:2" x14ac:dyDescent="0.15">
      <c r="A31" s="2">
        <v>30</v>
      </c>
      <c r="B31" s="5">
        <v>21.931564999999999</v>
      </c>
    </row>
    <row r="32" spans="1:2" x14ac:dyDescent="0.15">
      <c r="A32" s="2">
        <v>31</v>
      </c>
      <c r="B32" s="5">
        <v>22.826789000000002</v>
      </c>
    </row>
    <row r="33" spans="1:2" x14ac:dyDescent="0.15">
      <c r="A33" s="2">
        <v>32</v>
      </c>
      <c r="B33" s="5">
        <v>23.724879000000001</v>
      </c>
    </row>
    <row r="34" spans="1:2" x14ac:dyDescent="0.15">
      <c r="A34" s="2">
        <v>33</v>
      </c>
      <c r="B34" s="5">
        <v>24.625689999999999</v>
      </c>
    </row>
    <row r="35" spans="1:2" x14ac:dyDescent="0.15">
      <c r="A35" s="2">
        <v>34</v>
      </c>
      <c r="B35" s="5">
        <v>25.529086</v>
      </c>
    </row>
    <row r="36" spans="1:2" x14ac:dyDescent="0.15">
      <c r="A36" s="2">
        <v>35</v>
      </c>
      <c r="B36" s="5">
        <v>26.434940999999998</v>
      </c>
    </row>
    <row r="37" spans="1:2" x14ac:dyDescent="0.15">
      <c r="A37" s="2">
        <v>36</v>
      </c>
      <c r="B37" s="5">
        <v>27.343139999999998</v>
      </c>
    </row>
    <row r="38" spans="1:2" x14ac:dyDescent="0.15">
      <c r="A38" s="2">
        <v>37</v>
      </c>
      <c r="B38" s="5">
        <v>28.253575999999999</v>
      </c>
    </row>
    <row r="39" spans="1:2" x14ac:dyDescent="0.15">
      <c r="A39" s="2">
        <v>38</v>
      </c>
      <c r="B39" s="5">
        <v>29.166146999999999</v>
      </c>
    </row>
    <row r="40" spans="1:2" x14ac:dyDescent="0.15">
      <c r="A40" s="2">
        <v>39</v>
      </c>
      <c r="B40" s="5">
        <v>30.080763000000001</v>
      </c>
    </row>
    <row r="41" spans="1:2" x14ac:dyDescent="0.15">
      <c r="A41" s="6">
        <v>40</v>
      </c>
      <c r="B41" s="7">
        <v>30.997335</v>
      </c>
    </row>
    <row r="42" spans="1:2" x14ac:dyDescent="0.15">
      <c r="A42" s="2">
        <v>41</v>
      </c>
      <c r="B42" s="5">
        <v>31.915783999999999</v>
      </c>
    </row>
    <row r="43" spans="1:2" x14ac:dyDescent="0.15">
      <c r="A43" s="2">
        <v>42</v>
      </c>
      <c r="B43" s="5">
        <v>32.836033</v>
      </c>
    </row>
    <row r="44" spans="1:2" x14ac:dyDescent="0.15">
      <c r="A44" s="2">
        <v>43</v>
      </c>
      <c r="B44" s="5">
        <v>33.758011000000003</v>
      </c>
    </row>
    <row r="45" spans="1:2" x14ac:dyDescent="0.15">
      <c r="A45" s="2">
        <v>44</v>
      </c>
      <c r="B45" s="5">
        <v>34.681651000000002</v>
      </c>
    </row>
    <row r="46" spans="1:2" x14ac:dyDescent="0.15">
      <c r="A46" s="2">
        <v>45</v>
      </c>
      <c r="B46" s="5">
        <v>35.606892000000002</v>
      </c>
    </row>
    <row r="47" spans="1:2" x14ac:dyDescent="0.15">
      <c r="A47" s="2">
        <v>46</v>
      </c>
      <c r="B47" s="5">
        <v>36.533673999999998</v>
      </c>
    </row>
    <row r="48" spans="1:2" x14ac:dyDescent="0.15">
      <c r="A48" s="2">
        <v>47</v>
      </c>
      <c r="B48" s="5">
        <v>37.461941000000003</v>
      </c>
    </row>
    <row r="49" spans="1:2" x14ac:dyDescent="0.15">
      <c r="A49" s="2">
        <v>48</v>
      </c>
      <c r="B49" s="5">
        <v>38.391641</v>
      </c>
    </row>
    <row r="50" spans="1:2" x14ac:dyDescent="0.15">
      <c r="A50" s="2">
        <v>49</v>
      </c>
      <c r="B50" s="5">
        <v>39.322724000000001</v>
      </c>
    </row>
    <row r="51" spans="1:2" x14ac:dyDescent="0.15">
      <c r="A51" s="2">
        <v>50</v>
      </c>
      <c r="B51" s="5">
        <v>40.255144000000001</v>
      </c>
    </row>
    <row r="52" spans="1:2" x14ac:dyDescent="0.15">
      <c r="A52" s="2">
        <v>51</v>
      </c>
      <c r="B52" s="5">
        <v>41.188854999999997</v>
      </c>
    </row>
    <row r="53" spans="1:2" x14ac:dyDescent="0.15">
      <c r="A53" s="2">
        <v>52</v>
      </c>
      <c r="B53" s="5">
        <v>42.123815999999998</v>
      </c>
    </row>
    <row r="54" spans="1:2" x14ac:dyDescent="0.15">
      <c r="A54" s="2">
        <v>53</v>
      </c>
      <c r="B54" s="5">
        <v>43.059986000000002</v>
      </c>
    </row>
    <row r="55" spans="1:2" x14ac:dyDescent="0.15">
      <c r="A55" s="2">
        <v>54</v>
      </c>
      <c r="B55" s="5">
        <v>43.997328000000003</v>
      </c>
    </row>
    <row r="56" spans="1:2" x14ac:dyDescent="0.15">
      <c r="A56" s="2">
        <v>55</v>
      </c>
      <c r="B56" s="5">
        <v>44.935805999999999</v>
      </c>
    </row>
    <row r="57" spans="1:2" x14ac:dyDescent="0.15">
      <c r="A57" s="2">
        <v>56</v>
      </c>
      <c r="B57" s="5">
        <v>45.875383999999997</v>
      </c>
    </row>
    <row r="58" spans="1:2" x14ac:dyDescent="0.15">
      <c r="A58" s="2">
        <v>57</v>
      </c>
      <c r="B58" s="5">
        <v>46.816029999999998</v>
      </c>
    </row>
    <row r="59" spans="1:2" x14ac:dyDescent="0.15">
      <c r="A59" s="2">
        <v>58</v>
      </c>
      <c r="B59" s="5">
        <v>47.757713000000003</v>
      </c>
    </row>
    <row r="60" spans="1:2" x14ac:dyDescent="0.15">
      <c r="A60" s="2">
        <v>59</v>
      </c>
      <c r="B60" s="5">
        <v>48.700403999999999</v>
      </c>
    </row>
    <row r="61" spans="1:2" x14ac:dyDescent="0.15">
      <c r="A61" s="2">
        <v>60</v>
      </c>
      <c r="B61" s="5">
        <v>49.644072000000001</v>
      </c>
    </row>
    <row r="62" spans="1:2" x14ac:dyDescent="0.15">
      <c r="A62" s="2">
        <v>61</v>
      </c>
      <c r="B62" s="5">
        <v>50.588692000000002</v>
      </c>
    </row>
    <row r="63" spans="1:2" x14ac:dyDescent="0.15">
      <c r="A63" s="2">
        <v>62</v>
      </c>
      <c r="B63" s="5">
        <v>51.534236999999997</v>
      </c>
    </row>
    <row r="64" spans="1:2" x14ac:dyDescent="0.15">
      <c r="A64" s="2">
        <v>63</v>
      </c>
      <c r="B64" s="5">
        <v>52.480682000000002</v>
      </c>
    </row>
    <row r="65" spans="1:2" x14ac:dyDescent="0.15">
      <c r="A65" s="2">
        <v>64</v>
      </c>
      <c r="B65" s="5">
        <v>53.428002999999997</v>
      </c>
    </row>
    <row r="66" spans="1:2" x14ac:dyDescent="0.15">
      <c r="A66" s="2">
        <v>65</v>
      </c>
      <c r="B66" s="5">
        <v>54.376176999999998</v>
      </c>
    </row>
    <row r="67" spans="1:2" x14ac:dyDescent="0.15">
      <c r="A67" s="2">
        <v>66</v>
      </c>
      <c r="B67" s="5">
        <v>55.325183000000003</v>
      </c>
    </row>
    <row r="68" spans="1:2" x14ac:dyDescent="0.15">
      <c r="A68" s="2">
        <v>67</v>
      </c>
      <c r="B68" s="5">
        <v>56.274999000000001</v>
      </c>
    </row>
    <row r="69" spans="1:2" x14ac:dyDescent="0.15">
      <c r="A69" s="2">
        <v>68</v>
      </c>
      <c r="B69" s="5">
        <v>57.225605000000002</v>
      </c>
    </row>
    <row r="70" spans="1:2" x14ac:dyDescent="0.15">
      <c r="A70" s="2">
        <v>69</v>
      </c>
      <c r="B70" s="5">
        <v>58.176980999999998</v>
      </c>
    </row>
    <row r="71" spans="1:2" x14ac:dyDescent="0.15">
      <c r="A71" s="2">
        <v>70</v>
      </c>
      <c r="B71" s="5">
        <v>59.129109</v>
      </c>
    </row>
    <row r="72" spans="1:2" x14ac:dyDescent="0.15">
      <c r="A72" s="2">
        <v>71</v>
      </c>
      <c r="B72" s="5">
        <v>60.081971000000003</v>
      </c>
    </row>
    <row r="73" spans="1:2" x14ac:dyDescent="0.15">
      <c r="A73" s="2">
        <v>72</v>
      </c>
      <c r="B73" s="5">
        <v>61.035549000000003</v>
      </c>
    </row>
    <row r="74" spans="1:2" x14ac:dyDescent="0.15">
      <c r="A74" s="2">
        <v>73</v>
      </c>
      <c r="B74" s="5">
        <v>61.989826000000001</v>
      </c>
    </row>
    <row r="75" spans="1:2" x14ac:dyDescent="0.15">
      <c r="A75" s="2">
        <v>74</v>
      </c>
      <c r="B75" s="5">
        <v>62.944788000000003</v>
      </c>
    </row>
    <row r="76" spans="1:2" x14ac:dyDescent="0.15">
      <c r="A76" s="2">
        <v>75</v>
      </c>
      <c r="B76" s="5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UMTS 2100</vt:lpstr>
      <vt:lpstr>Erlang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2019-03-27T08:49:27Z</cp:lastPrinted>
  <dcterms:created xsi:type="dcterms:W3CDTF">2011-01-31T17:50:12Z</dcterms:created>
  <dcterms:modified xsi:type="dcterms:W3CDTF">2021-12-26T12:10:17Z</dcterms:modified>
</cp:coreProperties>
</file>