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2 PEI 2/Correcciones/"/>
    </mc:Choice>
  </mc:AlternateContent>
  <xr:revisionPtr revIDLastSave="0" documentId="13_ncr:1_{8C1CB517-6BBD-A145-B8A9-2F42A935B7AA}" xr6:coauthVersionLast="47" xr6:coauthVersionMax="47" xr10:uidLastSave="{00000000-0000-0000-0000-000000000000}"/>
  <bookViews>
    <workbookView xWindow="0" yWindow="1080" windowWidth="28800" windowHeight="12300" tabRatio="860" xr2:uid="{00000000-000D-0000-FFFF-FFFF00000000}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5" l="1"/>
  <c r="L73" i="5"/>
  <c r="L71" i="5"/>
  <c r="L68" i="5"/>
  <c r="L58" i="5"/>
  <c r="L52" i="5"/>
  <c r="L44" i="5"/>
  <c r="L28" i="5"/>
  <c r="L13" i="5"/>
  <c r="C73" i="5"/>
  <c r="D55" i="5"/>
  <c r="E60" i="5" s="1"/>
  <c r="E61" i="5" s="1"/>
  <c r="E62" i="5" s="1"/>
  <c r="E63" i="5" s="1"/>
  <c r="E64" i="5" s="1"/>
  <c r="E66" i="5" s="1"/>
  <c r="F55" i="5"/>
  <c r="G60" i="5" s="1"/>
  <c r="B55" i="5"/>
  <c r="G50" i="5"/>
  <c r="G51" i="5" s="1"/>
  <c r="E50" i="5"/>
  <c r="E51" i="5" s="1"/>
  <c r="B50" i="5"/>
  <c r="B51" i="5" s="1"/>
  <c r="C49" i="5"/>
  <c r="C50" i="5" s="1"/>
  <c r="C51" i="5" s="1"/>
  <c r="D49" i="5"/>
  <c r="D50" i="5" s="1"/>
  <c r="D51" i="5" s="1"/>
  <c r="E49" i="5"/>
  <c r="F49" i="5"/>
  <c r="F50" i="5" s="1"/>
  <c r="F51" i="5" s="1"/>
  <c r="G49" i="5"/>
  <c r="B49" i="5"/>
  <c r="E58" i="5"/>
  <c r="C58" i="5"/>
  <c r="B58" i="5"/>
  <c r="B61" i="5" s="1"/>
  <c r="B62" i="5" s="1"/>
  <c r="B63" i="5" s="1"/>
  <c r="B64" i="5" s="1"/>
  <c r="B66" i="5" s="1"/>
  <c r="G57" i="5"/>
  <c r="G58" i="5" s="1"/>
  <c r="E57" i="5"/>
  <c r="C57" i="5"/>
  <c r="D57" i="5"/>
  <c r="D58" i="5" s="1"/>
  <c r="D61" i="5" s="1"/>
  <c r="D62" i="5" s="1"/>
  <c r="D63" i="5" s="1"/>
  <c r="D64" i="5" s="1"/>
  <c r="D66" i="5" s="1"/>
  <c r="F57" i="5"/>
  <c r="F58" i="5" s="1"/>
  <c r="F61" i="5" s="1"/>
  <c r="F62" i="5" s="1"/>
  <c r="F63" i="5" s="1"/>
  <c r="F64" i="5" s="1"/>
  <c r="F66" i="5" s="1"/>
  <c r="B57" i="5"/>
  <c r="C43" i="5"/>
  <c r="G43" i="5"/>
  <c r="G37" i="5"/>
  <c r="F37" i="5"/>
  <c r="F43" i="5" s="1"/>
  <c r="E37" i="5"/>
  <c r="E43" i="5" s="1"/>
  <c r="D37" i="5"/>
  <c r="D43" i="5" s="1"/>
  <c r="C37" i="5"/>
  <c r="B37" i="5"/>
  <c r="B43" i="5" s="1"/>
  <c r="G35" i="5"/>
  <c r="F35" i="5"/>
  <c r="E35" i="5"/>
  <c r="D35" i="5"/>
  <c r="C35" i="5"/>
  <c r="B35" i="5"/>
  <c r="E13" i="5"/>
  <c r="F13" i="5"/>
  <c r="C13" i="5"/>
  <c r="B24" i="5"/>
  <c r="D24" i="5"/>
  <c r="C24" i="5"/>
  <c r="D23" i="5"/>
  <c r="C23" i="5"/>
  <c r="D22" i="5"/>
  <c r="C22" i="5"/>
  <c r="B22" i="5"/>
  <c r="D4" i="5"/>
  <c r="D13" i="5" s="1"/>
  <c r="E4" i="5"/>
  <c r="F4" i="5"/>
  <c r="G4" i="5"/>
  <c r="G13" i="5" s="1"/>
  <c r="H4" i="5"/>
  <c r="H13" i="5" s="1"/>
  <c r="C4" i="5"/>
  <c r="L77" i="5" l="1"/>
  <c r="L78" i="5" s="1"/>
  <c r="E44" i="5"/>
  <c r="E52" i="5"/>
  <c r="C52" i="5"/>
  <c r="D52" i="5"/>
  <c r="D44" i="5"/>
  <c r="D68" i="5" s="1"/>
  <c r="G52" i="5"/>
  <c r="B68" i="5"/>
  <c r="B52" i="5"/>
  <c r="B44" i="5"/>
  <c r="F44" i="5"/>
  <c r="F68" i="5" s="1"/>
  <c r="F52" i="5"/>
  <c r="B14" i="5"/>
  <c r="B26" i="5" s="1"/>
  <c r="B28" i="5" s="1"/>
  <c r="G44" i="5"/>
  <c r="C44" i="5"/>
  <c r="G61" i="5"/>
  <c r="G62" i="5" s="1"/>
  <c r="G63" i="5" s="1"/>
  <c r="G64" i="5" s="1"/>
  <c r="G66" i="5" s="1"/>
  <c r="G68" i="5" s="1"/>
  <c r="E68" i="5"/>
  <c r="D14" i="5"/>
  <c r="D26" i="5" s="1"/>
  <c r="D28" i="5" s="1"/>
  <c r="C14" i="5"/>
  <c r="C26" i="5" s="1"/>
  <c r="C28" i="5" s="1"/>
  <c r="C60" i="5"/>
  <c r="C61" i="5" s="1"/>
  <c r="C62" i="5" s="1"/>
  <c r="C63" i="5" s="1"/>
  <c r="C64" i="5" s="1"/>
  <c r="C66" i="5" s="1"/>
  <c r="C68" i="5" s="1"/>
  <c r="B71" i="5" s="1"/>
  <c r="B72" i="5" s="1"/>
  <c r="B73" i="5" s="1"/>
  <c r="D71" i="5" l="1"/>
  <c r="D72" i="5" s="1"/>
  <c r="D73" i="5" s="1"/>
  <c r="C71" i="5"/>
  <c r="C72" i="5" s="1"/>
</calcChain>
</file>

<file path=xl/sharedStrings.xml><?xml version="1.0" encoding="utf-8"?>
<sst xmlns="http://schemas.openxmlformats.org/spreadsheetml/2006/main" count="99" uniqueCount="74">
  <si>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</si>
  <si>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</si>
  <si>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</si>
  <si>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</si>
  <si>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</si>
  <si>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</si>
  <si>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</si>
  <si>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</si>
  <si>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</si>
  <si>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</si>
  <si>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</si>
  <si>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</si>
  <si>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</si>
  <si>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</si>
  <si>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</si>
  <si>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</si>
  <si>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</si>
  <si>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</si>
  <si>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</si>
  <si>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</si>
  <si>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</si>
  <si>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</si>
  <si>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</si>
  <si>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</si>
  <si>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</si>
  <si>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</si>
  <si>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</si>
  <si>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</si>
  <si>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</si>
  <si>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</si>
  <si>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</si>
  <si>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</si>
  <si>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</si>
  <si>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</si>
  <si>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</si>
  <si>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</si>
  <si>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</si>
  <si>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</si>
  <si>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</si>
  <si>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</si>
  <si>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</si>
  <si>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</si>
  <si>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</si>
  <si>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</si>
  <si>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</si>
  <si>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</si>
  <si>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</si>
  <si>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</si>
  <si>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</si>
  <si>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Banda De Frecuencia</t>
  </si>
  <si>
    <t>Potencia</t>
  </si>
  <si>
    <t>L</t>
  </si>
  <si>
    <t>Gantena</t>
  </si>
  <si>
    <t>Sensibilidad (dBm)</t>
  </si>
  <si>
    <t>MD</t>
  </si>
  <si>
    <t>Lad</t>
  </si>
  <si>
    <t>Lcables</t>
  </si>
  <si>
    <t>MI</t>
  </si>
  <si>
    <t>A</t>
  </si>
  <si>
    <t>B</t>
  </si>
  <si>
    <t>a (hms)</t>
  </si>
  <si>
    <t>Lclutter</t>
  </si>
  <si>
    <t>s</t>
  </si>
  <si>
    <t>Aux</t>
  </si>
  <si>
    <t>Terreno por Tipo</t>
  </si>
  <si>
    <t>Población por Tipo</t>
  </si>
  <si>
    <t>Clientes</t>
  </si>
  <si>
    <t>Trafico individual diaria</t>
  </si>
  <si>
    <t>Trafico individual hora</t>
  </si>
  <si>
    <t>Tráfico individual anual</t>
  </si>
  <si>
    <t>Minutos Total Anual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</si>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</sst>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2" fontId="0" fillId="4" borderId="4" xfId="0" applyNumberFormat="1" applyFill="1" applyBorder="1"/>
    <xf numFmtId="2" fontId="1" fillId="3" borderId="4" xfId="0" applyNumberFormat="1" applyFont="1" applyFill="1" applyBorder="1"/>
    <xf numFmtId="2" fontId="0" fillId="0" borderId="0" xfId="0" applyNumberFormat="1"/>
    <xf numFmtId="0" fontId="1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8" borderId="4" xfId="0" applyFont="1" applyFill="1" applyBorder="1"/>
    <xf numFmtId="0" fontId="1" fillId="9" borderId="0" xfId="0" applyFont="1" applyFill="1"/>
    <xf numFmtId="0" fontId="1" fillId="2" borderId="0" xfId="0" applyFont="1" applyFill="1"/>
    <xf numFmtId="0" fontId="0" fillId="10" borderId="0" xfId="0" applyFill="1"/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 xr:uid="{00000000-0005-0000-0000-0000AF01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8"/>
  <sheetViews>
    <sheetView tabSelected="1" topLeftCell="A56" zoomScaleNormal="100" workbookViewId="0">
      <selection activeCell="K74" sqref="K74"/>
    </sheetView>
  </sheetViews>
  <sheetFormatPr baseColWidth="10" defaultRowHeight="13" x14ac:dyDescent="0.15"/>
  <cols>
    <col min="1" max="1" width="30.83203125" bestFit="1" customWidth="1"/>
    <col min="2" max="2" width="19.6640625" customWidth="1"/>
    <col min="3" max="3" width="12.33203125" customWidth="1"/>
    <col min="4" max="4" width="13.33203125" customWidth="1"/>
    <col min="5" max="5" width="13.33203125" bestFit="1" customWidth="1"/>
    <col min="6" max="6" width="19.1640625" customWidth="1"/>
    <col min="7" max="7" width="14.1640625" bestFit="1" customWidth="1"/>
  </cols>
  <sheetData>
    <row r="1" spans="1:12" x14ac:dyDescent="0.15">
      <c r="A1" s="11" t="s">
        <v>19</v>
      </c>
      <c r="B1" s="12"/>
      <c r="C1" s="12"/>
      <c r="D1" s="12"/>
      <c r="E1" s="12"/>
      <c r="F1" s="12"/>
      <c r="G1" s="12"/>
      <c r="H1" s="12"/>
      <c r="J1" s="47" t="s">
        <v>71</v>
      </c>
      <c r="K1" s="48" t="s">
        <v>72</v>
      </c>
      <c r="L1" s="48" t="s">
        <v>73</v>
      </c>
    </row>
    <row r="2" spans="1:12" x14ac:dyDescent="0.15">
      <c r="A2" s="12"/>
      <c r="B2" s="12"/>
      <c r="C2" s="43" t="s">
        <v>24</v>
      </c>
      <c r="D2" s="43"/>
      <c r="E2" s="43" t="s">
        <v>25</v>
      </c>
      <c r="F2" s="43"/>
      <c r="G2" s="44" t="s">
        <v>26</v>
      </c>
      <c r="H2" s="44"/>
    </row>
    <row r="3" spans="1:12" x14ac:dyDescent="0.15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12" x14ac:dyDescent="0.15">
      <c r="A4" s="14" t="s">
        <v>12</v>
      </c>
      <c r="B4" s="14" t="s">
        <v>50</v>
      </c>
      <c r="C4" s="37">
        <f>10*LOG10(0.125)+30</f>
        <v>20.969100130080562</v>
      </c>
      <c r="D4" s="37">
        <f t="shared" ref="D4:H4" si="0">10*LOG10(0.125)+30</f>
        <v>20.969100130080562</v>
      </c>
      <c r="E4" s="37">
        <f t="shared" si="0"/>
        <v>20.969100130080562</v>
      </c>
      <c r="F4" s="37">
        <f t="shared" si="0"/>
        <v>20.969100130080562</v>
      </c>
      <c r="G4" s="37">
        <f t="shared" si="0"/>
        <v>20.969100130080562</v>
      </c>
      <c r="H4" s="37">
        <f t="shared" si="0"/>
        <v>20.969100130080562</v>
      </c>
    </row>
    <row r="5" spans="1:12" x14ac:dyDescent="0.15">
      <c r="A5" s="14"/>
      <c r="B5" s="14" t="s">
        <v>51</v>
      </c>
      <c r="C5" s="14">
        <v>-4.5</v>
      </c>
      <c r="D5" s="14">
        <v>-4.5</v>
      </c>
      <c r="E5" s="14">
        <v>-4.5</v>
      </c>
      <c r="F5" s="14">
        <v>-4.5</v>
      </c>
      <c r="G5" s="14">
        <v>-4.5</v>
      </c>
      <c r="H5" s="14">
        <v>-4.5</v>
      </c>
    </row>
    <row r="6" spans="1:12" x14ac:dyDescent="0.15">
      <c r="A6" s="14"/>
      <c r="B6" s="14" t="s">
        <v>52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</row>
    <row r="7" spans="1:12" x14ac:dyDescent="0.15">
      <c r="A7" s="14" t="s">
        <v>13</v>
      </c>
      <c r="B7" s="14" t="s">
        <v>54</v>
      </c>
      <c r="C7" s="14">
        <v>-15</v>
      </c>
      <c r="D7" s="14">
        <v>-15</v>
      </c>
      <c r="E7" s="14">
        <v>-12</v>
      </c>
      <c r="F7" s="14">
        <v>-12</v>
      </c>
      <c r="G7" s="14">
        <v>-12</v>
      </c>
      <c r="H7" s="14">
        <v>-12</v>
      </c>
    </row>
    <row r="8" spans="1:12" x14ac:dyDescent="0.15">
      <c r="A8" s="14"/>
      <c r="B8" s="14" t="s">
        <v>55</v>
      </c>
      <c r="C8" s="14">
        <v>-12</v>
      </c>
      <c r="D8" s="14">
        <v>-12</v>
      </c>
      <c r="E8" s="14">
        <v>-9</v>
      </c>
      <c r="F8" s="14">
        <v>-9</v>
      </c>
      <c r="G8" s="14">
        <v>-7</v>
      </c>
      <c r="H8" s="14">
        <v>-7</v>
      </c>
    </row>
    <row r="9" spans="1:12" x14ac:dyDescent="0.15">
      <c r="A9" s="14" t="s">
        <v>14</v>
      </c>
      <c r="B9" s="14" t="s">
        <v>56</v>
      </c>
      <c r="C9" s="14">
        <v>-3</v>
      </c>
      <c r="D9" s="14">
        <v>-3</v>
      </c>
      <c r="E9" s="14">
        <v>-3</v>
      </c>
      <c r="F9" s="14">
        <v>-3</v>
      </c>
      <c r="G9" s="14">
        <v>-3</v>
      </c>
      <c r="H9" s="14">
        <v>-3</v>
      </c>
    </row>
    <row r="10" spans="1:12" x14ac:dyDescent="0.15">
      <c r="A10" s="14"/>
      <c r="B10" s="14" t="s">
        <v>52</v>
      </c>
      <c r="C10" s="14">
        <v>18</v>
      </c>
      <c r="D10" s="14">
        <v>18</v>
      </c>
      <c r="E10" s="14">
        <v>18</v>
      </c>
      <c r="F10" s="14">
        <v>18</v>
      </c>
      <c r="G10" s="14">
        <v>18</v>
      </c>
      <c r="H10" s="14">
        <v>18</v>
      </c>
    </row>
    <row r="11" spans="1:12" x14ac:dyDescent="0.15">
      <c r="A11" s="14"/>
      <c r="B11" s="14" t="s">
        <v>53</v>
      </c>
      <c r="C11" s="14">
        <v>-117</v>
      </c>
      <c r="D11" s="14">
        <v>-115</v>
      </c>
      <c r="E11" s="14">
        <v>-117</v>
      </c>
      <c r="F11" s="14">
        <v>-115</v>
      </c>
      <c r="G11" s="14">
        <v>-117</v>
      </c>
      <c r="H11" s="14">
        <v>-115</v>
      </c>
    </row>
    <row r="12" spans="1:12" x14ac:dyDescent="0.15">
      <c r="A12" s="14"/>
      <c r="B12" s="15" t="s">
        <v>57</v>
      </c>
      <c r="C12" s="14">
        <v>1.4</v>
      </c>
      <c r="D12" s="14">
        <v>1.4</v>
      </c>
      <c r="E12" s="14">
        <v>1.6</v>
      </c>
      <c r="F12" s="14">
        <v>1.6</v>
      </c>
      <c r="G12" s="14">
        <v>4.5</v>
      </c>
      <c r="H12" s="14">
        <v>4.5</v>
      </c>
    </row>
    <row r="13" spans="1:12" x14ac:dyDescent="0.15">
      <c r="A13" s="16" t="s">
        <v>0</v>
      </c>
      <c r="B13" s="16"/>
      <c r="C13" s="38">
        <f>C4+C5+C6+C7+C8+C9+C10-C11-C12</f>
        <v>120.06910013008056</v>
      </c>
      <c r="D13" s="38">
        <f t="shared" ref="D13:H13" si="1">D4+D5+D6+D7+D8+D9+D10-D11-D12</f>
        <v>118.06910013008056</v>
      </c>
      <c r="E13" s="38">
        <f t="shared" si="1"/>
        <v>125.86910013008057</v>
      </c>
      <c r="F13" s="38">
        <f t="shared" si="1"/>
        <v>123.86910013008057</v>
      </c>
      <c r="G13" s="38">
        <f t="shared" si="1"/>
        <v>124.96910013008056</v>
      </c>
      <c r="H13" s="38">
        <f t="shared" si="1"/>
        <v>122.96910013008056</v>
      </c>
      <c r="J13" s="47">
        <v>1</v>
      </c>
      <c r="K13" s="47">
        <v>1</v>
      </c>
      <c r="L13" s="47">
        <f>J13*K13</f>
        <v>1</v>
      </c>
    </row>
    <row r="14" spans="1:12" x14ac:dyDescent="0.15">
      <c r="B14" s="39">
        <f>MIN(C13,D13)</f>
        <v>118.06910013008056</v>
      </c>
      <c r="C14" s="39">
        <f>MIN(F13,E13)</f>
        <v>123.86910013008057</v>
      </c>
      <c r="D14" s="39">
        <f>MIN(G13,H13)</f>
        <v>122.96910013008056</v>
      </c>
    </row>
    <row r="15" spans="1:12" x14ac:dyDescent="0.15">
      <c r="A15" s="17"/>
      <c r="B15" s="22" t="s">
        <v>24</v>
      </c>
      <c r="C15" s="22" t="s">
        <v>25</v>
      </c>
      <c r="D15" s="22" t="s">
        <v>26</v>
      </c>
    </row>
    <row r="16" spans="1:12" x14ac:dyDescent="0.15">
      <c r="A16" s="18" t="s">
        <v>41</v>
      </c>
      <c r="B16" s="18">
        <v>38</v>
      </c>
      <c r="C16" s="18">
        <v>22</v>
      </c>
      <c r="D16" s="18">
        <v>30</v>
      </c>
    </row>
    <row r="17" spans="1:12" x14ac:dyDescent="0.15">
      <c r="A17" s="18" t="s">
        <v>42</v>
      </c>
      <c r="B17" s="18">
        <v>1.72</v>
      </c>
      <c r="C17" s="18">
        <v>1.72</v>
      </c>
      <c r="D17" s="18">
        <v>1.72</v>
      </c>
    </row>
    <row r="18" spans="1:12" x14ac:dyDescent="0.15">
      <c r="A18" s="10" t="s">
        <v>49</v>
      </c>
      <c r="B18" s="20">
        <v>2100</v>
      </c>
      <c r="C18" s="20">
        <v>2100</v>
      </c>
      <c r="D18" s="20">
        <v>2100</v>
      </c>
    </row>
    <row r="19" spans="1:12" x14ac:dyDescent="0.15">
      <c r="A19" s="19" t="s">
        <v>43</v>
      </c>
      <c r="B19" s="17" t="s">
        <v>44</v>
      </c>
      <c r="C19" s="17" t="s">
        <v>45</v>
      </c>
      <c r="D19" s="17" t="s">
        <v>45</v>
      </c>
    </row>
    <row r="20" spans="1:12" x14ac:dyDescent="0.15">
      <c r="A20" s="19" t="s">
        <v>58</v>
      </c>
      <c r="B20" s="19">
        <v>46.3</v>
      </c>
      <c r="C20" s="19">
        <v>46.3</v>
      </c>
      <c r="D20" s="19">
        <v>46.3</v>
      </c>
    </row>
    <row r="21" spans="1:12" x14ac:dyDescent="0.15">
      <c r="A21" s="19" t="s">
        <v>59</v>
      </c>
      <c r="B21" s="19">
        <v>33.9</v>
      </c>
      <c r="C21" s="19">
        <v>33.9</v>
      </c>
      <c r="D21" s="19">
        <v>33.9</v>
      </c>
    </row>
    <row r="22" spans="1:12" x14ac:dyDescent="0.15">
      <c r="A22" s="19" t="s">
        <v>60</v>
      </c>
      <c r="B22" s="19">
        <f>3.2*LOG10(11.75*B17)^2-4.97</f>
        <v>0.48441087675501127</v>
      </c>
      <c r="C22" s="19">
        <f>C17*(1.1*LOG10(C18)-0.7)-(1.56*LOG10(C18)-0.8)</f>
        <v>0.698976805851661</v>
      </c>
      <c r="D22" s="19">
        <f>D17*(1.1*LOG10(D18)-0.7)-(1.56*LOG10(D18)-0.8)</f>
        <v>0.698976805851661</v>
      </c>
    </row>
    <row r="23" spans="1:12" x14ac:dyDescent="0.15">
      <c r="A23" s="19" t="s">
        <v>61</v>
      </c>
      <c r="B23" s="19">
        <v>0</v>
      </c>
      <c r="C23" s="19">
        <f>-2*LOG10(C18/28)^2-5.4</f>
        <v>-12.431709482944157</v>
      </c>
      <c r="D23" s="19">
        <f>-4.78*LOG10(D18)^2+18.33*LOG10(D18)-40.94</f>
        <v>-32.801254509732452</v>
      </c>
    </row>
    <row r="24" spans="1:12" x14ac:dyDescent="0.15">
      <c r="A24" s="19" t="s">
        <v>62</v>
      </c>
      <c r="B24" s="19">
        <f>(47.88+13.9*LOG10(B18)-13.82*LOG10(B16))*(1/(LOG10(50)))</f>
        <v>42.511779906193333</v>
      </c>
      <c r="C24" s="19">
        <f>44.9-6.55*LOG10(C16)</f>
        <v>36.107131440614552</v>
      </c>
      <c r="D24" s="19">
        <f>44.9-6.55*LOG10(D16)</f>
        <v>35.224855781586214</v>
      </c>
    </row>
    <row r="25" spans="1:12" x14ac:dyDescent="0.15">
      <c r="A25" s="19"/>
      <c r="B25" s="19"/>
      <c r="C25" s="19"/>
      <c r="D25" s="19"/>
    </row>
    <row r="26" spans="1:12" x14ac:dyDescent="0.15">
      <c r="A26" s="19" t="s">
        <v>63</v>
      </c>
      <c r="B26" s="17">
        <f>B14-B20-B21*LOG10(B18)+13.82*LOG10(B16)+B22-B23</f>
        <v>-18.537113779399974</v>
      </c>
      <c r="C26" s="17">
        <f t="shared" ref="C26:D26" si="2">C14-C20-C21*LOG10(C18)+13.82*LOG10(C16)+C22-C23</f>
        <v>-3.3711662236405786</v>
      </c>
      <c r="D26" s="17">
        <f t="shared" si="2"/>
        <v>17.959913094410553</v>
      </c>
    </row>
    <row r="27" spans="1:12" x14ac:dyDescent="0.15">
      <c r="A27" s="19"/>
      <c r="B27" s="19"/>
      <c r="C27" s="19"/>
      <c r="D27" s="19"/>
    </row>
    <row r="28" spans="1:12" x14ac:dyDescent="0.15">
      <c r="A28" s="10" t="s">
        <v>46</v>
      </c>
      <c r="B28" s="21">
        <f>10^(B26/B24)</f>
        <v>0.36639832349631157</v>
      </c>
      <c r="C28" s="21">
        <f t="shared" ref="C28:D28" si="3">10^(C26/C24)</f>
        <v>0.80655565065838641</v>
      </c>
      <c r="D28" s="21">
        <f t="shared" si="3"/>
        <v>3.234929146602822</v>
      </c>
      <c r="J28" s="47">
        <v>1.5</v>
      </c>
      <c r="K28" s="47">
        <v>0</v>
      </c>
      <c r="L28" s="47">
        <f t="shared" ref="L28:L44" si="4">J28*K28</f>
        <v>0</v>
      </c>
    </row>
    <row r="30" spans="1:12" x14ac:dyDescent="0.15">
      <c r="A30" s="13" t="s">
        <v>47</v>
      </c>
      <c r="B30" s="9"/>
      <c r="C30" s="9"/>
      <c r="D30" s="9"/>
      <c r="E30" s="9"/>
      <c r="F30" s="9"/>
      <c r="G30" s="9"/>
    </row>
    <row r="31" spans="1:12" x14ac:dyDescent="0.15">
      <c r="A31" s="18" t="s">
        <v>31</v>
      </c>
      <c r="B31" s="24">
        <v>235</v>
      </c>
      <c r="C31" s="9"/>
      <c r="D31" s="9"/>
      <c r="E31" s="9"/>
      <c r="F31" s="9"/>
      <c r="G31" s="9"/>
    </row>
    <row r="32" spans="1:12" x14ac:dyDescent="0.15">
      <c r="A32" s="18" t="s">
        <v>32</v>
      </c>
      <c r="B32" s="24">
        <v>363500</v>
      </c>
      <c r="C32" s="9"/>
      <c r="D32" s="9"/>
      <c r="E32" s="9"/>
      <c r="F32" s="9"/>
      <c r="G32" s="9"/>
    </row>
    <row r="33" spans="1:12" x14ac:dyDescent="0.15">
      <c r="A33" s="23"/>
      <c r="B33" s="45" t="s">
        <v>24</v>
      </c>
      <c r="C33" s="45"/>
      <c r="D33" s="45" t="s">
        <v>25</v>
      </c>
      <c r="E33" s="45"/>
      <c r="F33" s="45" t="s">
        <v>26</v>
      </c>
      <c r="G33" s="45"/>
    </row>
    <row r="34" spans="1:12" x14ac:dyDescent="0.15">
      <c r="A34" s="18" t="s">
        <v>33</v>
      </c>
      <c r="B34" s="25">
        <v>0.12</v>
      </c>
      <c r="C34" s="25">
        <v>0.12</v>
      </c>
      <c r="D34" s="25">
        <v>0.23</v>
      </c>
      <c r="E34" s="25">
        <v>0.23</v>
      </c>
      <c r="F34" s="25">
        <v>0.65</v>
      </c>
      <c r="G34" s="25">
        <v>0.65</v>
      </c>
    </row>
    <row r="35" spans="1:12" x14ac:dyDescent="0.15">
      <c r="A35" s="23" t="s">
        <v>64</v>
      </c>
      <c r="B35" s="23">
        <f>B31*B34</f>
        <v>28.2</v>
      </c>
      <c r="C35" s="23">
        <f>B31*C34</f>
        <v>28.2</v>
      </c>
      <c r="D35" s="23">
        <f>B31*D34</f>
        <v>54.050000000000004</v>
      </c>
      <c r="E35" s="23">
        <f>B31*E34</f>
        <v>54.050000000000004</v>
      </c>
      <c r="F35" s="23">
        <f>B31*F34</f>
        <v>152.75</v>
      </c>
      <c r="G35" s="23">
        <f>B31*G34</f>
        <v>152.75</v>
      </c>
    </row>
    <row r="36" spans="1:12" x14ac:dyDescent="0.15">
      <c r="A36" s="18" t="s">
        <v>34</v>
      </c>
      <c r="B36" s="25">
        <v>0.62</v>
      </c>
      <c r="C36" s="25">
        <v>0.62</v>
      </c>
      <c r="D36" s="25">
        <v>0.22</v>
      </c>
      <c r="E36" s="25">
        <v>0.22</v>
      </c>
      <c r="F36" s="25">
        <v>0.16</v>
      </c>
      <c r="G36" s="25">
        <v>0.16</v>
      </c>
    </row>
    <row r="37" spans="1:12" x14ac:dyDescent="0.15">
      <c r="A37" s="23" t="s">
        <v>65</v>
      </c>
      <c r="B37" s="23">
        <f>B32*B36</f>
        <v>225370</v>
      </c>
      <c r="C37" s="23">
        <f>C36*B32</f>
        <v>225370</v>
      </c>
      <c r="D37" s="23">
        <f>D36*B32</f>
        <v>79970</v>
      </c>
      <c r="E37" s="23">
        <f>E36*B32</f>
        <v>79970</v>
      </c>
      <c r="F37" s="23">
        <f>F36*B32</f>
        <v>58160</v>
      </c>
      <c r="G37" s="23">
        <f>G36*B32</f>
        <v>58160</v>
      </c>
    </row>
    <row r="38" spans="1:12" x14ac:dyDescent="0.15">
      <c r="A38" s="18" t="s">
        <v>35</v>
      </c>
      <c r="B38" s="18">
        <v>1.05</v>
      </c>
      <c r="C38" s="18">
        <v>1.05</v>
      </c>
      <c r="D38" s="18">
        <v>1.05</v>
      </c>
      <c r="E38" s="18">
        <v>1.05</v>
      </c>
      <c r="F38" s="18">
        <v>1.05</v>
      </c>
      <c r="G38" s="18">
        <v>1.05</v>
      </c>
    </row>
    <row r="39" spans="1:12" x14ac:dyDescent="0.15">
      <c r="A39" s="18" t="s">
        <v>36</v>
      </c>
      <c r="B39" s="18">
        <v>0.29499999999999998</v>
      </c>
      <c r="C39" s="18">
        <v>0.29499999999999998</v>
      </c>
      <c r="D39" s="18">
        <v>0.29499999999999998</v>
      </c>
      <c r="E39" s="18">
        <v>0.29499999999999998</v>
      </c>
      <c r="F39" s="18">
        <v>0.29499999999999998</v>
      </c>
      <c r="G39" s="18">
        <v>0.29499999999999998</v>
      </c>
    </row>
    <row r="40" spans="1:12" x14ac:dyDescent="0.15">
      <c r="A40" s="23"/>
      <c r="B40" s="23"/>
      <c r="C40" s="23"/>
      <c r="D40" s="23"/>
      <c r="E40" s="23"/>
      <c r="F40" s="23"/>
      <c r="G40" s="23"/>
    </row>
    <row r="41" spans="1:12" x14ac:dyDescent="0.15">
      <c r="A41" s="23"/>
      <c r="B41" s="23"/>
      <c r="C41" s="23"/>
      <c r="D41" s="23"/>
      <c r="E41" s="23"/>
      <c r="F41" s="23"/>
      <c r="G41" s="23"/>
    </row>
    <row r="42" spans="1:12" x14ac:dyDescent="0.15">
      <c r="A42" s="18" t="s">
        <v>37</v>
      </c>
      <c r="B42" s="18">
        <v>1</v>
      </c>
      <c r="C42" s="18">
        <v>1.1000000000000001</v>
      </c>
      <c r="D42" s="18">
        <v>1</v>
      </c>
      <c r="E42" s="18">
        <v>1.1000000000000001</v>
      </c>
      <c r="F42" s="18">
        <v>1</v>
      </c>
      <c r="G42" s="18">
        <v>1.1000000000000001</v>
      </c>
    </row>
    <row r="43" spans="1:12" x14ac:dyDescent="0.15">
      <c r="A43" s="23" t="s">
        <v>66</v>
      </c>
      <c r="B43" s="23">
        <f>B37*B38*B39*B42</f>
        <v>69808.357499999998</v>
      </c>
      <c r="C43" s="23">
        <f t="shared" ref="C43:G43" si="5">C37*C38*C39*C42</f>
        <v>76789.193250000011</v>
      </c>
      <c r="D43" s="23">
        <f t="shared" si="5"/>
        <v>24770.7075</v>
      </c>
      <c r="E43" s="23">
        <f t="shared" si="5"/>
        <v>27247.778250000003</v>
      </c>
      <c r="F43" s="23">
        <f t="shared" si="5"/>
        <v>18015.059999999998</v>
      </c>
      <c r="G43" s="23">
        <f t="shared" si="5"/>
        <v>19816.565999999999</v>
      </c>
    </row>
    <row r="44" spans="1:12" x14ac:dyDescent="0.15">
      <c r="A44" s="10" t="s">
        <v>38</v>
      </c>
      <c r="B44" s="26">
        <f>B43/B35</f>
        <v>2475.4736702127661</v>
      </c>
      <c r="C44" s="26">
        <f t="shared" ref="C44:G44" si="6">C43/C35</f>
        <v>2723.021037234043</v>
      </c>
      <c r="D44" s="26">
        <f t="shared" si="6"/>
        <v>458.29246068455132</v>
      </c>
      <c r="E44" s="26">
        <f t="shared" si="6"/>
        <v>504.12170675300649</v>
      </c>
      <c r="F44" s="26">
        <f t="shared" si="6"/>
        <v>117.93819967266774</v>
      </c>
      <c r="G44" s="26">
        <f t="shared" si="6"/>
        <v>129.73201963993452</v>
      </c>
      <c r="J44" s="47">
        <v>0.5</v>
      </c>
      <c r="K44" s="47">
        <v>1</v>
      </c>
      <c r="L44" s="47">
        <f t="shared" si="4"/>
        <v>0.5</v>
      </c>
    </row>
    <row r="47" spans="1:12" ht="13" customHeight="1" x14ac:dyDescent="0.15">
      <c r="A47" s="13" t="s">
        <v>39</v>
      </c>
      <c r="B47" s="40" t="s">
        <v>24</v>
      </c>
      <c r="C47" s="40"/>
      <c r="D47" s="40" t="s">
        <v>25</v>
      </c>
      <c r="E47" s="40"/>
      <c r="F47" s="40" t="s">
        <v>26</v>
      </c>
      <c r="G47" s="40"/>
    </row>
    <row r="48" spans="1:12" ht="13" customHeight="1" x14ac:dyDescent="0.15">
      <c r="A48" s="27" t="s">
        <v>48</v>
      </c>
      <c r="B48" s="18">
        <v>1.4999999999999999E-2</v>
      </c>
      <c r="C48" s="18">
        <v>0.01</v>
      </c>
      <c r="D48" s="18">
        <v>1.2E-2</v>
      </c>
      <c r="E48" s="18">
        <v>1.0999999999999999E-2</v>
      </c>
      <c r="F48" s="18">
        <v>0.01</v>
      </c>
      <c r="G48" s="18">
        <v>7.0000000000000001E-3</v>
      </c>
    </row>
    <row r="49" spans="1:12" ht="13" customHeight="1" x14ac:dyDescent="0.15">
      <c r="A49" s="28" t="s">
        <v>68</v>
      </c>
      <c r="B49" s="29">
        <f>B48*60</f>
        <v>0.89999999999999991</v>
      </c>
      <c r="C49" s="29">
        <f t="shared" ref="C49:G49" si="7">C48*60</f>
        <v>0.6</v>
      </c>
      <c r="D49" s="29">
        <f t="shared" si="7"/>
        <v>0.72</v>
      </c>
      <c r="E49" s="29">
        <f t="shared" si="7"/>
        <v>0.65999999999999992</v>
      </c>
      <c r="F49" s="29">
        <f t="shared" si="7"/>
        <v>0.6</v>
      </c>
      <c r="G49" s="29">
        <f t="shared" si="7"/>
        <v>0.42</v>
      </c>
    </row>
    <row r="50" spans="1:12" ht="13" customHeight="1" x14ac:dyDescent="0.15">
      <c r="A50" s="28" t="s">
        <v>67</v>
      </c>
      <c r="B50" s="29">
        <f>B49*8</f>
        <v>7.1999999999999993</v>
      </c>
      <c r="C50" s="29">
        <f>C49*13</f>
        <v>7.8</v>
      </c>
      <c r="D50" s="29">
        <f t="shared" ref="D50:F50" si="8">D49*8</f>
        <v>5.76</v>
      </c>
      <c r="E50" s="29">
        <f>E49*13</f>
        <v>8.5799999999999983</v>
      </c>
      <c r="F50" s="29">
        <f t="shared" si="8"/>
        <v>4.8</v>
      </c>
      <c r="G50" s="29">
        <f>G49*13</f>
        <v>5.46</v>
      </c>
    </row>
    <row r="51" spans="1:12" ht="13" customHeight="1" x14ac:dyDescent="0.15">
      <c r="A51" s="28" t="s">
        <v>69</v>
      </c>
      <c r="B51" s="30">
        <f>B50*250</f>
        <v>1799.9999999999998</v>
      </c>
      <c r="C51" s="30">
        <f t="shared" ref="C51:G51" si="9">C50*250</f>
        <v>1950</v>
      </c>
      <c r="D51" s="30">
        <f t="shared" si="9"/>
        <v>1440</v>
      </c>
      <c r="E51" s="30">
        <f t="shared" si="9"/>
        <v>2144.9999999999995</v>
      </c>
      <c r="F51" s="30">
        <f t="shared" si="9"/>
        <v>1200</v>
      </c>
      <c r="G51" s="30">
        <f t="shared" si="9"/>
        <v>1365</v>
      </c>
    </row>
    <row r="52" spans="1:12" ht="13" customHeight="1" x14ac:dyDescent="0.15">
      <c r="A52" s="10" t="s">
        <v>70</v>
      </c>
      <c r="B52" s="10">
        <f>B43*B51</f>
        <v>125655043.49999999</v>
      </c>
      <c r="C52" s="10">
        <f t="shared" ref="C52:G52" si="10">C43*C51</f>
        <v>149738926.83750004</v>
      </c>
      <c r="D52" s="10">
        <f t="shared" si="10"/>
        <v>35669818.799999997</v>
      </c>
      <c r="E52" s="10">
        <f t="shared" si="10"/>
        <v>58446484.346249998</v>
      </c>
      <c r="F52" s="10">
        <f t="shared" si="10"/>
        <v>21618071.999999996</v>
      </c>
      <c r="G52" s="10">
        <f t="shared" si="10"/>
        <v>27049612.59</v>
      </c>
      <c r="J52" s="47">
        <v>0.75</v>
      </c>
      <c r="K52" s="47">
        <v>1</v>
      </c>
      <c r="L52" s="47">
        <f>J52*K52</f>
        <v>0.75</v>
      </c>
    </row>
    <row r="54" spans="1:12" x14ac:dyDescent="0.15">
      <c r="A54" s="13" t="s">
        <v>2</v>
      </c>
      <c r="B54" s="40" t="s">
        <v>24</v>
      </c>
      <c r="C54" s="40"/>
      <c r="D54" s="40" t="s">
        <v>25</v>
      </c>
      <c r="E54" s="40"/>
      <c r="F54" s="40" t="s">
        <v>26</v>
      </c>
      <c r="G54" s="40"/>
    </row>
    <row r="55" spans="1:12" x14ac:dyDescent="0.15">
      <c r="A55" s="14" t="s">
        <v>1</v>
      </c>
      <c r="B55" s="41">
        <f>1-(1/(10^(C12/10)))</f>
        <v>0.27556403992500988</v>
      </c>
      <c r="C55" s="42"/>
      <c r="D55" s="41">
        <f t="shared" ref="D55" si="11">1-(1/(10^(E12/10)))</f>
        <v>0.30816902908106347</v>
      </c>
      <c r="E55" s="42"/>
      <c r="F55" s="41">
        <f t="shared" ref="F55" si="12">1-(1/(10^(G12/10)))</f>
        <v>0.64518661076642458</v>
      </c>
      <c r="G55" s="42"/>
    </row>
    <row r="56" spans="1:12" x14ac:dyDescent="0.15">
      <c r="A56" s="19"/>
      <c r="B56" s="31" t="s">
        <v>27</v>
      </c>
      <c r="C56" s="31" t="s">
        <v>4</v>
      </c>
      <c r="D56" s="31" t="s">
        <v>3</v>
      </c>
      <c r="E56" s="31" t="s">
        <v>4</v>
      </c>
      <c r="F56" s="31" t="s">
        <v>3</v>
      </c>
      <c r="G56" s="31" t="s">
        <v>4</v>
      </c>
    </row>
    <row r="57" spans="1:12" x14ac:dyDescent="0.15">
      <c r="A57" s="14" t="s">
        <v>8</v>
      </c>
      <c r="B57" s="14">
        <f>10^(4.6/10)</f>
        <v>2.8840315031266059</v>
      </c>
      <c r="C57" s="14">
        <f>10^(2.6/10)</f>
        <v>1.8197008586099837</v>
      </c>
      <c r="D57" s="14">
        <f t="shared" ref="D57:F57" si="13">10^(4.6/10)</f>
        <v>2.8840315031266059</v>
      </c>
      <c r="E57" s="14">
        <f>10^(2.6/10)</f>
        <v>1.8197008586099837</v>
      </c>
      <c r="F57" s="14">
        <f t="shared" si="13"/>
        <v>2.8840315031266059</v>
      </c>
      <c r="G57" s="14">
        <f>10^(2.6/10)</f>
        <v>1.8197008586099837</v>
      </c>
    </row>
    <row r="58" spans="1:12" x14ac:dyDescent="0.15">
      <c r="A58" s="14" t="s">
        <v>9</v>
      </c>
      <c r="B58" s="14">
        <f>(B57*0.67)*(1-0.55+0.66)/(3840/12.2)</f>
        <v>6.8143806229890979E-3</v>
      </c>
      <c r="C58" s="14">
        <f>(C57*1)*(1-0.55+0.66)/(3840/64)</f>
        <v>3.3664465884284699E-2</v>
      </c>
      <c r="D58" s="14">
        <f t="shared" ref="D58:F58" si="14">(D57*0.67)*(1-0.55+0.66)/(3840/12.2)</f>
        <v>6.8143806229890979E-3</v>
      </c>
      <c r="E58" s="14">
        <f>(E57*1)*(1-0.55+0.66)/(3840/64)</f>
        <v>3.3664465884284699E-2</v>
      </c>
      <c r="F58" s="14">
        <f t="shared" si="14"/>
        <v>6.8143806229890979E-3</v>
      </c>
      <c r="G58" s="14">
        <f>(G57*1)*(1-0.55+0.66)/(3840/64)</f>
        <v>3.3664465884284699E-2</v>
      </c>
      <c r="J58" s="47">
        <v>1.25</v>
      </c>
      <c r="K58" s="47">
        <v>1</v>
      </c>
      <c r="L58" s="47">
        <f>J58*K58</f>
        <v>1.25</v>
      </c>
    </row>
    <row r="59" spans="1:12" x14ac:dyDescent="0.15">
      <c r="A59" s="32"/>
      <c r="B59" s="19"/>
      <c r="C59" s="19"/>
      <c r="D59" s="19"/>
      <c r="E59" s="19"/>
      <c r="F59" s="19"/>
      <c r="G59" s="19"/>
    </row>
    <row r="60" spans="1:12" x14ac:dyDescent="0.15">
      <c r="A60" s="19" t="s">
        <v>10</v>
      </c>
      <c r="B60" s="19">
        <v>5.2999999999999999E-2</v>
      </c>
      <c r="C60" s="33">
        <f>B55-B60</f>
        <v>0.22256403992500989</v>
      </c>
      <c r="D60" s="19">
        <v>0.05</v>
      </c>
      <c r="E60" s="33">
        <f>D55-D60</f>
        <v>0.25816902908106348</v>
      </c>
      <c r="F60" s="19">
        <v>0.12</v>
      </c>
      <c r="G60" s="33">
        <f>F55-F60</f>
        <v>0.52518661076642459</v>
      </c>
    </row>
    <row r="61" spans="1:12" x14ac:dyDescent="0.15">
      <c r="A61" s="34" t="s">
        <v>30</v>
      </c>
      <c r="B61" s="32">
        <f>B60/B58</f>
        <v>7.7776694511601532</v>
      </c>
      <c r="C61" s="32">
        <f t="shared" ref="C61:G61" si="15">C60/C58</f>
        <v>6.6112452426850359</v>
      </c>
      <c r="D61" s="32">
        <f t="shared" si="15"/>
        <v>7.3374240105284469</v>
      </c>
      <c r="E61" s="32">
        <f t="shared" si="15"/>
        <v>7.6688883159017349</v>
      </c>
      <c r="F61" s="32">
        <f t="shared" si="15"/>
        <v>17.609817625268271</v>
      </c>
      <c r="G61" s="32">
        <f t="shared" si="15"/>
        <v>15.600622109130002</v>
      </c>
    </row>
    <row r="62" spans="1:12" x14ac:dyDescent="0.15">
      <c r="A62" s="19" t="s">
        <v>11</v>
      </c>
      <c r="B62" s="19">
        <f>B61*(1+0.66)</f>
        <v>12.910931288925855</v>
      </c>
      <c r="C62" s="19">
        <f t="shared" ref="C62:G62" si="16">C61*(1+0.66)</f>
        <v>10.974667102857161</v>
      </c>
      <c r="D62" s="19">
        <f t="shared" si="16"/>
        <v>12.180123857477223</v>
      </c>
      <c r="E62" s="19">
        <f t="shared" si="16"/>
        <v>12.730354604396881</v>
      </c>
      <c r="F62" s="19">
        <f t="shared" si="16"/>
        <v>29.23229725794533</v>
      </c>
      <c r="G62" s="19">
        <f t="shared" si="16"/>
        <v>25.897032701155805</v>
      </c>
    </row>
    <row r="63" spans="1:12" x14ac:dyDescent="0.15">
      <c r="A63" s="34" t="s">
        <v>22</v>
      </c>
      <c r="B63" s="34">
        <f>VLOOKUP(B62,Erlang!A1:B76,2)</f>
        <v>6.6147182999999998</v>
      </c>
      <c r="C63" s="34">
        <f>VLOOKUP(C62,Erlang!A1:B76,2)</f>
        <v>5.0840046000000001</v>
      </c>
      <c r="D63" s="34">
        <f>VLOOKUP(D62,Erlang!A1:B76,2)</f>
        <v>6.6147182999999998</v>
      </c>
      <c r="E63" s="34">
        <f>VLOOKUP(E62,Erlang!A1:B76,2)</f>
        <v>6.6147182999999998</v>
      </c>
      <c r="F63" s="34">
        <f>VLOOKUP(F62,Erlang!A1:B76,2)</f>
        <v>21.039370000000002</v>
      </c>
      <c r="G63" s="34">
        <f>VLOOKUP(G62,Erlang!A1:B76,2)</f>
        <v>17.504635</v>
      </c>
    </row>
    <row r="64" spans="1:12" x14ac:dyDescent="0.15">
      <c r="A64" s="19" t="s">
        <v>23</v>
      </c>
      <c r="B64" s="19">
        <f>B63/(1+0.66)</f>
        <v>3.9847700602409635</v>
      </c>
      <c r="C64" s="19">
        <f t="shared" ref="C64:G64" si="17">C63/(1+0.66)</f>
        <v>3.0626533734939758</v>
      </c>
      <c r="D64" s="19">
        <f t="shared" si="17"/>
        <v>3.9847700602409635</v>
      </c>
      <c r="E64" s="19">
        <f t="shared" si="17"/>
        <v>3.9847700602409635</v>
      </c>
      <c r="F64" s="19">
        <f t="shared" si="17"/>
        <v>12.674319277108435</v>
      </c>
      <c r="G64" s="19">
        <f t="shared" si="17"/>
        <v>10.544960843373493</v>
      </c>
    </row>
    <row r="65" spans="1:12" x14ac:dyDescent="0.15">
      <c r="A65" s="19" t="s">
        <v>40</v>
      </c>
      <c r="B65" s="18">
        <v>1.4999999999999999E-2</v>
      </c>
      <c r="C65" s="18">
        <v>0.01</v>
      </c>
      <c r="D65" s="18">
        <v>1.2E-2</v>
      </c>
      <c r="E65" s="18">
        <v>1.0999999999999999E-2</v>
      </c>
      <c r="F65" s="18">
        <v>0.01</v>
      </c>
      <c r="G65" s="18">
        <v>7.0000000000000001E-3</v>
      </c>
    </row>
    <row r="66" spans="1:12" x14ac:dyDescent="0.15">
      <c r="A66" s="19" t="s">
        <v>7</v>
      </c>
      <c r="B66" s="19">
        <f>B64/B65</f>
        <v>265.65133734939758</v>
      </c>
      <c r="C66" s="19">
        <f t="shared" ref="C66:G66" si="18">C64/C65</f>
        <v>306.26533734939756</v>
      </c>
      <c r="D66" s="19">
        <f t="shared" si="18"/>
        <v>332.06417168674693</v>
      </c>
      <c r="E66" s="19">
        <f t="shared" si="18"/>
        <v>362.25182365826942</v>
      </c>
      <c r="F66" s="19">
        <f t="shared" si="18"/>
        <v>1267.4319277108434</v>
      </c>
      <c r="G66" s="19">
        <f t="shared" si="18"/>
        <v>1506.4229776247848</v>
      </c>
    </row>
    <row r="67" spans="1:12" x14ac:dyDescent="0.15">
      <c r="A67" s="35"/>
      <c r="B67" s="40" t="s">
        <v>24</v>
      </c>
      <c r="C67" s="40"/>
      <c r="D67" s="40" t="s">
        <v>25</v>
      </c>
      <c r="E67" s="40"/>
      <c r="F67" s="40" t="s">
        <v>26</v>
      </c>
      <c r="G67" s="40"/>
    </row>
    <row r="68" spans="1:12" x14ac:dyDescent="0.15">
      <c r="A68" s="16" t="s">
        <v>5</v>
      </c>
      <c r="B68" s="36">
        <f>SQRT(B66*4/(PI()*B44))</f>
        <v>0.3696425068583617</v>
      </c>
      <c r="C68" s="36">
        <f>SQRT(C66*4/(PI()*C44))</f>
        <v>0.37842383658771689</v>
      </c>
      <c r="D68" s="36">
        <f>SQRT(D66*3/(PI()*D44))</f>
        <v>0.83181231233206754</v>
      </c>
      <c r="E68" s="36">
        <f t="shared" ref="E68:G68" si="19">SQRT(E66*3/(PI()*E44))</f>
        <v>0.82836794013601101</v>
      </c>
      <c r="F68" s="36">
        <f t="shared" si="19"/>
        <v>3.2034707698249791</v>
      </c>
      <c r="G68" s="36">
        <f t="shared" si="19"/>
        <v>3.3299335503616652</v>
      </c>
      <c r="J68" s="47">
        <v>3</v>
      </c>
      <c r="K68" s="47">
        <v>1</v>
      </c>
      <c r="L68" s="47">
        <f>J68*K68</f>
        <v>3</v>
      </c>
    </row>
    <row r="70" spans="1:12" x14ac:dyDescent="0.15">
      <c r="A70" s="35"/>
      <c r="B70" s="35" t="s">
        <v>24</v>
      </c>
      <c r="C70" s="35" t="s">
        <v>25</v>
      </c>
      <c r="D70" s="35" t="s">
        <v>26</v>
      </c>
    </row>
    <row r="71" spans="1:12" x14ac:dyDescent="0.15">
      <c r="A71" s="16" t="s">
        <v>6</v>
      </c>
      <c r="B71" s="36">
        <f>MIN(B68,C68,B28)</f>
        <v>0.36639832349631157</v>
      </c>
      <c r="C71" s="36">
        <f>MIN(E68,D68,C28)</f>
        <v>0.80655565065838641</v>
      </c>
      <c r="D71" s="36">
        <f>MIN(F68,G68,D28)</f>
        <v>3.2034707698249791</v>
      </c>
      <c r="J71" s="47">
        <v>1.5</v>
      </c>
      <c r="K71" s="47">
        <v>0.3</v>
      </c>
      <c r="L71" s="47">
        <f>J71*K71</f>
        <v>0.44999999999999996</v>
      </c>
    </row>
    <row r="72" spans="1:12" x14ac:dyDescent="0.15">
      <c r="A72" s="16" t="s">
        <v>28</v>
      </c>
      <c r="B72" s="16">
        <f>PI()*B71^2</f>
        <v>0.42175168691868326</v>
      </c>
      <c r="C72" s="46">
        <f t="shared" ref="C72:D72" si="20">PI()*C71^2</f>
        <v>2.0437066074452956</v>
      </c>
      <c r="D72" s="46">
        <f t="shared" si="20"/>
        <v>32.239730585049074</v>
      </c>
    </row>
    <row r="73" spans="1:12" x14ac:dyDescent="0.15">
      <c r="A73" s="16" t="s">
        <v>29</v>
      </c>
      <c r="B73" s="16">
        <f>ROUNDUP(B35/B72,0)</f>
        <v>67</v>
      </c>
      <c r="C73" s="16">
        <f>ROUNDUP(C35/C72,0)</f>
        <v>14</v>
      </c>
      <c r="D73" s="16">
        <f t="shared" ref="C73:D73" si="21">ROUNDUP(D35/D72,0)</f>
        <v>2</v>
      </c>
      <c r="J73" s="47">
        <v>0.5</v>
      </c>
      <c r="K73" s="47">
        <v>0</v>
      </c>
      <c r="L73" s="47">
        <f>J73*K73</f>
        <v>0</v>
      </c>
    </row>
    <row r="77" spans="1:12" x14ac:dyDescent="0.15">
      <c r="J77" s="47">
        <f>SUM(J13:J75)</f>
        <v>10</v>
      </c>
      <c r="K77" s="47">
        <v>1</v>
      </c>
      <c r="L77" s="47">
        <f>SUM(L13:L75)</f>
        <v>6.95</v>
      </c>
    </row>
    <row r="78" spans="1:12" x14ac:dyDescent="0.15">
      <c r="L78" s="49">
        <f>L77/10*1.5</f>
        <v>1.0425</v>
      </c>
    </row>
  </sheetData>
  <mergeCells count="18">
    <mergeCell ref="D47:E47"/>
    <mergeCell ref="F47:G47"/>
    <mergeCell ref="C2:D2"/>
    <mergeCell ref="E2:F2"/>
    <mergeCell ref="G2:H2"/>
    <mergeCell ref="B33:C33"/>
    <mergeCell ref="D33:E33"/>
    <mergeCell ref="F33:G33"/>
    <mergeCell ref="B47:C47"/>
    <mergeCell ref="F67:G67"/>
    <mergeCell ref="D67:E67"/>
    <mergeCell ref="B67:C67"/>
    <mergeCell ref="B54:C54"/>
    <mergeCell ref="D54:E54"/>
    <mergeCell ref="F54:G54"/>
    <mergeCell ref="B55:C55"/>
    <mergeCell ref="D55:E55"/>
    <mergeCell ref="F55:G55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sqref="A1:B76"/>
    </sheetView>
  </sheetViews>
  <sheetFormatPr baseColWidth="10" defaultRowHeight="13" x14ac:dyDescent="0.15"/>
  <cols>
    <col min="1" max="1" width="10.83203125" style="8"/>
    <col min="2" max="2" width="13.33203125" style="8" customWidth="1"/>
  </cols>
  <sheetData>
    <row r="1" spans="1:2" x14ac:dyDescent="0.15">
      <c r="A1" s="1" t="s">
        <v>20</v>
      </c>
      <c r="B1" s="1" t="s">
        <v>21</v>
      </c>
    </row>
    <row r="2" spans="1:2" x14ac:dyDescent="0.15">
      <c r="A2" s="2">
        <v>1</v>
      </c>
      <c r="B2" s="3">
        <v>2.0408163E-2</v>
      </c>
    </row>
    <row r="3" spans="1:2" x14ac:dyDescent="0.15">
      <c r="A3" s="2">
        <v>2</v>
      </c>
      <c r="B3" s="3">
        <v>0.22346682000000001</v>
      </c>
    </row>
    <row r="4" spans="1:2" x14ac:dyDescent="0.15">
      <c r="A4" s="2">
        <v>3</v>
      </c>
      <c r="B4" s="3">
        <v>0.60220647999999999</v>
      </c>
    </row>
    <row r="5" spans="1:2" x14ac:dyDescent="0.15">
      <c r="A5" s="2">
        <v>4</v>
      </c>
      <c r="B5" s="4">
        <v>1.0922605000000001</v>
      </c>
    </row>
    <row r="6" spans="1:2" x14ac:dyDescent="0.15">
      <c r="A6" s="2">
        <v>5</v>
      </c>
      <c r="B6" s="4">
        <v>1.6571431000000001</v>
      </c>
    </row>
    <row r="7" spans="1:2" x14ac:dyDescent="0.15">
      <c r="A7" s="2">
        <v>6</v>
      </c>
      <c r="B7" s="4">
        <v>2.2758761000000001</v>
      </c>
    </row>
    <row r="8" spans="1:2" x14ac:dyDescent="0.15">
      <c r="A8" s="2">
        <v>7</v>
      </c>
      <c r="B8" s="4">
        <v>2.9354057</v>
      </c>
    </row>
    <row r="9" spans="1:2" x14ac:dyDescent="0.15">
      <c r="A9" s="2">
        <v>8</v>
      </c>
      <c r="B9" s="4">
        <v>3.6270505000000002</v>
      </c>
    </row>
    <row r="10" spans="1:2" x14ac:dyDescent="0.15">
      <c r="A10" s="2">
        <v>9</v>
      </c>
      <c r="B10" s="4">
        <v>4.3447291999999997</v>
      </c>
    </row>
    <row r="11" spans="1:2" x14ac:dyDescent="0.15">
      <c r="A11" s="2">
        <v>10</v>
      </c>
      <c r="B11" s="4">
        <v>5.0840046000000001</v>
      </c>
    </row>
    <row r="12" spans="1:2" x14ac:dyDescent="0.15">
      <c r="A12" s="2">
        <v>11</v>
      </c>
      <c r="B12" s="4">
        <v>5.8415311000000001</v>
      </c>
    </row>
    <row r="13" spans="1:2" x14ac:dyDescent="0.15">
      <c r="A13" s="2">
        <v>12</v>
      </c>
      <c r="B13" s="4">
        <v>6.6147182999999998</v>
      </c>
    </row>
    <row r="14" spans="1:2" x14ac:dyDescent="0.15">
      <c r="A14" s="2">
        <v>13</v>
      </c>
      <c r="B14" s="4">
        <v>7.4015154000000001</v>
      </c>
    </row>
    <row r="15" spans="1:2" x14ac:dyDescent="0.15">
      <c r="A15" s="2">
        <v>14</v>
      </c>
      <c r="B15" s="4">
        <v>8.2002682999999994</v>
      </c>
    </row>
    <row r="16" spans="1:2" x14ac:dyDescent="0.15">
      <c r="A16" s="2">
        <v>15</v>
      </c>
      <c r="B16" s="4">
        <v>9.0096215999999991</v>
      </c>
    </row>
    <row r="17" spans="1:2" x14ac:dyDescent="0.15">
      <c r="A17" s="2">
        <v>16</v>
      </c>
      <c r="B17" s="4">
        <v>9.8284491999999997</v>
      </c>
    </row>
    <row r="18" spans="1:2" x14ac:dyDescent="0.15">
      <c r="A18" s="2">
        <v>17</v>
      </c>
      <c r="B18" s="5">
        <v>10.655804</v>
      </c>
    </row>
    <row r="19" spans="1:2" x14ac:dyDescent="0.15">
      <c r="A19" s="2">
        <v>18</v>
      </c>
      <c r="B19" s="5">
        <v>11.490881999999999</v>
      </c>
    </row>
    <row r="20" spans="1:2" x14ac:dyDescent="0.15">
      <c r="A20" s="2">
        <v>19</v>
      </c>
      <c r="B20" s="5">
        <v>12.332992000000001</v>
      </c>
    </row>
    <row r="21" spans="1:2" x14ac:dyDescent="0.15">
      <c r="A21" s="2">
        <v>20</v>
      </c>
      <c r="B21" s="5">
        <v>13.181538</v>
      </c>
    </row>
    <row r="22" spans="1:2" x14ac:dyDescent="0.15">
      <c r="A22" s="2">
        <v>21</v>
      </c>
      <c r="B22" s="5">
        <v>14.035999</v>
      </c>
    </row>
    <row r="23" spans="1:2" x14ac:dyDescent="0.15">
      <c r="A23" s="2">
        <v>22</v>
      </c>
      <c r="B23" s="5">
        <v>14.895921</v>
      </c>
    </row>
    <row r="24" spans="1:2" x14ac:dyDescent="0.15">
      <c r="A24" s="2">
        <v>23</v>
      </c>
      <c r="B24" s="5">
        <v>15.760899</v>
      </c>
    </row>
    <row r="25" spans="1:2" x14ac:dyDescent="0.15">
      <c r="A25" s="2">
        <v>24</v>
      </c>
      <c r="B25" s="5">
        <v>16.630576000000001</v>
      </c>
    </row>
    <row r="26" spans="1:2" x14ac:dyDescent="0.15">
      <c r="A26" s="2">
        <v>25</v>
      </c>
      <c r="B26" s="5">
        <v>17.504635</v>
      </c>
    </row>
    <row r="27" spans="1:2" x14ac:dyDescent="0.15">
      <c r="A27" s="2">
        <v>26</v>
      </c>
      <c r="B27" s="5">
        <v>18.382788999999999</v>
      </c>
    </row>
    <row r="28" spans="1:2" x14ac:dyDescent="0.15">
      <c r="A28" s="2">
        <v>27</v>
      </c>
      <c r="B28" s="5">
        <v>19.264779999999998</v>
      </c>
    </row>
    <row r="29" spans="1:2" x14ac:dyDescent="0.15">
      <c r="A29" s="2">
        <v>28</v>
      </c>
      <c r="B29" s="5">
        <v>20.150378</v>
      </c>
    </row>
    <row r="30" spans="1:2" x14ac:dyDescent="0.15">
      <c r="A30" s="2">
        <v>29</v>
      </c>
      <c r="B30" s="5">
        <v>21.039370000000002</v>
      </c>
    </row>
    <row r="31" spans="1:2" x14ac:dyDescent="0.15">
      <c r="A31" s="2">
        <v>30</v>
      </c>
      <c r="B31" s="5">
        <v>21.931564999999999</v>
      </c>
    </row>
    <row r="32" spans="1:2" x14ac:dyDescent="0.15">
      <c r="A32" s="2">
        <v>31</v>
      </c>
      <c r="B32" s="5">
        <v>22.826789000000002</v>
      </c>
    </row>
    <row r="33" spans="1:2" x14ac:dyDescent="0.15">
      <c r="A33" s="2">
        <v>32</v>
      </c>
      <c r="B33" s="5">
        <v>23.724879000000001</v>
      </c>
    </row>
    <row r="34" spans="1:2" x14ac:dyDescent="0.15">
      <c r="A34" s="2">
        <v>33</v>
      </c>
      <c r="B34" s="5">
        <v>24.625689999999999</v>
      </c>
    </row>
    <row r="35" spans="1:2" x14ac:dyDescent="0.15">
      <c r="A35" s="2">
        <v>34</v>
      </c>
      <c r="B35" s="5">
        <v>25.529086</v>
      </c>
    </row>
    <row r="36" spans="1:2" x14ac:dyDescent="0.15">
      <c r="A36" s="2">
        <v>35</v>
      </c>
      <c r="B36" s="5">
        <v>26.434940999999998</v>
      </c>
    </row>
    <row r="37" spans="1:2" x14ac:dyDescent="0.15">
      <c r="A37" s="2">
        <v>36</v>
      </c>
      <c r="B37" s="5">
        <v>27.343139999999998</v>
      </c>
    </row>
    <row r="38" spans="1:2" x14ac:dyDescent="0.15">
      <c r="A38" s="2">
        <v>37</v>
      </c>
      <c r="B38" s="5">
        <v>28.253575999999999</v>
      </c>
    </row>
    <row r="39" spans="1:2" x14ac:dyDescent="0.15">
      <c r="A39" s="2">
        <v>38</v>
      </c>
      <c r="B39" s="5">
        <v>29.166146999999999</v>
      </c>
    </row>
    <row r="40" spans="1:2" x14ac:dyDescent="0.15">
      <c r="A40" s="2">
        <v>39</v>
      </c>
      <c r="B40" s="5">
        <v>30.080763000000001</v>
      </c>
    </row>
    <row r="41" spans="1:2" x14ac:dyDescent="0.15">
      <c r="A41" s="6">
        <v>40</v>
      </c>
      <c r="B41" s="7">
        <v>30.997335</v>
      </c>
    </row>
    <row r="42" spans="1:2" x14ac:dyDescent="0.15">
      <c r="A42" s="2">
        <v>41</v>
      </c>
      <c r="B42" s="5">
        <v>31.915783999999999</v>
      </c>
    </row>
    <row r="43" spans="1:2" x14ac:dyDescent="0.15">
      <c r="A43" s="2">
        <v>42</v>
      </c>
      <c r="B43" s="5">
        <v>32.836033</v>
      </c>
    </row>
    <row r="44" spans="1:2" x14ac:dyDescent="0.15">
      <c r="A44" s="2">
        <v>43</v>
      </c>
      <c r="B44" s="5">
        <v>33.758011000000003</v>
      </c>
    </row>
    <row r="45" spans="1:2" x14ac:dyDescent="0.15">
      <c r="A45" s="2">
        <v>44</v>
      </c>
      <c r="B45" s="5">
        <v>34.681651000000002</v>
      </c>
    </row>
    <row r="46" spans="1:2" x14ac:dyDescent="0.15">
      <c r="A46" s="2">
        <v>45</v>
      </c>
      <c r="B46" s="5">
        <v>35.606892000000002</v>
      </c>
    </row>
    <row r="47" spans="1:2" x14ac:dyDescent="0.15">
      <c r="A47" s="2">
        <v>46</v>
      </c>
      <c r="B47" s="5">
        <v>36.533673999999998</v>
      </c>
    </row>
    <row r="48" spans="1:2" x14ac:dyDescent="0.15">
      <c r="A48" s="2">
        <v>47</v>
      </c>
      <c r="B48" s="5">
        <v>37.461941000000003</v>
      </c>
    </row>
    <row r="49" spans="1:2" x14ac:dyDescent="0.15">
      <c r="A49" s="2">
        <v>48</v>
      </c>
      <c r="B49" s="5">
        <v>38.391641</v>
      </c>
    </row>
    <row r="50" spans="1:2" x14ac:dyDescent="0.15">
      <c r="A50" s="2">
        <v>49</v>
      </c>
      <c r="B50" s="5">
        <v>39.322724000000001</v>
      </c>
    </row>
    <row r="51" spans="1:2" x14ac:dyDescent="0.15">
      <c r="A51" s="2">
        <v>50</v>
      </c>
      <c r="B51" s="5">
        <v>40.255144000000001</v>
      </c>
    </row>
    <row r="52" spans="1:2" x14ac:dyDescent="0.15">
      <c r="A52" s="2">
        <v>51</v>
      </c>
      <c r="B52" s="5">
        <v>41.188854999999997</v>
      </c>
    </row>
    <row r="53" spans="1:2" x14ac:dyDescent="0.15">
      <c r="A53" s="2">
        <v>52</v>
      </c>
      <c r="B53" s="5">
        <v>42.123815999999998</v>
      </c>
    </row>
    <row r="54" spans="1:2" x14ac:dyDescent="0.15">
      <c r="A54" s="2">
        <v>53</v>
      </c>
      <c r="B54" s="5">
        <v>43.059986000000002</v>
      </c>
    </row>
    <row r="55" spans="1:2" x14ac:dyDescent="0.15">
      <c r="A55" s="2">
        <v>54</v>
      </c>
      <c r="B55" s="5">
        <v>43.997328000000003</v>
      </c>
    </row>
    <row r="56" spans="1:2" x14ac:dyDescent="0.15">
      <c r="A56" s="2">
        <v>55</v>
      </c>
      <c r="B56" s="5">
        <v>44.935805999999999</v>
      </c>
    </row>
    <row r="57" spans="1:2" x14ac:dyDescent="0.15">
      <c r="A57" s="2">
        <v>56</v>
      </c>
      <c r="B57" s="5">
        <v>45.875383999999997</v>
      </c>
    </row>
    <row r="58" spans="1:2" x14ac:dyDescent="0.15">
      <c r="A58" s="2">
        <v>57</v>
      </c>
      <c r="B58" s="5">
        <v>46.816029999999998</v>
      </c>
    </row>
    <row r="59" spans="1:2" x14ac:dyDescent="0.15">
      <c r="A59" s="2">
        <v>58</v>
      </c>
      <c r="B59" s="5">
        <v>47.757713000000003</v>
      </c>
    </row>
    <row r="60" spans="1:2" x14ac:dyDescent="0.15">
      <c r="A60" s="2">
        <v>59</v>
      </c>
      <c r="B60" s="5">
        <v>48.700403999999999</v>
      </c>
    </row>
    <row r="61" spans="1:2" x14ac:dyDescent="0.15">
      <c r="A61" s="2">
        <v>60</v>
      </c>
      <c r="B61" s="5">
        <v>49.644072000000001</v>
      </c>
    </row>
    <row r="62" spans="1:2" x14ac:dyDescent="0.15">
      <c r="A62" s="2">
        <v>61</v>
      </c>
      <c r="B62" s="5">
        <v>50.588692000000002</v>
      </c>
    </row>
    <row r="63" spans="1:2" x14ac:dyDescent="0.15">
      <c r="A63" s="2">
        <v>62</v>
      </c>
      <c r="B63" s="5">
        <v>51.534236999999997</v>
      </c>
    </row>
    <row r="64" spans="1:2" x14ac:dyDescent="0.15">
      <c r="A64" s="2">
        <v>63</v>
      </c>
      <c r="B64" s="5">
        <v>52.480682000000002</v>
      </c>
    </row>
    <row r="65" spans="1:2" x14ac:dyDescent="0.15">
      <c r="A65" s="2">
        <v>64</v>
      </c>
      <c r="B65" s="5">
        <v>53.428002999999997</v>
      </c>
    </row>
    <row r="66" spans="1:2" x14ac:dyDescent="0.15">
      <c r="A66" s="2">
        <v>65</v>
      </c>
      <c r="B66" s="5">
        <v>54.376176999999998</v>
      </c>
    </row>
    <row r="67" spans="1:2" x14ac:dyDescent="0.15">
      <c r="A67" s="2">
        <v>66</v>
      </c>
      <c r="B67" s="5">
        <v>55.325183000000003</v>
      </c>
    </row>
    <row r="68" spans="1:2" x14ac:dyDescent="0.15">
      <c r="A68" s="2">
        <v>67</v>
      </c>
      <c r="B68" s="5">
        <v>56.274999000000001</v>
      </c>
    </row>
    <row r="69" spans="1:2" x14ac:dyDescent="0.15">
      <c r="A69" s="2">
        <v>68</v>
      </c>
      <c r="B69" s="5">
        <v>57.225605000000002</v>
      </c>
    </row>
    <row r="70" spans="1:2" x14ac:dyDescent="0.15">
      <c r="A70" s="2">
        <v>69</v>
      </c>
      <c r="B70" s="5">
        <v>58.176980999999998</v>
      </c>
    </row>
    <row r="71" spans="1:2" x14ac:dyDescent="0.15">
      <c r="A71" s="2">
        <v>70</v>
      </c>
      <c r="B71" s="5">
        <v>59.129109</v>
      </c>
    </row>
    <row r="72" spans="1:2" x14ac:dyDescent="0.15">
      <c r="A72" s="2">
        <v>71</v>
      </c>
      <c r="B72" s="5">
        <v>60.081971000000003</v>
      </c>
    </row>
    <row r="73" spans="1:2" x14ac:dyDescent="0.15">
      <c r="A73" s="2">
        <v>72</v>
      </c>
      <c r="B73" s="5">
        <v>61.035549000000003</v>
      </c>
    </row>
    <row r="74" spans="1:2" x14ac:dyDescent="0.15">
      <c r="A74" s="2">
        <v>73</v>
      </c>
      <c r="B74" s="5">
        <v>61.989826000000001</v>
      </c>
    </row>
    <row r="75" spans="1:2" x14ac:dyDescent="0.15">
      <c r="A75" s="2">
        <v>74</v>
      </c>
      <c r="B75" s="5">
        <v>62.944788000000003</v>
      </c>
    </row>
    <row r="76" spans="1:2" x14ac:dyDescent="0.15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2019-03-27T08:49:27Z</cp:lastPrinted>
  <dcterms:created xsi:type="dcterms:W3CDTF">2011-01-31T17:50:12Z</dcterms:created>
  <dcterms:modified xsi:type="dcterms:W3CDTF">2021-12-26T11:21:37Z</dcterms:modified>
</cp:coreProperties>
</file>