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0701ED6D-9AC6-4E42-B2C9-5B2ECEC7F5AF}" xr6:coauthVersionLast="47" xr6:coauthVersionMax="47" xr10:uidLastSave="{00000000-0000-0000-0000-000000000000}"/>
  <bookViews>
    <workbookView xWindow="0" yWindow="500" windowWidth="24860" windowHeight="14420" tabRatio="613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2100'!$A$1:$H$74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1" i="5" l="1"/>
  <c r="L71" i="5" s="1"/>
  <c r="B51" i="5"/>
  <c r="B63" i="5"/>
  <c r="B64" i="5" s="1"/>
  <c r="B66" i="5" s="1"/>
  <c r="B68" i="5" s="1"/>
  <c r="J77" i="5"/>
  <c r="L73" i="5"/>
  <c r="L68" i="5"/>
  <c r="L58" i="5"/>
  <c r="L52" i="5"/>
  <c r="L44" i="5"/>
  <c r="L28" i="5"/>
  <c r="L13" i="5"/>
  <c r="C23" i="5"/>
  <c r="E58" i="5"/>
  <c r="F58" i="5"/>
  <c r="F61" i="5" s="1"/>
  <c r="F62" i="5" s="1"/>
  <c r="F63" i="5" s="1"/>
  <c r="F64" i="5" s="1"/>
  <c r="F66" i="5" s="1"/>
  <c r="C65" i="5"/>
  <c r="D65" i="5"/>
  <c r="E65" i="5"/>
  <c r="F65" i="5"/>
  <c r="G65" i="5"/>
  <c r="B65" i="5"/>
  <c r="F55" i="5"/>
  <c r="D55" i="5"/>
  <c r="E60" i="5" s="1"/>
  <c r="G60" i="5" s="1"/>
  <c r="B55" i="5"/>
  <c r="C60" i="5" s="1"/>
  <c r="G57" i="5"/>
  <c r="G58" i="5" s="1"/>
  <c r="E57" i="5"/>
  <c r="C57" i="5"/>
  <c r="C58" i="5" s="1"/>
  <c r="D57" i="5"/>
  <c r="D58" i="5" s="1"/>
  <c r="D61" i="5" s="1"/>
  <c r="F57" i="5"/>
  <c r="B57" i="5"/>
  <c r="B58" i="5" s="1"/>
  <c r="B61" i="5" s="1"/>
  <c r="B62" i="5" s="1"/>
  <c r="C49" i="5"/>
  <c r="D49" i="5"/>
  <c r="E49" i="5"/>
  <c r="F49" i="5"/>
  <c r="G49" i="5"/>
  <c r="B49" i="5"/>
  <c r="E52" i="5"/>
  <c r="C51" i="5"/>
  <c r="C52" i="5" s="1"/>
  <c r="D51" i="5"/>
  <c r="D52" i="5" s="1"/>
  <c r="E51" i="5"/>
  <c r="F51" i="5"/>
  <c r="F52" i="5" s="1"/>
  <c r="G51" i="5"/>
  <c r="G52" i="5" s="1"/>
  <c r="B26" i="5"/>
  <c r="D23" i="5"/>
  <c r="D22" i="5"/>
  <c r="C22" i="5"/>
  <c r="B22" i="5"/>
  <c r="G13" i="5"/>
  <c r="D16" i="5"/>
  <c r="D26" i="5" s="1"/>
  <c r="C16" i="5"/>
  <c r="C26" i="5" s="1"/>
  <c r="B16" i="5"/>
  <c r="D4" i="5"/>
  <c r="D13" i="5" s="1"/>
  <c r="E4" i="5"/>
  <c r="E13" i="5" s="1"/>
  <c r="F4" i="5"/>
  <c r="F13" i="5" s="1"/>
  <c r="G4" i="5"/>
  <c r="H4" i="5"/>
  <c r="H13" i="5" s="1"/>
  <c r="C4" i="5"/>
  <c r="C13" i="5" s="1"/>
  <c r="C40" i="5"/>
  <c r="C43" i="5" s="1"/>
  <c r="C44" i="5" s="1"/>
  <c r="D40" i="5"/>
  <c r="D43" i="5" s="1"/>
  <c r="D44" i="5" s="1"/>
  <c r="F40" i="5"/>
  <c r="F43" i="5" s="1"/>
  <c r="F44" i="5" s="1"/>
  <c r="G40" i="5"/>
  <c r="G43" i="5" s="1"/>
  <c r="G44" i="5" s="1"/>
  <c r="B40" i="5"/>
  <c r="B43" i="5" s="1"/>
  <c r="B44" i="5" s="1"/>
  <c r="C37" i="5"/>
  <c r="D37" i="5"/>
  <c r="E37" i="5"/>
  <c r="E40" i="5" s="1"/>
  <c r="E43" i="5" s="1"/>
  <c r="E44" i="5" s="1"/>
  <c r="F37" i="5"/>
  <c r="G37" i="5"/>
  <c r="B37" i="5"/>
  <c r="C35" i="5"/>
  <c r="D35" i="5"/>
  <c r="E35" i="5"/>
  <c r="F35" i="5"/>
  <c r="G35" i="5"/>
  <c r="B35" i="5"/>
  <c r="L77" i="5" l="1"/>
  <c r="L78" i="5" s="1"/>
  <c r="C24" i="5"/>
  <c r="C25" i="5" s="1"/>
  <c r="C61" i="5"/>
  <c r="C62" i="5" s="1"/>
  <c r="C63" i="5" s="1"/>
  <c r="C64" i="5" s="1"/>
  <c r="C66" i="5" s="1"/>
  <c r="C68" i="5" s="1"/>
  <c r="F68" i="5"/>
  <c r="B52" i="5"/>
  <c r="C28" i="5"/>
  <c r="D62" i="5"/>
  <c r="D63" i="5" s="1"/>
  <c r="D64" i="5" s="1"/>
  <c r="D66" i="5" s="1"/>
  <c r="D68" i="5" s="1"/>
  <c r="B24" i="5"/>
  <c r="D24" i="5"/>
  <c r="G61" i="5"/>
  <c r="G62" i="5" s="1"/>
  <c r="G63" i="5" s="1"/>
  <c r="G64" i="5" s="1"/>
  <c r="G66" i="5" s="1"/>
  <c r="G68" i="5" s="1"/>
  <c r="E61" i="5"/>
  <c r="E62" i="5" s="1"/>
  <c r="E63" i="5" s="1"/>
  <c r="E64" i="5" s="1"/>
  <c r="E66" i="5" s="1"/>
  <c r="E68" i="5" s="1"/>
  <c r="D25" i="5" l="1"/>
  <c r="D28" i="5" s="1"/>
  <c r="D71" i="5" s="1"/>
  <c r="D72" i="5" s="1"/>
  <c r="D73" i="5" s="1"/>
  <c r="B25" i="5"/>
  <c r="B28" i="5" s="1"/>
  <c r="B71" i="5" s="1"/>
  <c r="B72" i="5" s="1"/>
  <c r="B73" i="5" s="1"/>
  <c r="C71" i="5"/>
  <c r="C72" i="5" s="1"/>
  <c r="C73" i="5" s="1"/>
</calcChain>
</file>

<file path=xl/sharedStrings.xml><?xml version="1.0" encoding="utf-8"?>
<sst xmlns="http://schemas.openxmlformats.org/spreadsheetml/2006/main" count="121" uniqueCount="91">
  <si>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</si>
  <si>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</si>
  <si>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</si>
  <si>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</si>
  <si>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</si>
  <si>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</si>
  <si>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</si>
  <si>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</si>
  <si>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</si>
  <si>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</si>
  <si>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</si>
  <si>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</si>
  <si>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</si>
  <si>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</si>
  <si>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</si>
  <si>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</si>
  <si>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</si>
  <si>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</si>
  <si>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</si>
  <si>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</si>
  <si>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</si>
  <si>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</si>
  <si>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</si>
  <si>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</si>
  <si>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</si>
  <si>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</si>
  <si>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</si>
  <si>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</si>
  <si>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</si>
  <si>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</si>
  <si>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</si>
  <si>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</si>
  <si>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</si>
  <si>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</si>
  <si>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</si>
  <si>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</si>
  <si>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</si>
  <si>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</si>
  <si>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</si>
  <si>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</si>
  <si>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</si>
  <si>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</si>
  <si>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</si>
  <si>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</si>
  <si>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</si>
  <si>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</si>
  <si>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</si>
  <si>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</si>
  <si>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</si>
  <si>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Trafico Total Anual</t>
  </si>
  <si>
    <t>Banda De Frecuencia</t>
  </si>
  <si>
    <t>A</t>
  </si>
  <si>
    <t>a(hms)</t>
  </si>
  <si>
    <t>Lclutter</t>
  </si>
  <si>
    <t>Lb</t>
  </si>
  <si>
    <t>aux(slogd)</t>
  </si>
  <si>
    <t>S</t>
  </si>
  <si>
    <t>margen interferencia</t>
  </si>
  <si>
    <t>potencia(dbm)</t>
  </si>
  <si>
    <t>Perdidas</t>
  </si>
  <si>
    <t>Ganancia</t>
  </si>
  <si>
    <t>Margenes desvan</t>
  </si>
  <si>
    <t>Ladicionales</t>
  </si>
  <si>
    <t>Lcable</t>
  </si>
  <si>
    <t>Sensibilidad</t>
  </si>
  <si>
    <t>Factor hora cargada</t>
  </si>
  <si>
    <t>minutos hora cargada</t>
  </si>
  <si>
    <t>minutos diarios por clientes</t>
  </si>
  <si>
    <t>Terreno area</t>
  </si>
  <si>
    <t>Poblacion area</t>
  </si>
  <si>
    <t>clientes operador</t>
  </si>
  <si>
    <t>clientes servicio</t>
  </si>
  <si>
    <t>entre 1 y 6</t>
  </si>
  <si>
    <t>urbano</t>
  </si>
  <si>
    <t>suburbano</t>
  </si>
  <si>
    <t>rural</t>
  </si>
  <si>
    <t>sectores</t>
  </si>
  <si>
    <t>Velocidad binaria</t>
  </si>
  <si>
    <t>ortogonalidad</t>
  </si>
  <si>
    <t>Factor Actividad</t>
  </si>
  <si>
    <t>Factor Interferencia intercelular</t>
  </si>
  <si>
    <t>datos</t>
  </si>
  <si>
    <t>voz</t>
  </si>
  <si>
    <t>minutos anuales totales</t>
  </si>
  <si>
    <t>conseguir que den aproximados voz y datos</t>
  </si>
  <si>
    <t>minimo entre capacidad y propa</t>
  </si>
  <si>
    <t>minimo de voz y datos de Pathloss</t>
  </si>
  <si>
    <t>datos para calculos: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</si>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</sst>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10" fontId="0" fillId="6" borderId="4" xfId="0" applyNumberFormat="1" applyFill="1" applyBorder="1"/>
    <xf numFmtId="0" fontId="2" fillId="0" borderId="0" xfId="0" applyFont="1"/>
    <xf numFmtId="0" fontId="1" fillId="0" borderId="0" xfId="0" applyFont="1"/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8" borderId="0" xfId="0" applyFont="1" applyFill="1"/>
    <xf numFmtId="0" fontId="1" fillId="2" borderId="0" xfId="0" applyFont="1" applyFill="1"/>
    <xf numFmtId="0" fontId="0" fillId="9" borderId="0" xfId="0" applyFill="1"/>
    <xf numFmtId="0" fontId="0" fillId="8" borderId="4" xfId="0" applyFill="1" applyBorder="1"/>
    <xf numFmtId="0" fontId="1" fillId="8" borderId="4" xfId="0" applyFont="1" applyFill="1" applyBorder="1"/>
    <xf numFmtId="165" fontId="1" fillId="8" borderId="4" xfId="0" applyNumberFormat="1" applyFont="1" applyFill="1" applyBorder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0"/>
  <sheetViews>
    <sheetView tabSelected="1" topLeftCell="A33" zoomScale="80" zoomScaleNormal="80" workbookViewId="0">
      <selection activeCell="K74" sqref="K74"/>
    </sheetView>
  </sheetViews>
  <sheetFormatPr baseColWidth="10" defaultRowHeight="13" x14ac:dyDescent="0.15"/>
  <cols>
    <col min="1" max="1" width="30.83203125" bestFit="1" customWidth="1"/>
    <col min="2" max="2" width="19.6640625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19</v>
      </c>
      <c r="B1" s="12"/>
      <c r="C1" s="12"/>
      <c r="D1" s="12"/>
      <c r="E1" s="12"/>
      <c r="F1" s="12"/>
      <c r="G1" s="12"/>
      <c r="H1" s="12"/>
      <c r="J1" s="41" t="s">
        <v>88</v>
      </c>
      <c r="K1" s="42" t="s">
        <v>89</v>
      </c>
      <c r="L1" s="42" t="s">
        <v>90</v>
      </c>
    </row>
    <row r="2" spans="1:12" x14ac:dyDescent="0.15">
      <c r="A2" s="12"/>
      <c r="B2" s="12"/>
      <c r="C2" s="38" t="s">
        <v>24</v>
      </c>
      <c r="D2" s="38"/>
      <c r="E2" s="38" t="s">
        <v>25</v>
      </c>
      <c r="F2" s="38"/>
      <c r="G2" s="39" t="s">
        <v>26</v>
      </c>
      <c r="H2" s="39"/>
    </row>
    <row r="3" spans="1:12" x14ac:dyDescent="0.15">
      <c r="A3" s="12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15</v>
      </c>
      <c r="H3" s="13" t="s">
        <v>16</v>
      </c>
    </row>
    <row r="4" spans="1:12" x14ac:dyDescent="0.15">
      <c r="A4" s="14" t="s">
        <v>12</v>
      </c>
      <c r="B4" s="14" t="s">
        <v>58</v>
      </c>
      <c r="C4" s="14">
        <f>10*LOG10(125)</f>
        <v>20.969100130080562</v>
      </c>
      <c r="D4" s="14">
        <f t="shared" ref="D4:H4" si="0">10*LOG10(125)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12" x14ac:dyDescent="0.15">
      <c r="A5" s="14"/>
      <c r="B5" s="14" t="s">
        <v>59</v>
      </c>
      <c r="C5" s="14">
        <v>-4.5</v>
      </c>
      <c r="D5" s="14">
        <v>-4.5</v>
      </c>
      <c r="E5" s="14">
        <v>-4.5</v>
      </c>
      <c r="F5" s="14">
        <v>-4.5</v>
      </c>
      <c r="G5" s="14">
        <v>-4.5</v>
      </c>
      <c r="H5" s="14">
        <v>-4.5</v>
      </c>
    </row>
    <row r="6" spans="1:12" x14ac:dyDescent="0.15">
      <c r="A6" s="14"/>
      <c r="B6" s="14" t="s">
        <v>60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2" x14ac:dyDescent="0.15">
      <c r="A7" s="14" t="s">
        <v>13</v>
      </c>
      <c r="B7" s="14" t="s">
        <v>61</v>
      </c>
      <c r="C7" s="14">
        <v>-15</v>
      </c>
      <c r="D7" s="14">
        <v>-15</v>
      </c>
      <c r="E7" s="14">
        <v>-12</v>
      </c>
      <c r="F7" s="14">
        <v>-12</v>
      </c>
      <c r="G7" s="14">
        <v>-12</v>
      </c>
      <c r="H7" s="14">
        <v>-12</v>
      </c>
    </row>
    <row r="8" spans="1:12" x14ac:dyDescent="0.15">
      <c r="A8" s="14"/>
      <c r="B8" s="14" t="s">
        <v>62</v>
      </c>
      <c r="C8" s="14">
        <v>-12</v>
      </c>
      <c r="D8" s="14">
        <v>-12</v>
      </c>
      <c r="E8" s="14">
        <v>-9</v>
      </c>
      <c r="F8" s="14">
        <v>-9</v>
      </c>
      <c r="G8" s="14">
        <v>-7</v>
      </c>
      <c r="H8" s="14">
        <v>-7</v>
      </c>
    </row>
    <row r="9" spans="1:12" x14ac:dyDescent="0.15">
      <c r="A9" s="14" t="s">
        <v>14</v>
      </c>
      <c r="B9" s="14" t="s">
        <v>63</v>
      </c>
      <c r="C9" s="14">
        <v>-3</v>
      </c>
      <c r="D9" s="14">
        <v>-3</v>
      </c>
      <c r="E9" s="14">
        <v>-3</v>
      </c>
      <c r="F9" s="14">
        <v>-3</v>
      </c>
      <c r="G9" s="14">
        <v>-3</v>
      </c>
      <c r="H9" s="14">
        <v>-3</v>
      </c>
    </row>
    <row r="10" spans="1:12" x14ac:dyDescent="0.15">
      <c r="A10" s="14"/>
      <c r="B10" s="14" t="s">
        <v>60</v>
      </c>
      <c r="C10" s="14">
        <v>18</v>
      </c>
      <c r="D10" s="14">
        <v>18</v>
      </c>
      <c r="E10" s="14">
        <v>18</v>
      </c>
      <c r="F10" s="14">
        <v>18</v>
      </c>
      <c r="G10" s="14">
        <v>18</v>
      </c>
      <c r="H10" s="14">
        <v>18</v>
      </c>
    </row>
    <row r="11" spans="1:12" x14ac:dyDescent="0.15">
      <c r="A11" s="14"/>
      <c r="B11" s="14" t="s">
        <v>64</v>
      </c>
      <c r="C11" s="14">
        <v>117</v>
      </c>
      <c r="D11" s="14">
        <v>115</v>
      </c>
      <c r="E11" s="14">
        <v>117</v>
      </c>
      <c r="F11" s="14">
        <v>115</v>
      </c>
      <c r="G11" s="14">
        <v>117</v>
      </c>
      <c r="H11" s="14">
        <v>115</v>
      </c>
    </row>
    <row r="12" spans="1:12" x14ac:dyDescent="0.15">
      <c r="A12" s="14" t="s">
        <v>57</v>
      </c>
      <c r="B12" s="15"/>
      <c r="C12" s="14">
        <v>3</v>
      </c>
      <c r="D12" s="14">
        <v>3</v>
      </c>
      <c r="E12" s="14">
        <v>3</v>
      </c>
      <c r="F12" s="14">
        <v>3</v>
      </c>
      <c r="G12" s="14">
        <v>3</v>
      </c>
      <c r="H12" s="14">
        <v>3</v>
      </c>
      <c r="I12" t="s">
        <v>72</v>
      </c>
    </row>
    <row r="13" spans="1:12" x14ac:dyDescent="0.15">
      <c r="A13" s="16" t="s">
        <v>0</v>
      </c>
      <c r="B13" s="16"/>
      <c r="C13" s="16">
        <f>SUM(C4:C11)-C12</f>
        <v>118.46910013008056</v>
      </c>
      <c r="D13" s="16">
        <f t="shared" ref="D13:H13" si="1">SUM(D4:D11)-D12</f>
        <v>116.46910013008056</v>
      </c>
      <c r="E13" s="16">
        <f t="shared" si="1"/>
        <v>124.46910013008056</v>
      </c>
      <c r="F13" s="16">
        <f t="shared" si="1"/>
        <v>122.46910013008056</v>
      </c>
      <c r="G13" s="16">
        <f t="shared" si="1"/>
        <v>126.46910013008056</v>
      </c>
      <c r="H13" s="16">
        <f t="shared" si="1"/>
        <v>124.46910013008056</v>
      </c>
      <c r="J13" s="41">
        <v>1</v>
      </c>
      <c r="K13" s="41">
        <v>1</v>
      </c>
      <c r="L13" s="41">
        <f>J13*K13</f>
        <v>1</v>
      </c>
    </row>
    <row r="15" spans="1:12" x14ac:dyDescent="0.15">
      <c r="A15" s="17"/>
      <c r="B15" s="20" t="s">
        <v>24</v>
      </c>
      <c r="C15" s="20" t="s">
        <v>25</v>
      </c>
      <c r="D15" s="20" t="s">
        <v>26</v>
      </c>
    </row>
    <row r="16" spans="1:12" x14ac:dyDescent="0.15">
      <c r="A16" s="18" t="s">
        <v>41</v>
      </c>
      <c r="B16" s="18">
        <f>30+8</f>
        <v>38</v>
      </c>
      <c r="C16" s="18">
        <f>10+12</f>
        <v>22</v>
      </c>
      <c r="D16" s="18">
        <f>30</f>
        <v>30</v>
      </c>
    </row>
    <row r="17" spans="1:12" x14ac:dyDescent="0.15">
      <c r="A17" s="18" t="s">
        <v>42</v>
      </c>
      <c r="B17" s="18">
        <v>1.72</v>
      </c>
      <c r="C17" s="18">
        <v>1.72</v>
      </c>
      <c r="D17" s="18">
        <v>1.72</v>
      </c>
    </row>
    <row r="18" spans="1:12" x14ac:dyDescent="0.15">
      <c r="A18" s="10" t="s">
        <v>50</v>
      </c>
      <c r="B18" s="44">
        <v>2100</v>
      </c>
      <c r="C18" s="44">
        <v>2100</v>
      </c>
      <c r="D18" s="44">
        <v>2100</v>
      </c>
    </row>
    <row r="19" spans="1:12" x14ac:dyDescent="0.15">
      <c r="A19" s="19" t="s">
        <v>43</v>
      </c>
      <c r="B19" s="17" t="s">
        <v>44</v>
      </c>
      <c r="C19" s="17" t="s">
        <v>45</v>
      </c>
      <c r="D19" s="17" t="s">
        <v>45</v>
      </c>
    </row>
    <row r="20" spans="1:12" x14ac:dyDescent="0.15">
      <c r="A20" s="19" t="s">
        <v>51</v>
      </c>
      <c r="B20" s="19">
        <v>46.3</v>
      </c>
      <c r="C20" s="19">
        <v>46.3</v>
      </c>
      <c r="D20" s="19">
        <v>46.3</v>
      </c>
    </row>
    <row r="21" spans="1:12" x14ac:dyDescent="0.15">
      <c r="A21" s="19" t="s">
        <v>50</v>
      </c>
      <c r="B21" s="19">
        <v>33.9</v>
      </c>
      <c r="C21" s="19">
        <v>33.9</v>
      </c>
      <c r="D21" s="19">
        <v>33.9</v>
      </c>
    </row>
    <row r="22" spans="1:12" x14ac:dyDescent="0.15">
      <c r="A22" s="19" t="s">
        <v>52</v>
      </c>
      <c r="B22" s="19">
        <f>3.2*(LOG10(11.75*B17)^2)-4.97</f>
        <v>0.48441087675501127</v>
      </c>
      <c r="C22" s="19">
        <f>C17*(1.1*LOG10(C18)-0.7)-(1.56*LOG10(C18)-0.8)</f>
        <v>0.698976805851661</v>
      </c>
      <c r="D22" s="19">
        <f>D17*(1.1*LOG10(D18)-0.7)-(1.56*LOG10(D18)-0.8)</f>
        <v>0.698976805851661</v>
      </c>
    </row>
    <row r="23" spans="1:12" x14ac:dyDescent="0.15">
      <c r="A23" s="19" t="s">
        <v>53</v>
      </c>
      <c r="B23" s="19">
        <v>0</v>
      </c>
      <c r="C23" s="19">
        <f>(-2*LOG10(C18/28)^2)-5.4</f>
        <v>-12.431709482944157</v>
      </c>
      <c r="D23" s="19">
        <f>(-4.78*LOG10(D18/28)^2)+18.33*LOG10(D18)-40.94</f>
        <v>3.1504940082361941</v>
      </c>
    </row>
    <row r="24" spans="1:12" x14ac:dyDescent="0.15">
      <c r="A24" s="19" t="s">
        <v>54</v>
      </c>
      <c r="B24" s="19">
        <f>MIN(C13:D13)</f>
        <v>116.46910013008056</v>
      </c>
      <c r="C24" s="19">
        <f>MIN(E13:F13)</f>
        <v>122.46910013008056</v>
      </c>
      <c r="D24" s="19">
        <f>MIN(G13:H13)</f>
        <v>124.46910013008056</v>
      </c>
      <c r="E24" t="s">
        <v>86</v>
      </c>
    </row>
    <row r="25" spans="1:12" x14ac:dyDescent="0.15">
      <c r="A25" s="19" t="s">
        <v>55</v>
      </c>
      <c r="B25" s="19">
        <f>B24-B20-B21*LOG10(B18)+13.82*LOG10(B16)+B22-B23</f>
        <v>-20.137113779399968</v>
      </c>
      <c r="C25" s="19">
        <f>C24-C20-C21*LOG10(C18)+13.82*LOG10(C16)+C22-C23</f>
        <v>-4.7711662236405843</v>
      </c>
      <c r="D25" s="19">
        <f>D24-D20-D21*LOG10(D18)+13.82*LOG10(D16)+D22-D23</f>
        <v>-16.491835423558094</v>
      </c>
    </row>
    <row r="26" spans="1:12" x14ac:dyDescent="0.15">
      <c r="A26" s="19" t="s">
        <v>56</v>
      </c>
      <c r="B26" s="26">
        <f>(47.88+13.9*LOG10(B18)-13.82*LOG10(B16))/LOG10(50)</f>
        <v>42.511779906193333</v>
      </c>
      <c r="C26" s="26">
        <f>44.9-6.55*LOG10(C16)</f>
        <v>36.107131440614552</v>
      </c>
      <c r="D26" s="26">
        <f>44.9-6.55*LOG10(D16)</f>
        <v>35.224855781586214</v>
      </c>
    </row>
    <row r="27" spans="1:12" x14ac:dyDescent="0.15">
      <c r="A27" s="19"/>
      <c r="B27" s="19"/>
      <c r="C27" s="19"/>
      <c r="D27" s="19"/>
    </row>
    <row r="28" spans="1:12" x14ac:dyDescent="0.15">
      <c r="A28" s="10" t="s">
        <v>46</v>
      </c>
      <c r="B28" s="46">
        <f>10^(B25/B26)</f>
        <v>0.33598264978466663</v>
      </c>
      <c r="C28" s="46">
        <f t="shared" ref="C28:D28" si="2">10^(C25/C26)</f>
        <v>0.73766781337411969</v>
      </c>
      <c r="D28" s="46">
        <f t="shared" si="2"/>
        <v>0.34026129415348688</v>
      </c>
      <c r="J28" s="41">
        <v>1.5</v>
      </c>
      <c r="K28" s="41">
        <v>0</v>
      </c>
      <c r="L28" s="41">
        <f t="shared" ref="L28:L44" si="3">J28*K28</f>
        <v>0</v>
      </c>
    </row>
    <row r="30" spans="1:12" x14ac:dyDescent="0.15">
      <c r="A30" s="13" t="s">
        <v>47</v>
      </c>
      <c r="B30" s="9"/>
      <c r="C30" s="9"/>
      <c r="D30" s="9"/>
      <c r="E30" s="9"/>
      <c r="F30" s="9"/>
      <c r="G30" s="9"/>
    </row>
    <row r="31" spans="1:12" x14ac:dyDescent="0.15">
      <c r="A31" s="18" t="s">
        <v>31</v>
      </c>
      <c r="B31" s="22">
        <v>235</v>
      </c>
      <c r="C31" s="9"/>
      <c r="D31" s="9"/>
      <c r="E31" s="9"/>
      <c r="F31" s="9"/>
      <c r="G31" s="9"/>
    </row>
    <row r="32" spans="1:12" x14ac:dyDescent="0.15">
      <c r="A32" s="18" t="s">
        <v>32</v>
      </c>
      <c r="B32" s="22">
        <v>363500</v>
      </c>
      <c r="C32" s="9"/>
      <c r="D32" s="9"/>
      <c r="E32" s="9"/>
      <c r="F32" s="9"/>
      <c r="G32" s="9"/>
    </row>
    <row r="33" spans="1:12" x14ac:dyDescent="0.15">
      <c r="A33" s="21"/>
      <c r="B33" s="40" t="s">
        <v>24</v>
      </c>
      <c r="C33" s="40"/>
      <c r="D33" s="40" t="s">
        <v>25</v>
      </c>
      <c r="E33" s="40"/>
      <c r="F33" s="40" t="s">
        <v>26</v>
      </c>
      <c r="G33" s="40"/>
    </row>
    <row r="34" spans="1:12" x14ac:dyDescent="0.15">
      <c r="A34" s="18" t="s">
        <v>33</v>
      </c>
      <c r="B34" s="23">
        <v>0.12</v>
      </c>
      <c r="C34" s="23">
        <v>0.12</v>
      </c>
      <c r="D34" s="23">
        <v>0.23</v>
      </c>
      <c r="E34" s="23">
        <v>0.23</v>
      </c>
      <c r="F34" s="23">
        <v>0.65</v>
      </c>
      <c r="G34" s="23">
        <v>0.65</v>
      </c>
    </row>
    <row r="35" spans="1:12" x14ac:dyDescent="0.15">
      <c r="A35" s="21" t="s">
        <v>68</v>
      </c>
      <c r="B35" s="21">
        <f>$B$31*B34</f>
        <v>28.2</v>
      </c>
      <c r="C35" s="21">
        <f t="shared" ref="C35:G35" si="4">$B$31*C34</f>
        <v>28.2</v>
      </c>
      <c r="D35" s="21">
        <f t="shared" si="4"/>
        <v>54.050000000000004</v>
      </c>
      <c r="E35" s="21">
        <f t="shared" si="4"/>
        <v>54.050000000000004</v>
      </c>
      <c r="F35" s="21">
        <f t="shared" si="4"/>
        <v>152.75</v>
      </c>
      <c r="G35" s="21">
        <f t="shared" si="4"/>
        <v>152.75</v>
      </c>
    </row>
    <row r="36" spans="1:12" x14ac:dyDescent="0.15">
      <c r="A36" s="18" t="s">
        <v>34</v>
      </c>
      <c r="B36" s="23">
        <v>0.62</v>
      </c>
      <c r="C36" s="23">
        <v>0.62</v>
      </c>
      <c r="D36" s="23">
        <v>0.22</v>
      </c>
      <c r="E36" s="23">
        <v>0.22</v>
      </c>
      <c r="F36" s="23">
        <v>0.16</v>
      </c>
      <c r="G36" s="23">
        <v>0.16</v>
      </c>
    </row>
    <row r="37" spans="1:12" x14ac:dyDescent="0.15">
      <c r="A37" s="21" t="s">
        <v>69</v>
      </c>
      <c r="B37" s="21">
        <f>B36*$B$32</f>
        <v>225370</v>
      </c>
      <c r="C37" s="21">
        <f t="shared" ref="C37:G37" si="5">C36*$B$32</f>
        <v>225370</v>
      </c>
      <c r="D37" s="21">
        <f t="shared" si="5"/>
        <v>79970</v>
      </c>
      <c r="E37" s="21">
        <f t="shared" si="5"/>
        <v>79970</v>
      </c>
      <c r="F37" s="21">
        <f t="shared" si="5"/>
        <v>58160</v>
      </c>
      <c r="G37" s="21">
        <f t="shared" si="5"/>
        <v>58160</v>
      </c>
    </row>
    <row r="38" spans="1:12" x14ac:dyDescent="0.15">
      <c r="A38" s="18" t="s">
        <v>35</v>
      </c>
      <c r="B38" s="18">
        <v>1</v>
      </c>
      <c r="C38" s="18">
        <v>1</v>
      </c>
      <c r="D38" s="18">
        <v>1</v>
      </c>
      <c r="E38" s="18">
        <v>1</v>
      </c>
      <c r="F38" s="18">
        <v>1</v>
      </c>
      <c r="G38" s="18">
        <v>1</v>
      </c>
    </row>
    <row r="39" spans="1:12" x14ac:dyDescent="0.15">
      <c r="A39" s="18" t="s">
        <v>36</v>
      </c>
      <c r="B39" s="34">
        <v>0.29499999999999998</v>
      </c>
      <c r="C39" s="34">
        <v>0.29499999999999998</v>
      </c>
      <c r="D39" s="34">
        <v>0.29499999999999998</v>
      </c>
      <c r="E39" s="34">
        <v>0.29499999999999998</v>
      </c>
      <c r="F39" s="34">
        <v>0.29499999999999998</v>
      </c>
      <c r="G39" s="34">
        <v>0.29499999999999998</v>
      </c>
    </row>
    <row r="40" spans="1:12" x14ac:dyDescent="0.15">
      <c r="A40" s="21" t="s">
        <v>70</v>
      </c>
      <c r="B40" s="21">
        <f>B37*B38*B39</f>
        <v>66484.149999999994</v>
      </c>
      <c r="C40" s="21">
        <f t="shared" ref="C40:G40" si="6">C37*C38*C39</f>
        <v>66484.149999999994</v>
      </c>
      <c r="D40" s="21">
        <f t="shared" si="6"/>
        <v>23591.149999999998</v>
      </c>
      <c r="E40" s="21">
        <f t="shared" si="6"/>
        <v>23591.149999999998</v>
      </c>
      <c r="F40" s="21">
        <f t="shared" si="6"/>
        <v>17157.2</v>
      </c>
      <c r="G40" s="21">
        <f t="shared" si="6"/>
        <v>17157.2</v>
      </c>
    </row>
    <row r="41" spans="1:12" x14ac:dyDescent="0.15">
      <c r="A41" s="21"/>
      <c r="B41" s="21"/>
      <c r="C41" s="21"/>
      <c r="D41" s="21"/>
      <c r="E41" s="21"/>
      <c r="F41" s="21"/>
      <c r="G41" s="21"/>
    </row>
    <row r="42" spans="1:12" x14ac:dyDescent="0.15">
      <c r="A42" s="18" t="s">
        <v>37</v>
      </c>
      <c r="B42" s="18">
        <v>1</v>
      </c>
      <c r="C42" s="18">
        <v>1</v>
      </c>
      <c r="D42" s="18">
        <v>1</v>
      </c>
      <c r="E42" s="18">
        <v>1</v>
      </c>
      <c r="F42" s="18">
        <v>1</v>
      </c>
      <c r="G42" s="18">
        <v>1</v>
      </c>
    </row>
    <row r="43" spans="1:12" x14ac:dyDescent="0.15">
      <c r="A43" s="21" t="s">
        <v>71</v>
      </c>
      <c r="B43" s="21">
        <f>B42*B40</f>
        <v>66484.149999999994</v>
      </c>
      <c r="C43" s="21">
        <f t="shared" ref="C43:G43" si="7">C42*C40</f>
        <v>66484.149999999994</v>
      </c>
      <c r="D43" s="21">
        <f t="shared" si="7"/>
        <v>23591.149999999998</v>
      </c>
      <c r="E43" s="21">
        <f t="shared" si="7"/>
        <v>23591.149999999998</v>
      </c>
      <c r="F43" s="21">
        <f t="shared" si="7"/>
        <v>17157.2</v>
      </c>
      <c r="G43" s="21">
        <f t="shared" si="7"/>
        <v>17157.2</v>
      </c>
    </row>
    <row r="44" spans="1:12" x14ac:dyDescent="0.15">
      <c r="A44" s="10" t="s">
        <v>38</v>
      </c>
      <c r="B44" s="24">
        <f>B43/B35</f>
        <v>2357.5939716312055</v>
      </c>
      <c r="C44" s="24">
        <f t="shared" ref="C44:G44" si="8">C43/C35</f>
        <v>2357.5939716312055</v>
      </c>
      <c r="D44" s="24">
        <f t="shared" si="8"/>
        <v>436.46901017576312</v>
      </c>
      <c r="E44" s="24">
        <f t="shared" si="8"/>
        <v>436.46901017576312</v>
      </c>
      <c r="F44" s="24">
        <f t="shared" si="8"/>
        <v>112.32209492635025</v>
      </c>
      <c r="G44" s="24">
        <f t="shared" si="8"/>
        <v>112.32209492635025</v>
      </c>
      <c r="J44" s="41">
        <v>0.5</v>
      </c>
      <c r="K44" s="41">
        <v>1</v>
      </c>
      <c r="L44" s="41">
        <f t="shared" si="3"/>
        <v>0.5</v>
      </c>
    </row>
    <row r="47" spans="1:12" ht="13" customHeight="1" x14ac:dyDescent="0.15">
      <c r="A47" s="13" t="s">
        <v>39</v>
      </c>
      <c r="B47" s="37" t="s">
        <v>24</v>
      </c>
      <c r="C47" s="37"/>
      <c r="D47" s="37" t="s">
        <v>25</v>
      </c>
      <c r="E47" s="37"/>
      <c r="F47" s="37" t="s">
        <v>26</v>
      </c>
      <c r="G47" s="37"/>
    </row>
    <row r="48" spans="1:12" ht="13" customHeight="1" x14ac:dyDescent="0.15">
      <c r="A48" s="25" t="s">
        <v>48</v>
      </c>
      <c r="B48" s="44">
        <v>0.01</v>
      </c>
      <c r="C48" s="44">
        <v>0.01</v>
      </c>
      <c r="D48" s="44">
        <v>1.0999999999999999E-2</v>
      </c>
      <c r="E48" s="44">
        <v>1.0999999999999999E-2</v>
      </c>
      <c r="F48" s="44">
        <v>7.0000000000000001E-3</v>
      </c>
      <c r="G48" s="44">
        <v>7.0000000000000001E-3</v>
      </c>
    </row>
    <row r="49" spans="1:12" ht="13" customHeight="1" x14ac:dyDescent="0.15">
      <c r="A49" s="26" t="s">
        <v>66</v>
      </c>
      <c r="B49" s="27">
        <f>B48*60</f>
        <v>0.6</v>
      </c>
      <c r="C49" s="27">
        <f t="shared" ref="C49:G49" si="9">C48*60</f>
        <v>0.6</v>
      </c>
      <c r="D49" s="27">
        <f t="shared" si="9"/>
        <v>0.65999999999999992</v>
      </c>
      <c r="E49" s="27">
        <f t="shared" si="9"/>
        <v>0.65999999999999992</v>
      </c>
      <c r="F49" s="27">
        <f t="shared" si="9"/>
        <v>0.42</v>
      </c>
      <c r="G49" s="27">
        <f t="shared" si="9"/>
        <v>0.42</v>
      </c>
    </row>
    <row r="50" spans="1:12" ht="13" customHeight="1" x14ac:dyDescent="0.15">
      <c r="A50" s="26" t="s">
        <v>65</v>
      </c>
      <c r="B50" s="27">
        <v>8</v>
      </c>
      <c r="C50" s="27">
        <v>13</v>
      </c>
      <c r="D50" s="27">
        <v>8</v>
      </c>
      <c r="E50" s="27">
        <v>13</v>
      </c>
      <c r="F50" s="27">
        <v>8</v>
      </c>
      <c r="G50" s="27">
        <v>13</v>
      </c>
    </row>
    <row r="51" spans="1:12" ht="13" customHeight="1" x14ac:dyDescent="0.15">
      <c r="A51" s="26" t="s">
        <v>67</v>
      </c>
      <c r="B51" s="28">
        <f>B49*B50</f>
        <v>4.8</v>
      </c>
      <c r="C51" s="28">
        <f t="shared" ref="C51:G51" si="10">C49*C50</f>
        <v>7.8</v>
      </c>
      <c r="D51" s="28">
        <f t="shared" si="10"/>
        <v>5.2799999999999994</v>
      </c>
      <c r="E51" s="28">
        <f t="shared" si="10"/>
        <v>8.5799999999999983</v>
      </c>
      <c r="F51" s="28">
        <f t="shared" si="10"/>
        <v>3.36</v>
      </c>
      <c r="G51" s="28">
        <f t="shared" si="10"/>
        <v>5.46</v>
      </c>
    </row>
    <row r="52" spans="1:12" ht="13" customHeight="1" x14ac:dyDescent="0.15">
      <c r="A52" s="10" t="s">
        <v>49</v>
      </c>
      <c r="B52" s="45">
        <f>B51*250</f>
        <v>1200</v>
      </c>
      <c r="C52" s="45">
        <f t="shared" ref="C52:G52" si="11">C51*250</f>
        <v>1950</v>
      </c>
      <c r="D52" s="45">
        <f t="shared" si="11"/>
        <v>1319.9999999999998</v>
      </c>
      <c r="E52" s="45">
        <f t="shared" si="11"/>
        <v>2144.9999999999995</v>
      </c>
      <c r="F52" s="45">
        <f t="shared" si="11"/>
        <v>840</v>
      </c>
      <c r="G52" s="45">
        <f t="shared" si="11"/>
        <v>1365</v>
      </c>
      <c r="H52" s="35" t="s">
        <v>83</v>
      </c>
      <c r="J52" s="41">
        <v>0.75</v>
      </c>
      <c r="K52" s="41">
        <v>0</v>
      </c>
      <c r="L52" s="41">
        <f>J52*K52</f>
        <v>0</v>
      </c>
    </row>
    <row r="54" spans="1:12" x14ac:dyDescent="0.15">
      <c r="A54" s="13" t="s">
        <v>2</v>
      </c>
      <c r="B54" s="37" t="s">
        <v>24</v>
      </c>
      <c r="C54" s="37"/>
      <c r="D54" s="37" t="s">
        <v>25</v>
      </c>
      <c r="E54" s="37"/>
      <c r="F54" s="37" t="s">
        <v>26</v>
      </c>
      <c r="G54" s="37"/>
    </row>
    <row r="55" spans="1:12" x14ac:dyDescent="0.15">
      <c r="A55" s="14" t="s">
        <v>1</v>
      </c>
      <c r="B55" s="19">
        <f>1-(1/10^(C12/10))</f>
        <v>0.49881276637272776</v>
      </c>
      <c r="C55" s="19"/>
      <c r="D55" s="19">
        <f>1-(1/10^(E12/10))</f>
        <v>0.49881276637272776</v>
      </c>
      <c r="E55" s="19"/>
      <c r="F55" s="19">
        <f>1-(1/10^(G12/10))</f>
        <v>0.49881276637272776</v>
      </c>
      <c r="G55" s="19"/>
    </row>
    <row r="56" spans="1:12" x14ac:dyDescent="0.15">
      <c r="A56" s="19"/>
      <c r="B56" s="29" t="s">
        <v>27</v>
      </c>
      <c r="C56" s="29" t="s">
        <v>4</v>
      </c>
      <c r="D56" s="29" t="s">
        <v>3</v>
      </c>
      <c r="E56" s="29" t="s">
        <v>4</v>
      </c>
      <c r="F56" s="29" t="s">
        <v>3</v>
      </c>
      <c r="G56" s="29" t="s">
        <v>4</v>
      </c>
    </row>
    <row r="57" spans="1:12" x14ac:dyDescent="0.15">
      <c r="A57" s="14" t="s">
        <v>8</v>
      </c>
      <c r="B57" s="14">
        <f>10^(4.6/10)</f>
        <v>2.8840315031266059</v>
      </c>
      <c r="C57" s="14">
        <f>10^(2.6/10)</f>
        <v>1.8197008586099837</v>
      </c>
      <c r="D57" s="14">
        <f t="shared" ref="D57:F57" si="12">10^(4.6/10)</f>
        <v>2.8840315031266059</v>
      </c>
      <c r="E57" s="14">
        <f>10^(2.6/10)</f>
        <v>1.8197008586099837</v>
      </c>
      <c r="F57" s="14">
        <f t="shared" si="12"/>
        <v>2.8840315031266059</v>
      </c>
      <c r="G57" s="14">
        <f>10^(2.6/10)</f>
        <v>1.8197008586099837</v>
      </c>
    </row>
    <row r="58" spans="1:12" x14ac:dyDescent="0.15">
      <c r="A58" s="14" t="s">
        <v>9</v>
      </c>
      <c r="B58" s="14">
        <f>(B57*B78*(1-B79+B80))/(3840/B59)</f>
        <v>6.8143806229890979E-3</v>
      </c>
      <c r="C58" s="14">
        <f t="shared" ref="C58:G58" si="13">(C57*C78*(1-C79+C80))/(3840/C59)</f>
        <v>3.3664465884284699E-2</v>
      </c>
      <c r="D58" s="14">
        <f>(D57*D78*(1-D79+D80))/(3840/D59)</f>
        <v>6.8143806229890979E-3</v>
      </c>
      <c r="E58" s="14">
        <f t="shared" si="13"/>
        <v>3.3664465884284699E-2</v>
      </c>
      <c r="F58" s="14">
        <f t="shared" si="13"/>
        <v>6.8143806229890979E-3</v>
      </c>
      <c r="G58" s="14">
        <f t="shared" si="13"/>
        <v>3.3664465884284699E-2</v>
      </c>
      <c r="J58" s="41">
        <v>1.25</v>
      </c>
      <c r="K58" s="41">
        <v>1</v>
      </c>
      <c r="L58" s="41">
        <f>J58*K58</f>
        <v>1.25</v>
      </c>
    </row>
    <row r="59" spans="1:12" x14ac:dyDescent="0.15">
      <c r="A59" s="26" t="s">
        <v>77</v>
      </c>
      <c r="B59" s="19">
        <v>12.2</v>
      </c>
      <c r="C59" s="19">
        <v>64</v>
      </c>
      <c r="D59" s="19">
        <v>12.2</v>
      </c>
      <c r="E59" s="19">
        <v>64</v>
      </c>
      <c r="F59" s="19">
        <v>12.2</v>
      </c>
      <c r="G59" s="19">
        <v>64</v>
      </c>
    </row>
    <row r="60" spans="1:12" x14ac:dyDescent="0.15">
      <c r="A60" s="19" t="s">
        <v>10</v>
      </c>
      <c r="B60" s="19">
        <v>7.0000000000000007E-2</v>
      </c>
      <c r="C60" s="26">
        <f>B55-B60</f>
        <v>0.42881276637272775</v>
      </c>
      <c r="D60" s="26">
        <v>7.0000000000000007E-2</v>
      </c>
      <c r="E60" s="26">
        <f t="shared" ref="E60:G60" si="14">D55-D60</f>
        <v>0.42881276637272775</v>
      </c>
      <c r="F60" s="26">
        <v>7.0000000000000007E-2</v>
      </c>
      <c r="G60" s="26">
        <f t="shared" si="14"/>
        <v>0.42881276637272775</v>
      </c>
    </row>
    <row r="61" spans="1:12" x14ac:dyDescent="0.15">
      <c r="A61" s="31" t="s">
        <v>30</v>
      </c>
      <c r="B61" s="30">
        <f>B60/B58</f>
        <v>10.272393614739826</v>
      </c>
      <c r="C61" s="30">
        <f t="shared" ref="C61:G61" si="15">C60/C58</f>
        <v>12.737845532636442</v>
      </c>
      <c r="D61" s="30">
        <f>D60/D58</f>
        <v>10.272393614739826</v>
      </c>
      <c r="E61" s="30">
        <f t="shared" si="15"/>
        <v>12.737845532636442</v>
      </c>
      <c r="F61" s="30">
        <f t="shared" si="15"/>
        <v>10.272393614739826</v>
      </c>
      <c r="G61" s="30">
        <f t="shared" si="15"/>
        <v>12.737845532636442</v>
      </c>
    </row>
    <row r="62" spans="1:12" x14ac:dyDescent="0.15">
      <c r="A62" s="19" t="s">
        <v>11</v>
      </c>
      <c r="B62" s="19">
        <f>B61*(1+B80)</f>
        <v>17.052173400468114</v>
      </c>
      <c r="C62" s="19">
        <f t="shared" ref="C62:G62" si="16">C61*(1+C80)</f>
        <v>21.144823584176496</v>
      </c>
      <c r="D62" s="19">
        <f t="shared" si="16"/>
        <v>17.052173400468114</v>
      </c>
      <c r="E62" s="19">
        <f t="shared" si="16"/>
        <v>21.144823584176496</v>
      </c>
      <c r="F62" s="19">
        <f t="shared" si="16"/>
        <v>17.052173400468114</v>
      </c>
      <c r="G62" s="19">
        <f t="shared" si="16"/>
        <v>21.144823584176496</v>
      </c>
    </row>
    <row r="63" spans="1:12" x14ac:dyDescent="0.15">
      <c r="A63" s="31" t="s">
        <v>22</v>
      </c>
      <c r="B63" s="31">
        <f>LOOKUP(B62,Erlang!$A$2:$B$76)</f>
        <v>10.655804</v>
      </c>
      <c r="C63" s="31">
        <f>LOOKUP(C62,Erlang!$A$2:$B$76)</f>
        <v>14.035999</v>
      </c>
      <c r="D63" s="31">
        <f>LOOKUP(D62,Erlang!$A$2:$B$76)</f>
        <v>10.655804</v>
      </c>
      <c r="E63" s="31">
        <f>LOOKUP(E62,Erlang!$A$2:$B$76)</f>
        <v>14.035999</v>
      </c>
      <c r="F63" s="31">
        <f>LOOKUP(F62,Erlang!$A$2:$B$76)</f>
        <v>10.655804</v>
      </c>
      <c r="G63" s="31">
        <f>LOOKUP(G62,Erlang!$A$2:$B$76)</f>
        <v>14.035999</v>
      </c>
    </row>
    <row r="64" spans="1:12" x14ac:dyDescent="0.15">
      <c r="A64" s="19" t="s">
        <v>23</v>
      </c>
      <c r="B64" s="44">
        <f>B63*(1+B80)</f>
        <v>17.68863464</v>
      </c>
      <c r="C64" s="44">
        <f t="shared" ref="C64:G64" si="17">C63*(1+C80)</f>
        <v>23.299758340000004</v>
      </c>
      <c r="D64" s="44">
        <f t="shared" si="17"/>
        <v>17.68863464</v>
      </c>
      <c r="E64" s="44">
        <f t="shared" si="17"/>
        <v>23.299758340000004</v>
      </c>
      <c r="F64" s="44">
        <f t="shared" si="17"/>
        <v>17.68863464</v>
      </c>
      <c r="G64" s="44">
        <f t="shared" si="17"/>
        <v>23.299758340000004</v>
      </c>
    </row>
    <row r="65" spans="1:12" x14ac:dyDescent="0.15">
      <c r="A65" s="19" t="s">
        <v>40</v>
      </c>
      <c r="B65" s="44">
        <f>B48</f>
        <v>0.01</v>
      </c>
      <c r="C65" s="44">
        <f t="shared" ref="C65:G65" si="18">C48</f>
        <v>0.01</v>
      </c>
      <c r="D65" s="44">
        <f t="shared" si="18"/>
        <v>1.0999999999999999E-2</v>
      </c>
      <c r="E65" s="44">
        <f t="shared" si="18"/>
        <v>1.0999999999999999E-2</v>
      </c>
      <c r="F65" s="44">
        <f t="shared" si="18"/>
        <v>7.0000000000000001E-3</v>
      </c>
      <c r="G65" s="44">
        <f t="shared" si="18"/>
        <v>7.0000000000000001E-3</v>
      </c>
    </row>
    <row r="66" spans="1:12" x14ac:dyDescent="0.15">
      <c r="A66" s="19" t="s">
        <v>7</v>
      </c>
      <c r="B66" s="19">
        <f>B64/B65</f>
        <v>1768.863464</v>
      </c>
      <c r="C66" s="19">
        <f t="shared" ref="C66:G66" si="19">C64/C65</f>
        <v>2329.9758340000003</v>
      </c>
      <c r="D66" s="19">
        <f t="shared" si="19"/>
        <v>1608.0576945454548</v>
      </c>
      <c r="E66" s="19">
        <f t="shared" si="19"/>
        <v>2118.1598490909096</v>
      </c>
      <c r="F66" s="19">
        <f t="shared" si="19"/>
        <v>2526.9478057142856</v>
      </c>
      <c r="G66" s="19">
        <f t="shared" si="19"/>
        <v>3328.5369057142861</v>
      </c>
    </row>
    <row r="67" spans="1:12" x14ac:dyDescent="0.15">
      <c r="A67" s="32"/>
      <c r="B67" s="37" t="s">
        <v>24</v>
      </c>
      <c r="C67" s="37"/>
      <c r="D67" s="37" t="s">
        <v>25</v>
      </c>
      <c r="E67" s="37"/>
      <c r="F67" s="37" t="s">
        <v>26</v>
      </c>
      <c r="G67" s="37"/>
    </row>
    <row r="68" spans="1:12" x14ac:dyDescent="0.15">
      <c r="A68" s="16" t="s">
        <v>5</v>
      </c>
      <c r="B68" s="33">
        <f>SQRT((B77*B66)/(PI()*B44))</f>
        <v>0.97738958963528699</v>
      </c>
      <c r="C68" s="33">
        <f t="shared" ref="C68:G68" si="20">SQRT((C77*C66)/(PI()*C44))</f>
        <v>0.97146440661830558</v>
      </c>
      <c r="D68" s="33">
        <f t="shared" si="20"/>
        <v>2.1658539410420588</v>
      </c>
      <c r="E68" s="33">
        <f t="shared" si="20"/>
        <v>2.1527239863905945</v>
      </c>
      <c r="F68" s="33">
        <f t="shared" si="20"/>
        <v>5.3520553684283687</v>
      </c>
      <c r="G68" s="33">
        <f t="shared" si="20"/>
        <v>5.3196098544682817</v>
      </c>
      <c r="H68" t="s">
        <v>84</v>
      </c>
      <c r="J68" s="41">
        <v>3</v>
      </c>
      <c r="K68" s="41">
        <v>0</v>
      </c>
      <c r="L68" s="41">
        <f>J68*K68</f>
        <v>0</v>
      </c>
    </row>
    <row r="70" spans="1:12" x14ac:dyDescent="0.15">
      <c r="A70" s="32"/>
      <c r="B70" s="32" t="s">
        <v>24</v>
      </c>
      <c r="C70" s="32" t="s">
        <v>25</v>
      </c>
      <c r="D70" s="32" t="s">
        <v>26</v>
      </c>
    </row>
    <row r="71" spans="1:12" x14ac:dyDescent="0.15">
      <c r="A71" s="16" t="s">
        <v>6</v>
      </c>
      <c r="B71" s="33">
        <f>MIN(B68,C68,B28)</f>
        <v>0.33598264978466663</v>
      </c>
      <c r="C71" s="33">
        <f>MIN(E68,D68,C28)</f>
        <v>0.73766781337411969</v>
      </c>
      <c r="D71" s="33">
        <f>MIN(G68,F68,D28)</f>
        <v>0.34026129415348688</v>
      </c>
      <c r="E71" t="s">
        <v>85</v>
      </c>
      <c r="J71" s="41">
        <v>1.5</v>
      </c>
      <c r="K71" s="41">
        <f>0.3</f>
        <v>0.3</v>
      </c>
      <c r="L71" s="41">
        <f>J71*K71</f>
        <v>0.44999999999999996</v>
      </c>
    </row>
    <row r="72" spans="1:12" x14ac:dyDescent="0.15">
      <c r="A72" s="16" t="s">
        <v>28</v>
      </c>
      <c r="B72" s="16">
        <f>PI()*B71*B71</f>
        <v>0.35463661625371895</v>
      </c>
      <c r="C72" s="16">
        <f t="shared" ref="C72:D72" si="21">PI()*C71*C71</f>
        <v>1.7095095895763763</v>
      </c>
      <c r="D72" s="16">
        <f t="shared" si="21"/>
        <v>0.36372652350532458</v>
      </c>
    </row>
    <row r="73" spans="1:12" x14ac:dyDescent="0.15">
      <c r="A73" s="16" t="s">
        <v>29</v>
      </c>
      <c r="B73" s="16">
        <f>ROUND(B35/B72,0)</f>
        <v>80</v>
      </c>
      <c r="C73" s="16">
        <f t="shared" ref="C73:D73" si="22">ROUND(C35/C72,0)</f>
        <v>16</v>
      </c>
      <c r="D73" s="16">
        <f t="shared" si="22"/>
        <v>149</v>
      </c>
      <c r="J73" s="41">
        <v>0.5</v>
      </c>
      <c r="K73" s="41">
        <v>0.3</v>
      </c>
      <c r="L73" s="41">
        <f>J73*K73</f>
        <v>0.15</v>
      </c>
    </row>
    <row r="75" spans="1:12" x14ac:dyDescent="0.15">
      <c r="A75" s="36" t="s">
        <v>87</v>
      </c>
      <c r="B75" s="35" t="s">
        <v>73</v>
      </c>
      <c r="D75" s="35" t="s">
        <v>74</v>
      </c>
      <c r="F75" s="35" t="s">
        <v>75</v>
      </c>
    </row>
    <row r="76" spans="1:12" x14ac:dyDescent="0.15">
      <c r="B76" s="35" t="s">
        <v>82</v>
      </c>
      <c r="C76" s="35" t="s">
        <v>81</v>
      </c>
      <c r="D76" s="35" t="s">
        <v>82</v>
      </c>
      <c r="E76" s="35" t="s">
        <v>81</v>
      </c>
      <c r="F76" s="35" t="s">
        <v>82</v>
      </c>
      <c r="G76" s="35" t="s">
        <v>81</v>
      </c>
    </row>
    <row r="77" spans="1:12" x14ac:dyDescent="0.15">
      <c r="A77" t="s">
        <v>76</v>
      </c>
      <c r="B77">
        <v>4</v>
      </c>
      <c r="C77">
        <v>3</v>
      </c>
      <c r="D77">
        <v>4</v>
      </c>
      <c r="E77">
        <v>3</v>
      </c>
      <c r="F77">
        <v>4</v>
      </c>
      <c r="G77">
        <v>3</v>
      </c>
      <c r="J77" s="41">
        <f>SUM(J13:J75)</f>
        <v>10</v>
      </c>
      <c r="K77" s="41">
        <v>1</v>
      </c>
      <c r="L77" s="41">
        <f>SUM(L13:L75)</f>
        <v>3.35</v>
      </c>
    </row>
    <row r="78" spans="1:12" x14ac:dyDescent="0.15">
      <c r="A78" s="35" t="s">
        <v>79</v>
      </c>
      <c r="B78">
        <v>0.67</v>
      </c>
      <c r="C78">
        <v>1</v>
      </c>
      <c r="D78">
        <v>0.67</v>
      </c>
      <c r="E78">
        <v>1</v>
      </c>
      <c r="F78">
        <v>0.67</v>
      </c>
      <c r="G78">
        <v>1</v>
      </c>
      <c r="L78" s="43">
        <f>L77/10*1.5</f>
        <v>0.50250000000000006</v>
      </c>
    </row>
    <row r="79" spans="1:12" x14ac:dyDescent="0.15">
      <c r="A79" s="35" t="s">
        <v>78</v>
      </c>
      <c r="B79">
        <v>0.55000000000000004</v>
      </c>
      <c r="C79">
        <v>0.55000000000000004</v>
      </c>
      <c r="D79">
        <v>0.55000000000000004</v>
      </c>
      <c r="E79">
        <v>0.55000000000000004</v>
      </c>
      <c r="F79">
        <v>0.55000000000000004</v>
      </c>
      <c r="G79">
        <v>0.55000000000000004</v>
      </c>
    </row>
    <row r="80" spans="1:12" x14ac:dyDescent="0.15">
      <c r="A80" s="35" t="s">
        <v>80</v>
      </c>
      <c r="B80">
        <v>0.66</v>
      </c>
      <c r="C80">
        <v>0.66</v>
      </c>
      <c r="D80">
        <v>0.66</v>
      </c>
      <c r="E80">
        <v>0.66</v>
      </c>
      <c r="F80">
        <v>0.66</v>
      </c>
      <c r="G80">
        <v>0.66</v>
      </c>
    </row>
  </sheetData>
  <mergeCells count="15">
    <mergeCell ref="D47:E47"/>
    <mergeCell ref="F47:G47"/>
    <mergeCell ref="C2:D2"/>
    <mergeCell ref="E2:F2"/>
    <mergeCell ref="G2:H2"/>
    <mergeCell ref="B33:C33"/>
    <mergeCell ref="D33:E33"/>
    <mergeCell ref="F33:G33"/>
    <mergeCell ref="B47:C47"/>
    <mergeCell ref="F67:G67"/>
    <mergeCell ref="D67:E67"/>
    <mergeCell ref="B67:C67"/>
    <mergeCell ref="B54:C54"/>
    <mergeCell ref="D54:E54"/>
    <mergeCell ref="F54:G54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 r:id="rId1"/>
  <ignoredErrors>
    <ignoredError sqref="C57:D57 E57:F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20</v>
      </c>
      <c r="B1" s="1" t="s">
        <v>21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2021-12-26T11:30:15Z</dcterms:modified>
</cp:coreProperties>
</file>