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tonioportilla/Dropbox (Personal)/JAPortilla/Docencia/Comunicaciones Móviles/Curso 2021-2022/02 PEI 2/Correcciones/"/>
    </mc:Choice>
  </mc:AlternateContent>
  <xr:revisionPtr revIDLastSave="0" documentId="13_ncr:1_{57A3F4D5-BEC6-2A41-A91B-7C060EB31D47}" xr6:coauthVersionLast="47" xr6:coauthVersionMax="47" xr10:uidLastSave="{00000000-0000-0000-0000-000000000000}"/>
  <bookViews>
    <workbookView xWindow="0" yWindow="500" windowWidth="23940" windowHeight="15000" tabRatio="404" xr2:uid="{00000000-000D-0000-FFFF-FFFF00000000}"/>
  </bookViews>
  <sheets>
    <sheet name="UMTS 2100" sheetId="5" r:id="rId1"/>
    <sheet name="Erlang" sheetId="6" r:id="rId2"/>
  </sheets>
  <definedNames>
    <definedName name="_xlnm.Print_Area" localSheetId="0">'UMTS 2100'!$A$1:$H$82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5" i="5" l="1"/>
  <c r="B68" i="5"/>
  <c r="J85" i="5"/>
  <c r="L83" i="5"/>
  <c r="L73" i="5"/>
  <c r="L71" i="5"/>
  <c r="L66" i="5"/>
  <c r="L58" i="5"/>
  <c r="L52" i="5"/>
  <c r="L44" i="5"/>
  <c r="L28" i="5"/>
  <c r="L13" i="5"/>
  <c r="B59" i="5"/>
  <c r="C53" i="5"/>
  <c r="C54" i="5" s="1"/>
  <c r="D53" i="5"/>
  <c r="D54" i="5" s="1"/>
  <c r="E53" i="5"/>
  <c r="E54" i="5" s="1"/>
  <c r="F53" i="5"/>
  <c r="F54" i="5" s="1"/>
  <c r="G53" i="5"/>
  <c r="G54" i="5" s="1"/>
  <c r="B53" i="5"/>
  <c r="B54" i="5" s="1"/>
  <c r="C12" i="5"/>
  <c r="D12" i="5"/>
  <c r="E12" i="5"/>
  <c r="F12" i="5"/>
  <c r="G12" i="5"/>
  <c r="H12" i="5"/>
  <c r="C59" i="5"/>
  <c r="C67" i="5" s="1"/>
  <c r="D59" i="5"/>
  <c r="E59" i="5"/>
  <c r="E67" i="5" s="1"/>
  <c r="F59" i="5"/>
  <c r="G59" i="5"/>
  <c r="G67" i="5" s="1"/>
  <c r="G61" i="5"/>
  <c r="G66" i="5" s="1"/>
  <c r="E61" i="5"/>
  <c r="E66" i="5" s="1"/>
  <c r="C61" i="5"/>
  <c r="C66" i="5" s="1"/>
  <c r="D61" i="5"/>
  <c r="D66" i="5" s="1"/>
  <c r="D68" i="5" s="1"/>
  <c r="D69" i="5" s="1"/>
  <c r="D70" i="5" s="1"/>
  <c r="D71" i="5" s="1"/>
  <c r="D73" i="5" s="1"/>
  <c r="F61" i="5"/>
  <c r="F66" i="5" s="1"/>
  <c r="F68" i="5" s="1"/>
  <c r="F69" i="5" s="1"/>
  <c r="F70" i="5" s="1"/>
  <c r="F71" i="5" s="1"/>
  <c r="F73" i="5" s="1"/>
  <c r="B61" i="5"/>
  <c r="B66" i="5" s="1"/>
  <c r="C40" i="5"/>
  <c r="C43" i="5" s="1"/>
  <c r="C46" i="5" s="1"/>
  <c r="D40" i="5"/>
  <c r="D43" i="5" s="1"/>
  <c r="D46" i="5" s="1"/>
  <c r="E40" i="5"/>
  <c r="E43" i="5" s="1"/>
  <c r="E46" i="5" s="1"/>
  <c r="F40" i="5"/>
  <c r="F43" i="5" s="1"/>
  <c r="F46" i="5" s="1"/>
  <c r="G40" i="5"/>
  <c r="G43" i="5" s="1"/>
  <c r="G46" i="5" s="1"/>
  <c r="B40" i="5"/>
  <c r="B43" i="5" s="1"/>
  <c r="B46" i="5" s="1"/>
  <c r="C38" i="5"/>
  <c r="D38" i="5"/>
  <c r="E38" i="5"/>
  <c r="F38" i="5"/>
  <c r="G38" i="5"/>
  <c r="B38" i="5"/>
  <c r="B27" i="5"/>
  <c r="B26" i="5"/>
  <c r="B25" i="5" s="1"/>
  <c r="D24" i="5"/>
  <c r="C24" i="5"/>
  <c r="C23" i="5"/>
  <c r="D23" i="5"/>
  <c r="B23" i="5"/>
  <c r="D28" i="5"/>
  <c r="C28" i="5"/>
  <c r="C22" i="5"/>
  <c r="D22" i="5"/>
  <c r="B22" i="5"/>
  <c r="C21" i="5"/>
  <c r="D21" i="5"/>
  <c r="B21" i="5"/>
  <c r="D4" i="5"/>
  <c r="E4" i="5"/>
  <c r="F4" i="5"/>
  <c r="G4" i="5"/>
  <c r="H4" i="5"/>
  <c r="C4" i="5"/>
  <c r="B69" i="5" l="1"/>
  <c r="B70" i="5" s="1"/>
  <c r="B71" i="5" s="1"/>
  <c r="B73" i="5" s="1"/>
  <c r="L86" i="5"/>
  <c r="B55" i="5"/>
  <c r="D55" i="5"/>
  <c r="G55" i="5"/>
  <c r="C55" i="5"/>
  <c r="E55" i="5"/>
  <c r="E68" i="5"/>
  <c r="E69" i="5" s="1"/>
  <c r="E70" i="5" s="1"/>
  <c r="E71" i="5" s="1"/>
  <c r="E73" i="5" s="1"/>
  <c r="F55" i="5"/>
  <c r="G13" i="5"/>
  <c r="H13" i="5"/>
  <c r="F13" i="5"/>
  <c r="D13" i="5"/>
  <c r="B30" i="5" s="1"/>
  <c r="G68" i="5"/>
  <c r="G69" i="5" s="1"/>
  <c r="G70" i="5" s="1"/>
  <c r="G71" i="5" s="1"/>
  <c r="G73" i="5" s="1"/>
  <c r="C29" i="5"/>
  <c r="G47" i="5"/>
  <c r="C47" i="5"/>
  <c r="C68" i="5"/>
  <c r="C69" i="5" s="1"/>
  <c r="C70" i="5" s="1"/>
  <c r="C71" i="5" s="1"/>
  <c r="C73" i="5" s="1"/>
  <c r="C76" i="5" s="1"/>
  <c r="F47" i="5"/>
  <c r="F76" i="5" s="1"/>
  <c r="C13" i="5"/>
  <c r="E13" i="5"/>
  <c r="B29" i="5"/>
  <c r="E47" i="5"/>
  <c r="B47" i="5"/>
  <c r="D47" i="5"/>
  <c r="D76" i="5" s="1"/>
  <c r="D29" i="5"/>
  <c r="B76" i="5" l="1"/>
  <c r="G76" i="5"/>
  <c r="E76" i="5"/>
  <c r="D30" i="5"/>
  <c r="D31" i="5" s="1"/>
  <c r="D79" i="5" s="1"/>
  <c r="D80" i="5" s="1"/>
  <c r="D81" i="5" s="1"/>
  <c r="C30" i="5"/>
  <c r="C31" i="5" s="1"/>
  <c r="B31" i="5"/>
  <c r="B79" i="5" s="1"/>
  <c r="B80" i="5" s="1"/>
  <c r="B81" i="5" s="1"/>
  <c r="C79" i="5" l="1"/>
  <c r="C80" i="5" s="1"/>
  <c r="C81" i="5" s="1"/>
</calcChain>
</file>

<file path=xl/sharedStrings.xml><?xml version="1.0" encoding="utf-8"?>
<sst xmlns="http://schemas.openxmlformats.org/spreadsheetml/2006/main" count="116" uniqueCount="90">
  <si>
    <t>Carga Total</t>
    <phoneticPr fontId="5" type="noConversion"/>
  </si>
  <si>
    <t xml:space="preserve">Por capacidad </t>
    <phoneticPr fontId="5" type="noConversion"/>
  </si>
  <si>
    <t>Voz</t>
    <phoneticPr fontId="5" type="noConversion"/>
  </si>
  <si>
    <t>Datos</t>
    <phoneticPr fontId="5" type="noConversion"/>
  </si>
  <si>
    <t>Radios Definitivos</t>
    <phoneticPr fontId="5" type="noConversion"/>
  </si>
  <si>
    <t>Factor de Carga Ind.</t>
    <phoneticPr fontId="5" type="noConversion"/>
  </si>
  <si>
    <t>Distribucion Carga</t>
    <phoneticPr fontId="5" type="noConversion"/>
  </si>
  <si>
    <t>N Conexiones Activas SC</t>
    <phoneticPr fontId="5" type="noConversion"/>
  </si>
  <si>
    <t>Camino</t>
    <phoneticPr fontId="5" type="noConversion"/>
  </si>
  <si>
    <t>Voz</t>
    <phoneticPr fontId="5" type="noConversion"/>
  </si>
  <si>
    <t>Datos</t>
    <phoneticPr fontId="5" type="noConversion"/>
  </si>
  <si>
    <t xml:space="preserve">Voz </t>
    <phoneticPr fontId="5" type="noConversion"/>
  </si>
  <si>
    <t>Datos</t>
    <phoneticPr fontId="5" type="noConversion"/>
  </si>
  <si>
    <t>Propagacion</t>
    <phoneticPr fontId="5" type="noConversion"/>
  </si>
  <si>
    <t>N CANALES</t>
  </si>
  <si>
    <t>A (2 %)</t>
  </si>
  <si>
    <t>Trafico Ofrecido SC</t>
  </si>
  <si>
    <t>Urbano</t>
  </si>
  <si>
    <t>Suburbano</t>
  </si>
  <si>
    <t>Rural</t>
  </si>
  <si>
    <t>Voz</t>
  </si>
  <si>
    <t>Area Nodo B</t>
  </si>
  <si>
    <t>Número Nodos B</t>
  </si>
  <si>
    <t>N Conexiones Activas EB</t>
  </si>
  <si>
    <t>Porcentages Terreno</t>
    <phoneticPr fontId="2" type="noConversion"/>
  </si>
  <si>
    <t>Porcentages Población</t>
    <phoneticPr fontId="2" type="noConversion"/>
  </si>
  <si>
    <t>Penetración de Mercado</t>
    <phoneticPr fontId="2" type="noConversion"/>
  </si>
  <si>
    <t>Market Share</t>
    <phoneticPr fontId="2" type="noConversion"/>
  </si>
  <si>
    <t>Penetración Servicio</t>
    <phoneticPr fontId="2" type="noConversion"/>
  </si>
  <si>
    <t>Calculo de Tráfico Total</t>
  </si>
  <si>
    <t>Model</t>
    <phoneticPr fontId="2" type="noConversion"/>
  </si>
  <si>
    <t>Two Slope</t>
    <phoneticPr fontId="2" type="noConversion"/>
  </si>
  <si>
    <t>One Slope</t>
    <phoneticPr fontId="2" type="noConversion"/>
  </si>
  <si>
    <t>Datos Ciudad</t>
  </si>
  <si>
    <t>Trafíco Individual</t>
  </si>
  <si>
    <t>Trafico Total Anual</t>
  </si>
  <si>
    <t>Mv (TX)</t>
  </si>
  <si>
    <t>BTS (RX)</t>
  </si>
  <si>
    <t>PTX(dbm)</t>
  </si>
  <si>
    <t>Gantena (db)</t>
  </si>
  <si>
    <t>Lcables (db)</t>
  </si>
  <si>
    <t>Sensibilidad (dbm)</t>
  </si>
  <si>
    <t>Ldesvanecimineto (db)</t>
  </si>
  <si>
    <t>Ladicionales (db)</t>
  </si>
  <si>
    <t>Margen de interferencia</t>
  </si>
  <si>
    <t>EXTRA</t>
  </si>
  <si>
    <t>Pathloss (db)</t>
  </si>
  <si>
    <t>Hemos asumido las pérdidas como ganancias negativas y la sensibilidad en positivo para simplificar la fórmula en excel</t>
  </si>
  <si>
    <t>A</t>
  </si>
  <si>
    <t>B</t>
  </si>
  <si>
    <t>a(hms)</t>
  </si>
  <si>
    <t>Banda De Frecuencia (Mhz)</t>
  </si>
  <si>
    <t>s (One slope)</t>
  </si>
  <si>
    <t>s (Two slope)</t>
  </si>
  <si>
    <t>s (f&lt;1500)</t>
  </si>
  <si>
    <t>s (f&gt;=1500)</t>
  </si>
  <si>
    <t xml:space="preserve">Lclutter </t>
  </si>
  <si>
    <t>aux=Lb-slog(d)</t>
  </si>
  <si>
    <t>HBTS (m)</t>
  </si>
  <si>
    <t>h terminal (m)</t>
  </si>
  <si>
    <t>Lpath restrictivo</t>
  </si>
  <si>
    <t>10^((Lpath-aux)/s)</t>
  </si>
  <si>
    <t>Terreno Total (km^2)</t>
  </si>
  <si>
    <t>Poblacion total (hab)</t>
  </si>
  <si>
    <t>Poblacion</t>
  </si>
  <si>
    <t>Terreno</t>
  </si>
  <si>
    <t>Usuarios</t>
  </si>
  <si>
    <t>Usuarios del servicio</t>
  </si>
  <si>
    <t>Densidad (usu.serv/km^2)</t>
  </si>
  <si>
    <t>Eb/No (DL)(u.lineales)</t>
  </si>
  <si>
    <t>Velocidad binaria (kbps)</t>
  </si>
  <si>
    <t>Ortogonalidad</t>
  </si>
  <si>
    <t>Factor interferencia intercelular</t>
  </si>
  <si>
    <t>Factor de actividad</t>
  </si>
  <si>
    <t>CargaVoz+CargaDatos=CargaTotal</t>
  </si>
  <si>
    <t>Trafico individual [a]</t>
  </si>
  <si>
    <t>Trafico Ofrecido EB [A]</t>
  </si>
  <si>
    <t>Usuarios [M=A/a]</t>
  </si>
  <si>
    <t>Margen de interferencia (db)</t>
  </si>
  <si>
    <t>ErlangB</t>
  </si>
  <si>
    <t>Factor hora cargada</t>
  </si>
  <si>
    <t>Minutos anuales cliente</t>
  </si>
  <si>
    <t>Minutos diarios cliente</t>
  </si>
  <si>
    <t>Nºsectores</t>
  </si>
  <si>
    <t>Radio por Propagación (km)</t>
  </si>
  <si>
    <t>Radio por Capacidad (km)</t>
  </si>
  <si>
    <t xml:space="preserve"> Cogemos 900Mhz porque 2100Mhz tiene un ancho de banda menor a los 5Mhz necesarios</t>
  </si>
  <si>
    <t>Max. Marks</t>
  </si>
  <si>
    <t>Factor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</si>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</sst>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13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rgb="FFFF0000"/>
      <name val="Verdana"/>
      <family val="2"/>
    </font>
    <font>
      <sz val="10"/>
      <color theme="0" tint="-0.249977111117893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44"/>
      </patternFill>
    </fill>
    <fill>
      <patternFill patternType="solid">
        <fgColor theme="4" tint="0.79995117038483843"/>
        <bgColor indexed="44"/>
      </patternFill>
    </fill>
    <fill>
      <patternFill patternType="solid">
        <fgColor theme="6" tint="0.79998168889431442"/>
        <bgColor indexed="4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4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4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33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164" fontId="9" fillId="0" borderId="1" xfId="266" applyNumberFormat="1" applyFont="1" applyFill="1" applyBorder="1" applyAlignment="1">
      <alignment horizontal="center"/>
    </xf>
    <xf numFmtId="0" fontId="10" fillId="0" borderId="1" xfId="266" applyFont="1" applyFill="1" applyBorder="1" applyAlignment="1">
      <alignment horizontal="center"/>
    </xf>
    <xf numFmtId="165" fontId="10" fillId="0" borderId="0" xfId="266" applyNumberFormat="1" applyFont="1" applyFill="1" applyAlignment="1">
      <alignment horizontal="center"/>
    </xf>
    <xf numFmtId="2" fontId="10" fillId="0" borderId="0" xfId="266" applyNumberFormat="1" applyFont="1" applyFill="1" applyAlignment="1">
      <alignment horizontal="center"/>
    </xf>
    <xf numFmtId="166" fontId="10" fillId="0" borderId="0" xfId="266" applyNumberFormat="1" applyFont="1" applyFill="1" applyAlignment="1">
      <alignment horizontal="center"/>
    </xf>
    <xf numFmtId="0" fontId="10" fillId="0" borderId="3" xfId="266" applyFont="1" applyFill="1" applyBorder="1" applyAlignment="1">
      <alignment horizontal="center"/>
    </xf>
    <xf numFmtId="166" fontId="10" fillId="0" borderId="2" xfId="266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" fillId="7" borderId="4" xfId="0" applyFont="1" applyFill="1" applyBorder="1"/>
    <xf numFmtId="0" fontId="3" fillId="2" borderId="4" xfId="0" applyFont="1" applyFill="1" applyBorder="1"/>
    <xf numFmtId="0" fontId="0" fillId="2" borderId="4" xfId="0" applyFill="1" applyBorder="1"/>
    <xf numFmtId="0" fontId="1" fillId="2" borderId="4" xfId="0" applyFont="1" applyFill="1" applyBorder="1"/>
    <xf numFmtId="0" fontId="0" fillId="4" borderId="4" xfId="0" applyFill="1" applyBorder="1"/>
    <xf numFmtId="0" fontId="1" fillId="4" borderId="4" xfId="0" applyFont="1" applyFill="1" applyBorder="1"/>
    <xf numFmtId="0" fontId="1" fillId="3" borderId="4" xfId="0" applyFont="1" applyFill="1" applyBorder="1"/>
    <xf numFmtId="0" fontId="1" fillId="0" borderId="4" xfId="0" applyFont="1" applyBorder="1"/>
    <xf numFmtId="0" fontId="0" fillId="6" borderId="4" xfId="0" applyFill="1" applyBorder="1"/>
    <xf numFmtId="0" fontId="0" fillId="0" borderId="4" xfId="0" applyBorder="1"/>
    <xf numFmtId="0" fontId="0" fillId="7" borderId="4" xfId="0" applyFill="1" applyBorder="1"/>
    <xf numFmtId="165" fontId="1" fillId="7" borderId="4" xfId="0" applyNumberFormat="1" applyFont="1" applyFill="1" applyBorder="1"/>
    <xf numFmtId="0" fontId="1" fillId="2" borderId="4" xfId="0" applyFont="1" applyFill="1" applyBorder="1" applyAlignment="1">
      <alignment horizontal="center"/>
    </xf>
    <xf numFmtId="0" fontId="0" fillId="0" borderId="4" xfId="0" applyFill="1" applyBorder="1"/>
    <xf numFmtId="0" fontId="1" fillId="6" borderId="4" xfId="0" applyFont="1" applyFill="1" applyBorder="1"/>
    <xf numFmtId="2" fontId="1" fillId="7" borderId="4" xfId="0" applyNumberFormat="1" applyFont="1" applyFill="1" applyBorder="1"/>
    <xf numFmtId="0" fontId="2" fillId="6" borderId="4" xfId="0" applyFont="1" applyFill="1" applyBorder="1"/>
    <xf numFmtId="0" fontId="2" fillId="0" borderId="4" xfId="0" applyFont="1" applyBorder="1"/>
    <xf numFmtId="2" fontId="0" fillId="0" borderId="4" xfId="0" applyNumberFormat="1" applyBorder="1"/>
    <xf numFmtId="166" fontId="0" fillId="0" borderId="4" xfId="0" applyNumberFormat="1" applyBorder="1"/>
    <xf numFmtId="0" fontId="1" fillId="5" borderId="4" xfId="0" applyFont="1" applyFill="1" applyBorder="1" applyAlignment="1">
      <alignment horizontal="center"/>
    </xf>
    <xf numFmtId="0" fontId="4" fillId="0" borderId="4" xfId="0" applyFont="1" applyBorder="1"/>
    <xf numFmtId="0" fontId="3" fillId="0" borderId="4" xfId="0" applyFont="1" applyBorder="1"/>
    <xf numFmtId="0" fontId="0" fillId="0" borderId="4" xfId="0" applyFont="1" applyBorder="1"/>
    <xf numFmtId="0" fontId="1" fillId="5" borderId="4" xfId="0" applyFont="1" applyFill="1" applyBorder="1"/>
    <xf numFmtId="165" fontId="1" fillId="3" borderId="4" xfId="0" applyNumberFormat="1" applyFont="1" applyFill="1" applyBorder="1"/>
    <xf numFmtId="0" fontId="1" fillId="0" borderId="0" xfId="0" applyFont="1" applyFill="1" applyBorder="1"/>
    <xf numFmtId="0" fontId="11" fillId="0" borderId="0" xfId="0" applyFont="1" applyFill="1" applyBorder="1"/>
    <xf numFmtId="0" fontId="2" fillId="0" borderId="0" xfId="0" applyFont="1"/>
    <xf numFmtId="0" fontId="2" fillId="0" borderId="5" xfId="0" applyFont="1" applyFill="1" applyBorder="1"/>
    <xf numFmtId="0" fontId="12" fillId="0" borderId="4" xfId="0" applyFont="1" applyBorder="1"/>
    <xf numFmtId="9" fontId="0" fillId="6" borderId="4" xfId="1" applyFont="1" applyFill="1" applyBorder="1"/>
    <xf numFmtId="0" fontId="2" fillId="0" borderId="4" xfId="0" applyFont="1" applyFill="1" applyBorder="1"/>
    <xf numFmtId="0" fontId="0" fillId="0" borderId="5" xfId="0" applyFill="1" applyBorder="1"/>
    <xf numFmtId="10" fontId="0" fillId="6" borderId="4" xfId="1" applyNumberFormat="1" applyFont="1" applyFill="1" applyBorder="1"/>
    <xf numFmtId="0" fontId="2" fillId="4" borderId="4" xfId="0" applyFont="1" applyFill="1" applyBorder="1"/>
    <xf numFmtId="0" fontId="1" fillId="8" borderId="4" xfId="0" applyFont="1" applyFill="1" applyBorder="1" applyAlignment="1">
      <alignment horizontal="right"/>
    </xf>
    <xf numFmtId="2" fontId="0" fillId="6" borderId="4" xfId="0" applyNumberFormat="1" applyFill="1" applyBorder="1"/>
    <xf numFmtId="0" fontId="1" fillId="5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/>
    </xf>
    <xf numFmtId="0" fontId="1" fillId="9" borderId="0" xfId="0" applyFont="1" applyFill="1"/>
    <xf numFmtId="0" fontId="1" fillId="2" borderId="0" xfId="0" applyFont="1" applyFill="1"/>
    <xf numFmtId="0" fontId="0" fillId="10" borderId="0" xfId="0" applyFill="1"/>
    <xf numFmtId="0" fontId="0" fillId="11" borderId="4" xfId="0" applyFill="1" applyBorder="1"/>
  </cellXfs>
  <cellStyles count="433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Normal" xfId="0" builtinId="0"/>
    <cellStyle name="Normal 2" xfId="266" xr:uid="{00000000-0005-0000-0000-0000AF010000}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6"/>
  <sheetViews>
    <sheetView tabSelected="1" topLeftCell="A45" zoomScale="80" zoomScaleNormal="80" workbookViewId="0">
      <selection activeCell="L85" sqref="L85"/>
    </sheetView>
  </sheetViews>
  <sheetFormatPr baseColWidth="10" defaultRowHeight="13" x14ac:dyDescent="0.15"/>
  <cols>
    <col min="1" max="1" width="30.83203125" bestFit="1" customWidth="1"/>
    <col min="2" max="2" width="26.1640625" customWidth="1"/>
    <col min="3" max="3" width="12.33203125" customWidth="1"/>
    <col min="4" max="4" width="13.33203125" customWidth="1"/>
    <col min="5" max="5" width="13.33203125" bestFit="1" customWidth="1"/>
    <col min="6" max="6" width="19.1640625" customWidth="1"/>
    <col min="7" max="7" width="14.1640625" bestFit="1" customWidth="1"/>
  </cols>
  <sheetData>
    <row r="1" spans="1:12" x14ac:dyDescent="0.15">
      <c r="A1" s="11" t="s">
        <v>13</v>
      </c>
      <c r="B1" s="12"/>
      <c r="C1" s="12"/>
      <c r="D1" s="12"/>
      <c r="E1" s="12"/>
      <c r="F1" s="12"/>
      <c r="G1" s="12"/>
      <c r="H1" s="12"/>
      <c r="J1" s="52" t="s">
        <v>87</v>
      </c>
      <c r="K1" s="53" t="s">
        <v>88</v>
      </c>
      <c r="L1" s="53" t="s">
        <v>89</v>
      </c>
    </row>
    <row r="2" spans="1:12" x14ac:dyDescent="0.15">
      <c r="A2" s="12"/>
      <c r="B2" s="12"/>
      <c r="C2" s="49" t="s">
        <v>17</v>
      </c>
      <c r="D2" s="49"/>
      <c r="E2" s="49" t="s">
        <v>18</v>
      </c>
      <c r="F2" s="49"/>
      <c r="G2" s="50" t="s">
        <v>19</v>
      </c>
      <c r="H2" s="50"/>
    </row>
    <row r="3" spans="1:12" x14ac:dyDescent="0.15">
      <c r="A3" s="12"/>
      <c r="B3" s="12"/>
      <c r="C3" s="13" t="s">
        <v>9</v>
      </c>
      <c r="D3" s="13" t="s">
        <v>10</v>
      </c>
      <c r="E3" s="13" t="s">
        <v>11</v>
      </c>
      <c r="F3" s="13" t="s">
        <v>12</v>
      </c>
      <c r="G3" s="13" t="s">
        <v>9</v>
      </c>
      <c r="H3" s="13" t="s">
        <v>10</v>
      </c>
    </row>
    <row r="4" spans="1:12" x14ac:dyDescent="0.15">
      <c r="A4" s="14" t="s">
        <v>36</v>
      </c>
      <c r="B4" s="14" t="s">
        <v>38</v>
      </c>
      <c r="C4" s="14">
        <f>10*LOG10(125)</f>
        <v>20.969100130080562</v>
      </c>
      <c r="D4" s="14">
        <f t="shared" ref="D4:H4" si="0">10*LOG10(125)</f>
        <v>20.969100130080562</v>
      </c>
      <c r="E4" s="14">
        <f t="shared" si="0"/>
        <v>20.969100130080562</v>
      </c>
      <c r="F4" s="14">
        <f t="shared" si="0"/>
        <v>20.969100130080562</v>
      </c>
      <c r="G4" s="14">
        <f t="shared" si="0"/>
        <v>20.969100130080562</v>
      </c>
      <c r="H4" s="14">
        <f t="shared" si="0"/>
        <v>20.969100130080562</v>
      </c>
    </row>
    <row r="5" spans="1:12" x14ac:dyDescent="0.15">
      <c r="A5" s="14"/>
      <c r="B5" s="14" t="s">
        <v>39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</row>
    <row r="6" spans="1:12" x14ac:dyDescent="0.15">
      <c r="A6" s="14"/>
      <c r="B6" s="14" t="s">
        <v>40</v>
      </c>
      <c r="C6" s="14">
        <v>-4.5</v>
      </c>
      <c r="D6" s="14">
        <v>-4.5</v>
      </c>
      <c r="E6" s="14">
        <v>-4.5</v>
      </c>
      <c r="F6" s="14">
        <v>-4.5</v>
      </c>
      <c r="G6" s="14">
        <v>-4.5</v>
      </c>
      <c r="H6" s="14">
        <v>-4.5</v>
      </c>
    </row>
    <row r="7" spans="1:12" x14ac:dyDescent="0.15">
      <c r="A7" s="14" t="s">
        <v>8</v>
      </c>
      <c r="B7" s="14" t="s">
        <v>42</v>
      </c>
      <c r="C7" s="14">
        <v>-15</v>
      </c>
      <c r="D7" s="14">
        <v>-15</v>
      </c>
      <c r="E7" s="14">
        <v>-12</v>
      </c>
      <c r="F7" s="14">
        <v>-12</v>
      </c>
      <c r="G7" s="14">
        <v>-12</v>
      </c>
      <c r="H7" s="14">
        <v>-12</v>
      </c>
    </row>
    <row r="8" spans="1:12" x14ac:dyDescent="0.15">
      <c r="A8" s="14"/>
      <c r="B8" s="14" t="s">
        <v>43</v>
      </c>
      <c r="C8" s="14">
        <v>-12</v>
      </c>
      <c r="D8" s="14">
        <v>-12</v>
      </c>
      <c r="E8" s="14">
        <v>-9</v>
      </c>
      <c r="F8" s="14">
        <v>-9</v>
      </c>
      <c r="G8" s="14">
        <v>-7</v>
      </c>
      <c r="H8" s="14">
        <v>-7</v>
      </c>
    </row>
    <row r="9" spans="1:12" x14ac:dyDescent="0.15">
      <c r="A9" s="14" t="s">
        <v>37</v>
      </c>
      <c r="B9" s="14" t="s">
        <v>39</v>
      </c>
      <c r="C9" s="14">
        <v>18</v>
      </c>
      <c r="D9" s="14">
        <v>18</v>
      </c>
      <c r="E9" s="14">
        <v>18</v>
      </c>
      <c r="F9" s="14">
        <v>18</v>
      </c>
      <c r="G9" s="14">
        <v>18</v>
      </c>
      <c r="H9" s="14">
        <v>18</v>
      </c>
    </row>
    <row r="10" spans="1:12" x14ac:dyDescent="0.15">
      <c r="A10" s="14"/>
      <c r="B10" s="14" t="s">
        <v>40</v>
      </c>
      <c r="C10" s="14">
        <v>-3</v>
      </c>
      <c r="D10" s="14">
        <v>-3</v>
      </c>
      <c r="E10" s="14">
        <v>-3</v>
      </c>
      <c r="F10" s="14">
        <v>-3</v>
      </c>
      <c r="G10" s="14">
        <v>-3</v>
      </c>
      <c r="H10" s="14">
        <v>-3</v>
      </c>
    </row>
    <row r="11" spans="1:12" x14ac:dyDescent="0.15">
      <c r="A11" s="14"/>
      <c r="B11" s="14" t="s">
        <v>41</v>
      </c>
      <c r="C11" s="14">
        <v>117</v>
      </c>
      <c r="D11" s="14">
        <v>115</v>
      </c>
      <c r="E11" s="14">
        <v>117</v>
      </c>
      <c r="F11" s="14">
        <v>115</v>
      </c>
      <c r="G11" s="14">
        <v>117</v>
      </c>
      <c r="H11" s="14">
        <v>115</v>
      </c>
    </row>
    <row r="12" spans="1:12" x14ac:dyDescent="0.15">
      <c r="A12" s="14" t="s">
        <v>45</v>
      </c>
      <c r="B12" s="15" t="s">
        <v>44</v>
      </c>
      <c r="C12" s="14">
        <f>-B58</f>
        <v>-2.5</v>
      </c>
      <c r="D12" s="14">
        <f t="shared" ref="D12:H12" si="1">-C58</f>
        <v>-2.5</v>
      </c>
      <c r="E12" s="14">
        <f t="shared" si="1"/>
        <v>-3</v>
      </c>
      <c r="F12" s="14">
        <f t="shared" si="1"/>
        <v>-3</v>
      </c>
      <c r="G12" s="14">
        <f t="shared" si="1"/>
        <v>-6</v>
      </c>
      <c r="H12" s="14">
        <f t="shared" si="1"/>
        <v>-6</v>
      </c>
    </row>
    <row r="13" spans="1:12" x14ac:dyDescent="0.15">
      <c r="A13" s="16" t="s">
        <v>46</v>
      </c>
      <c r="B13" s="16"/>
      <c r="C13" s="16">
        <f>SUM(C4:C12)</f>
        <v>118.96910013008056</v>
      </c>
      <c r="D13" s="16">
        <f t="shared" ref="D13:H13" si="2">SUM(D4:D12)</f>
        <v>116.96910013008056</v>
      </c>
      <c r="E13" s="16">
        <f t="shared" si="2"/>
        <v>124.46910013008056</v>
      </c>
      <c r="F13" s="16">
        <f t="shared" si="2"/>
        <v>122.46910013008056</v>
      </c>
      <c r="G13" s="16">
        <f t="shared" si="2"/>
        <v>123.46910013008056</v>
      </c>
      <c r="H13" s="16">
        <f t="shared" si="2"/>
        <v>121.46910013008056</v>
      </c>
      <c r="J13" s="52">
        <v>1</v>
      </c>
      <c r="K13" s="52">
        <v>1</v>
      </c>
      <c r="L13" s="52">
        <f>J13*K13</f>
        <v>1</v>
      </c>
    </row>
    <row r="14" spans="1:12" x14ac:dyDescent="0.15">
      <c r="A14" s="37" t="s">
        <v>47</v>
      </c>
      <c r="B14" s="36"/>
      <c r="C14" s="36"/>
      <c r="D14" s="36"/>
      <c r="E14" s="36"/>
      <c r="F14" s="36"/>
      <c r="G14" s="36"/>
      <c r="H14" s="36"/>
    </row>
    <row r="16" spans="1:12" x14ac:dyDescent="0.15">
      <c r="A16" s="17"/>
      <c r="B16" s="22" t="s">
        <v>17</v>
      </c>
      <c r="C16" s="22" t="s">
        <v>18</v>
      </c>
      <c r="D16" s="22" t="s">
        <v>19</v>
      </c>
    </row>
    <row r="17" spans="1:12" x14ac:dyDescent="0.15">
      <c r="A17" s="26" t="s">
        <v>58</v>
      </c>
      <c r="B17" s="18">
        <v>38</v>
      </c>
      <c r="C17" s="18">
        <v>22</v>
      </c>
      <c r="D17" s="18">
        <v>30</v>
      </c>
    </row>
    <row r="18" spans="1:12" x14ac:dyDescent="0.15">
      <c r="A18" s="26" t="s">
        <v>59</v>
      </c>
      <c r="B18" s="18">
        <v>1.72</v>
      </c>
      <c r="C18" s="18">
        <v>1.72</v>
      </c>
      <c r="D18" s="18">
        <v>1.72</v>
      </c>
    </row>
    <row r="19" spans="1:12" x14ac:dyDescent="0.15">
      <c r="A19" s="10" t="s">
        <v>51</v>
      </c>
      <c r="B19" s="20">
        <v>900</v>
      </c>
      <c r="C19" s="20">
        <v>900</v>
      </c>
      <c r="D19" s="20">
        <v>900</v>
      </c>
      <c r="E19" t="s">
        <v>86</v>
      </c>
    </row>
    <row r="20" spans="1:12" x14ac:dyDescent="0.15">
      <c r="A20" s="19" t="s">
        <v>30</v>
      </c>
      <c r="B20" s="17" t="s">
        <v>31</v>
      </c>
      <c r="C20" s="17" t="s">
        <v>32</v>
      </c>
      <c r="D20" s="17" t="s">
        <v>32</v>
      </c>
    </row>
    <row r="21" spans="1:12" x14ac:dyDescent="0.15">
      <c r="A21" s="27" t="s">
        <v>48</v>
      </c>
      <c r="B21" s="19">
        <f>IF(B19&lt;1500,69.55,46.3)</f>
        <v>69.55</v>
      </c>
      <c r="C21" s="19">
        <f t="shared" ref="C21:D21" si="3">IF(C19&lt;1500,69.55,46.3)</f>
        <v>69.55</v>
      </c>
      <c r="D21" s="19">
        <f t="shared" si="3"/>
        <v>69.55</v>
      </c>
    </row>
    <row r="22" spans="1:12" x14ac:dyDescent="0.15">
      <c r="A22" s="27" t="s">
        <v>49</v>
      </c>
      <c r="B22" s="19">
        <f>IF(B19&lt;1500,26.16,33.9)</f>
        <v>26.16</v>
      </c>
      <c r="C22" s="19">
        <f t="shared" ref="C22:D22" si="4">IF(C19&lt;1500,26.16,33.9)</f>
        <v>26.16</v>
      </c>
      <c r="D22" s="19">
        <f t="shared" si="4"/>
        <v>26.16</v>
      </c>
    </row>
    <row r="23" spans="1:12" x14ac:dyDescent="0.15">
      <c r="A23" s="27" t="s">
        <v>50</v>
      </c>
      <c r="B23" s="19">
        <f>3.2*(LOG10(11.75*B18))^2-4.97</f>
        <v>0.48441087675501127</v>
      </c>
      <c r="C23" s="19">
        <f>C18*(1.1*LOG10(C19)-0.7)-(1.56*LOG10(C19)-0.8)</f>
        <v>0.57680851313385606</v>
      </c>
      <c r="D23" s="19">
        <f>D18*(1.1*LOG10(D19)-0.7)-(1.56*LOG10(D19)-0.8)</f>
        <v>0.57680851313385606</v>
      </c>
    </row>
    <row r="24" spans="1:12" x14ac:dyDescent="0.15">
      <c r="A24" s="39" t="s">
        <v>52</v>
      </c>
      <c r="B24" s="19"/>
      <c r="C24" s="19">
        <f>44.9-6.55*LOG10(C17)</f>
        <v>36.107131440614552</v>
      </c>
      <c r="D24" s="19">
        <f>44.9-6.55*LOG10(D17)</f>
        <v>35.224855781586214</v>
      </c>
    </row>
    <row r="25" spans="1:12" x14ac:dyDescent="0.15">
      <c r="A25" s="27" t="s">
        <v>53</v>
      </c>
      <c r="B25" s="19">
        <f>IF(B19&lt;1500,B27,B26)</f>
        <v>39.72731971761921</v>
      </c>
      <c r="C25" s="19"/>
      <c r="D25" s="19"/>
    </row>
    <row r="26" spans="1:12" x14ac:dyDescent="0.15">
      <c r="A26" s="40" t="s">
        <v>55</v>
      </c>
      <c r="B26" s="40">
        <f>(47.88+13.9*LOG10(B19)-13.82*LOG10(B17))/LOG10(50)</f>
        <v>39.501204497244991</v>
      </c>
      <c r="C26" s="40"/>
      <c r="D26" s="40"/>
    </row>
    <row r="27" spans="1:12" x14ac:dyDescent="0.15">
      <c r="A27" s="40" t="s">
        <v>54</v>
      </c>
      <c r="B27" s="40">
        <f>(71.13+6.16*LOG10(B19)-13.82*LOG10(B17))/LOG10(50)</f>
        <v>39.72731971761921</v>
      </c>
      <c r="C27" s="40"/>
      <c r="D27" s="40"/>
    </row>
    <row r="28" spans="1:12" x14ac:dyDescent="0.15">
      <c r="A28" s="27" t="s">
        <v>56</v>
      </c>
      <c r="B28" s="27">
        <v>0</v>
      </c>
      <c r="C28" s="27">
        <f>-2*(LOG10(C19/28))^2-5.4</f>
        <v>-9.942607248242453</v>
      </c>
      <c r="D28" s="27">
        <f>-4.78*(LOG10(D19))^2+18.33*LOG10(D19)-40.94</f>
        <v>-28.506418087861732</v>
      </c>
      <c r="J28" s="52">
        <v>1.5</v>
      </c>
      <c r="K28" s="52">
        <v>1</v>
      </c>
      <c r="L28" s="52">
        <f t="shared" ref="L28:L44" si="5">J28*K28</f>
        <v>1.5</v>
      </c>
    </row>
    <row r="29" spans="1:12" x14ac:dyDescent="0.15">
      <c r="A29" s="27" t="s">
        <v>57</v>
      </c>
      <c r="B29" s="19">
        <f>B21+B22*LOG10(B19)-13.82*LOG10(B17)-B23+B28</f>
        <v>124.5159638649334</v>
      </c>
      <c r="C29" s="19">
        <f t="shared" ref="C29:D29" si="6">C21+C22*LOG10(C19)-13.82*LOG10(C17)-C23+C28</f>
        <v>117.76128683659351</v>
      </c>
      <c r="D29" s="19">
        <f t="shared" si="6"/>
        <v>97.335941705711406</v>
      </c>
    </row>
    <row r="30" spans="1:12" x14ac:dyDescent="0.15">
      <c r="A30" s="27" t="s">
        <v>60</v>
      </c>
      <c r="B30" s="19">
        <f>MIN(C13:D13)</f>
        <v>116.96910013008056</v>
      </c>
      <c r="C30" s="19">
        <f>MIN(E13:F13)</f>
        <v>122.46910013008056</v>
      </c>
      <c r="D30" s="19">
        <f>MIN(G13:H13)</f>
        <v>121.46910013008056</v>
      </c>
    </row>
    <row r="31" spans="1:12" x14ac:dyDescent="0.15">
      <c r="A31" s="10" t="s">
        <v>84</v>
      </c>
      <c r="B31" s="21">
        <f>10^((B30-B29)/B25)</f>
        <v>0.64570389030327602</v>
      </c>
      <c r="C31" s="21">
        <f>10^((C30-C29)/C24)</f>
        <v>1.3501579671029917</v>
      </c>
      <c r="D31" s="21">
        <f>10^((D30-D29)/D24)</f>
        <v>4.8430316763833776</v>
      </c>
      <c r="E31" s="38" t="s">
        <v>61</v>
      </c>
    </row>
    <row r="33" spans="1:12" x14ac:dyDescent="0.15">
      <c r="A33" s="13" t="s">
        <v>33</v>
      </c>
      <c r="B33" s="9"/>
      <c r="C33" s="9"/>
      <c r="D33" s="9"/>
      <c r="E33" s="9"/>
      <c r="F33" s="9"/>
      <c r="G33" s="9"/>
    </row>
    <row r="34" spans="1:12" x14ac:dyDescent="0.15">
      <c r="A34" s="26" t="s">
        <v>62</v>
      </c>
      <c r="B34" s="24">
        <v>235</v>
      </c>
      <c r="C34" s="9"/>
      <c r="D34" s="9"/>
      <c r="E34" s="9"/>
      <c r="F34" s="9"/>
      <c r="G34" s="9"/>
    </row>
    <row r="35" spans="1:12" x14ac:dyDescent="0.15">
      <c r="A35" s="26" t="s">
        <v>63</v>
      </c>
      <c r="B35" s="24">
        <v>363500</v>
      </c>
      <c r="C35" s="9"/>
      <c r="D35" s="9"/>
      <c r="E35" s="9"/>
      <c r="F35" s="9"/>
      <c r="G35" s="9"/>
    </row>
    <row r="36" spans="1:12" x14ac:dyDescent="0.15">
      <c r="A36" s="23"/>
      <c r="B36" s="51" t="s">
        <v>17</v>
      </c>
      <c r="C36" s="51"/>
      <c r="D36" s="51" t="s">
        <v>18</v>
      </c>
      <c r="E36" s="51"/>
      <c r="F36" s="51" t="s">
        <v>19</v>
      </c>
      <c r="G36" s="51"/>
    </row>
    <row r="37" spans="1:12" x14ac:dyDescent="0.15">
      <c r="A37" s="18" t="s">
        <v>24</v>
      </c>
      <c r="B37" s="41">
        <v>0.12</v>
      </c>
      <c r="C37" s="41">
        <v>0.12</v>
      </c>
      <c r="D37" s="41">
        <v>0.23</v>
      </c>
      <c r="E37" s="41">
        <v>0.23</v>
      </c>
      <c r="F37" s="41">
        <v>0.65</v>
      </c>
      <c r="G37" s="41">
        <v>0.65</v>
      </c>
    </row>
    <row r="38" spans="1:12" x14ac:dyDescent="0.15">
      <c r="A38" s="42" t="s">
        <v>65</v>
      </c>
      <c r="B38" s="23">
        <f>$B34*B37</f>
        <v>28.2</v>
      </c>
      <c r="C38" s="23">
        <f t="shared" ref="C38:G38" si="7">$B34*C37</f>
        <v>28.2</v>
      </c>
      <c r="D38" s="23">
        <f t="shared" si="7"/>
        <v>54.050000000000004</v>
      </c>
      <c r="E38" s="23">
        <f t="shared" si="7"/>
        <v>54.050000000000004</v>
      </c>
      <c r="F38" s="23">
        <f t="shared" si="7"/>
        <v>152.75</v>
      </c>
      <c r="G38" s="23">
        <f t="shared" si="7"/>
        <v>152.75</v>
      </c>
      <c r="H38" s="43"/>
    </row>
    <row r="39" spans="1:12" x14ac:dyDescent="0.15">
      <c r="A39" s="18" t="s">
        <v>25</v>
      </c>
      <c r="B39" s="41">
        <v>0.62</v>
      </c>
      <c r="C39" s="41">
        <v>0.62</v>
      </c>
      <c r="D39" s="41">
        <v>0.22</v>
      </c>
      <c r="E39" s="41">
        <v>0.22</v>
      </c>
      <c r="F39" s="41">
        <v>0.16</v>
      </c>
      <c r="G39" s="41">
        <v>0.16</v>
      </c>
    </row>
    <row r="40" spans="1:12" x14ac:dyDescent="0.15">
      <c r="A40" s="42" t="s">
        <v>64</v>
      </c>
      <c r="B40" s="23">
        <f>$B35*B39</f>
        <v>225370</v>
      </c>
      <c r="C40" s="23">
        <f t="shared" ref="C40:G40" si="8">$B35*C39</f>
        <v>225370</v>
      </c>
      <c r="D40" s="23">
        <f t="shared" si="8"/>
        <v>79970</v>
      </c>
      <c r="E40" s="23">
        <f t="shared" si="8"/>
        <v>79970</v>
      </c>
      <c r="F40" s="23">
        <f t="shared" si="8"/>
        <v>58160</v>
      </c>
      <c r="G40" s="23">
        <f t="shared" si="8"/>
        <v>58160</v>
      </c>
      <c r="H40" s="43"/>
    </row>
    <row r="41" spans="1:12" x14ac:dyDescent="0.15">
      <c r="A41" s="18" t="s">
        <v>26</v>
      </c>
      <c r="B41" s="41">
        <v>1.05</v>
      </c>
      <c r="C41" s="41">
        <v>1.05</v>
      </c>
      <c r="D41" s="41">
        <v>1.05</v>
      </c>
      <c r="E41" s="41">
        <v>1.05</v>
      </c>
      <c r="F41" s="41">
        <v>1.05</v>
      </c>
      <c r="G41" s="41">
        <v>1.05</v>
      </c>
    </row>
    <row r="42" spans="1:12" x14ac:dyDescent="0.15">
      <c r="A42" s="18" t="s">
        <v>27</v>
      </c>
      <c r="B42" s="44">
        <v>0.29499999999999998</v>
      </c>
      <c r="C42" s="44">
        <v>0.29499999999999998</v>
      </c>
      <c r="D42" s="44">
        <v>0.29499999999999998</v>
      </c>
      <c r="E42" s="44">
        <v>0.29499999999999998</v>
      </c>
      <c r="F42" s="44">
        <v>0.29499999999999998</v>
      </c>
      <c r="G42" s="44">
        <v>0.29499999999999998</v>
      </c>
    </row>
    <row r="43" spans="1:12" x14ac:dyDescent="0.15">
      <c r="A43" s="42" t="s">
        <v>66</v>
      </c>
      <c r="B43" s="23">
        <f>B40*B41*B42</f>
        <v>69808.357499999998</v>
      </c>
      <c r="C43" s="23">
        <f t="shared" ref="C43:G43" si="9">C40*C41*C42</f>
        <v>69808.357499999998</v>
      </c>
      <c r="D43" s="23">
        <f t="shared" si="9"/>
        <v>24770.7075</v>
      </c>
      <c r="E43" s="23">
        <f t="shared" si="9"/>
        <v>24770.7075</v>
      </c>
      <c r="F43" s="23">
        <f t="shared" si="9"/>
        <v>18015.059999999998</v>
      </c>
      <c r="G43" s="23">
        <f t="shared" si="9"/>
        <v>18015.059999999998</v>
      </c>
    </row>
    <row r="44" spans="1:12" x14ac:dyDescent="0.15">
      <c r="A44" s="23"/>
      <c r="B44" s="23"/>
      <c r="C44" s="23"/>
      <c r="D44" s="23"/>
      <c r="E44" s="23"/>
      <c r="F44" s="23"/>
      <c r="G44" s="23"/>
      <c r="J44" s="52">
        <v>0.5</v>
      </c>
      <c r="K44" s="52">
        <v>1</v>
      </c>
      <c r="L44" s="52">
        <f t="shared" si="5"/>
        <v>0.5</v>
      </c>
    </row>
    <row r="45" spans="1:12" x14ac:dyDescent="0.15">
      <c r="A45" s="18" t="s">
        <v>28</v>
      </c>
      <c r="B45" s="18">
        <v>1</v>
      </c>
      <c r="C45" s="18">
        <v>1.1000000000000001</v>
      </c>
      <c r="D45" s="18">
        <v>1</v>
      </c>
      <c r="E45" s="18">
        <v>1.1000000000000001</v>
      </c>
      <c r="F45" s="18">
        <v>1</v>
      </c>
      <c r="G45" s="18">
        <v>1.1000000000000001</v>
      </c>
    </row>
    <row r="46" spans="1:12" x14ac:dyDescent="0.15">
      <c r="A46" s="42" t="s">
        <v>67</v>
      </c>
      <c r="B46" s="23">
        <f>B43*B45</f>
        <v>69808.357499999998</v>
      </c>
      <c r="C46" s="23">
        <f t="shared" ref="C46:G46" si="10">C43*C45</f>
        <v>76789.193250000011</v>
      </c>
      <c r="D46" s="23">
        <f t="shared" si="10"/>
        <v>24770.7075</v>
      </c>
      <c r="E46" s="23">
        <f t="shared" si="10"/>
        <v>27247.778250000003</v>
      </c>
      <c r="F46" s="23">
        <f t="shared" si="10"/>
        <v>18015.059999999998</v>
      </c>
      <c r="G46" s="23">
        <f t="shared" si="10"/>
        <v>19816.565999999999</v>
      </c>
    </row>
    <row r="47" spans="1:12" x14ac:dyDescent="0.15">
      <c r="A47" s="10" t="s">
        <v>68</v>
      </c>
      <c r="B47" s="25">
        <f>B46/B38</f>
        <v>2475.4736702127661</v>
      </c>
      <c r="C47" s="25">
        <f t="shared" ref="C47:G47" si="11">C46/C38</f>
        <v>2723.021037234043</v>
      </c>
      <c r="D47" s="25">
        <f t="shared" si="11"/>
        <v>458.29246068455132</v>
      </c>
      <c r="E47" s="25">
        <f t="shared" si="11"/>
        <v>504.12170675300649</v>
      </c>
      <c r="F47" s="25">
        <f t="shared" si="11"/>
        <v>117.93819967266774</v>
      </c>
      <c r="G47" s="25">
        <f t="shared" si="11"/>
        <v>129.73201963993452</v>
      </c>
    </row>
    <row r="50" spans="1:12" ht="13" customHeight="1" x14ac:dyDescent="0.15">
      <c r="A50" s="13" t="s">
        <v>29</v>
      </c>
      <c r="B50" s="48" t="s">
        <v>17</v>
      </c>
      <c r="C50" s="48"/>
      <c r="D50" s="48" t="s">
        <v>18</v>
      </c>
      <c r="E50" s="48"/>
      <c r="F50" s="48" t="s">
        <v>19</v>
      </c>
      <c r="G50" s="48"/>
    </row>
    <row r="51" spans="1:12" ht="13" customHeight="1" x14ac:dyDescent="0.15">
      <c r="A51" s="26" t="s">
        <v>34</v>
      </c>
      <c r="B51" s="18">
        <v>1.4999999999999999E-2</v>
      </c>
      <c r="C51" s="18">
        <v>0.01</v>
      </c>
      <c r="D51" s="18">
        <v>1.2E-2</v>
      </c>
      <c r="E51" s="18">
        <v>1.0999999999999999E-2</v>
      </c>
      <c r="F51" s="18">
        <v>0.01</v>
      </c>
      <c r="G51" s="18">
        <v>7.0000000000000001E-3</v>
      </c>
    </row>
    <row r="52" spans="1:12" ht="13" customHeight="1" x14ac:dyDescent="0.15">
      <c r="A52" s="26" t="s">
        <v>80</v>
      </c>
      <c r="B52" s="47">
        <v>8</v>
      </c>
      <c r="C52" s="47">
        <v>13</v>
      </c>
      <c r="D52" s="47">
        <v>8</v>
      </c>
      <c r="E52" s="47">
        <v>13</v>
      </c>
      <c r="F52" s="47">
        <v>8</v>
      </c>
      <c r="G52" s="47">
        <v>13</v>
      </c>
      <c r="J52" s="52">
        <v>0.5</v>
      </c>
      <c r="K52" s="52">
        <v>1</v>
      </c>
      <c r="L52" s="52">
        <f>J52*K52</f>
        <v>0.5</v>
      </c>
    </row>
    <row r="53" spans="1:12" ht="13" customHeight="1" x14ac:dyDescent="0.15">
      <c r="A53" s="27" t="s">
        <v>82</v>
      </c>
      <c r="B53" s="28">
        <f>B51*60*B52</f>
        <v>7.1999999999999993</v>
      </c>
      <c r="C53" s="28">
        <f t="shared" ref="C53:G53" si="12">C51*60*C52</f>
        <v>7.8</v>
      </c>
      <c r="D53" s="28">
        <f t="shared" si="12"/>
        <v>5.76</v>
      </c>
      <c r="E53" s="28">
        <f t="shared" si="12"/>
        <v>8.5799999999999983</v>
      </c>
      <c r="F53" s="28">
        <f t="shared" si="12"/>
        <v>4.8</v>
      </c>
      <c r="G53" s="28">
        <f t="shared" si="12"/>
        <v>5.46</v>
      </c>
    </row>
    <row r="54" spans="1:12" ht="13" customHeight="1" x14ac:dyDescent="0.15">
      <c r="A54" s="27" t="s">
        <v>81</v>
      </c>
      <c r="B54" s="29">
        <f>B53*250</f>
        <v>1799.9999999999998</v>
      </c>
      <c r="C54" s="29">
        <f t="shared" ref="C54:G54" si="13">C53*250</f>
        <v>1950</v>
      </c>
      <c r="D54" s="29">
        <f t="shared" si="13"/>
        <v>1440</v>
      </c>
      <c r="E54" s="29">
        <f t="shared" si="13"/>
        <v>2144.9999999999995</v>
      </c>
      <c r="F54" s="29">
        <f t="shared" si="13"/>
        <v>1200</v>
      </c>
      <c r="G54" s="29">
        <f t="shared" si="13"/>
        <v>1365</v>
      </c>
    </row>
    <row r="55" spans="1:12" ht="13" customHeight="1" x14ac:dyDescent="0.15">
      <c r="A55" s="10" t="s">
        <v>35</v>
      </c>
      <c r="B55" s="10">
        <f>B54*B46</f>
        <v>125655043.49999999</v>
      </c>
      <c r="C55" s="10">
        <f t="shared" ref="C55:G55" si="14">C54*C46</f>
        <v>149738926.83750004</v>
      </c>
      <c r="D55" s="10">
        <f t="shared" si="14"/>
        <v>35669818.799999997</v>
      </c>
      <c r="E55" s="10">
        <f t="shared" si="14"/>
        <v>58446484.346249998</v>
      </c>
      <c r="F55" s="10">
        <f>F54*F46</f>
        <v>21618071.999999996</v>
      </c>
      <c r="G55" s="10">
        <f t="shared" si="14"/>
        <v>27049612.59</v>
      </c>
    </row>
    <row r="57" spans="1:12" x14ac:dyDescent="0.15">
      <c r="A57" s="13" t="s">
        <v>1</v>
      </c>
      <c r="B57" s="48" t="s">
        <v>17</v>
      </c>
      <c r="C57" s="48"/>
      <c r="D57" s="48" t="s">
        <v>18</v>
      </c>
      <c r="E57" s="48"/>
      <c r="F57" s="48" t="s">
        <v>19</v>
      </c>
      <c r="G57" s="48"/>
    </row>
    <row r="58" spans="1:12" x14ac:dyDescent="0.15">
      <c r="A58" s="24" t="s">
        <v>78</v>
      </c>
      <c r="B58" s="46">
        <v>2.5</v>
      </c>
      <c r="C58" s="46">
        <v>2.5</v>
      </c>
      <c r="D58" s="46">
        <v>3</v>
      </c>
      <c r="E58" s="46">
        <v>3</v>
      </c>
      <c r="F58" s="46">
        <v>6</v>
      </c>
      <c r="G58" s="46">
        <v>6</v>
      </c>
      <c r="J58" s="52">
        <v>0.5</v>
      </c>
      <c r="K58" s="52">
        <v>1</v>
      </c>
      <c r="L58" s="52">
        <f>J58*K58</f>
        <v>0.5</v>
      </c>
    </row>
    <row r="59" spans="1:12" x14ac:dyDescent="0.15">
      <c r="A59" s="14" t="s">
        <v>0</v>
      </c>
      <c r="B59" s="19">
        <f>1-1/(10^(B58/10))</f>
        <v>0.43765867480965093</v>
      </c>
      <c r="C59" s="19">
        <f t="shared" ref="C59:G59" si="15">1-1/(10^(C58/10))</f>
        <v>0.43765867480965093</v>
      </c>
      <c r="D59" s="19">
        <f t="shared" si="15"/>
        <v>0.49881276637272776</v>
      </c>
      <c r="E59" s="19">
        <f t="shared" si="15"/>
        <v>0.49881276637272776</v>
      </c>
      <c r="F59" s="19">
        <f t="shared" si="15"/>
        <v>0.74881135684904199</v>
      </c>
      <c r="G59" s="19">
        <f t="shared" si="15"/>
        <v>0.74881135684904199</v>
      </c>
    </row>
    <row r="60" spans="1:12" x14ac:dyDescent="0.15">
      <c r="A60" s="19"/>
      <c r="B60" s="30" t="s">
        <v>20</v>
      </c>
      <c r="C60" s="30" t="s">
        <v>3</v>
      </c>
      <c r="D60" s="30" t="s">
        <v>2</v>
      </c>
      <c r="E60" s="30" t="s">
        <v>3</v>
      </c>
      <c r="F60" s="30" t="s">
        <v>2</v>
      </c>
      <c r="G60" s="30" t="s">
        <v>3</v>
      </c>
    </row>
    <row r="61" spans="1:12" x14ac:dyDescent="0.15">
      <c r="A61" s="45" t="s">
        <v>69</v>
      </c>
      <c r="B61" s="14">
        <f>10^(4.6/10)</f>
        <v>2.8840315031266059</v>
      </c>
      <c r="C61" s="14">
        <f>10^(2.6/10)</f>
        <v>1.8197008586099837</v>
      </c>
      <c r="D61" s="14">
        <f t="shared" ref="D61:F61" si="16">10^(4.6/10)</f>
        <v>2.8840315031266059</v>
      </c>
      <c r="E61" s="14">
        <f>10^(2.6/10)</f>
        <v>1.8197008586099837</v>
      </c>
      <c r="F61" s="14">
        <f t="shared" si="16"/>
        <v>2.8840315031266059</v>
      </c>
      <c r="G61" s="14">
        <f>10^(2.6/10)</f>
        <v>1.8197008586099837</v>
      </c>
    </row>
    <row r="62" spans="1:12" x14ac:dyDescent="0.15">
      <c r="A62" s="45" t="s">
        <v>70</v>
      </c>
      <c r="B62" s="14">
        <v>12.2</v>
      </c>
      <c r="C62" s="14">
        <v>64</v>
      </c>
      <c r="D62" s="14">
        <v>12.2</v>
      </c>
      <c r="E62" s="14">
        <v>64</v>
      </c>
      <c r="F62" s="14">
        <v>12.2</v>
      </c>
      <c r="G62" s="14">
        <v>64</v>
      </c>
    </row>
    <row r="63" spans="1:12" x14ac:dyDescent="0.15">
      <c r="A63" s="45" t="s">
        <v>71</v>
      </c>
      <c r="B63" s="14">
        <v>0.55000000000000004</v>
      </c>
      <c r="C63" s="14">
        <v>0.55000000000000004</v>
      </c>
      <c r="D63" s="14">
        <v>0.55000000000000004</v>
      </c>
      <c r="E63" s="14">
        <v>0.55000000000000004</v>
      </c>
      <c r="F63" s="14">
        <v>0.55000000000000004</v>
      </c>
      <c r="G63" s="14">
        <v>0.55000000000000004</v>
      </c>
    </row>
    <row r="64" spans="1:12" x14ac:dyDescent="0.15">
      <c r="A64" s="45" t="s">
        <v>72</v>
      </c>
      <c r="B64" s="14">
        <v>0.66</v>
      </c>
      <c r="C64" s="14">
        <v>0.66</v>
      </c>
      <c r="D64" s="14">
        <v>0.66</v>
      </c>
      <c r="E64" s="14">
        <v>0.66</v>
      </c>
      <c r="F64" s="14">
        <v>0.66</v>
      </c>
      <c r="G64" s="14">
        <v>0.66</v>
      </c>
    </row>
    <row r="65" spans="1:12" x14ac:dyDescent="0.15">
      <c r="A65" s="45" t="s">
        <v>73</v>
      </c>
      <c r="B65" s="14">
        <v>0.67</v>
      </c>
      <c r="C65" s="55">
        <v>0.67</v>
      </c>
      <c r="D65" s="14">
        <v>0.67</v>
      </c>
      <c r="E65" s="55">
        <v>0.67</v>
      </c>
      <c r="F65" s="14">
        <v>0.67</v>
      </c>
      <c r="G65" s="55">
        <v>0.67</v>
      </c>
    </row>
    <row r="66" spans="1:12" x14ac:dyDescent="0.15">
      <c r="A66" s="23" t="s">
        <v>5</v>
      </c>
      <c r="B66" s="23">
        <f>(B61*B65*(1-B63+B64))/(3840/B62)</f>
        <v>6.8143806229890979E-3</v>
      </c>
      <c r="C66" s="23">
        <f>(C61*C65*(1-C63+C64))/(3840/C62)</f>
        <v>2.2555192142470745E-2</v>
      </c>
      <c r="D66" s="23">
        <f t="shared" ref="D66:G66" si="17">(D61*D65*(1-D63+D64))/(3840/D62)</f>
        <v>6.8143806229890979E-3</v>
      </c>
      <c r="E66" s="23">
        <f t="shared" si="17"/>
        <v>2.2555192142470745E-2</v>
      </c>
      <c r="F66" s="23">
        <f t="shared" si="17"/>
        <v>6.8143806229890979E-3</v>
      </c>
      <c r="G66" s="23">
        <f t="shared" si="17"/>
        <v>2.2555192142470745E-2</v>
      </c>
      <c r="J66" s="52">
        <v>3</v>
      </c>
      <c r="K66" s="52">
        <v>0.66</v>
      </c>
      <c r="L66" s="52">
        <f>J66*K66</f>
        <v>1.98</v>
      </c>
    </row>
    <row r="67" spans="1:12" x14ac:dyDescent="0.15">
      <c r="A67" s="19" t="s">
        <v>6</v>
      </c>
      <c r="B67" s="19">
        <v>0.12</v>
      </c>
      <c r="C67" s="32">
        <f>C59-B67</f>
        <v>0.31765867480965093</v>
      </c>
      <c r="D67" s="19">
        <v>0.115</v>
      </c>
      <c r="E67" s="32">
        <f>E59-D67</f>
        <v>0.38381276637272776</v>
      </c>
      <c r="F67" s="19">
        <v>0.20499999999999999</v>
      </c>
      <c r="G67" s="32">
        <f>G59-F67</f>
        <v>0.54381135684904203</v>
      </c>
      <c r="H67" s="38" t="s">
        <v>74</v>
      </c>
    </row>
    <row r="68" spans="1:12" x14ac:dyDescent="0.15">
      <c r="A68" s="33" t="s">
        <v>23</v>
      </c>
      <c r="B68" s="31">
        <f>B67/B66</f>
        <v>17.609817625268271</v>
      </c>
      <c r="C68" s="31">
        <f t="shared" ref="C68:G68" si="18">C67/C66</f>
        <v>14.083616437543409</v>
      </c>
      <c r="D68" s="31">
        <f>D67/D66</f>
        <v>16.876075224215427</v>
      </c>
      <c r="E68" s="31">
        <f t="shared" si="18"/>
        <v>17.016603713608802</v>
      </c>
      <c r="F68" s="31">
        <f t="shared" si="18"/>
        <v>30.083438443166628</v>
      </c>
      <c r="G68" s="31">
        <f t="shared" si="18"/>
        <v>24.110251573741269</v>
      </c>
    </row>
    <row r="69" spans="1:12" x14ac:dyDescent="0.15">
      <c r="A69" s="19" t="s">
        <v>7</v>
      </c>
      <c r="B69" s="19">
        <f t="shared" ref="B69:G69" si="19">B68*(1+B64)</f>
        <v>29.23229725794533</v>
      </c>
      <c r="C69" s="19">
        <f t="shared" si="19"/>
        <v>23.378803286322061</v>
      </c>
      <c r="D69" s="19">
        <f t="shared" si="19"/>
        <v>28.01428487219761</v>
      </c>
      <c r="E69" s="19">
        <f t="shared" si="19"/>
        <v>28.247562164590615</v>
      </c>
      <c r="F69" s="19">
        <f t="shared" si="19"/>
        <v>49.938507815656607</v>
      </c>
      <c r="G69" s="19">
        <f t="shared" si="19"/>
        <v>40.023017612410513</v>
      </c>
      <c r="H69" s="38"/>
    </row>
    <row r="70" spans="1:12" x14ac:dyDescent="0.15">
      <c r="A70" s="33" t="s">
        <v>16</v>
      </c>
      <c r="B70" s="33">
        <f>VLOOKUP(B69,Erlang!$A2:$B76,2)</f>
        <v>21.039370000000002</v>
      </c>
      <c r="C70" s="33">
        <f>VLOOKUP(C69,Erlang!$A2:$B76,2)</f>
        <v>15.760899</v>
      </c>
      <c r="D70" s="33">
        <f>VLOOKUP(D69,Erlang!$A2:$B76,2)</f>
        <v>20.150378</v>
      </c>
      <c r="E70" s="33">
        <f>VLOOKUP(E69,Erlang!$A2:$B76,2)</f>
        <v>20.150378</v>
      </c>
      <c r="F70" s="33">
        <f>VLOOKUP(F69,Erlang!$A2:$B76,2)</f>
        <v>39.322724000000001</v>
      </c>
      <c r="G70" s="33">
        <f>VLOOKUP(G69,Erlang!$A2:$B76,2)</f>
        <v>30.997335</v>
      </c>
      <c r="H70" t="s">
        <v>79</v>
      </c>
    </row>
    <row r="71" spans="1:12" x14ac:dyDescent="0.15">
      <c r="A71" s="27" t="s">
        <v>76</v>
      </c>
      <c r="B71" s="19">
        <f>B70/(1+B64)</f>
        <v>12.674319277108435</v>
      </c>
      <c r="C71" s="19">
        <f t="shared" ref="C71:G71" si="20">C70/(1+C64)</f>
        <v>9.4945174698795167</v>
      </c>
      <c r="D71" s="19">
        <f t="shared" si="20"/>
        <v>12.138781927710843</v>
      </c>
      <c r="E71" s="19">
        <f t="shared" si="20"/>
        <v>12.138781927710843</v>
      </c>
      <c r="F71" s="19">
        <f t="shared" si="20"/>
        <v>23.688387951807229</v>
      </c>
      <c r="G71" s="19">
        <f t="shared" si="20"/>
        <v>18.673093373493973</v>
      </c>
      <c r="H71" s="38"/>
      <c r="J71" s="52">
        <v>1.5</v>
      </c>
      <c r="K71" s="52">
        <v>1</v>
      </c>
      <c r="L71" s="52">
        <f>J71*K71</f>
        <v>1.5</v>
      </c>
    </row>
    <row r="72" spans="1:12" x14ac:dyDescent="0.15">
      <c r="A72" s="26" t="s">
        <v>75</v>
      </c>
      <c r="B72" s="18">
        <v>1.4999999999999999E-2</v>
      </c>
      <c r="C72" s="18">
        <v>0.01</v>
      </c>
      <c r="D72" s="18">
        <v>1.2E-2</v>
      </c>
      <c r="E72" s="18">
        <v>1.0999999999999999E-2</v>
      </c>
      <c r="F72" s="18">
        <v>0.01</v>
      </c>
      <c r="G72" s="18">
        <v>7.0000000000000001E-3</v>
      </c>
    </row>
    <row r="73" spans="1:12" x14ac:dyDescent="0.15">
      <c r="A73" s="27" t="s">
        <v>77</v>
      </c>
      <c r="B73" s="19">
        <f t="shared" ref="B73:G73" si="21">B71/B72</f>
        <v>844.95461847389572</v>
      </c>
      <c r="C73" s="19">
        <f t="shared" si="21"/>
        <v>949.45174698795165</v>
      </c>
      <c r="D73" s="19">
        <f t="shared" si="21"/>
        <v>1011.5651606425703</v>
      </c>
      <c r="E73" s="19">
        <f t="shared" si="21"/>
        <v>1103.525629791895</v>
      </c>
      <c r="F73" s="19">
        <f t="shared" si="21"/>
        <v>2368.8387951807231</v>
      </c>
      <c r="G73" s="19">
        <f t="shared" si="21"/>
        <v>2667.5847676419962</v>
      </c>
      <c r="J73" s="52">
        <v>0.5</v>
      </c>
      <c r="K73" s="52">
        <v>1</v>
      </c>
      <c r="L73" s="52">
        <f>J73*K73</f>
        <v>0.5</v>
      </c>
    </row>
    <row r="74" spans="1:12" x14ac:dyDescent="0.15">
      <c r="A74" s="19" t="s">
        <v>83</v>
      </c>
      <c r="B74" s="19">
        <v>4</v>
      </c>
      <c r="C74" s="19">
        <v>4</v>
      </c>
      <c r="D74" s="19">
        <v>3</v>
      </c>
      <c r="E74" s="19">
        <v>3</v>
      </c>
      <c r="F74" s="19">
        <v>3</v>
      </c>
      <c r="G74" s="19">
        <v>3</v>
      </c>
    </row>
    <row r="75" spans="1:12" x14ac:dyDescent="0.15">
      <c r="A75" s="34"/>
      <c r="B75" s="48" t="s">
        <v>17</v>
      </c>
      <c r="C75" s="48"/>
      <c r="D75" s="48" t="s">
        <v>18</v>
      </c>
      <c r="E75" s="48"/>
      <c r="F75" s="48" t="s">
        <v>19</v>
      </c>
      <c r="G75" s="48"/>
    </row>
    <row r="76" spans="1:12" x14ac:dyDescent="0.15">
      <c r="A76" s="16" t="s">
        <v>85</v>
      </c>
      <c r="B76" s="35">
        <f>SQRT(B73*B74/(PI()*B47))</f>
        <v>0.65923855029128642</v>
      </c>
      <c r="C76" s="35">
        <f t="shared" ref="C76:G76" si="22">SQRT(C73*C74/(PI()*C47))</f>
        <v>0.66629416499237759</v>
      </c>
      <c r="D76" s="35">
        <f t="shared" si="22"/>
        <v>1.4518149570006866</v>
      </c>
      <c r="E76" s="35">
        <f t="shared" si="22"/>
        <v>1.4458032750412162</v>
      </c>
      <c r="F76" s="35">
        <f>SQRT(F73*F74/(PI()*F47))</f>
        <v>4.3795168088032419</v>
      </c>
      <c r="G76" s="35">
        <f t="shared" si="22"/>
        <v>4.4311986096319087</v>
      </c>
    </row>
    <row r="78" spans="1:12" x14ac:dyDescent="0.15">
      <c r="A78" s="34"/>
      <c r="B78" s="34" t="s">
        <v>17</v>
      </c>
      <c r="C78" s="34" t="s">
        <v>18</v>
      </c>
      <c r="D78" s="34" t="s">
        <v>19</v>
      </c>
    </row>
    <row r="79" spans="1:12" x14ac:dyDescent="0.15">
      <c r="A79" s="16" t="s">
        <v>4</v>
      </c>
      <c r="B79" s="35">
        <f>MIN(B76:C76,B31)</f>
        <v>0.64570389030327602</v>
      </c>
      <c r="C79" s="35">
        <f>MIN(D76:E76,C31)</f>
        <v>1.3501579671029917</v>
      </c>
      <c r="D79" s="35">
        <f>MIN(F76:G76,D31)</f>
        <v>4.3795168088032419</v>
      </c>
    </row>
    <row r="80" spans="1:12" x14ac:dyDescent="0.15">
      <c r="A80" s="16" t="s">
        <v>21</v>
      </c>
      <c r="B80" s="16">
        <f>PI()*B79^2</f>
        <v>1.3098352644694471</v>
      </c>
      <c r="C80" s="16">
        <f t="shared" ref="C80:D80" si="23">PI()*C79^2</f>
        <v>5.7268926139451848</v>
      </c>
      <c r="D80" s="16">
        <f t="shared" si="23"/>
        <v>60.256273245360624</v>
      </c>
    </row>
    <row r="81" spans="1:12" x14ac:dyDescent="0.15">
      <c r="A81" s="16" t="s">
        <v>22</v>
      </c>
      <c r="B81" s="16">
        <f>ROUNDUP((B38/B80),0)</f>
        <v>22</v>
      </c>
      <c r="C81" s="16">
        <f>ROUNDUP((D38/C80),0)</f>
        <v>10</v>
      </c>
      <c r="D81" s="16">
        <f>ROUNDUP((F38/D80),0)</f>
        <v>3</v>
      </c>
    </row>
    <row r="83" spans="1:12" x14ac:dyDescent="0.15">
      <c r="J83" s="52">
        <v>1</v>
      </c>
      <c r="K83" s="52">
        <v>1</v>
      </c>
      <c r="L83" s="52">
        <f>J83*K83</f>
        <v>1</v>
      </c>
    </row>
    <row r="85" spans="1:12" x14ac:dyDescent="0.15">
      <c r="J85" s="52">
        <f>SUM(J13:J83)</f>
        <v>10</v>
      </c>
      <c r="K85" s="52">
        <v>1</v>
      </c>
      <c r="L85" s="52">
        <f>SUM(L13:L83)</f>
        <v>8.98</v>
      </c>
    </row>
    <row r="86" spans="1:12" x14ac:dyDescent="0.15">
      <c r="L86" s="54">
        <f>L85/10*1.5</f>
        <v>1.347</v>
      </c>
    </row>
  </sheetData>
  <mergeCells count="15">
    <mergeCell ref="D50:E50"/>
    <mergeCell ref="F50:G50"/>
    <mergeCell ref="C2:D2"/>
    <mergeCell ref="E2:F2"/>
    <mergeCell ref="G2:H2"/>
    <mergeCell ref="B36:C36"/>
    <mergeCell ref="D36:E36"/>
    <mergeCell ref="F36:G36"/>
    <mergeCell ref="B50:C50"/>
    <mergeCell ref="F75:G75"/>
    <mergeCell ref="D75:E75"/>
    <mergeCell ref="B75:C75"/>
    <mergeCell ref="B57:C57"/>
    <mergeCell ref="D57:E57"/>
    <mergeCell ref="F57:G57"/>
  </mergeCells>
  <phoneticPr fontId="5" type="noConversion"/>
  <pageMargins left="0.75000000000000011" right="0.75000000000000011" top="1" bottom="1" header="0.5" footer="0.5"/>
  <pageSetup scale="78" fitToHeight="3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topLeftCell="A7" workbookViewId="0">
      <selection activeCell="C56" sqref="C56"/>
    </sheetView>
  </sheetViews>
  <sheetFormatPr baseColWidth="10" defaultRowHeight="13" x14ac:dyDescent="0.15"/>
  <cols>
    <col min="1" max="1" width="10.83203125" style="8"/>
    <col min="2" max="2" width="13.33203125" style="8" customWidth="1"/>
  </cols>
  <sheetData>
    <row r="1" spans="1:2" x14ac:dyDescent="0.15">
      <c r="A1" s="1" t="s">
        <v>14</v>
      </c>
      <c r="B1" s="1" t="s">
        <v>15</v>
      </c>
    </row>
    <row r="2" spans="1:2" x14ac:dyDescent="0.15">
      <c r="A2" s="2">
        <v>1</v>
      </c>
      <c r="B2" s="3">
        <v>2.0408163E-2</v>
      </c>
    </row>
    <row r="3" spans="1:2" x14ac:dyDescent="0.15">
      <c r="A3" s="2">
        <v>2</v>
      </c>
      <c r="B3" s="3">
        <v>0.22346682000000001</v>
      </c>
    </row>
    <row r="4" spans="1:2" x14ac:dyDescent="0.15">
      <c r="A4" s="2">
        <v>3</v>
      </c>
      <c r="B4" s="3">
        <v>0.60220647999999999</v>
      </c>
    </row>
    <row r="5" spans="1:2" x14ac:dyDescent="0.15">
      <c r="A5" s="2">
        <v>4</v>
      </c>
      <c r="B5" s="4">
        <v>1.0922605000000001</v>
      </c>
    </row>
    <row r="6" spans="1:2" x14ac:dyDescent="0.15">
      <c r="A6" s="2">
        <v>5</v>
      </c>
      <c r="B6" s="4">
        <v>1.6571431000000001</v>
      </c>
    </row>
    <row r="7" spans="1:2" x14ac:dyDescent="0.15">
      <c r="A7" s="2">
        <v>6</v>
      </c>
      <c r="B7" s="4">
        <v>2.2758761000000001</v>
      </c>
    </row>
    <row r="8" spans="1:2" x14ac:dyDescent="0.15">
      <c r="A8" s="2">
        <v>7</v>
      </c>
      <c r="B8" s="4">
        <v>2.9354057</v>
      </c>
    </row>
    <row r="9" spans="1:2" x14ac:dyDescent="0.15">
      <c r="A9" s="2">
        <v>8</v>
      </c>
      <c r="B9" s="4">
        <v>3.6270505000000002</v>
      </c>
    </row>
    <row r="10" spans="1:2" x14ac:dyDescent="0.15">
      <c r="A10" s="2">
        <v>9</v>
      </c>
      <c r="B10" s="4">
        <v>4.3447291999999997</v>
      </c>
    </row>
    <row r="11" spans="1:2" x14ac:dyDescent="0.15">
      <c r="A11" s="2">
        <v>10</v>
      </c>
      <c r="B11" s="4">
        <v>5.0840046000000001</v>
      </c>
    </row>
    <row r="12" spans="1:2" x14ac:dyDescent="0.15">
      <c r="A12" s="2">
        <v>11</v>
      </c>
      <c r="B12" s="4">
        <v>5.8415311000000001</v>
      </c>
    </row>
    <row r="13" spans="1:2" x14ac:dyDescent="0.15">
      <c r="A13" s="2">
        <v>12</v>
      </c>
      <c r="B13" s="4">
        <v>6.6147182999999998</v>
      </c>
    </row>
    <row r="14" spans="1:2" x14ac:dyDescent="0.15">
      <c r="A14" s="2">
        <v>13</v>
      </c>
      <c r="B14" s="4">
        <v>7.4015154000000001</v>
      </c>
    </row>
    <row r="15" spans="1:2" x14ac:dyDescent="0.15">
      <c r="A15" s="2">
        <v>14</v>
      </c>
      <c r="B15" s="4">
        <v>8.2002682999999994</v>
      </c>
    </row>
    <row r="16" spans="1:2" x14ac:dyDescent="0.15">
      <c r="A16" s="2">
        <v>15</v>
      </c>
      <c r="B16" s="4">
        <v>9.0096215999999991</v>
      </c>
    </row>
    <row r="17" spans="1:2" x14ac:dyDescent="0.15">
      <c r="A17" s="2">
        <v>16</v>
      </c>
      <c r="B17" s="4">
        <v>9.8284491999999997</v>
      </c>
    </row>
    <row r="18" spans="1:2" x14ac:dyDescent="0.15">
      <c r="A18" s="2">
        <v>17</v>
      </c>
      <c r="B18" s="5">
        <v>10.655804</v>
      </c>
    </row>
    <row r="19" spans="1:2" x14ac:dyDescent="0.15">
      <c r="A19" s="2">
        <v>18</v>
      </c>
      <c r="B19" s="5">
        <v>11.490881999999999</v>
      </c>
    </row>
    <row r="20" spans="1:2" x14ac:dyDescent="0.15">
      <c r="A20" s="2">
        <v>19</v>
      </c>
      <c r="B20" s="5">
        <v>12.332992000000001</v>
      </c>
    </row>
    <row r="21" spans="1:2" x14ac:dyDescent="0.15">
      <c r="A21" s="2">
        <v>20</v>
      </c>
      <c r="B21" s="5">
        <v>13.181538</v>
      </c>
    </row>
    <row r="22" spans="1:2" x14ac:dyDescent="0.15">
      <c r="A22" s="2">
        <v>21</v>
      </c>
      <c r="B22" s="5">
        <v>14.035999</v>
      </c>
    </row>
    <row r="23" spans="1:2" x14ac:dyDescent="0.15">
      <c r="A23" s="2">
        <v>22</v>
      </c>
      <c r="B23" s="5">
        <v>14.895921</v>
      </c>
    </row>
    <row r="24" spans="1:2" x14ac:dyDescent="0.15">
      <c r="A24" s="2">
        <v>23</v>
      </c>
      <c r="B24" s="5">
        <v>15.760899</v>
      </c>
    </row>
    <row r="25" spans="1:2" x14ac:dyDescent="0.15">
      <c r="A25" s="2">
        <v>24</v>
      </c>
      <c r="B25" s="5">
        <v>16.630576000000001</v>
      </c>
    </row>
    <row r="26" spans="1:2" x14ac:dyDescent="0.15">
      <c r="A26" s="2">
        <v>25</v>
      </c>
      <c r="B26" s="5">
        <v>17.504635</v>
      </c>
    </row>
    <row r="27" spans="1:2" x14ac:dyDescent="0.15">
      <c r="A27" s="2">
        <v>26</v>
      </c>
      <c r="B27" s="5">
        <v>18.382788999999999</v>
      </c>
    </row>
    <row r="28" spans="1:2" x14ac:dyDescent="0.15">
      <c r="A28" s="2">
        <v>27</v>
      </c>
      <c r="B28" s="5">
        <v>19.264779999999998</v>
      </c>
    </row>
    <row r="29" spans="1:2" x14ac:dyDescent="0.15">
      <c r="A29" s="2">
        <v>28</v>
      </c>
      <c r="B29" s="5">
        <v>20.150378</v>
      </c>
    </row>
    <row r="30" spans="1:2" x14ac:dyDescent="0.15">
      <c r="A30" s="2">
        <v>29</v>
      </c>
      <c r="B30" s="5">
        <v>21.039370000000002</v>
      </c>
    </row>
    <row r="31" spans="1:2" x14ac:dyDescent="0.15">
      <c r="A31" s="2">
        <v>30</v>
      </c>
      <c r="B31" s="5">
        <v>21.931564999999999</v>
      </c>
    </row>
    <row r="32" spans="1:2" x14ac:dyDescent="0.15">
      <c r="A32" s="2">
        <v>31</v>
      </c>
      <c r="B32" s="5">
        <v>22.826789000000002</v>
      </c>
    </row>
    <row r="33" spans="1:2" x14ac:dyDescent="0.15">
      <c r="A33" s="2">
        <v>32</v>
      </c>
      <c r="B33" s="5">
        <v>23.724879000000001</v>
      </c>
    </row>
    <row r="34" spans="1:2" x14ac:dyDescent="0.15">
      <c r="A34" s="2">
        <v>33</v>
      </c>
      <c r="B34" s="5">
        <v>24.625689999999999</v>
      </c>
    </row>
    <row r="35" spans="1:2" x14ac:dyDescent="0.15">
      <c r="A35" s="2">
        <v>34</v>
      </c>
      <c r="B35" s="5">
        <v>25.529086</v>
      </c>
    </row>
    <row r="36" spans="1:2" x14ac:dyDescent="0.15">
      <c r="A36" s="2">
        <v>35</v>
      </c>
      <c r="B36" s="5">
        <v>26.434940999999998</v>
      </c>
    </row>
    <row r="37" spans="1:2" x14ac:dyDescent="0.15">
      <c r="A37" s="2">
        <v>36</v>
      </c>
      <c r="B37" s="5">
        <v>27.343139999999998</v>
      </c>
    </row>
    <row r="38" spans="1:2" x14ac:dyDescent="0.15">
      <c r="A38" s="2">
        <v>37</v>
      </c>
      <c r="B38" s="5">
        <v>28.253575999999999</v>
      </c>
    </row>
    <row r="39" spans="1:2" x14ac:dyDescent="0.15">
      <c r="A39" s="2">
        <v>38</v>
      </c>
      <c r="B39" s="5">
        <v>29.166146999999999</v>
      </c>
    </row>
    <row r="40" spans="1:2" x14ac:dyDescent="0.15">
      <c r="A40" s="2">
        <v>39</v>
      </c>
      <c r="B40" s="5">
        <v>30.080763000000001</v>
      </c>
    </row>
    <row r="41" spans="1:2" x14ac:dyDescent="0.15">
      <c r="A41" s="6">
        <v>40</v>
      </c>
      <c r="B41" s="7">
        <v>30.997335</v>
      </c>
    </row>
    <row r="42" spans="1:2" x14ac:dyDescent="0.15">
      <c r="A42" s="2">
        <v>41</v>
      </c>
      <c r="B42" s="5">
        <v>31.915783999999999</v>
      </c>
    </row>
    <row r="43" spans="1:2" x14ac:dyDescent="0.15">
      <c r="A43" s="2">
        <v>42</v>
      </c>
      <c r="B43" s="5">
        <v>32.836033</v>
      </c>
    </row>
    <row r="44" spans="1:2" x14ac:dyDescent="0.15">
      <c r="A44" s="2">
        <v>43</v>
      </c>
      <c r="B44" s="5">
        <v>33.758011000000003</v>
      </c>
    </row>
    <row r="45" spans="1:2" x14ac:dyDescent="0.15">
      <c r="A45" s="2">
        <v>44</v>
      </c>
      <c r="B45" s="5">
        <v>34.681651000000002</v>
      </c>
    </row>
    <row r="46" spans="1:2" x14ac:dyDescent="0.15">
      <c r="A46" s="2">
        <v>45</v>
      </c>
      <c r="B46" s="5">
        <v>35.606892000000002</v>
      </c>
    </row>
    <row r="47" spans="1:2" x14ac:dyDescent="0.15">
      <c r="A47" s="2">
        <v>46</v>
      </c>
      <c r="B47" s="5">
        <v>36.533673999999998</v>
      </c>
    </row>
    <row r="48" spans="1:2" x14ac:dyDescent="0.15">
      <c r="A48" s="2">
        <v>47</v>
      </c>
      <c r="B48" s="5">
        <v>37.461941000000003</v>
      </c>
    </row>
    <row r="49" spans="1:2" x14ac:dyDescent="0.15">
      <c r="A49" s="2">
        <v>48</v>
      </c>
      <c r="B49" s="5">
        <v>38.391641</v>
      </c>
    </row>
    <row r="50" spans="1:2" x14ac:dyDescent="0.15">
      <c r="A50" s="2">
        <v>49</v>
      </c>
      <c r="B50" s="5">
        <v>39.322724000000001</v>
      </c>
    </row>
    <row r="51" spans="1:2" x14ac:dyDescent="0.15">
      <c r="A51" s="2">
        <v>50</v>
      </c>
      <c r="B51" s="5">
        <v>40.255144000000001</v>
      </c>
    </row>
    <row r="52" spans="1:2" x14ac:dyDescent="0.15">
      <c r="A52" s="2">
        <v>51</v>
      </c>
      <c r="B52" s="5">
        <v>41.188854999999997</v>
      </c>
    </row>
    <row r="53" spans="1:2" x14ac:dyDescent="0.15">
      <c r="A53" s="2">
        <v>52</v>
      </c>
      <c r="B53" s="5">
        <v>42.123815999999998</v>
      </c>
    </row>
    <row r="54" spans="1:2" x14ac:dyDescent="0.15">
      <c r="A54" s="2">
        <v>53</v>
      </c>
      <c r="B54" s="5">
        <v>43.059986000000002</v>
      </c>
    </row>
    <row r="55" spans="1:2" x14ac:dyDescent="0.15">
      <c r="A55" s="2">
        <v>54</v>
      </c>
      <c r="B55" s="5">
        <v>43.997328000000003</v>
      </c>
    </row>
    <row r="56" spans="1:2" x14ac:dyDescent="0.15">
      <c r="A56" s="2">
        <v>55</v>
      </c>
      <c r="B56" s="5">
        <v>44.935805999999999</v>
      </c>
    </row>
    <row r="57" spans="1:2" x14ac:dyDescent="0.15">
      <c r="A57" s="2">
        <v>56</v>
      </c>
      <c r="B57" s="5">
        <v>45.875383999999997</v>
      </c>
    </row>
    <row r="58" spans="1:2" x14ac:dyDescent="0.15">
      <c r="A58" s="2">
        <v>57</v>
      </c>
      <c r="B58" s="5">
        <v>46.816029999999998</v>
      </c>
    </row>
    <row r="59" spans="1:2" x14ac:dyDescent="0.15">
      <c r="A59" s="2">
        <v>58</v>
      </c>
      <c r="B59" s="5">
        <v>47.757713000000003</v>
      </c>
    </row>
    <row r="60" spans="1:2" x14ac:dyDescent="0.15">
      <c r="A60" s="2">
        <v>59</v>
      </c>
      <c r="B60" s="5">
        <v>48.700403999999999</v>
      </c>
    </row>
    <row r="61" spans="1:2" x14ac:dyDescent="0.15">
      <c r="A61" s="2">
        <v>60</v>
      </c>
      <c r="B61" s="5">
        <v>49.644072000000001</v>
      </c>
    </row>
    <row r="62" spans="1:2" x14ac:dyDescent="0.15">
      <c r="A62" s="2">
        <v>61</v>
      </c>
      <c r="B62" s="5">
        <v>50.588692000000002</v>
      </c>
    </row>
    <row r="63" spans="1:2" x14ac:dyDescent="0.15">
      <c r="A63" s="2">
        <v>62</v>
      </c>
      <c r="B63" s="5">
        <v>51.534236999999997</v>
      </c>
    </row>
    <row r="64" spans="1:2" x14ac:dyDescent="0.15">
      <c r="A64" s="2">
        <v>63</v>
      </c>
      <c r="B64" s="5">
        <v>52.480682000000002</v>
      </c>
    </row>
    <row r="65" spans="1:2" x14ac:dyDescent="0.15">
      <c r="A65" s="2">
        <v>64</v>
      </c>
      <c r="B65" s="5">
        <v>53.428002999999997</v>
      </c>
    </row>
    <row r="66" spans="1:2" x14ac:dyDescent="0.15">
      <c r="A66" s="2">
        <v>65</v>
      </c>
      <c r="B66" s="5">
        <v>54.376176999999998</v>
      </c>
    </row>
    <row r="67" spans="1:2" x14ac:dyDescent="0.15">
      <c r="A67" s="2">
        <v>66</v>
      </c>
      <c r="B67" s="5">
        <v>55.325183000000003</v>
      </c>
    </row>
    <row r="68" spans="1:2" x14ac:dyDescent="0.15">
      <c r="A68" s="2">
        <v>67</v>
      </c>
      <c r="B68" s="5">
        <v>56.274999000000001</v>
      </c>
    </row>
    <row r="69" spans="1:2" x14ac:dyDescent="0.15">
      <c r="A69" s="2">
        <v>68</v>
      </c>
      <c r="B69" s="5">
        <v>57.225605000000002</v>
      </c>
    </row>
    <row r="70" spans="1:2" x14ac:dyDescent="0.15">
      <c r="A70" s="2">
        <v>69</v>
      </c>
      <c r="B70" s="5">
        <v>58.176980999999998</v>
      </c>
    </row>
    <row r="71" spans="1:2" x14ac:dyDescent="0.15">
      <c r="A71" s="2">
        <v>70</v>
      </c>
      <c r="B71" s="5">
        <v>59.129109</v>
      </c>
    </row>
    <row r="72" spans="1:2" x14ac:dyDescent="0.15">
      <c r="A72" s="2">
        <v>71</v>
      </c>
      <c r="B72" s="5">
        <v>60.081971000000003</v>
      </c>
    </row>
    <row r="73" spans="1:2" x14ac:dyDescent="0.15">
      <c r="A73" s="2">
        <v>72</v>
      </c>
      <c r="B73" s="5">
        <v>61.035549000000003</v>
      </c>
    </row>
    <row r="74" spans="1:2" x14ac:dyDescent="0.15">
      <c r="A74" s="2">
        <v>73</v>
      </c>
      <c r="B74" s="5">
        <v>61.989826000000001</v>
      </c>
    </row>
    <row r="75" spans="1:2" x14ac:dyDescent="0.15">
      <c r="A75" s="2">
        <v>74</v>
      </c>
      <c r="B75" s="5">
        <v>62.944788000000003</v>
      </c>
    </row>
    <row r="76" spans="1:2" x14ac:dyDescent="0.15">
      <c r="A76" s="2">
        <v>75</v>
      </c>
      <c r="B76" s="5">
        <v>63.900416999999997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UMTS 2100</vt:lpstr>
      <vt:lpstr>Erlang</vt:lpstr>
      <vt:lpstr>'UMTS 2100'!Área_de_impresión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Portilla Figueras José Antonio</cp:lastModifiedBy>
  <cp:lastPrinted>2019-03-27T08:49:27Z</cp:lastPrinted>
  <dcterms:created xsi:type="dcterms:W3CDTF">2011-01-31T17:50:12Z</dcterms:created>
  <dcterms:modified xsi:type="dcterms:W3CDTF">2021-12-26T09:49:11Z</dcterms:modified>
</cp:coreProperties>
</file>