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ha105\Documents\Mike Stuff\Books\Books 2018\Excel 2019 Bible\AR\"/>
    </mc:Choice>
  </mc:AlternateContent>
  <xr:revisionPtr revIDLastSave="0" documentId="8_{A8F41929-4C5B-4479-8359-9504FACDFC39}" xr6:coauthVersionLast="34" xr6:coauthVersionMax="34" xr10:uidLastSave="{00000000-0000-0000-0000-000000000000}"/>
  <bookViews>
    <workbookView xWindow="120" yWindow="156" windowWidth="24912" windowHeight="12072" activeTab="11" xr2:uid="{00000000-000D-0000-FFFF-FFFF00000000}"/>
  </bookViews>
  <sheets>
    <sheet name="55" sheetId="1" r:id="rId1"/>
    <sheet name="56" sheetId="2" r:id="rId2"/>
    <sheet name="57" sheetId="3" r:id="rId3"/>
    <sheet name="58" sheetId="4" r:id="rId4"/>
    <sheet name="58.1" sheetId="5" r:id="rId5"/>
    <sheet name="59" sheetId="6" r:id="rId6"/>
    <sheet name="59.1" sheetId="7" r:id="rId7"/>
    <sheet name="60" sheetId="8" r:id="rId8"/>
    <sheet name="61" sheetId="9" r:id="rId9"/>
    <sheet name="61.2" sheetId="10" r:id="rId10"/>
    <sheet name="62" sheetId="11" r:id="rId11"/>
    <sheet name="63" sheetId="12" r:id="rId12"/>
  </sheets>
  <definedNames>
    <definedName name="Married">'60'!$B$4:$E$11</definedName>
    <definedName name="Single">'60'!$B$15:$E$22</definedName>
  </definedNames>
  <calcPr calcId="179017"/>
</workbook>
</file>

<file path=xl/calcChain.xml><?xml version="1.0" encoding="utf-8"?>
<calcChain xmlns="http://schemas.openxmlformats.org/spreadsheetml/2006/main">
  <c r="G5" i="12" l="1"/>
  <c r="F5" i="12"/>
  <c r="H8" i="11" l="1"/>
  <c r="H7" i="11"/>
  <c r="F10" i="10"/>
  <c r="E10" i="10"/>
  <c r="D10" i="10"/>
  <c r="C10" i="10"/>
  <c r="G9" i="10"/>
  <c r="G8" i="10"/>
  <c r="C15" i="10" s="1"/>
  <c r="G7" i="10"/>
  <c r="G6" i="10"/>
  <c r="G5" i="10"/>
  <c r="G4" i="10"/>
  <c r="G5" i="9"/>
  <c r="G6" i="9"/>
  <c r="G7" i="9"/>
  <c r="G8" i="9"/>
  <c r="G10" i="9" s="1"/>
  <c r="G9" i="9"/>
  <c r="G4" i="9"/>
  <c r="D10" i="9"/>
  <c r="E10" i="9"/>
  <c r="F10" i="9"/>
  <c r="C10" i="9"/>
  <c r="C15" i="9"/>
  <c r="G10" i="10" l="1"/>
  <c r="D26" i="8"/>
  <c r="D28" i="8"/>
  <c r="D18" i="7"/>
  <c r="D14" i="7"/>
  <c r="D12" i="7"/>
  <c r="D15" i="7" s="1"/>
  <c r="D16" i="7" s="1"/>
  <c r="D12" i="6"/>
  <c r="D14" i="6"/>
  <c r="D15" i="6" l="1"/>
  <c r="D16" i="6" s="1"/>
  <c r="D29" i="8"/>
  <c r="D30" i="8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2" i="4"/>
  <c r="D10" i="4"/>
  <c r="D3" i="4"/>
  <c r="D4" i="4"/>
  <c r="D5" i="4"/>
  <c r="D6" i="4"/>
  <c r="D16" i="4"/>
  <c r="D7" i="4"/>
  <c r="D11" i="4"/>
  <c r="D15" i="4"/>
  <c r="D13" i="4"/>
  <c r="D14" i="4"/>
  <c r="D9" i="4"/>
  <c r="D8" i="4"/>
  <c r="D18" i="4"/>
  <c r="D24" i="4"/>
  <c r="D21" i="4"/>
  <c r="D17" i="4"/>
  <c r="D20" i="4"/>
  <c r="D23" i="4"/>
  <c r="D12" i="4"/>
  <c r="D19" i="4"/>
  <c r="C8" i="3"/>
  <c r="C6" i="3"/>
  <c r="G9" i="2" l="1"/>
  <c r="G8" i="2"/>
  <c r="G5" i="2"/>
  <c r="G6" i="2"/>
  <c r="M3" i="1" l="1"/>
  <c r="L5" i="1"/>
  <c r="O8" i="1"/>
  <c r="M7" i="1"/>
  <c r="O9" i="1" l="1"/>
  <c r="O7" i="1" l="1"/>
  <c r="O11" i="1" s="1"/>
  <c r="O3" i="1" s="1"/>
</calcChain>
</file>

<file path=xl/sharedStrings.xml><?xml version="1.0" encoding="utf-8"?>
<sst xmlns="http://schemas.openxmlformats.org/spreadsheetml/2006/main" count="444" uniqueCount="264">
  <si>
    <t>ID</t>
  </si>
  <si>
    <t>Employee Name</t>
  </si>
  <si>
    <t>Frequency</t>
  </si>
  <si>
    <t>Salary</t>
  </si>
  <si>
    <t>Tax Rate</t>
  </si>
  <si>
    <t>Elizabeth Marshall</t>
  </si>
  <si>
    <t>Jackson Stephens</t>
  </si>
  <si>
    <t>Paige Jones</t>
  </si>
  <si>
    <t>Kaylee Perez</t>
  </si>
  <si>
    <t>Isabella Harris</t>
  </si>
  <si>
    <t>Jesus Clark</t>
  </si>
  <si>
    <t>Elijah Ward</t>
  </si>
  <si>
    <t>Kimberly Hall</t>
  </si>
  <si>
    <t>Cooper Smith</t>
  </si>
  <si>
    <t>Kylie Woods</t>
  </si>
  <si>
    <t>Pay</t>
  </si>
  <si>
    <t>Taxes</t>
  </si>
  <si>
    <t>Net Pay</t>
  </si>
  <si>
    <t>Employee ID</t>
  </si>
  <si>
    <t>Check #</t>
  </si>
  <si>
    <t>Employee Address</t>
  </si>
  <si>
    <t>Deductions</t>
  </si>
  <si>
    <t>Total</t>
  </si>
  <si>
    <t>Insurance</t>
  </si>
  <si>
    <t>401k</t>
  </si>
  <si>
    <t>Address</t>
  </si>
  <si>
    <t>427 John A. Creighton Boulevard Anytown, USA 12345</t>
  </si>
  <si>
    <t>888 192nd Street Anytown, USA 12345</t>
  </si>
  <si>
    <t>530 Dodge Street Anytown, USA 12345</t>
  </si>
  <si>
    <t>271 Dodge Street Anytown, USA 12345</t>
  </si>
  <si>
    <t>715 136th Street Anytown, USA 12345</t>
  </si>
  <si>
    <t>772 North 30th Street Anytown, USA 12345</t>
  </si>
  <si>
    <t>652 Regency Parkway Drive Anytown, USA 12345</t>
  </si>
  <si>
    <t>803 Fontenelle Boulevard Anytown, USA 12345</t>
  </si>
  <si>
    <t>245 Fontenelle Boulevard Anytown, USA 12345</t>
  </si>
  <si>
    <t>827 Harrison Street Anytown, USA 12345</t>
  </si>
  <si>
    <t>Retirement</t>
  </si>
  <si>
    <t>City</t>
  </si>
  <si>
    <t>State</t>
  </si>
  <si>
    <t>CA</t>
  </si>
  <si>
    <t>TX</t>
  </si>
  <si>
    <t>WA</t>
  </si>
  <si>
    <t>AZ</t>
  </si>
  <si>
    <t>Tacoma</t>
  </si>
  <si>
    <t>Chandler</t>
  </si>
  <si>
    <t>Lafayette</t>
  </si>
  <si>
    <t>LA</t>
  </si>
  <si>
    <t>Carrollton</t>
  </si>
  <si>
    <t>MO</t>
  </si>
  <si>
    <t>NC</t>
  </si>
  <si>
    <t>Albuquerque</t>
  </si>
  <si>
    <t>NM</t>
  </si>
  <si>
    <t>Green Bay</t>
  </si>
  <si>
    <t>WI</t>
  </si>
  <si>
    <t>PA</t>
  </si>
  <si>
    <t>FL</t>
  </si>
  <si>
    <t>OR</t>
  </si>
  <si>
    <t>Erie</t>
  </si>
  <si>
    <t>Clarksville</t>
  </si>
  <si>
    <t>TN</t>
  </si>
  <si>
    <t>Elizabeth</t>
  </si>
  <si>
    <t>NJ</t>
  </si>
  <si>
    <t>Providence</t>
  </si>
  <si>
    <t>RI</t>
  </si>
  <si>
    <t>Toledo</t>
  </si>
  <si>
    <t>OH</t>
  </si>
  <si>
    <t>Gainesville</t>
  </si>
  <si>
    <t>Indianapolis</t>
  </si>
  <si>
    <t>IN</t>
  </si>
  <si>
    <t>MI</t>
  </si>
  <si>
    <t>Billings</t>
  </si>
  <si>
    <t>MT</t>
  </si>
  <si>
    <t>Grand Rapids</t>
  </si>
  <si>
    <t>Peoria</t>
  </si>
  <si>
    <t>IL</t>
  </si>
  <si>
    <t>Tulsa</t>
  </si>
  <si>
    <t>OK</t>
  </si>
  <si>
    <t>Raleigh</t>
  </si>
  <si>
    <t>Glendale</t>
  </si>
  <si>
    <t>Portland</t>
  </si>
  <si>
    <t>Fort Collins</t>
  </si>
  <si>
    <t>CO</t>
  </si>
  <si>
    <t>Manchester</t>
  </si>
  <si>
    <t>NH</t>
  </si>
  <si>
    <t>St. Louis</t>
  </si>
  <si>
    <t>State:</t>
  </si>
  <si>
    <t>City:</t>
  </si>
  <si>
    <t>Store #</t>
  </si>
  <si>
    <t>Store:</t>
  </si>
  <si>
    <t>LOOKUP Store:</t>
  </si>
  <si>
    <t>LOOKUP City:</t>
  </si>
  <si>
    <t>Temp</t>
  </si>
  <si>
    <t>Anadyr</t>
  </si>
  <si>
    <t>Mumbai</t>
  </si>
  <si>
    <t>Casablanca</t>
  </si>
  <si>
    <t>Chongqing</t>
  </si>
  <si>
    <t>Edmonton</t>
  </si>
  <si>
    <t>São Paulo</t>
  </si>
  <si>
    <t>Honiara</t>
  </si>
  <si>
    <t>Kathmandu</t>
  </si>
  <si>
    <t>Lhasa</t>
  </si>
  <si>
    <t>Lisbon</t>
  </si>
  <si>
    <t>Your City:</t>
  </si>
  <si>
    <t>Your Temp:</t>
  </si>
  <si>
    <t>INDEX:</t>
  </si>
  <si>
    <t xml:space="preserve">Lawrence J. Ellison </t>
  </si>
  <si>
    <t xml:space="preserve">Elon Musk </t>
  </si>
  <si>
    <t xml:space="preserve">Mario J. Gabelli </t>
  </si>
  <si>
    <t xml:space="preserve">Robert A. Kotick </t>
  </si>
  <si>
    <t xml:space="preserve">Leslie Moonves </t>
  </si>
  <si>
    <t xml:space="preserve">Charif Souki </t>
  </si>
  <si>
    <t xml:space="preserve">Brett A. Roberts </t>
  </si>
  <si>
    <t xml:space="preserve">John H. Hammergren </t>
  </si>
  <si>
    <t xml:space="preserve">David M. Zaslav </t>
  </si>
  <si>
    <t xml:space="preserve">Richard M. Bracken </t>
  </si>
  <si>
    <t xml:space="preserve">Gregory B. Maffei </t>
  </si>
  <si>
    <t xml:space="preserve">Richard B. Handler </t>
  </si>
  <si>
    <t xml:space="preserve">James Q. Crowe </t>
  </si>
  <si>
    <t xml:space="preserve">R. W. Tillerson </t>
  </si>
  <si>
    <t xml:space="preserve">Robert A. Iger </t>
  </si>
  <si>
    <t xml:space="preserve">Paul A. Ricci </t>
  </si>
  <si>
    <t xml:space="preserve">Marissa A. Mayer </t>
  </si>
  <si>
    <t xml:space="preserve">Ralph Lauren </t>
  </si>
  <si>
    <t xml:space="preserve">Mark G. Parker </t>
  </si>
  <si>
    <t xml:space="preserve">Lawrence Kingsley </t>
  </si>
  <si>
    <t xml:space="preserve">Philippe P. Dauman </t>
  </si>
  <si>
    <t xml:space="preserve">David M. Cote </t>
  </si>
  <si>
    <t>Name</t>
  </si>
  <si>
    <t>2012  Salary</t>
  </si>
  <si>
    <t xml:space="preserve">Oracle Corp </t>
  </si>
  <si>
    <t xml:space="preserve">Tesla Motors Inc </t>
  </si>
  <si>
    <t xml:space="preserve">Gamco Investors Inc </t>
  </si>
  <si>
    <t xml:space="preserve">Activision Blizzard Inc </t>
  </si>
  <si>
    <t xml:space="preserve">Cheniere Energy Inc </t>
  </si>
  <si>
    <t xml:space="preserve">Credit Acceptance Corp </t>
  </si>
  <si>
    <t xml:space="preserve">Mckesson Corp </t>
  </si>
  <si>
    <t xml:space="preserve">Discovery Communications Inc </t>
  </si>
  <si>
    <t xml:space="preserve">Liberty Interactive Corp </t>
  </si>
  <si>
    <t xml:space="preserve">Jefferies Group Llc </t>
  </si>
  <si>
    <t xml:space="preserve">Level 3 Communications Inc </t>
  </si>
  <si>
    <t xml:space="preserve">Exxon Mobil Corp </t>
  </si>
  <si>
    <t xml:space="preserve">Disney (Walt) Co </t>
  </si>
  <si>
    <t xml:space="preserve">Nuance Communications Inc </t>
  </si>
  <si>
    <t xml:space="preserve">Yahoo Inc </t>
  </si>
  <si>
    <t xml:space="preserve">Ralph Lauren Corp </t>
  </si>
  <si>
    <t xml:space="preserve">Nike Inc </t>
  </si>
  <si>
    <t xml:space="preserve">Pall Corp </t>
  </si>
  <si>
    <t xml:space="preserve">Viacom Inc </t>
  </si>
  <si>
    <t xml:space="preserve">Honeywell International Inc </t>
  </si>
  <si>
    <t xml:space="preserve">CBS Corp </t>
  </si>
  <si>
    <t xml:space="preserve">HCA Holdings Inc </t>
  </si>
  <si>
    <t>Company</t>
  </si>
  <si>
    <t>CEO</t>
  </si>
  <si>
    <t>But not over</t>
  </si>
  <si>
    <t>Wages over</t>
  </si>
  <si>
    <t>Base amount</t>
  </si>
  <si>
    <t>Percentage</t>
  </si>
  <si>
    <t>Bi-weekly wage:</t>
  </si>
  <si>
    <t>Allowance:</t>
  </si>
  <si>
    <t>Wage less allowance:</t>
  </si>
  <si>
    <t>Withholding allowances:</t>
  </si>
  <si>
    <t>Withholding amount:</t>
  </si>
  <si>
    <t>INDEX and MATCH:</t>
  </si>
  <si>
    <t>Single person</t>
  </si>
  <si>
    <t>Married person</t>
  </si>
  <si>
    <t>Married or Single:</t>
  </si>
  <si>
    <t>Single</t>
  </si>
  <si>
    <t>Region</t>
  </si>
  <si>
    <t>Regional Sales Report</t>
  </si>
  <si>
    <t>South</t>
  </si>
  <si>
    <t>East</t>
  </si>
  <si>
    <t>North</t>
  </si>
  <si>
    <t>West</t>
  </si>
  <si>
    <t>Northeast</t>
  </si>
  <si>
    <t>Mid-Atlantic</t>
  </si>
  <si>
    <t>Canada</t>
  </si>
  <si>
    <t>Region:</t>
  </si>
  <si>
    <t>Year:</t>
  </si>
  <si>
    <t>Sales:</t>
  </si>
  <si>
    <t>Manager</t>
  </si>
  <si>
    <t>Sales</t>
  </si>
  <si>
    <t>Southwest</t>
  </si>
  <si>
    <t>Services</t>
  </si>
  <si>
    <t>Inventory</t>
  </si>
  <si>
    <t>Marketing</t>
  </si>
  <si>
    <t>Customer Service</t>
  </si>
  <si>
    <t>Licenses</t>
  </si>
  <si>
    <t>Pacific Northwest</t>
  </si>
  <si>
    <t>IT</t>
  </si>
  <si>
    <t>Legal</t>
  </si>
  <si>
    <t>Business Development</t>
  </si>
  <si>
    <t>Operational</t>
  </si>
  <si>
    <t>Quality Asurance</t>
  </si>
  <si>
    <t>Finance</t>
  </si>
  <si>
    <t>Purchasing</t>
  </si>
  <si>
    <t>Market Development</t>
  </si>
  <si>
    <t>Management</t>
  </si>
  <si>
    <t>Accounting</t>
  </si>
  <si>
    <t>Supply Chain</t>
  </si>
  <si>
    <t>Research &amp; Development</t>
  </si>
  <si>
    <t>Logistics</t>
  </si>
  <si>
    <t>Hannah Porter</t>
  </si>
  <si>
    <t>Kaylee Hart</t>
  </si>
  <si>
    <t>Claire Peterson</t>
  </si>
  <si>
    <t>Cole Lee</t>
  </si>
  <si>
    <t>Peyton Powell</t>
  </si>
  <si>
    <t>Katherine Nichols</t>
  </si>
  <si>
    <t>Riley James</t>
  </si>
  <si>
    <t>Brooklyn Coleman</t>
  </si>
  <si>
    <t>Jack Black</t>
  </si>
  <si>
    <t>David Gordon</t>
  </si>
  <si>
    <t>Aaron Myers</t>
  </si>
  <si>
    <t>Faith Green</t>
  </si>
  <si>
    <t>Maria Cook</t>
  </si>
  <si>
    <t>Landon Garcia</t>
  </si>
  <si>
    <t>Isaac Chavez</t>
  </si>
  <si>
    <t>Jordan Morgan</t>
  </si>
  <si>
    <t>Gianna Freeman</t>
  </si>
  <si>
    <t>Thomas Rivera</t>
  </si>
  <si>
    <t>Jasmine Cox</t>
  </si>
  <si>
    <t>Savannah Stone</t>
  </si>
  <si>
    <t>Layla Green</t>
  </si>
  <si>
    <t>Brooke Bailey</t>
  </si>
  <si>
    <t>Wyatt Harris</t>
  </si>
  <si>
    <t>Mackenzie Griffin</t>
  </si>
  <si>
    <t>Audrey Washington</t>
  </si>
  <si>
    <t>Katelyn Marshall</t>
  </si>
  <si>
    <t>Adam Cox</t>
  </si>
  <si>
    <t>Samantha Allen</t>
  </si>
  <si>
    <t>Adam Howard</t>
  </si>
  <si>
    <t>Jose Palmer</t>
  </si>
  <si>
    <t>Anna Greene</t>
  </si>
  <si>
    <t>Samuel Gardner</t>
  </si>
  <si>
    <t>Joseph Jordan</t>
  </si>
  <si>
    <t>Victoria Gomez</t>
  </si>
  <si>
    <t>Lillian Hart</t>
  </si>
  <si>
    <t>Alex Cox</t>
  </si>
  <si>
    <t>Eli Marshall</t>
  </si>
  <si>
    <t>Genesis Mills</t>
  </si>
  <si>
    <t>Evelyn Burns</t>
  </si>
  <si>
    <t>Nathaniel Kennedy</t>
  </si>
  <si>
    <t>Kyle Palmer</t>
  </si>
  <si>
    <t>Chloe Sanchez</t>
  </si>
  <si>
    <t>Gabriella West</t>
  </si>
  <si>
    <t>Budget</t>
  </si>
  <si>
    <t>Department</t>
  </si>
  <si>
    <t>Department:</t>
  </si>
  <si>
    <t>Budget:</t>
  </si>
  <si>
    <t>Manager:</t>
  </si>
  <si>
    <t>Invoice #</t>
  </si>
  <si>
    <t>Amount</t>
  </si>
  <si>
    <t>Last Invoice</t>
  </si>
  <si>
    <t>Last Amount</t>
  </si>
  <si>
    <t>Item Count</t>
  </si>
  <si>
    <t>IN6787</t>
  </si>
  <si>
    <t>IN4374</t>
  </si>
  <si>
    <t>IN5061</t>
  </si>
  <si>
    <t>IN4305</t>
  </si>
  <si>
    <t>IN1477</t>
  </si>
  <si>
    <t>IN5552</t>
  </si>
  <si>
    <t>IN8685</t>
  </si>
  <si>
    <t>IN1491</t>
  </si>
  <si>
    <t>IN2408</t>
  </si>
  <si>
    <t>IN6513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</si>
</sst>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0000000_);_(* \(#,##0.00000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3" borderId="12" applyNumberFormat="0" applyAlignment="0" applyProtection="0"/>
    <xf numFmtId="0" fontId="4" fillId="4" borderId="13" applyNumberFormat="0" applyAlignment="0" applyProtection="0"/>
  </cellStyleXfs>
  <cellXfs count="46">
    <xf numFmtId="0" fontId="0" fillId="0" borderId="0" xfId="0"/>
    <xf numFmtId="43" fontId="0" fillId="0" borderId="0" xfId="1" applyFont="1"/>
    <xf numFmtId="0" fontId="2" fillId="0" borderId="1" xfId="0" applyFont="1" applyBorder="1" applyAlignment="1">
      <alignment horizontal="center"/>
    </xf>
    <xf numFmtId="43" fontId="0" fillId="0" borderId="0" xfId="0" applyNumberFormat="1"/>
    <xf numFmtId="9" fontId="0" fillId="0" borderId="0" xfId="1" applyNumberFormat="1" applyFont="1"/>
    <xf numFmtId="0" fontId="0" fillId="0" borderId="0" xfId="0" applyAlignment="1"/>
    <xf numFmtId="0" fontId="2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4" fontId="0" fillId="2" borderId="4" xfId="2" applyFont="1" applyFill="1" applyBorder="1"/>
    <xf numFmtId="0" fontId="2" fillId="2" borderId="3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4" xfId="0" applyFill="1" applyBorder="1"/>
    <xf numFmtId="43" fontId="0" fillId="2" borderId="8" xfId="0" applyNumberFormat="1" applyFill="1" applyBorder="1"/>
    <xf numFmtId="0" fontId="0" fillId="2" borderId="1" xfId="0" applyFill="1" applyBorder="1"/>
    <xf numFmtId="0" fontId="0" fillId="2" borderId="9" xfId="0" applyFill="1" applyBorder="1"/>
    <xf numFmtId="0" fontId="0" fillId="2" borderId="3" xfId="0" applyFill="1" applyBorder="1"/>
    <xf numFmtId="0" fontId="2" fillId="2" borderId="2" xfId="0" applyFont="1" applyFill="1" applyBorder="1"/>
    <xf numFmtId="0" fontId="2" fillId="2" borderId="10" xfId="0" applyFont="1" applyFill="1" applyBorder="1"/>
    <xf numFmtId="0" fontId="0" fillId="2" borderId="2" xfId="0" applyFill="1" applyBorder="1"/>
    <xf numFmtId="0" fontId="0" fillId="2" borderId="11" xfId="0" applyFill="1" applyBorder="1"/>
    <xf numFmtId="43" fontId="0" fillId="2" borderId="3" xfId="1" applyFont="1" applyFill="1" applyBorder="1"/>
    <xf numFmtId="43" fontId="0" fillId="2" borderId="11" xfId="1" applyFont="1" applyFill="1" applyBorder="1"/>
    <xf numFmtId="43" fontId="0" fillId="2" borderId="4" xfId="1" applyFont="1" applyFill="1" applyBorder="1"/>
    <xf numFmtId="44" fontId="0" fillId="2" borderId="2" xfId="2" applyFont="1" applyFill="1" applyBorder="1"/>
    <xf numFmtId="164" fontId="0" fillId="0" borderId="0" xfId="1" applyNumberFormat="1" applyFont="1"/>
    <xf numFmtId="0" fontId="0" fillId="0" borderId="0" xfId="0" applyAlignment="1">
      <alignment horizontal="right" indent="1"/>
    </xf>
    <xf numFmtId="0" fontId="3" fillId="3" borderId="12" xfId="3" applyAlignment="1">
      <alignment horizontal="left" indent="1"/>
    </xf>
    <xf numFmtId="0" fontId="4" fillId="4" borderId="13" xfId="4" applyAlignment="1">
      <alignment horizontal="left" indent="1"/>
    </xf>
    <xf numFmtId="0" fontId="0" fillId="0" borderId="0" xfId="0" applyFill="1" applyBorder="1" applyAlignment="1">
      <alignment horizontal="right" indent="1"/>
    </xf>
    <xf numFmtId="0" fontId="2" fillId="0" borderId="0" xfId="0" applyFont="1"/>
    <xf numFmtId="0" fontId="2" fillId="0" borderId="0" xfId="0" applyFont="1" applyAlignment="1">
      <alignment horizontal="right" indent="1"/>
    </xf>
    <xf numFmtId="0" fontId="0" fillId="0" borderId="0" xfId="0" applyAlignment="1">
      <alignment horizontal="center"/>
    </xf>
    <xf numFmtId="0" fontId="4" fillId="4" borderId="13" xfId="4" applyAlignment="1">
      <alignment horizontal="center"/>
    </xf>
    <xf numFmtId="41" fontId="0" fillId="0" borderId="0" xfId="0" applyNumberFormat="1"/>
    <xf numFmtId="165" fontId="0" fillId="0" borderId="0" xfId="0" applyNumberFormat="1"/>
    <xf numFmtId="43" fontId="0" fillId="0" borderId="2" xfId="0" applyNumberFormat="1" applyBorder="1"/>
    <xf numFmtId="0" fontId="5" fillId="0" borderId="0" xfId="0" applyFont="1"/>
    <xf numFmtId="0" fontId="6" fillId="0" borderId="0" xfId="0" applyFont="1"/>
    <xf numFmtId="0" fontId="0" fillId="0" borderId="0" xfId="0" applyNumberFormat="1" applyAlignment="1">
      <alignment horizontal="right" indent="1"/>
    </xf>
    <xf numFmtId="0" fontId="3" fillId="3" borderId="12" xfId="3" applyAlignment="1">
      <alignment horizontal="center"/>
    </xf>
    <xf numFmtId="41" fontId="4" fillId="4" borderId="13" xfId="4" applyNumberFormat="1"/>
    <xf numFmtId="41" fontId="0" fillId="0" borderId="14" xfId="0" applyNumberFormat="1" applyBorder="1"/>
    <xf numFmtId="11" fontId="0" fillId="0" borderId="0" xfId="0" applyNumberFormat="1"/>
    <xf numFmtId="166" fontId="0" fillId="0" borderId="0" xfId="0" applyNumberFormat="1"/>
  </cellXfs>
  <cellStyles count="5">
    <cellStyle name="Comma" xfId="1" builtinId="3"/>
    <cellStyle name="Currency" xfId="2" builtinId="4"/>
    <cellStyle name="Input" xfId="3" builtinId="20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13"/>
  <sheetViews>
    <sheetView workbookViewId="0">
      <selection activeCell="M4" sqref="M4"/>
    </sheetView>
  </sheetViews>
  <sheetFormatPr defaultRowHeight="14.4" x14ac:dyDescent="0.3"/>
  <cols>
    <col min="1" max="1" width="4.44140625" customWidth="1"/>
    <col min="2" max="2" width="4" bestFit="1" customWidth="1"/>
    <col min="3" max="3" width="17.44140625" bestFit="1" customWidth="1"/>
    <col min="4" max="4" width="28.44140625" customWidth="1"/>
    <col min="5" max="5" width="10.33203125" bestFit="1" customWidth="1"/>
    <col min="6" max="6" width="10.5546875" bestFit="1" customWidth="1"/>
    <col min="7" max="7" width="8.44140625" bestFit="1" customWidth="1"/>
    <col min="8" max="9" width="8.44140625" customWidth="1"/>
    <col min="11" max="11" width="4.109375" customWidth="1"/>
    <col min="12" max="12" width="12.109375" customWidth="1"/>
    <col min="13" max="15" width="17.88671875" customWidth="1"/>
  </cols>
  <sheetData>
    <row r="2" spans="2:15" x14ac:dyDescent="0.3">
      <c r="B2" s="2" t="s">
        <v>0</v>
      </c>
      <c r="C2" s="2" t="s">
        <v>1</v>
      </c>
      <c r="D2" s="2" t="s">
        <v>25</v>
      </c>
      <c r="E2" s="2" t="s">
        <v>2</v>
      </c>
      <c r="F2" s="2" t="s">
        <v>3</v>
      </c>
      <c r="G2" s="2" t="s">
        <v>4</v>
      </c>
      <c r="H2" s="2" t="s">
        <v>23</v>
      </c>
      <c r="I2" s="2" t="s">
        <v>24</v>
      </c>
      <c r="L2" s="6" t="s">
        <v>18</v>
      </c>
      <c r="M2" s="6" t="s">
        <v>1</v>
      </c>
      <c r="N2" s="6" t="s">
        <v>19</v>
      </c>
      <c r="O2" s="6" t="s">
        <v>17</v>
      </c>
    </row>
    <row r="3" spans="2:15" x14ac:dyDescent="0.3">
      <c r="B3">
        <v>154</v>
      </c>
      <c r="C3" t="s">
        <v>7</v>
      </c>
      <c r="D3" s="5" t="s">
        <v>26</v>
      </c>
      <c r="E3" s="26">
        <v>26</v>
      </c>
      <c r="F3" s="1">
        <v>42900</v>
      </c>
      <c r="G3" s="4">
        <v>0.15</v>
      </c>
      <c r="H3" s="1">
        <v>100</v>
      </c>
      <c r="I3" s="4">
        <v>0.08</v>
      </c>
      <c r="L3" s="7">
        <v>319</v>
      </c>
      <c r="M3" s="7" t="str">
        <f>VLOOKUP($L$3,$B$3:$I$12,2,FALSE)</f>
        <v>Elizabeth Marshall</v>
      </c>
      <c r="N3" s="7">
        <v>164</v>
      </c>
      <c r="O3" s="8">
        <f>M7-O11</f>
        <v>796.99153846153854</v>
      </c>
    </row>
    <row r="4" spans="2:15" ht="15" customHeight="1" x14ac:dyDescent="0.3">
      <c r="B4">
        <v>240</v>
      </c>
      <c r="C4" t="s">
        <v>11</v>
      </c>
      <c r="D4" s="5" t="s">
        <v>27</v>
      </c>
      <c r="E4" s="26">
        <v>26</v>
      </c>
      <c r="F4" s="1">
        <v>64600</v>
      </c>
      <c r="G4" s="4">
        <v>0.16</v>
      </c>
      <c r="H4" s="1">
        <v>200</v>
      </c>
      <c r="I4" s="4">
        <v>7.0000000000000007E-2</v>
      </c>
      <c r="L4" s="9" t="s">
        <v>20</v>
      </c>
      <c r="M4" s="10"/>
      <c r="N4" s="11"/>
      <c r="O4" s="12"/>
    </row>
    <row r="5" spans="2:15" x14ac:dyDescent="0.3">
      <c r="B5">
        <v>319</v>
      </c>
      <c r="C5" t="s">
        <v>5</v>
      </c>
      <c r="D5" s="5" t="s">
        <v>28</v>
      </c>
      <c r="E5" s="26">
        <v>52</v>
      </c>
      <c r="F5" s="1">
        <v>72300</v>
      </c>
      <c r="G5" s="4">
        <v>0.24</v>
      </c>
      <c r="H5" s="1">
        <v>300</v>
      </c>
      <c r="I5" s="4">
        <v>0.03</v>
      </c>
      <c r="L5" s="13" t="str">
        <f>VLOOKUP($L$3,$B$3:$I$12,3,FALSE)</f>
        <v>530 Dodge Street Anytown, USA 12345</v>
      </c>
      <c r="M5" s="14"/>
      <c r="N5" s="15"/>
      <c r="O5" s="16"/>
    </row>
    <row r="6" spans="2:15" ht="13.5" customHeight="1" x14ac:dyDescent="0.3">
      <c r="B6">
        <v>331</v>
      </c>
      <c r="C6" t="s">
        <v>13</v>
      </c>
      <c r="D6" s="5" t="s">
        <v>29</v>
      </c>
      <c r="E6" s="26">
        <v>12</v>
      </c>
      <c r="F6" s="1">
        <v>99700</v>
      </c>
      <c r="G6" s="4">
        <v>0.2</v>
      </c>
      <c r="H6" s="1">
        <v>300</v>
      </c>
      <c r="I6" s="4">
        <v>0.05</v>
      </c>
      <c r="L6" s="17"/>
      <c r="M6" s="18" t="s">
        <v>15</v>
      </c>
      <c r="N6" s="19" t="s">
        <v>21</v>
      </c>
      <c r="O6" s="20"/>
    </row>
    <row r="7" spans="2:15" x14ac:dyDescent="0.3">
      <c r="B7">
        <v>428</v>
      </c>
      <c r="C7" t="s">
        <v>9</v>
      </c>
      <c r="D7" s="5" t="s">
        <v>30</v>
      </c>
      <c r="E7" s="26">
        <v>26</v>
      </c>
      <c r="F7" s="1">
        <v>57600</v>
      </c>
      <c r="G7" s="4">
        <v>0.25</v>
      </c>
      <c r="H7" s="1">
        <v>100</v>
      </c>
      <c r="I7" s="4">
        <v>0.05</v>
      </c>
      <c r="L7" s="21"/>
      <c r="M7" s="22">
        <f>VLOOKUP($L$3,$B$3:$I$12,5,FALSE)/VLOOKUP($L$3,$B$3:$I$12,4,FALSE)</f>
        <v>1390.3846153846155</v>
      </c>
      <c r="N7" s="17" t="s">
        <v>16</v>
      </c>
      <c r="O7" s="22">
        <f>(M7-O8-O9)*VLOOKUP($L$3,$B$3:$I$12,6,FALSE)</f>
        <v>251.68153846153845</v>
      </c>
    </row>
    <row r="8" spans="2:15" x14ac:dyDescent="0.3">
      <c r="B8">
        <v>451</v>
      </c>
      <c r="C8" t="s">
        <v>8</v>
      </c>
      <c r="D8" s="5" t="s">
        <v>31</v>
      </c>
      <c r="E8" s="26">
        <v>12</v>
      </c>
      <c r="F8" s="1">
        <v>82800</v>
      </c>
      <c r="G8" s="4">
        <v>0.23</v>
      </c>
      <c r="H8" s="1">
        <v>200</v>
      </c>
      <c r="I8" s="4">
        <v>7.0000000000000007E-2</v>
      </c>
      <c r="L8" s="21"/>
      <c r="M8" s="21"/>
      <c r="N8" s="21" t="s">
        <v>23</v>
      </c>
      <c r="O8" s="23">
        <f>VLOOKUP($L$3,$B$3:$I$12,7,FALSE)</f>
        <v>300</v>
      </c>
    </row>
    <row r="9" spans="2:15" x14ac:dyDescent="0.3">
      <c r="B9">
        <v>527</v>
      </c>
      <c r="C9" t="s">
        <v>12</v>
      </c>
      <c r="D9" s="5" t="s">
        <v>32</v>
      </c>
      <c r="E9" s="26">
        <v>12</v>
      </c>
      <c r="F9" s="1">
        <v>41700</v>
      </c>
      <c r="G9" s="4">
        <v>0.17</v>
      </c>
      <c r="H9" s="1">
        <v>300</v>
      </c>
      <c r="I9" s="4">
        <v>0.04</v>
      </c>
      <c r="L9" s="21"/>
      <c r="M9" s="21"/>
      <c r="N9" s="21" t="s">
        <v>36</v>
      </c>
      <c r="O9" s="23">
        <f>M7*VLOOKUP($L$3,$B$3:$I$12,8,FALSE)</f>
        <v>41.71153846153846</v>
      </c>
    </row>
    <row r="10" spans="2:15" x14ac:dyDescent="0.3">
      <c r="B10">
        <v>540</v>
      </c>
      <c r="C10" t="s">
        <v>10</v>
      </c>
      <c r="D10" s="5" t="s">
        <v>33</v>
      </c>
      <c r="E10" s="26">
        <v>52</v>
      </c>
      <c r="F10" s="1">
        <v>83100</v>
      </c>
      <c r="G10" s="4">
        <v>0.18</v>
      </c>
      <c r="H10" s="1">
        <v>200</v>
      </c>
      <c r="I10" s="4">
        <v>0.05</v>
      </c>
      <c r="L10" s="21"/>
      <c r="M10" s="13"/>
      <c r="N10" s="13"/>
      <c r="O10" s="24"/>
    </row>
    <row r="11" spans="2:15" x14ac:dyDescent="0.3">
      <c r="B11">
        <v>665</v>
      </c>
      <c r="C11" t="s">
        <v>14</v>
      </c>
      <c r="D11" s="5" t="s">
        <v>34</v>
      </c>
      <c r="E11" s="26">
        <v>26</v>
      </c>
      <c r="F11" s="1">
        <v>70400</v>
      </c>
      <c r="G11" s="4">
        <v>0.21</v>
      </c>
      <c r="H11" s="1">
        <v>100</v>
      </c>
      <c r="I11" s="4">
        <v>0.01</v>
      </c>
      <c r="L11" s="13"/>
      <c r="M11" s="20"/>
      <c r="N11" s="20" t="s">
        <v>22</v>
      </c>
      <c r="O11" s="25">
        <f>SUM(O7:O10)</f>
        <v>593.39307692307693</v>
      </c>
    </row>
    <row r="12" spans="2:15" x14ac:dyDescent="0.3">
      <c r="B12">
        <v>981</v>
      </c>
      <c r="C12" t="s">
        <v>6</v>
      </c>
      <c r="D12" s="5" t="s">
        <v>35</v>
      </c>
      <c r="E12" s="26">
        <v>52</v>
      </c>
      <c r="F12" s="1">
        <v>50200</v>
      </c>
      <c r="G12" s="4">
        <v>0.18</v>
      </c>
      <c r="H12" s="1">
        <v>100</v>
      </c>
      <c r="I12" s="4">
        <v>0.08</v>
      </c>
      <c r="O12" s="3"/>
    </row>
    <row r="13" spans="2:15" x14ac:dyDescent="0.3">
      <c r="O13" s="3"/>
    </row>
  </sheetData>
  <sortState ref="B3:F12">
    <sortCondition ref="B3:B12"/>
  </sortState>
  <dataValidations count="1">
    <dataValidation type="list" allowBlank="1" showInputMessage="1" showErrorMessage="1" sqref="L3" xr:uid="{00000000-0002-0000-0000-000000000000}">
      <formula1>$B$3:$B$12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B2:G15"/>
  <sheetViews>
    <sheetView workbookViewId="0">
      <selection activeCell="C15" sqref="C15"/>
    </sheetView>
  </sheetViews>
  <sheetFormatPr defaultRowHeight="14.4" x14ac:dyDescent="0.3"/>
  <cols>
    <col min="2" max="6" width="12.6640625" customWidth="1"/>
    <col min="7" max="7" width="11.5546875" bestFit="1" customWidth="1"/>
  </cols>
  <sheetData>
    <row r="2" spans="2:7" x14ac:dyDescent="0.3">
      <c r="B2" s="39" t="s">
        <v>168</v>
      </c>
    </row>
    <row r="3" spans="2:7" x14ac:dyDescent="0.3">
      <c r="B3" s="2" t="s">
        <v>167</v>
      </c>
      <c r="C3" s="2">
        <v>2010</v>
      </c>
      <c r="D3" s="2">
        <v>2011</v>
      </c>
      <c r="E3" s="2">
        <v>2012</v>
      </c>
      <c r="F3" s="2">
        <v>2013</v>
      </c>
      <c r="G3" s="2" t="s">
        <v>22</v>
      </c>
    </row>
    <row r="4" spans="2:7" x14ac:dyDescent="0.3">
      <c r="B4" t="s">
        <v>169</v>
      </c>
      <c r="C4" s="35">
        <v>1525017</v>
      </c>
      <c r="D4" s="35">
        <v>1504678</v>
      </c>
      <c r="E4" s="35">
        <v>1227847</v>
      </c>
      <c r="F4" s="35">
        <v>1019616</v>
      </c>
      <c r="G4" s="35">
        <f>SUM(C4:F4)</f>
        <v>5277158</v>
      </c>
    </row>
    <row r="5" spans="2:7" x14ac:dyDescent="0.3">
      <c r="B5" t="s">
        <v>173</v>
      </c>
      <c r="C5" s="35">
        <v>2704237</v>
      </c>
      <c r="D5" s="35">
        <v>2135564</v>
      </c>
      <c r="E5" s="35">
        <v>1411782</v>
      </c>
      <c r="F5" s="35">
        <v>716535</v>
      </c>
      <c r="G5" s="35">
        <f t="shared" ref="G5:G9" si="0">SUM(C5:F5)</f>
        <v>6968118</v>
      </c>
    </row>
    <row r="6" spans="2:7" x14ac:dyDescent="0.3">
      <c r="B6" t="s">
        <v>171</v>
      </c>
      <c r="C6" s="35">
        <v>3563687</v>
      </c>
      <c r="D6" s="35">
        <v>4441886</v>
      </c>
      <c r="E6" s="35">
        <v>4805431</v>
      </c>
      <c r="F6" s="35">
        <v>3716674</v>
      </c>
      <c r="G6" s="35">
        <f t="shared" si="0"/>
        <v>16527678</v>
      </c>
    </row>
    <row r="7" spans="2:7" x14ac:dyDescent="0.3">
      <c r="B7" t="s">
        <v>172</v>
      </c>
      <c r="C7" s="35">
        <v>4489700</v>
      </c>
      <c r="D7" s="35">
        <v>2651064</v>
      </c>
      <c r="E7" s="35">
        <v>796330</v>
      </c>
      <c r="F7" s="35">
        <v>2898601</v>
      </c>
      <c r="G7" s="35">
        <f t="shared" si="0"/>
        <v>10835695</v>
      </c>
    </row>
    <row r="8" spans="2:7" x14ac:dyDescent="0.3">
      <c r="B8" t="s">
        <v>174</v>
      </c>
      <c r="C8" s="35">
        <v>2167319</v>
      </c>
      <c r="D8" s="35">
        <v>1357850</v>
      </c>
      <c r="E8" s="35">
        <v>776850</v>
      </c>
      <c r="F8" s="35">
        <v>3024542</v>
      </c>
      <c r="G8" s="35">
        <f t="shared" si="0"/>
        <v>7326561</v>
      </c>
    </row>
    <row r="9" spans="2:7" x14ac:dyDescent="0.3">
      <c r="B9" t="s">
        <v>175</v>
      </c>
      <c r="C9" s="35">
        <v>1861239</v>
      </c>
      <c r="D9" s="35">
        <v>3578280</v>
      </c>
      <c r="E9" s="35">
        <v>4069389</v>
      </c>
      <c r="F9" s="35">
        <v>1475301</v>
      </c>
      <c r="G9" s="35">
        <f t="shared" si="0"/>
        <v>10984209</v>
      </c>
    </row>
    <row r="10" spans="2:7" ht="15" thickBot="1" x14ac:dyDescent="0.35">
      <c r="B10" t="s">
        <v>22</v>
      </c>
      <c r="C10" s="43">
        <f>SUM(C4:C9)</f>
        <v>16311199</v>
      </c>
      <c r="D10" s="43">
        <f t="shared" ref="D10:G10" si="1">SUM(D4:D9)</f>
        <v>15669322</v>
      </c>
      <c r="E10" s="43">
        <f t="shared" si="1"/>
        <v>13087629</v>
      </c>
      <c r="F10" s="43">
        <f t="shared" si="1"/>
        <v>12851269</v>
      </c>
      <c r="G10" s="43">
        <f t="shared" si="1"/>
        <v>57919419</v>
      </c>
    </row>
    <row r="11" spans="2:7" ht="15" thickTop="1" x14ac:dyDescent="0.3">
      <c r="C11" s="35"/>
      <c r="D11" s="35"/>
      <c r="E11" s="35"/>
      <c r="F11" s="35"/>
    </row>
    <row r="13" spans="2:7" x14ac:dyDescent="0.3">
      <c r="B13" s="40" t="s">
        <v>176</v>
      </c>
      <c r="C13" s="41" t="s">
        <v>174</v>
      </c>
    </row>
    <row r="14" spans="2:7" x14ac:dyDescent="0.3">
      <c r="B14" s="40" t="s">
        <v>177</v>
      </c>
      <c r="C14" s="41"/>
    </row>
    <row r="15" spans="2:7" x14ac:dyDescent="0.3">
      <c r="B15" s="40" t="s">
        <v>178</v>
      </c>
      <c r="C15" s="42">
        <f>INDEX(C4:G10,IFERROR(MATCH(C13,B4:B10,FALSE),COUNTA(B4:B10)),
IFERROR(MATCH(C14,C3:G3,FALSE),COUNTA(C3:G3)))</f>
        <v>7326561</v>
      </c>
    </row>
  </sheetData>
  <dataValidations count="2">
    <dataValidation type="list" allowBlank="1" showInputMessage="1" showErrorMessage="1" sqref="C14" xr:uid="{00000000-0002-0000-0900-000000000000}">
      <formula1>$C$3:$G$3</formula1>
    </dataValidation>
    <dataValidation type="list" allowBlank="1" showInputMessage="1" showErrorMessage="1" sqref="C13" xr:uid="{00000000-0002-0000-0900-000001000000}">
      <formula1>$B$4:$B$10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B2:H45"/>
  <sheetViews>
    <sheetView topLeftCell="A5" workbookViewId="0">
      <selection activeCell="H27" sqref="H27"/>
    </sheetView>
  </sheetViews>
  <sheetFormatPr defaultRowHeight="14.4" x14ac:dyDescent="0.3"/>
  <cols>
    <col min="1" max="1" width="4.44140625" customWidth="1"/>
    <col min="2" max="2" width="16.6640625" bestFit="1" customWidth="1"/>
    <col min="3" max="3" width="23.88671875" bestFit="1" customWidth="1"/>
    <col min="4" max="4" width="18.6640625" bestFit="1" customWidth="1"/>
    <col min="5" max="5" width="10.5546875" bestFit="1" customWidth="1"/>
    <col min="6" max="6" width="5.5546875" customWidth="1"/>
    <col min="7" max="7" width="13.6640625" bestFit="1" customWidth="1"/>
    <col min="8" max="8" width="17.88671875" customWidth="1"/>
  </cols>
  <sheetData>
    <row r="2" spans="2:8" x14ac:dyDescent="0.3">
      <c r="B2" s="2" t="s">
        <v>167</v>
      </c>
      <c r="C2" s="2" t="s">
        <v>245</v>
      </c>
      <c r="D2" s="2" t="s">
        <v>179</v>
      </c>
      <c r="E2" s="2" t="s">
        <v>244</v>
      </c>
    </row>
    <row r="3" spans="2:8" x14ac:dyDescent="0.3">
      <c r="B3" t="s">
        <v>174</v>
      </c>
      <c r="C3" t="s">
        <v>189</v>
      </c>
      <c r="D3" t="s">
        <v>230</v>
      </c>
      <c r="E3" s="35">
        <v>4406018</v>
      </c>
    </row>
    <row r="4" spans="2:8" x14ac:dyDescent="0.3">
      <c r="B4" t="s">
        <v>175</v>
      </c>
      <c r="C4" t="s">
        <v>189</v>
      </c>
      <c r="D4" t="s">
        <v>225</v>
      </c>
      <c r="E4" s="35">
        <v>2564165</v>
      </c>
    </row>
    <row r="5" spans="2:8" x14ac:dyDescent="0.3">
      <c r="B5" t="s">
        <v>171</v>
      </c>
      <c r="C5" t="s">
        <v>200</v>
      </c>
      <c r="D5" t="s">
        <v>228</v>
      </c>
      <c r="E5" s="35">
        <v>1443535</v>
      </c>
      <c r="G5" s="27" t="s">
        <v>176</v>
      </c>
      <c r="H5" s="41" t="s">
        <v>169</v>
      </c>
    </row>
    <row r="6" spans="2:8" x14ac:dyDescent="0.3">
      <c r="B6" t="s">
        <v>174</v>
      </c>
      <c r="C6" t="s">
        <v>185</v>
      </c>
      <c r="D6" t="s">
        <v>206</v>
      </c>
      <c r="E6" s="35">
        <v>2834014</v>
      </c>
      <c r="G6" s="27" t="s">
        <v>246</v>
      </c>
      <c r="H6" s="41" t="s">
        <v>197</v>
      </c>
    </row>
    <row r="7" spans="2:8" x14ac:dyDescent="0.3">
      <c r="B7" t="s">
        <v>187</v>
      </c>
      <c r="C7" t="s">
        <v>192</v>
      </c>
      <c r="D7" t="s">
        <v>210</v>
      </c>
      <c r="E7" s="35">
        <v>1119596</v>
      </c>
      <c r="G7" s="27" t="s">
        <v>247</v>
      </c>
      <c r="H7" s="42">
        <f>SUMPRODUCT(($B$3:$B$45=H5)*($C$3:$C$45=H6)*($E$3:$E$45))</f>
        <v>697697</v>
      </c>
    </row>
    <row r="8" spans="2:8" x14ac:dyDescent="0.3">
      <c r="B8" t="s">
        <v>174</v>
      </c>
      <c r="C8" t="s">
        <v>191</v>
      </c>
      <c r="D8" t="s">
        <v>235</v>
      </c>
      <c r="E8" s="35">
        <v>2949401</v>
      </c>
      <c r="G8" s="30" t="s">
        <v>248</v>
      </c>
      <c r="H8" s="42" t="str">
        <f>INDEX(D:D,SUMPRODUCT(($B$3:$B$45=H5)*($C$3:$C$45=H6)*(ROW($E$3:$E$45))),1)</f>
        <v>Brooke Bailey</v>
      </c>
    </row>
    <row r="9" spans="2:8" x14ac:dyDescent="0.3">
      <c r="B9" t="s">
        <v>174</v>
      </c>
      <c r="C9" t="s">
        <v>180</v>
      </c>
      <c r="D9" t="s">
        <v>203</v>
      </c>
      <c r="E9" s="35">
        <v>2371246</v>
      </c>
    </row>
    <row r="10" spans="2:8" x14ac:dyDescent="0.3">
      <c r="B10" t="s">
        <v>170</v>
      </c>
      <c r="C10" t="s">
        <v>183</v>
      </c>
      <c r="D10" t="s">
        <v>201</v>
      </c>
      <c r="E10" s="35">
        <v>3043499</v>
      </c>
    </row>
    <row r="11" spans="2:8" x14ac:dyDescent="0.3">
      <c r="B11" t="s">
        <v>174</v>
      </c>
      <c r="C11" t="s">
        <v>182</v>
      </c>
      <c r="D11" t="s">
        <v>234</v>
      </c>
      <c r="E11" s="35">
        <v>1621716</v>
      </c>
    </row>
    <row r="12" spans="2:8" x14ac:dyDescent="0.3">
      <c r="B12" t="s">
        <v>169</v>
      </c>
      <c r="C12" t="s">
        <v>197</v>
      </c>
      <c r="D12" t="s">
        <v>222</v>
      </c>
      <c r="E12" s="35">
        <v>697697</v>
      </c>
    </row>
    <row r="13" spans="2:8" x14ac:dyDescent="0.3">
      <c r="B13" t="s">
        <v>174</v>
      </c>
      <c r="C13" t="s">
        <v>23</v>
      </c>
      <c r="D13" t="s">
        <v>221</v>
      </c>
      <c r="E13" s="35">
        <v>1458914</v>
      </c>
    </row>
    <row r="14" spans="2:8" x14ac:dyDescent="0.3">
      <c r="B14" t="s">
        <v>171</v>
      </c>
      <c r="C14" t="s">
        <v>180</v>
      </c>
      <c r="D14" t="s">
        <v>236</v>
      </c>
      <c r="E14" s="35">
        <v>2922128</v>
      </c>
    </row>
    <row r="15" spans="2:8" x14ac:dyDescent="0.3">
      <c r="B15" t="s">
        <v>171</v>
      </c>
      <c r="C15" t="s">
        <v>190</v>
      </c>
      <c r="D15" t="s">
        <v>238</v>
      </c>
      <c r="E15" s="35">
        <v>3699755</v>
      </c>
    </row>
    <row r="16" spans="2:8" x14ac:dyDescent="0.3">
      <c r="B16" t="s">
        <v>169</v>
      </c>
      <c r="C16" t="s">
        <v>190</v>
      </c>
      <c r="D16" t="s">
        <v>215</v>
      </c>
      <c r="E16" s="35">
        <v>930133</v>
      </c>
    </row>
    <row r="17" spans="2:5" x14ac:dyDescent="0.3">
      <c r="B17" t="s">
        <v>187</v>
      </c>
      <c r="C17" t="s">
        <v>182</v>
      </c>
      <c r="D17" t="s">
        <v>229</v>
      </c>
      <c r="E17" s="35">
        <v>2609312</v>
      </c>
    </row>
    <row r="18" spans="2:5" x14ac:dyDescent="0.3">
      <c r="B18" t="s">
        <v>169</v>
      </c>
      <c r="C18" t="s">
        <v>192</v>
      </c>
      <c r="D18" t="s">
        <v>239</v>
      </c>
      <c r="E18" s="35">
        <v>1660933</v>
      </c>
    </row>
    <row r="19" spans="2:5" x14ac:dyDescent="0.3">
      <c r="B19" t="s">
        <v>174</v>
      </c>
      <c r="C19" t="s">
        <v>190</v>
      </c>
      <c r="D19" t="s">
        <v>209</v>
      </c>
      <c r="E19" s="35">
        <v>644173</v>
      </c>
    </row>
    <row r="20" spans="2:5" x14ac:dyDescent="0.3">
      <c r="B20" t="s">
        <v>187</v>
      </c>
      <c r="C20" t="s">
        <v>185</v>
      </c>
      <c r="D20" t="s">
        <v>223</v>
      </c>
      <c r="E20" s="35">
        <v>4487298</v>
      </c>
    </row>
    <row r="21" spans="2:5" x14ac:dyDescent="0.3">
      <c r="B21" t="s">
        <v>174</v>
      </c>
      <c r="C21" t="s">
        <v>184</v>
      </c>
      <c r="D21" t="s">
        <v>213</v>
      </c>
      <c r="E21" s="35">
        <v>1391005</v>
      </c>
    </row>
    <row r="22" spans="2:5" x14ac:dyDescent="0.3">
      <c r="B22" t="s">
        <v>171</v>
      </c>
      <c r="C22" t="s">
        <v>188</v>
      </c>
      <c r="D22" t="s">
        <v>217</v>
      </c>
      <c r="E22" s="35">
        <v>3660829</v>
      </c>
    </row>
    <row r="23" spans="2:5" x14ac:dyDescent="0.3">
      <c r="B23" t="s">
        <v>170</v>
      </c>
      <c r="C23" t="s">
        <v>195</v>
      </c>
      <c r="D23" t="s">
        <v>218</v>
      </c>
      <c r="E23" s="35">
        <v>2478092</v>
      </c>
    </row>
    <row r="24" spans="2:5" x14ac:dyDescent="0.3">
      <c r="B24" t="s">
        <v>175</v>
      </c>
      <c r="C24" t="s">
        <v>186</v>
      </c>
      <c r="D24" t="s">
        <v>205</v>
      </c>
      <c r="E24" s="35">
        <v>4873822</v>
      </c>
    </row>
    <row r="25" spans="2:5" x14ac:dyDescent="0.3">
      <c r="B25" t="s">
        <v>169</v>
      </c>
      <c r="C25" t="s">
        <v>186</v>
      </c>
      <c r="D25" t="s">
        <v>237</v>
      </c>
      <c r="E25" s="35">
        <v>896582</v>
      </c>
    </row>
    <row r="26" spans="2:5" x14ac:dyDescent="0.3">
      <c r="B26" t="s">
        <v>175</v>
      </c>
      <c r="C26" t="s">
        <v>196</v>
      </c>
      <c r="D26" t="s">
        <v>233</v>
      </c>
      <c r="E26" s="35">
        <v>2069914</v>
      </c>
    </row>
    <row r="27" spans="2:5" x14ac:dyDescent="0.3">
      <c r="B27" t="s">
        <v>174</v>
      </c>
      <c r="C27" t="s">
        <v>196</v>
      </c>
      <c r="D27" t="s">
        <v>220</v>
      </c>
      <c r="E27" s="35">
        <v>3653753</v>
      </c>
    </row>
    <row r="28" spans="2:5" x14ac:dyDescent="0.3">
      <c r="B28" t="s">
        <v>170</v>
      </c>
      <c r="C28" t="s">
        <v>199</v>
      </c>
      <c r="D28" t="s">
        <v>227</v>
      </c>
      <c r="E28" s="35">
        <v>4201604</v>
      </c>
    </row>
    <row r="29" spans="2:5" x14ac:dyDescent="0.3">
      <c r="B29" t="s">
        <v>181</v>
      </c>
      <c r="C29" t="s">
        <v>184</v>
      </c>
      <c r="D29" t="s">
        <v>202</v>
      </c>
      <c r="E29" s="35">
        <v>1767245</v>
      </c>
    </row>
    <row r="30" spans="2:5" x14ac:dyDescent="0.3">
      <c r="B30" t="s">
        <v>181</v>
      </c>
      <c r="C30" t="s">
        <v>198</v>
      </c>
      <c r="D30" t="s">
        <v>224</v>
      </c>
      <c r="E30" s="35">
        <v>694393</v>
      </c>
    </row>
    <row r="31" spans="2:5" x14ac:dyDescent="0.3">
      <c r="B31" t="s">
        <v>170</v>
      </c>
      <c r="C31" t="s">
        <v>188</v>
      </c>
      <c r="D31" t="s">
        <v>240</v>
      </c>
      <c r="E31" s="35">
        <v>759059</v>
      </c>
    </row>
    <row r="32" spans="2:5" x14ac:dyDescent="0.3">
      <c r="B32" t="s">
        <v>187</v>
      </c>
      <c r="C32" t="s">
        <v>188</v>
      </c>
      <c r="D32" t="s">
        <v>207</v>
      </c>
      <c r="E32" s="35">
        <v>3122720</v>
      </c>
    </row>
    <row r="33" spans="2:5" x14ac:dyDescent="0.3">
      <c r="B33" t="s">
        <v>170</v>
      </c>
      <c r="C33" t="s">
        <v>189</v>
      </c>
      <c r="D33" t="s">
        <v>216</v>
      </c>
      <c r="E33" s="35">
        <v>3269238</v>
      </c>
    </row>
    <row r="34" spans="2:5" x14ac:dyDescent="0.3">
      <c r="B34" t="s">
        <v>169</v>
      </c>
      <c r="C34" t="s">
        <v>193</v>
      </c>
      <c r="D34" t="s">
        <v>212</v>
      </c>
      <c r="E34" s="35">
        <v>1189542</v>
      </c>
    </row>
    <row r="35" spans="2:5" x14ac:dyDescent="0.3">
      <c r="B35" t="s">
        <v>181</v>
      </c>
      <c r="C35" t="s">
        <v>182</v>
      </c>
      <c r="D35" t="s">
        <v>219</v>
      </c>
      <c r="E35" s="35">
        <v>2012197</v>
      </c>
    </row>
    <row r="36" spans="2:5" x14ac:dyDescent="0.3">
      <c r="B36" t="s">
        <v>181</v>
      </c>
      <c r="C36" t="s">
        <v>191</v>
      </c>
      <c r="D36" t="s">
        <v>243</v>
      </c>
      <c r="E36" s="35">
        <v>1971418</v>
      </c>
    </row>
    <row r="37" spans="2:5" x14ac:dyDescent="0.3">
      <c r="B37" t="s">
        <v>175</v>
      </c>
      <c r="C37" t="s">
        <v>194</v>
      </c>
      <c r="D37" t="s">
        <v>214</v>
      </c>
      <c r="E37" s="35">
        <v>2189297</v>
      </c>
    </row>
    <row r="38" spans="2:5" x14ac:dyDescent="0.3">
      <c r="B38" t="s">
        <v>187</v>
      </c>
      <c r="C38" t="s">
        <v>183</v>
      </c>
      <c r="D38" t="s">
        <v>242</v>
      </c>
      <c r="E38" s="35">
        <v>4822701</v>
      </c>
    </row>
    <row r="39" spans="2:5" x14ac:dyDescent="0.3">
      <c r="B39" t="s">
        <v>170</v>
      </c>
      <c r="C39" t="s">
        <v>180</v>
      </c>
      <c r="D39" t="s">
        <v>231</v>
      </c>
      <c r="E39" s="35">
        <v>2346810</v>
      </c>
    </row>
    <row r="40" spans="2:5" x14ac:dyDescent="0.3">
      <c r="B40" t="s">
        <v>175</v>
      </c>
      <c r="C40" t="s">
        <v>190</v>
      </c>
      <c r="D40" t="s">
        <v>211</v>
      </c>
      <c r="E40" s="35">
        <v>3443800</v>
      </c>
    </row>
    <row r="41" spans="2:5" x14ac:dyDescent="0.3">
      <c r="B41" t="s">
        <v>187</v>
      </c>
      <c r="C41" t="s">
        <v>184</v>
      </c>
      <c r="D41" t="s">
        <v>241</v>
      </c>
      <c r="E41" s="35">
        <v>1738454</v>
      </c>
    </row>
    <row r="42" spans="2:5" x14ac:dyDescent="0.3">
      <c r="B42" t="s">
        <v>169</v>
      </c>
      <c r="C42" t="s">
        <v>189</v>
      </c>
      <c r="D42" t="s">
        <v>208</v>
      </c>
      <c r="E42" s="35">
        <v>2592508</v>
      </c>
    </row>
    <row r="43" spans="2:5" x14ac:dyDescent="0.3">
      <c r="B43" t="s">
        <v>175</v>
      </c>
      <c r="C43" t="s">
        <v>191</v>
      </c>
      <c r="D43" t="s">
        <v>232</v>
      </c>
      <c r="E43" s="35">
        <v>2581251</v>
      </c>
    </row>
    <row r="44" spans="2:5" x14ac:dyDescent="0.3">
      <c r="B44" t="s">
        <v>171</v>
      </c>
      <c r="C44" t="s">
        <v>199</v>
      </c>
      <c r="D44" t="s">
        <v>226</v>
      </c>
      <c r="E44" s="35">
        <v>3825424</v>
      </c>
    </row>
    <row r="45" spans="2:5" x14ac:dyDescent="0.3">
      <c r="B45" t="s">
        <v>170</v>
      </c>
      <c r="C45" t="s">
        <v>185</v>
      </c>
      <c r="D45" t="s">
        <v>204</v>
      </c>
      <c r="E45" s="35">
        <v>2077279</v>
      </c>
    </row>
  </sheetData>
  <sortState ref="B3:F45">
    <sortCondition ref="F3:F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2:G14"/>
  <sheetViews>
    <sheetView tabSelected="1" workbookViewId="0"/>
  </sheetViews>
  <sheetFormatPr defaultRowHeight="14.4" x14ac:dyDescent="0.3"/>
  <cols>
    <col min="1" max="1" width="4.5546875" customWidth="1"/>
    <col min="2" max="2" width="8.88671875" customWidth="1"/>
    <col min="3" max="3" width="12" bestFit="1" customWidth="1"/>
    <col min="4" max="4" width="9.5546875" customWidth="1"/>
    <col min="5" max="5" width="4.5546875" customWidth="1"/>
    <col min="6" max="6" width="11.33203125" bestFit="1" customWidth="1"/>
    <col min="7" max="7" width="12" bestFit="1" customWidth="1"/>
  </cols>
  <sheetData>
    <row r="2" spans="2:7" x14ac:dyDescent="0.3">
      <c r="B2" s="2" t="s">
        <v>249</v>
      </c>
      <c r="C2" s="2" t="s">
        <v>253</v>
      </c>
      <c r="D2" s="2" t="s">
        <v>250</v>
      </c>
    </row>
    <row r="3" spans="2:7" x14ac:dyDescent="0.3">
      <c r="B3" t="s">
        <v>254</v>
      </c>
      <c r="C3" s="35">
        <v>53</v>
      </c>
      <c r="D3" s="3">
        <v>555.73</v>
      </c>
    </row>
    <row r="4" spans="2:7" x14ac:dyDescent="0.3">
      <c r="B4" t="s">
        <v>255</v>
      </c>
      <c r="C4" s="35">
        <v>160</v>
      </c>
      <c r="D4" s="3">
        <v>940.56</v>
      </c>
      <c r="F4" s="2" t="s">
        <v>251</v>
      </c>
      <c r="G4" s="2" t="s">
        <v>252</v>
      </c>
    </row>
    <row r="5" spans="2:7" x14ac:dyDescent="0.3">
      <c r="B5" t="s">
        <v>256</v>
      </c>
      <c r="C5" s="35">
        <v>40</v>
      </c>
      <c r="D5" s="3">
        <v>3026.1</v>
      </c>
      <c r="F5" t="str">
        <f>INDEX(B:B,COUNTA(B:B)+1)</f>
        <v>IN6513</v>
      </c>
      <c r="G5" s="3">
        <f>LOOKUP(9.99E+307,D:D)</f>
        <v>3326.98</v>
      </c>
    </row>
    <row r="6" spans="2:7" x14ac:dyDescent="0.3">
      <c r="B6" t="s">
        <v>257</v>
      </c>
      <c r="C6" s="35">
        <v>146</v>
      </c>
      <c r="D6" s="3">
        <v>4885.9399999999996</v>
      </c>
    </row>
    <row r="7" spans="2:7" x14ac:dyDescent="0.3">
      <c r="B7" t="s">
        <v>258</v>
      </c>
      <c r="C7" s="35">
        <v>84</v>
      </c>
      <c r="D7" s="3">
        <v>969.46</v>
      </c>
    </row>
    <row r="8" spans="2:7" x14ac:dyDescent="0.3">
      <c r="B8" t="s">
        <v>259</v>
      </c>
      <c r="C8" s="35">
        <v>97</v>
      </c>
      <c r="D8" s="3">
        <v>2979.33</v>
      </c>
    </row>
    <row r="9" spans="2:7" x14ac:dyDescent="0.3">
      <c r="B9" t="s">
        <v>260</v>
      </c>
      <c r="C9" s="35">
        <v>200</v>
      </c>
      <c r="D9" s="3">
        <v>2950.74</v>
      </c>
    </row>
    <row r="10" spans="2:7" x14ac:dyDescent="0.3">
      <c r="B10" t="s">
        <v>261</v>
      </c>
      <c r="C10" s="35">
        <v>40</v>
      </c>
      <c r="D10" s="3">
        <v>3970.5</v>
      </c>
      <c r="F10" s="44"/>
    </row>
    <row r="11" spans="2:7" x14ac:dyDescent="0.3">
      <c r="B11" t="s">
        <v>262</v>
      </c>
      <c r="C11" s="35">
        <v>155</v>
      </c>
      <c r="D11" s="3">
        <v>3332.94</v>
      </c>
    </row>
    <row r="12" spans="2:7" x14ac:dyDescent="0.3">
      <c r="B12" t="s">
        <v>263</v>
      </c>
      <c r="C12" s="35">
        <v>75</v>
      </c>
      <c r="D12" s="3">
        <v>3326.98</v>
      </c>
      <c r="F12" s="44"/>
    </row>
    <row r="14" spans="2:7" x14ac:dyDescent="0.3">
      <c r="F14" s="44"/>
      <c r="G14" s="45"/>
    </row>
  </sheetData>
  <sortState ref="B3:E12">
    <sortCondition ref="E3:E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G25"/>
  <sheetViews>
    <sheetView workbookViewId="0">
      <selection activeCell="G5" sqref="G5"/>
    </sheetView>
  </sheetViews>
  <sheetFormatPr defaultRowHeight="14.4" x14ac:dyDescent="0.3"/>
  <cols>
    <col min="1" max="1" width="4.109375" customWidth="1"/>
    <col min="2" max="2" width="16.88671875" bestFit="1" customWidth="1"/>
    <col min="5" max="5" width="4.88671875" customWidth="1"/>
    <col min="6" max="6" width="15.44140625" bestFit="1" customWidth="1"/>
    <col min="7" max="7" width="17.33203125" customWidth="1"/>
  </cols>
  <sheetData>
    <row r="2" spans="2:7" x14ac:dyDescent="0.3">
      <c r="B2" s="2" t="s">
        <v>37</v>
      </c>
      <c r="C2" s="2" t="s">
        <v>38</v>
      </c>
      <c r="D2" s="2" t="s">
        <v>87</v>
      </c>
    </row>
    <row r="3" spans="2:7" x14ac:dyDescent="0.3">
      <c r="B3" t="s">
        <v>44</v>
      </c>
      <c r="C3" t="s">
        <v>42</v>
      </c>
      <c r="D3">
        <v>6493</v>
      </c>
    </row>
    <row r="4" spans="2:7" x14ac:dyDescent="0.3">
      <c r="B4" t="s">
        <v>78</v>
      </c>
      <c r="C4" t="s">
        <v>39</v>
      </c>
      <c r="D4">
        <v>4369</v>
      </c>
      <c r="F4" s="27" t="s">
        <v>85</v>
      </c>
      <c r="G4" s="28" t="s">
        <v>83</v>
      </c>
    </row>
    <row r="5" spans="2:7" x14ac:dyDescent="0.3">
      <c r="B5" t="s">
        <v>80</v>
      </c>
      <c r="C5" t="s">
        <v>81</v>
      </c>
      <c r="D5">
        <v>4505</v>
      </c>
      <c r="F5" s="27" t="s">
        <v>86</v>
      </c>
      <c r="G5" s="29" t="str">
        <f>INDEX(B3:D25,MATCH(G4,C3:C25,FALSE),1)</f>
        <v>Manchester</v>
      </c>
    </row>
    <row r="6" spans="2:7" x14ac:dyDescent="0.3">
      <c r="B6" t="s">
        <v>66</v>
      </c>
      <c r="C6" t="s">
        <v>55</v>
      </c>
      <c r="D6">
        <v>8745</v>
      </c>
      <c r="F6" s="27" t="s">
        <v>88</v>
      </c>
      <c r="G6" s="29">
        <f>INDEX(B3:D25,MATCH(G4,C3:C25,FALSE),3)</f>
        <v>2608</v>
      </c>
    </row>
    <row r="7" spans="2:7" x14ac:dyDescent="0.3">
      <c r="B7" t="s">
        <v>73</v>
      </c>
      <c r="C7" t="s">
        <v>74</v>
      </c>
      <c r="D7">
        <v>6273</v>
      </c>
    </row>
    <row r="8" spans="2:7" x14ac:dyDescent="0.3">
      <c r="B8" t="s">
        <v>67</v>
      </c>
      <c r="C8" t="s">
        <v>68</v>
      </c>
      <c r="D8">
        <v>9384</v>
      </c>
      <c r="F8" s="30" t="s">
        <v>90</v>
      </c>
      <c r="G8" s="29" t="str">
        <f>LOOKUP(G4,C3:C25,B3:B25)</f>
        <v>Manchester</v>
      </c>
    </row>
    <row r="9" spans="2:7" x14ac:dyDescent="0.3">
      <c r="B9" t="s">
        <v>45</v>
      </c>
      <c r="C9" t="s">
        <v>46</v>
      </c>
      <c r="D9">
        <v>5654</v>
      </c>
      <c r="F9" s="30" t="s">
        <v>89</v>
      </c>
      <c r="G9" s="29">
        <f>LOOKUP(G4,C3:C25,D3:D25)</f>
        <v>2608</v>
      </c>
    </row>
    <row r="10" spans="2:7" x14ac:dyDescent="0.3">
      <c r="B10" t="s">
        <v>72</v>
      </c>
      <c r="C10" t="s">
        <v>69</v>
      </c>
      <c r="D10">
        <v>3972</v>
      </c>
    </row>
    <row r="11" spans="2:7" x14ac:dyDescent="0.3">
      <c r="B11" t="s">
        <v>84</v>
      </c>
      <c r="C11" t="s">
        <v>48</v>
      </c>
      <c r="D11">
        <v>8816</v>
      </c>
    </row>
    <row r="12" spans="2:7" x14ac:dyDescent="0.3">
      <c r="B12" t="s">
        <v>70</v>
      </c>
      <c r="C12" t="s">
        <v>71</v>
      </c>
      <c r="D12">
        <v>3331</v>
      </c>
    </row>
    <row r="13" spans="2:7" x14ac:dyDescent="0.3">
      <c r="B13" t="s">
        <v>77</v>
      </c>
      <c r="C13" t="s">
        <v>49</v>
      </c>
      <c r="D13">
        <v>3335</v>
      </c>
    </row>
    <row r="14" spans="2:7" x14ac:dyDescent="0.3">
      <c r="B14" t="s">
        <v>82</v>
      </c>
      <c r="C14" t="s">
        <v>83</v>
      </c>
      <c r="D14">
        <v>2608</v>
      </c>
    </row>
    <row r="15" spans="2:7" x14ac:dyDescent="0.3">
      <c r="B15" t="s">
        <v>60</v>
      </c>
      <c r="C15" t="s">
        <v>61</v>
      </c>
      <c r="D15">
        <v>4122</v>
      </c>
    </row>
    <row r="16" spans="2:7" x14ac:dyDescent="0.3">
      <c r="B16" t="s">
        <v>50</v>
      </c>
      <c r="C16" t="s">
        <v>51</v>
      </c>
      <c r="D16">
        <v>1022</v>
      </c>
    </row>
    <row r="17" spans="2:4" x14ac:dyDescent="0.3">
      <c r="B17" t="s">
        <v>64</v>
      </c>
      <c r="C17" t="s">
        <v>65</v>
      </c>
      <c r="D17">
        <v>7681</v>
      </c>
    </row>
    <row r="18" spans="2:4" x14ac:dyDescent="0.3">
      <c r="B18" t="s">
        <v>75</v>
      </c>
      <c r="C18" t="s">
        <v>76</v>
      </c>
      <c r="D18">
        <v>8567</v>
      </c>
    </row>
    <row r="19" spans="2:4" x14ac:dyDescent="0.3">
      <c r="B19" t="s">
        <v>79</v>
      </c>
      <c r="C19" t="s">
        <v>56</v>
      </c>
      <c r="D19">
        <v>3507</v>
      </c>
    </row>
    <row r="20" spans="2:4" x14ac:dyDescent="0.3">
      <c r="B20" t="s">
        <v>57</v>
      </c>
      <c r="C20" t="s">
        <v>54</v>
      </c>
      <c r="D20">
        <v>7326</v>
      </c>
    </row>
    <row r="21" spans="2:4" x14ac:dyDescent="0.3">
      <c r="B21" t="s">
        <v>62</v>
      </c>
      <c r="C21" t="s">
        <v>63</v>
      </c>
      <c r="D21">
        <v>4643</v>
      </c>
    </row>
    <row r="22" spans="2:4" x14ac:dyDescent="0.3">
      <c r="B22" t="s">
        <v>58</v>
      </c>
      <c r="C22" t="s">
        <v>59</v>
      </c>
      <c r="D22">
        <v>8304</v>
      </c>
    </row>
    <row r="23" spans="2:4" x14ac:dyDescent="0.3">
      <c r="B23" t="s">
        <v>47</v>
      </c>
      <c r="C23" t="s">
        <v>40</v>
      </c>
      <c r="D23">
        <v>7676</v>
      </c>
    </row>
    <row r="24" spans="2:4" x14ac:dyDescent="0.3">
      <c r="B24" t="s">
        <v>43</v>
      </c>
      <c r="C24" t="s">
        <v>41</v>
      </c>
      <c r="D24">
        <v>4938</v>
      </c>
    </row>
    <row r="25" spans="2:4" x14ac:dyDescent="0.3">
      <c r="B25" t="s">
        <v>52</v>
      </c>
      <c r="C25" t="s">
        <v>53</v>
      </c>
      <c r="D25">
        <v>1701</v>
      </c>
    </row>
  </sheetData>
  <sortState ref="B3:C25">
    <sortCondition ref="C3:C25"/>
  </sortState>
  <dataValidations count="1">
    <dataValidation type="list" allowBlank="1" showInputMessage="1" showErrorMessage="1" sqref="G4" xr:uid="{00000000-0002-0000-0100-000000000000}">
      <formula1>$C$3:$C$25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L8"/>
  <sheetViews>
    <sheetView workbookViewId="0">
      <selection activeCell="C6" sqref="C6"/>
    </sheetView>
  </sheetViews>
  <sheetFormatPr defaultRowHeight="14.4" x14ac:dyDescent="0.3"/>
  <cols>
    <col min="2" max="2" width="12.44140625" bestFit="1" customWidth="1"/>
    <col min="3" max="12" width="11.33203125" customWidth="1"/>
  </cols>
  <sheetData>
    <row r="2" spans="2:12" x14ac:dyDescent="0.3">
      <c r="B2" s="31" t="s">
        <v>37</v>
      </c>
      <c r="C2" s="31" t="s">
        <v>95</v>
      </c>
      <c r="D2" s="31" t="s">
        <v>97</v>
      </c>
      <c r="E2" s="31" t="s">
        <v>99</v>
      </c>
      <c r="F2" s="31" t="s">
        <v>94</v>
      </c>
      <c r="G2" s="31" t="s">
        <v>101</v>
      </c>
      <c r="H2" s="31" t="s">
        <v>93</v>
      </c>
      <c r="I2" s="31" t="s">
        <v>98</v>
      </c>
      <c r="J2" s="31" t="s">
        <v>96</v>
      </c>
      <c r="K2" s="31" t="s">
        <v>92</v>
      </c>
      <c r="L2" s="31" t="s">
        <v>100</v>
      </c>
    </row>
    <row r="3" spans="2:12" x14ac:dyDescent="0.3">
      <c r="B3" t="s">
        <v>91</v>
      </c>
      <c r="C3" s="33">
        <v>50</v>
      </c>
      <c r="D3" s="33">
        <v>73</v>
      </c>
      <c r="E3" s="33">
        <v>48</v>
      </c>
      <c r="F3" s="33">
        <v>55</v>
      </c>
      <c r="G3" s="33">
        <v>48</v>
      </c>
      <c r="H3" s="33">
        <v>73</v>
      </c>
      <c r="I3" s="33">
        <v>82</v>
      </c>
      <c r="J3" s="33">
        <v>12</v>
      </c>
      <c r="K3" s="33">
        <v>41</v>
      </c>
      <c r="L3" s="33">
        <v>39</v>
      </c>
    </row>
    <row r="5" spans="2:12" x14ac:dyDescent="0.3">
      <c r="B5" s="32" t="s">
        <v>102</v>
      </c>
      <c r="C5" s="34" t="s">
        <v>94</v>
      </c>
    </row>
    <row r="6" spans="2:12" x14ac:dyDescent="0.3">
      <c r="B6" s="32" t="s">
        <v>103</v>
      </c>
      <c r="C6" s="34">
        <f>HLOOKUP(C5,C2:L3,2,FALSE)</f>
        <v>55</v>
      </c>
    </row>
    <row r="7" spans="2:12" x14ac:dyDescent="0.3">
      <c r="B7" s="32"/>
      <c r="C7" s="33"/>
    </row>
    <row r="8" spans="2:12" x14ac:dyDescent="0.3">
      <c r="B8" s="32" t="s">
        <v>104</v>
      </c>
      <c r="C8" s="34">
        <f>INDEX(C2:L3,2,MATCH(C5,C2:L2,FALSE))</f>
        <v>55</v>
      </c>
    </row>
  </sheetData>
  <sortState ref="C6:G395">
    <sortCondition ref="G6:G395"/>
  </sortState>
  <dataValidations count="1">
    <dataValidation type="list" allowBlank="1" showInputMessage="1" showErrorMessage="1" sqref="C5" xr:uid="{00000000-0002-0000-0200-000000000000}">
      <formula1>$C$2:$L$2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G24"/>
  <sheetViews>
    <sheetView workbookViewId="0">
      <selection activeCell="D3" sqref="D3"/>
    </sheetView>
  </sheetViews>
  <sheetFormatPr defaultRowHeight="14.4" x14ac:dyDescent="0.3"/>
  <cols>
    <col min="1" max="1" width="4.44140625" customWidth="1"/>
    <col min="2" max="2" width="33.109375" bestFit="1" customWidth="1"/>
    <col min="3" max="3" width="20.109375" bestFit="1" customWidth="1"/>
    <col min="4" max="4" width="14.33203125" bestFit="1" customWidth="1"/>
    <col min="5" max="5" width="4.5546875" customWidth="1"/>
    <col min="6" max="6" width="20.109375" bestFit="1" customWidth="1"/>
    <col min="7" max="7" width="14.33203125" bestFit="1" customWidth="1"/>
  </cols>
  <sheetData>
    <row r="2" spans="2:7" x14ac:dyDescent="0.3">
      <c r="B2" s="2" t="s">
        <v>151</v>
      </c>
      <c r="C2" s="2" t="s">
        <v>152</v>
      </c>
      <c r="D2" s="2" t="s">
        <v>3</v>
      </c>
      <c r="F2" s="2" t="s">
        <v>127</v>
      </c>
      <c r="G2" s="2" t="s">
        <v>128</v>
      </c>
    </row>
    <row r="3" spans="2:7" x14ac:dyDescent="0.3">
      <c r="B3" t="s">
        <v>132</v>
      </c>
      <c r="C3" t="s">
        <v>108</v>
      </c>
      <c r="D3" s="26" t="e">
        <f t="shared" ref="D3:D24" si="0">VLOOKUP(C3,$F$3:$G$11,2,FALSE)</f>
        <v>#N/A</v>
      </c>
      <c r="F3" t="s">
        <v>126</v>
      </c>
      <c r="G3" s="26">
        <v>33247178</v>
      </c>
    </row>
    <row r="4" spans="2:7" x14ac:dyDescent="0.3">
      <c r="B4" t="s">
        <v>149</v>
      </c>
      <c r="C4" t="s">
        <v>109</v>
      </c>
      <c r="D4" s="26">
        <f t="shared" si="0"/>
        <v>62157026</v>
      </c>
      <c r="F4" t="s">
        <v>115</v>
      </c>
      <c r="G4" s="26">
        <v>45302040</v>
      </c>
    </row>
    <row r="5" spans="2:7" x14ac:dyDescent="0.3">
      <c r="B5" t="s">
        <v>133</v>
      </c>
      <c r="C5" t="s">
        <v>110</v>
      </c>
      <c r="D5" s="26" t="e">
        <f t="shared" si="0"/>
        <v>#N/A</v>
      </c>
      <c r="F5" t="s">
        <v>112</v>
      </c>
      <c r="G5" s="26">
        <v>51744999</v>
      </c>
    </row>
    <row r="6" spans="2:7" x14ac:dyDescent="0.3">
      <c r="B6" t="s">
        <v>134</v>
      </c>
      <c r="C6" t="s">
        <v>111</v>
      </c>
      <c r="D6" s="26" t="e">
        <f t="shared" si="0"/>
        <v>#N/A</v>
      </c>
      <c r="F6" t="s">
        <v>109</v>
      </c>
      <c r="G6" s="26">
        <v>62157026</v>
      </c>
    </row>
    <row r="7" spans="2:7" x14ac:dyDescent="0.3">
      <c r="B7" t="s">
        <v>136</v>
      </c>
      <c r="C7" t="s">
        <v>113</v>
      </c>
      <c r="D7" s="26" t="e">
        <f t="shared" si="0"/>
        <v>#N/A</v>
      </c>
      <c r="F7" t="s">
        <v>107</v>
      </c>
      <c r="G7" s="26">
        <v>68970486</v>
      </c>
    </row>
    <row r="8" spans="2:7" x14ac:dyDescent="0.3">
      <c r="B8" t="s">
        <v>141</v>
      </c>
      <c r="C8" t="s">
        <v>119</v>
      </c>
      <c r="D8" s="26" t="e">
        <f t="shared" si="0"/>
        <v>#N/A</v>
      </c>
      <c r="F8" t="s">
        <v>121</v>
      </c>
      <c r="G8" s="26">
        <v>36615404</v>
      </c>
    </row>
    <row r="9" spans="2:7" x14ac:dyDescent="0.3">
      <c r="B9" t="s">
        <v>140</v>
      </c>
      <c r="C9" t="s">
        <v>118</v>
      </c>
      <c r="D9" s="26">
        <f t="shared" si="0"/>
        <v>40266501</v>
      </c>
      <c r="F9" t="s">
        <v>123</v>
      </c>
      <c r="G9" s="26">
        <v>35212678</v>
      </c>
    </row>
    <row r="10" spans="2:7" x14ac:dyDescent="0.3">
      <c r="B10" t="s">
        <v>131</v>
      </c>
      <c r="C10" t="s">
        <v>107</v>
      </c>
      <c r="D10" s="26">
        <f t="shared" si="0"/>
        <v>68970486</v>
      </c>
      <c r="F10" t="s">
        <v>118</v>
      </c>
      <c r="G10" s="26">
        <v>40266501</v>
      </c>
    </row>
    <row r="11" spans="2:7" x14ac:dyDescent="0.3">
      <c r="B11" t="s">
        <v>150</v>
      </c>
      <c r="C11" t="s">
        <v>114</v>
      </c>
      <c r="D11" s="26" t="e">
        <f t="shared" si="0"/>
        <v>#N/A</v>
      </c>
      <c r="F11" t="s">
        <v>122</v>
      </c>
      <c r="G11" s="26">
        <v>36325782</v>
      </c>
    </row>
    <row r="12" spans="2:7" x14ac:dyDescent="0.3">
      <c r="B12" t="s">
        <v>148</v>
      </c>
      <c r="C12" t="s">
        <v>126</v>
      </c>
      <c r="D12" s="26">
        <f t="shared" si="0"/>
        <v>33247178</v>
      </c>
      <c r="G12" s="26"/>
    </row>
    <row r="13" spans="2:7" x14ac:dyDescent="0.3">
      <c r="B13" t="s">
        <v>138</v>
      </c>
      <c r="C13" t="s">
        <v>116</v>
      </c>
      <c r="D13" s="26" t="e">
        <f t="shared" si="0"/>
        <v>#N/A</v>
      </c>
      <c r="G13" s="26"/>
    </row>
    <row r="14" spans="2:7" x14ac:dyDescent="0.3">
      <c r="B14" t="s">
        <v>139</v>
      </c>
      <c r="C14" t="s">
        <v>117</v>
      </c>
      <c r="D14" s="26" t="e">
        <f t="shared" si="0"/>
        <v>#N/A</v>
      </c>
      <c r="G14" s="26"/>
    </row>
    <row r="15" spans="2:7" x14ac:dyDescent="0.3">
      <c r="B15" t="s">
        <v>137</v>
      </c>
      <c r="C15" t="s">
        <v>115</v>
      </c>
      <c r="D15" s="26">
        <f t="shared" si="0"/>
        <v>45302040</v>
      </c>
      <c r="G15" s="26"/>
    </row>
    <row r="16" spans="2:7" x14ac:dyDescent="0.3">
      <c r="B16" t="s">
        <v>135</v>
      </c>
      <c r="C16" t="s">
        <v>112</v>
      </c>
      <c r="D16" s="26">
        <f t="shared" si="0"/>
        <v>51744999</v>
      </c>
      <c r="G16" s="26"/>
    </row>
    <row r="17" spans="2:7" x14ac:dyDescent="0.3">
      <c r="B17" t="s">
        <v>145</v>
      </c>
      <c r="C17" t="s">
        <v>123</v>
      </c>
      <c r="D17" s="26">
        <f t="shared" si="0"/>
        <v>35212678</v>
      </c>
      <c r="G17" s="26"/>
    </row>
    <row r="18" spans="2:7" x14ac:dyDescent="0.3">
      <c r="B18" t="s">
        <v>142</v>
      </c>
      <c r="C18" t="s">
        <v>120</v>
      </c>
      <c r="D18" s="26" t="e">
        <f t="shared" si="0"/>
        <v>#N/A</v>
      </c>
      <c r="G18" s="26"/>
    </row>
    <row r="19" spans="2:7" x14ac:dyDescent="0.3">
      <c r="B19" t="s">
        <v>129</v>
      </c>
      <c r="C19" t="s">
        <v>105</v>
      </c>
      <c r="D19" s="26" t="e">
        <f t="shared" si="0"/>
        <v>#N/A</v>
      </c>
      <c r="G19" s="26"/>
    </row>
    <row r="20" spans="2:7" x14ac:dyDescent="0.3">
      <c r="B20" t="s">
        <v>146</v>
      </c>
      <c r="C20" t="s">
        <v>124</v>
      </c>
      <c r="D20" s="26" t="e">
        <f t="shared" si="0"/>
        <v>#N/A</v>
      </c>
      <c r="G20" s="26"/>
    </row>
    <row r="21" spans="2:7" x14ac:dyDescent="0.3">
      <c r="B21" t="s">
        <v>144</v>
      </c>
      <c r="C21" t="s">
        <v>122</v>
      </c>
      <c r="D21" s="26">
        <f t="shared" si="0"/>
        <v>36325782</v>
      </c>
      <c r="G21" s="26"/>
    </row>
    <row r="22" spans="2:7" x14ac:dyDescent="0.3">
      <c r="B22" t="s">
        <v>130</v>
      </c>
      <c r="C22" t="s">
        <v>106</v>
      </c>
      <c r="D22" s="26" t="e">
        <f t="shared" si="0"/>
        <v>#N/A</v>
      </c>
      <c r="G22" s="26"/>
    </row>
    <row r="23" spans="2:7" x14ac:dyDescent="0.3">
      <c r="B23" t="s">
        <v>147</v>
      </c>
      <c r="C23" t="s">
        <v>125</v>
      </c>
      <c r="D23" s="26" t="e">
        <f t="shared" si="0"/>
        <v>#N/A</v>
      </c>
      <c r="G23" s="26"/>
    </row>
    <row r="24" spans="2:7" x14ac:dyDescent="0.3">
      <c r="B24" t="s">
        <v>143</v>
      </c>
      <c r="C24" t="s">
        <v>121</v>
      </c>
      <c r="D24" s="26">
        <f t="shared" si="0"/>
        <v>36615404</v>
      </c>
      <c r="G24" s="26"/>
    </row>
  </sheetData>
  <sortState ref="B3:D24">
    <sortCondition ref="B3:B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G24"/>
  <sheetViews>
    <sheetView workbookViewId="0">
      <selection activeCell="D3" sqref="D3"/>
    </sheetView>
  </sheetViews>
  <sheetFormatPr defaultRowHeight="14.4" x14ac:dyDescent="0.3"/>
  <cols>
    <col min="1" max="1" width="4.44140625" customWidth="1"/>
    <col min="2" max="2" width="33.109375" bestFit="1" customWidth="1"/>
    <col min="3" max="3" width="20.109375" bestFit="1" customWidth="1"/>
    <col min="4" max="4" width="24.88671875" bestFit="1" customWidth="1"/>
    <col min="5" max="5" width="3.5546875" customWidth="1"/>
    <col min="6" max="6" width="20.109375" bestFit="1" customWidth="1"/>
    <col min="7" max="7" width="14.33203125" bestFit="1" customWidth="1"/>
  </cols>
  <sheetData>
    <row r="2" spans="2:7" x14ac:dyDescent="0.3">
      <c r="B2" s="2" t="s">
        <v>151</v>
      </c>
      <c r="C2" s="2" t="s">
        <v>152</v>
      </c>
      <c r="D2" s="2" t="s">
        <v>3</v>
      </c>
      <c r="F2" s="2" t="s">
        <v>127</v>
      </c>
      <c r="G2" s="2" t="s">
        <v>128</v>
      </c>
    </row>
    <row r="3" spans="2:7" x14ac:dyDescent="0.3">
      <c r="B3" t="s">
        <v>132</v>
      </c>
      <c r="C3" t="s">
        <v>108</v>
      </c>
      <c r="D3" s="26" t="str">
        <f>IF(ISNA(VLOOKUP(C3,$F$3:$G$11,2,FALSE)),"",VLOOKUP(C3,$F$3:$G$11,2,FALSE))</f>
        <v/>
      </c>
      <c r="F3" t="s">
        <v>126</v>
      </c>
      <c r="G3" s="26">
        <v>33247178</v>
      </c>
    </row>
    <row r="4" spans="2:7" x14ac:dyDescent="0.3">
      <c r="B4" t="s">
        <v>149</v>
      </c>
      <c r="C4" t="s">
        <v>109</v>
      </c>
      <c r="D4" s="26">
        <f t="shared" ref="D4:D24" si="0">IFERROR(VLOOKUP(C4,$F$3:$G$11,2,FALSE),"")</f>
        <v>62157026</v>
      </c>
      <c r="F4" t="s">
        <v>115</v>
      </c>
      <c r="G4" s="26">
        <v>45302040</v>
      </c>
    </row>
    <row r="5" spans="2:7" x14ac:dyDescent="0.3">
      <c r="B5" t="s">
        <v>133</v>
      </c>
      <c r="C5" t="s">
        <v>110</v>
      </c>
      <c r="D5" s="26" t="str">
        <f t="shared" si="0"/>
        <v/>
      </c>
      <c r="F5" t="s">
        <v>112</v>
      </c>
      <c r="G5" s="26">
        <v>51744999</v>
      </c>
    </row>
    <row r="6" spans="2:7" x14ac:dyDescent="0.3">
      <c r="B6" t="s">
        <v>134</v>
      </c>
      <c r="C6" t="s">
        <v>111</v>
      </c>
      <c r="D6" s="26" t="str">
        <f t="shared" si="0"/>
        <v/>
      </c>
      <c r="F6" t="s">
        <v>109</v>
      </c>
      <c r="G6" s="26">
        <v>62157026</v>
      </c>
    </row>
    <row r="7" spans="2:7" x14ac:dyDescent="0.3">
      <c r="B7" t="s">
        <v>136</v>
      </c>
      <c r="C7" t="s">
        <v>113</v>
      </c>
      <c r="D7" s="26" t="str">
        <f t="shared" si="0"/>
        <v/>
      </c>
      <c r="F7" t="s">
        <v>107</v>
      </c>
      <c r="G7" s="26">
        <v>68970486</v>
      </c>
    </row>
    <row r="8" spans="2:7" x14ac:dyDescent="0.3">
      <c r="B8" t="s">
        <v>141</v>
      </c>
      <c r="C8" t="s">
        <v>119</v>
      </c>
      <c r="D8" s="26" t="str">
        <f t="shared" si="0"/>
        <v/>
      </c>
      <c r="F8" t="s">
        <v>121</v>
      </c>
      <c r="G8" s="26">
        <v>36615404</v>
      </c>
    </row>
    <row r="9" spans="2:7" x14ac:dyDescent="0.3">
      <c r="B9" t="s">
        <v>140</v>
      </c>
      <c r="C9" t="s">
        <v>118</v>
      </c>
      <c r="D9" s="26">
        <f t="shared" si="0"/>
        <v>40266501</v>
      </c>
      <c r="F9" t="s">
        <v>123</v>
      </c>
      <c r="G9" s="26">
        <v>35212678</v>
      </c>
    </row>
    <row r="10" spans="2:7" x14ac:dyDescent="0.3">
      <c r="B10" t="s">
        <v>131</v>
      </c>
      <c r="C10" t="s">
        <v>107</v>
      </c>
      <c r="D10" s="26">
        <f t="shared" si="0"/>
        <v>68970486</v>
      </c>
      <c r="F10" t="s">
        <v>118</v>
      </c>
      <c r="G10" s="26">
        <v>40266501</v>
      </c>
    </row>
    <row r="11" spans="2:7" x14ac:dyDescent="0.3">
      <c r="B11" t="s">
        <v>150</v>
      </c>
      <c r="C11" t="s">
        <v>114</v>
      </c>
      <c r="D11" s="26" t="str">
        <f t="shared" si="0"/>
        <v/>
      </c>
      <c r="F11" t="s">
        <v>122</v>
      </c>
      <c r="G11" s="26">
        <v>36325782</v>
      </c>
    </row>
    <row r="12" spans="2:7" x14ac:dyDescent="0.3">
      <c r="B12" t="s">
        <v>148</v>
      </c>
      <c r="C12" t="s">
        <v>126</v>
      </c>
      <c r="D12" s="26">
        <f t="shared" si="0"/>
        <v>33247178</v>
      </c>
      <c r="G12" s="26"/>
    </row>
    <row r="13" spans="2:7" x14ac:dyDescent="0.3">
      <c r="B13" t="s">
        <v>138</v>
      </c>
      <c r="C13" t="s">
        <v>116</v>
      </c>
      <c r="D13" s="26" t="str">
        <f t="shared" si="0"/>
        <v/>
      </c>
      <c r="G13" s="26"/>
    </row>
    <row r="14" spans="2:7" x14ac:dyDescent="0.3">
      <c r="B14" t="s">
        <v>139</v>
      </c>
      <c r="C14" t="s">
        <v>117</v>
      </c>
      <c r="D14" s="26" t="str">
        <f t="shared" si="0"/>
        <v/>
      </c>
      <c r="G14" s="26"/>
    </row>
    <row r="15" spans="2:7" x14ac:dyDescent="0.3">
      <c r="B15" t="s">
        <v>137</v>
      </c>
      <c r="C15" t="s">
        <v>115</v>
      </c>
      <c r="D15" s="26">
        <f t="shared" si="0"/>
        <v>45302040</v>
      </c>
      <c r="G15" s="26"/>
    </row>
    <row r="16" spans="2:7" x14ac:dyDescent="0.3">
      <c r="B16" t="s">
        <v>135</v>
      </c>
      <c r="C16" t="s">
        <v>112</v>
      </c>
      <c r="D16" s="26">
        <f t="shared" si="0"/>
        <v>51744999</v>
      </c>
      <c r="G16" s="26"/>
    </row>
    <row r="17" spans="2:7" x14ac:dyDescent="0.3">
      <c r="B17" t="s">
        <v>145</v>
      </c>
      <c r="C17" t="s">
        <v>123</v>
      </c>
      <c r="D17" s="26">
        <f t="shared" si="0"/>
        <v>35212678</v>
      </c>
      <c r="G17" s="26"/>
    </row>
    <row r="18" spans="2:7" x14ac:dyDescent="0.3">
      <c r="B18" t="s">
        <v>142</v>
      </c>
      <c r="C18" t="s">
        <v>120</v>
      </c>
      <c r="D18" s="26" t="str">
        <f t="shared" si="0"/>
        <v/>
      </c>
      <c r="G18" s="26"/>
    </row>
    <row r="19" spans="2:7" x14ac:dyDescent="0.3">
      <c r="B19" t="s">
        <v>129</v>
      </c>
      <c r="C19" t="s">
        <v>105</v>
      </c>
      <c r="D19" s="26" t="str">
        <f t="shared" si="0"/>
        <v/>
      </c>
      <c r="G19" s="26"/>
    </row>
    <row r="20" spans="2:7" x14ac:dyDescent="0.3">
      <c r="B20" t="s">
        <v>146</v>
      </c>
      <c r="C20" t="s">
        <v>124</v>
      </c>
      <c r="D20" s="26" t="str">
        <f t="shared" si="0"/>
        <v/>
      </c>
      <c r="G20" s="26"/>
    </row>
    <row r="21" spans="2:7" x14ac:dyDescent="0.3">
      <c r="B21" t="s">
        <v>144</v>
      </c>
      <c r="C21" t="s">
        <v>122</v>
      </c>
      <c r="D21" s="26">
        <f t="shared" si="0"/>
        <v>36325782</v>
      </c>
      <c r="G21" s="26"/>
    </row>
    <row r="22" spans="2:7" x14ac:dyDescent="0.3">
      <c r="B22" t="s">
        <v>130</v>
      </c>
      <c r="C22" t="s">
        <v>106</v>
      </c>
      <c r="D22" s="26" t="str">
        <f t="shared" si="0"/>
        <v/>
      </c>
      <c r="G22" s="26"/>
    </row>
    <row r="23" spans="2:7" x14ac:dyDescent="0.3">
      <c r="B23" t="s">
        <v>147</v>
      </c>
      <c r="C23" t="s">
        <v>125</v>
      </c>
      <c r="D23" s="26" t="str">
        <f t="shared" si="0"/>
        <v/>
      </c>
      <c r="G23" s="26"/>
    </row>
    <row r="24" spans="2:7" x14ac:dyDescent="0.3">
      <c r="B24" t="s">
        <v>143</v>
      </c>
      <c r="C24" t="s">
        <v>121</v>
      </c>
      <c r="D24" s="26">
        <f t="shared" si="0"/>
        <v>36615404</v>
      </c>
      <c r="G24" s="26"/>
    </row>
  </sheetData>
  <sortState ref="B3:D24">
    <sortCondition ref="B3:B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E19"/>
  <sheetViews>
    <sheetView workbookViewId="0">
      <selection activeCell="O30" sqref="O30"/>
    </sheetView>
  </sheetViews>
  <sheetFormatPr defaultRowHeight="14.4" x14ac:dyDescent="0.3"/>
  <cols>
    <col min="2" max="2" width="11.44140625" bestFit="1" customWidth="1"/>
    <col min="3" max="3" width="11.88671875" bestFit="1" customWidth="1"/>
    <col min="4" max="4" width="12.44140625" bestFit="1" customWidth="1"/>
    <col min="5" max="5" width="11" bestFit="1" customWidth="1"/>
  </cols>
  <sheetData>
    <row r="2" spans="2:5" x14ac:dyDescent="0.3">
      <c r="B2" s="2" t="s">
        <v>154</v>
      </c>
      <c r="C2" s="2" t="s">
        <v>153</v>
      </c>
      <c r="D2" s="2" t="s">
        <v>155</v>
      </c>
      <c r="E2" s="2" t="s">
        <v>156</v>
      </c>
    </row>
    <row r="3" spans="2:5" x14ac:dyDescent="0.3">
      <c r="B3" s="35">
        <v>0</v>
      </c>
      <c r="C3" s="35">
        <v>325</v>
      </c>
      <c r="D3" s="35">
        <v>0</v>
      </c>
      <c r="E3" s="36">
        <v>0</v>
      </c>
    </row>
    <row r="4" spans="2:5" x14ac:dyDescent="0.3">
      <c r="B4" s="35">
        <v>325</v>
      </c>
      <c r="C4" s="35">
        <v>1023</v>
      </c>
      <c r="D4" s="35">
        <v>0</v>
      </c>
      <c r="E4" s="36">
        <v>0.1</v>
      </c>
    </row>
    <row r="5" spans="2:5" x14ac:dyDescent="0.3">
      <c r="B5" s="35">
        <v>1023</v>
      </c>
      <c r="C5" s="35">
        <v>3163</v>
      </c>
      <c r="D5" s="3">
        <v>69.8</v>
      </c>
      <c r="E5" s="36">
        <v>0.15</v>
      </c>
    </row>
    <row r="6" spans="2:5" x14ac:dyDescent="0.3">
      <c r="B6" s="35">
        <v>3163</v>
      </c>
      <c r="C6" s="35">
        <v>6050</v>
      </c>
      <c r="D6" s="3">
        <v>390.8</v>
      </c>
      <c r="E6" s="36">
        <v>0.25</v>
      </c>
    </row>
    <row r="7" spans="2:5" x14ac:dyDescent="0.3">
      <c r="B7" s="35">
        <v>6050</v>
      </c>
      <c r="C7" s="35">
        <v>9050</v>
      </c>
      <c r="D7" s="3">
        <v>1112.56</v>
      </c>
      <c r="E7" s="36">
        <v>0.28000000000000003</v>
      </c>
    </row>
    <row r="8" spans="2:5" x14ac:dyDescent="0.3">
      <c r="B8" s="35">
        <v>9050</v>
      </c>
      <c r="C8" s="35">
        <v>15906</v>
      </c>
      <c r="D8" s="3">
        <v>195.56</v>
      </c>
      <c r="E8" s="36">
        <v>0.33</v>
      </c>
    </row>
    <row r="9" spans="2:5" x14ac:dyDescent="0.3">
      <c r="B9" s="35">
        <v>15906</v>
      </c>
      <c r="C9" s="35">
        <v>17925</v>
      </c>
      <c r="D9" s="3">
        <v>4215.03</v>
      </c>
      <c r="E9" s="36">
        <v>0.35</v>
      </c>
    </row>
    <row r="10" spans="2:5" x14ac:dyDescent="0.3">
      <c r="B10" s="35">
        <v>17925</v>
      </c>
      <c r="C10" s="35"/>
      <c r="D10" s="3">
        <v>4921.68</v>
      </c>
      <c r="E10" s="36">
        <v>0.39600000000000002</v>
      </c>
    </row>
    <row r="12" spans="2:5" x14ac:dyDescent="0.3">
      <c r="C12" s="27" t="s">
        <v>157</v>
      </c>
      <c r="D12" s="3">
        <f>ROUND(60000/26,2)</f>
        <v>2307.69</v>
      </c>
    </row>
    <row r="13" spans="2:5" x14ac:dyDescent="0.3">
      <c r="C13" s="27" t="s">
        <v>160</v>
      </c>
      <c r="D13" s="35">
        <v>2</v>
      </c>
    </row>
    <row r="14" spans="2:5" x14ac:dyDescent="0.3">
      <c r="C14" s="27" t="s">
        <v>158</v>
      </c>
      <c r="D14" s="3">
        <f>D13*151.9</f>
        <v>303.8</v>
      </c>
    </row>
    <row r="15" spans="2:5" x14ac:dyDescent="0.3">
      <c r="C15" s="27" t="s">
        <v>159</v>
      </c>
      <c r="D15" s="3">
        <f>D12-D14</f>
        <v>2003.89</v>
      </c>
    </row>
    <row r="16" spans="2:5" x14ac:dyDescent="0.3">
      <c r="C16" s="27" t="s">
        <v>161</v>
      </c>
      <c r="D16" s="37">
        <f>VLOOKUP(D15,B3:E10,3,TRUE)+(D15-VLOOKUP(D15,B3:E10,1,TRUE))*VLOOKUP(D15,B3:E10,4,TRUE)</f>
        <v>216.93349999999998</v>
      </c>
    </row>
    <row r="18" spans="4:4" x14ac:dyDescent="0.3">
      <c r="D18" s="3"/>
    </row>
    <row r="19" spans="4:4" x14ac:dyDescent="0.3">
      <c r="D19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E19"/>
  <sheetViews>
    <sheetView workbookViewId="0">
      <selection activeCell="M33" sqref="M33"/>
    </sheetView>
  </sheetViews>
  <sheetFormatPr defaultRowHeight="14.4" x14ac:dyDescent="0.3"/>
  <cols>
    <col min="2" max="2" width="11.44140625" bestFit="1" customWidth="1"/>
    <col min="3" max="3" width="11.88671875" bestFit="1" customWidth="1"/>
    <col min="4" max="4" width="12.44140625" bestFit="1" customWidth="1"/>
    <col min="5" max="5" width="11" bestFit="1" customWidth="1"/>
  </cols>
  <sheetData>
    <row r="2" spans="2:5" x14ac:dyDescent="0.3">
      <c r="B2" s="2" t="s">
        <v>154</v>
      </c>
      <c r="C2" s="2" t="s">
        <v>153</v>
      </c>
      <c r="D2" s="2" t="s">
        <v>155</v>
      </c>
      <c r="E2" s="2" t="s">
        <v>156</v>
      </c>
    </row>
    <row r="3" spans="2:5" x14ac:dyDescent="0.3">
      <c r="B3" s="35">
        <v>17925</v>
      </c>
      <c r="C3" s="35"/>
      <c r="D3" s="3">
        <v>4921.68</v>
      </c>
      <c r="E3" s="36">
        <v>0.39600000000000002</v>
      </c>
    </row>
    <row r="4" spans="2:5" x14ac:dyDescent="0.3">
      <c r="B4" s="35">
        <v>15906</v>
      </c>
      <c r="C4" s="35">
        <v>17925</v>
      </c>
      <c r="D4" s="3">
        <v>4215.03</v>
      </c>
      <c r="E4" s="36">
        <v>0.35</v>
      </c>
    </row>
    <row r="5" spans="2:5" x14ac:dyDescent="0.3">
      <c r="B5" s="35">
        <v>9050</v>
      </c>
      <c r="C5" s="35">
        <v>15906</v>
      </c>
      <c r="D5" s="3">
        <v>195.56</v>
      </c>
      <c r="E5" s="36">
        <v>0.33</v>
      </c>
    </row>
    <row r="6" spans="2:5" x14ac:dyDescent="0.3">
      <c r="B6" s="35">
        <v>6050</v>
      </c>
      <c r="C6" s="35">
        <v>9050</v>
      </c>
      <c r="D6" s="3">
        <v>1112.56</v>
      </c>
      <c r="E6" s="36">
        <v>0.28000000000000003</v>
      </c>
    </row>
    <row r="7" spans="2:5" x14ac:dyDescent="0.3">
      <c r="B7" s="35">
        <v>3163</v>
      </c>
      <c r="C7" s="35">
        <v>6050</v>
      </c>
      <c r="D7" s="3">
        <v>390.8</v>
      </c>
      <c r="E7" s="36">
        <v>0.25</v>
      </c>
    </row>
    <row r="8" spans="2:5" x14ac:dyDescent="0.3">
      <c r="B8" s="35">
        <v>1023</v>
      </c>
      <c r="C8" s="35">
        <v>3163</v>
      </c>
      <c r="D8" s="3">
        <v>69.8</v>
      </c>
      <c r="E8" s="36">
        <v>0.15</v>
      </c>
    </row>
    <row r="9" spans="2:5" x14ac:dyDescent="0.3">
      <c r="B9" s="35">
        <v>325</v>
      </c>
      <c r="C9" s="35">
        <v>1023</v>
      </c>
      <c r="D9" s="35">
        <v>0</v>
      </c>
      <c r="E9" s="36">
        <v>0.1</v>
      </c>
    </row>
    <row r="10" spans="2:5" x14ac:dyDescent="0.3">
      <c r="B10" s="35">
        <v>0</v>
      </c>
      <c r="C10" s="35">
        <v>325</v>
      </c>
      <c r="D10" s="35">
        <v>0</v>
      </c>
      <c r="E10" s="36">
        <v>0</v>
      </c>
    </row>
    <row r="12" spans="2:5" x14ac:dyDescent="0.3">
      <c r="C12" s="27" t="s">
        <v>157</v>
      </c>
      <c r="D12" s="3">
        <f>ROUND(60000/26,2)</f>
        <v>2307.69</v>
      </c>
    </row>
    <row r="13" spans="2:5" x14ac:dyDescent="0.3">
      <c r="C13" s="27" t="s">
        <v>160</v>
      </c>
      <c r="D13" s="35">
        <v>2</v>
      </c>
    </row>
    <row r="14" spans="2:5" x14ac:dyDescent="0.3">
      <c r="C14" s="27" t="s">
        <v>158</v>
      </c>
      <c r="D14" s="3">
        <f>D13*151.9</f>
        <v>303.8</v>
      </c>
    </row>
    <row r="15" spans="2:5" x14ac:dyDescent="0.3">
      <c r="C15" s="27" t="s">
        <v>159</v>
      </c>
      <c r="D15" s="3">
        <f>D12-D14</f>
        <v>2003.89</v>
      </c>
    </row>
    <row r="16" spans="2:5" x14ac:dyDescent="0.3">
      <c r="C16" s="27" t="s">
        <v>161</v>
      </c>
      <c r="D16" s="37" t="e">
        <f>VLOOKUP(D15,B3:E10,3,TRUE)+(D15-VLOOKUP(D15,B3:E10,1,TRUE))*VLOOKUP(D15,B3:E10,4,TRUE)</f>
        <v>#N/A</v>
      </c>
    </row>
    <row r="18" spans="3:4" x14ac:dyDescent="0.3">
      <c r="C18" s="30" t="s">
        <v>162</v>
      </c>
      <c r="D18" s="37">
        <f>INDEX(B3:E10,MATCH(D15,B3:B10,-1)+1,3)+(D15-INDEX(B3:E10,MATCH(D15,B3:B10,-1)+1,1))*INDEX(B3:E10,MATCH(D15,B3:B10,-1)+1,4)</f>
        <v>216.93349999999998</v>
      </c>
    </row>
    <row r="19" spans="3:4" x14ac:dyDescent="0.3">
      <c r="D19" s="3"/>
    </row>
  </sheetData>
  <sortState ref="B3:E10">
    <sortCondition descending="1" ref="B3:B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2:E33"/>
  <sheetViews>
    <sheetView workbookViewId="0">
      <selection activeCell="H14" sqref="H14"/>
    </sheetView>
  </sheetViews>
  <sheetFormatPr defaultRowHeight="14.4" x14ac:dyDescent="0.3"/>
  <cols>
    <col min="2" max="2" width="11.44140625" bestFit="1" customWidth="1"/>
    <col min="3" max="3" width="11.88671875" bestFit="1" customWidth="1"/>
    <col min="4" max="4" width="12.44140625" bestFit="1" customWidth="1"/>
    <col min="5" max="5" width="11" bestFit="1" customWidth="1"/>
  </cols>
  <sheetData>
    <row r="2" spans="2:5" x14ac:dyDescent="0.3">
      <c r="B2" s="38" t="s">
        <v>164</v>
      </c>
    </row>
    <row r="3" spans="2:5" x14ac:dyDescent="0.3">
      <c r="B3" s="2" t="s">
        <v>154</v>
      </c>
      <c r="C3" s="2" t="s">
        <v>153</v>
      </c>
      <c r="D3" s="2" t="s">
        <v>155</v>
      </c>
      <c r="E3" s="2" t="s">
        <v>156</v>
      </c>
    </row>
    <row r="4" spans="2:5" x14ac:dyDescent="0.3">
      <c r="B4" s="35">
        <v>0</v>
      </c>
      <c r="C4" s="35">
        <v>325</v>
      </c>
      <c r="D4" s="35">
        <v>0</v>
      </c>
      <c r="E4" s="36">
        <v>0</v>
      </c>
    </row>
    <row r="5" spans="2:5" x14ac:dyDescent="0.3">
      <c r="B5" s="35">
        <v>325</v>
      </c>
      <c r="C5" s="35">
        <v>1023</v>
      </c>
      <c r="D5" s="35">
        <v>0</v>
      </c>
      <c r="E5" s="36">
        <v>0.1</v>
      </c>
    </row>
    <row r="6" spans="2:5" x14ac:dyDescent="0.3">
      <c r="B6" s="35">
        <v>1023</v>
      </c>
      <c r="C6" s="35">
        <v>3163</v>
      </c>
      <c r="D6" s="3">
        <v>69.8</v>
      </c>
      <c r="E6" s="36">
        <v>0.15</v>
      </c>
    </row>
    <row r="7" spans="2:5" x14ac:dyDescent="0.3">
      <c r="B7" s="35">
        <v>3163</v>
      </c>
      <c r="C7" s="35">
        <v>6050</v>
      </c>
      <c r="D7" s="3">
        <v>390.8</v>
      </c>
      <c r="E7" s="36">
        <v>0.25</v>
      </c>
    </row>
    <row r="8" spans="2:5" x14ac:dyDescent="0.3">
      <c r="B8" s="35">
        <v>6050</v>
      </c>
      <c r="C8" s="35">
        <v>9050</v>
      </c>
      <c r="D8" s="3">
        <v>1112.56</v>
      </c>
      <c r="E8" s="36">
        <v>0.28000000000000003</v>
      </c>
    </row>
    <row r="9" spans="2:5" x14ac:dyDescent="0.3">
      <c r="B9" s="35">
        <v>9050</v>
      </c>
      <c r="C9" s="35">
        <v>15906</v>
      </c>
      <c r="D9" s="3">
        <v>195.56</v>
      </c>
      <c r="E9" s="36">
        <v>0.33</v>
      </c>
    </row>
    <row r="10" spans="2:5" x14ac:dyDescent="0.3">
      <c r="B10" s="35">
        <v>15906</v>
      </c>
      <c r="C10" s="35">
        <v>17925</v>
      </c>
      <c r="D10" s="3">
        <v>4215.03</v>
      </c>
      <c r="E10" s="36">
        <v>0.35</v>
      </c>
    </row>
    <row r="11" spans="2:5" x14ac:dyDescent="0.3">
      <c r="B11" s="35">
        <v>17925</v>
      </c>
      <c r="C11" s="35"/>
      <c r="D11" s="3">
        <v>4921.68</v>
      </c>
      <c r="E11" s="36">
        <v>0.39600000000000002</v>
      </c>
    </row>
    <row r="13" spans="2:5" x14ac:dyDescent="0.3">
      <c r="B13" s="38" t="s">
        <v>163</v>
      </c>
    </row>
    <row r="14" spans="2:5" x14ac:dyDescent="0.3">
      <c r="B14" s="2" t="s">
        <v>154</v>
      </c>
      <c r="C14" s="2" t="s">
        <v>153</v>
      </c>
      <c r="D14" s="2" t="s">
        <v>155</v>
      </c>
      <c r="E14" s="2" t="s">
        <v>156</v>
      </c>
    </row>
    <row r="15" spans="2:5" x14ac:dyDescent="0.3">
      <c r="B15" s="35">
        <v>0</v>
      </c>
      <c r="C15" s="35">
        <v>87</v>
      </c>
      <c r="D15" s="35">
        <v>0</v>
      </c>
      <c r="E15" s="36">
        <v>0</v>
      </c>
    </row>
    <row r="16" spans="2:5" x14ac:dyDescent="0.3">
      <c r="B16" s="35">
        <v>87</v>
      </c>
      <c r="C16" s="35">
        <v>436</v>
      </c>
      <c r="D16" s="35">
        <v>0</v>
      </c>
      <c r="E16" s="36">
        <v>0.1</v>
      </c>
    </row>
    <row r="17" spans="2:5" x14ac:dyDescent="0.3">
      <c r="B17" s="35">
        <v>436</v>
      </c>
      <c r="C17" s="35">
        <v>1506</v>
      </c>
      <c r="D17" s="3">
        <v>34.9</v>
      </c>
      <c r="E17" s="36">
        <v>0.15</v>
      </c>
    </row>
    <row r="18" spans="2:5" x14ac:dyDescent="0.3">
      <c r="B18" s="35">
        <v>1506</v>
      </c>
      <c r="C18" s="35">
        <v>3523</v>
      </c>
      <c r="D18" s="3">
        <v>195.4</v>
      </c>
      <c r="E18" s="36">
        <v>0.25</v>
      </c>
    </row>
    <row r="19" spans="2:5" x14ac:dyDescent="0.3">
      <c r="B19" s="35">
        <v>3523</v>
      </c>
      <c r="C19" s="35">
        <v>7254</v>
      </c>
      <c r="D19" s="3">
        <v>699.65</v>
      </c>
      <c r="E19" s="36">
        <v>0.28000000000000003</v>
      </c>
    </row>
    <row r="20" spans="2:5" x14ac:dyDescent="0.3">
      <c r="B20" s="35">
        <v>7254</v>
      </c>
      <c r="C20" s="35">
        <v>15667</v>
      </c>
      <c r="D20" s="3">
        <v>1744.33</v>
      </c>
      <c r="E20" s="36">
        <v>0.33</v>
      </c>
    </row>
    <row r="21" spans="2:5" x14ac:dyDescent="0.3">
      <c r="B21" s="35">
        <v>15667</v>
      </c>
      <c r="C21" s="35">
        <v>15731</v>
      </c>
      <c r="D21" s="3">
        <v>4520.62</v>
      </c>
      <c r="E21" s="36">
        <v>0.35</v>
      </c>
    </row>
    <row r="22" spans="2:5" x14ac:dyDescent="0.3">
      <c r="B22" s="35">
        <v>15731</v>
      </c>
      <c r="C22" s="35"/>
      <c r="D22" s="3">
        <v>4543.0200000000004</v>
      </c>
      <c r="E22" s="36">
        <v>0.39600000000000002</v>
      </c>
    </row>
    <row r="25" spans="2:5" x14ac:dyDescent="0.3">
      <c r="C25" s="27" t="s">
        <v>165</v>
      </c>
      <c r="D25" s="33" t="s">
        <v>166</v>
      </c>
    </row>
    <row r="26" spans="2:5" x14ac:dyDescent="0.3">
      <c r="C26" s="27" t="s">
        <v>157</v>
      </c>
      <c r="D26" s="3">
        <f>ROUND(105000/26,2)</f>
        <v>4038.46</v>
      </c>
    </row>
    <row r="27" spans="2:5" x14ac:dyDescent="0.3">
      <c r="C27" s="27" t="s">
        <v>160</v>
      </c>
      <c r="D27" s="35">
        <v>3</v>
      </c>
    </row>
    <row r="28" spans="2:5" x14ac:dyDescent="0.3">
      <c r="C28" s="27" t="s">
        <v>158</v>
      </c>
      <c r="D28" s="3">
        <f>D27*151.9</f>
        <v>455.70000000000005</v>
      </c>
    </row>
    <row r="29" spans="2:5" x14ac:dyDescent="0.3">
      <c r="C29" s="27" t="s">
        <v>159</v>
      </c>
      <c r="D29" s="3">
        <f>D26-D28</f>
        <v>3582.76</v>
      </c>
    </row>
    <row r="30" spans="2:5" x14ac:dyDescent="0.3">
      <c r="C30" s="27" t="s">
        <v>161</v>
      </c>
      <c r="D30" s="37">
        <f ca="1">VLOOKUP(D29,INDIRECT(D25),3,TRUE)+(D29-VLOOKUP(D29,INDIRECT(D25),1,TRUE))*VLOOKUP(D29,INDIRECT(D25),4,TRUE)</f>
        <v>716.38280000000009</v>
      </c>
    </row>
    <row r="32" spans="2:5" x14ac:dyDescent="0.3">
      <c r="D32" s="3"/>
    </row>
    <row r="33" spans="4:4" x14ac:dyDescent="0.3">
      <c r="D33" s="3"/>
    </row>
  </sheetData>
  <dataValidations count="1">
    <dataValidation type="list" allowBlank="1" showInputMessage="1" showErrorMessage="1" sqref="D25" xr:uid="{00000000-0002-0000-0700-000000000000}">
      <formula1>"Married, Single"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2:G15"/>
  <sheetViews>
    <sheetView workbookViewId="0">
      <selection activeCell="C15" sqref="C15"/>
    </sheetView>
  </sheetViews>
  <sheetFormatPr defaultRowHeight="14.4" x14ac:dyDescent="0.3"/>
  <cols>
    <col min="2" max="6" width="12.6640625" customWidth="1"/>
    <col min="7" max="7" width="11.5546875" bestFit="1" customWidth="1"/>
  </cols>
  <sheetData>
    <row r="2" spans="2:7" x14ac:dyDescent="0.3">
      <c r="B2" s="39" t="s">
        <v>168</v>
      </c>
    </row>
    <row r="3" spans="2:7" x14ac:dyDescent="0.3">
      <c r="B3" s="2" t="s">
        <v>167</v>
      </c>
      <c r="C3" s="2">
        <v>2010</v>
      </c>
      <c r="D3" s="2">
        <v>2011</v>
      </c>
      <c r="E3" s="2">
        <v>2012</v>
      </c>
      <c r="F3" s="2">
        <v>2013</v>
      </c>
      <c r="G3" s="2" t="s">
        <v>22</v>
      </c>
    </row>
    <row r="4" spans="2:7" x14ac:dyDescent="0.3">
      <c r="B4" t="s">
        <v>169</v>
      </c>
      <c r="C4" s="35">
        <v>1525017</v>
      </c>
      <c r="D4" s="35">
        <v>1504678</v>
      </c>
      <c r="E4" s="35">
        <v>1227847</v>
      </c>
      <c r="F4" s="35">
        <v>1019616</v>
      </c>
      <c r="G4" s="35">
        <f>SUM(C4:F4)</f>
        <v>5277158</v>
      </c>
    </row>
    <row r="5" spans="2:7" x14ac:dyDescent="0.3">
      <c r="B5" t="s">
        <v>173</v>
      </c>
      <c r="C5" s="35">
        <v>2704237</v>
      </c>
      <c r="D5" s="35">
        <v>2135564</v>
      </c>
      <c r="E5" s="35">
        <v>1411782</v>
      </c>
      <c r="F5" s="35">
        <v>716535</v>
      </c>
      <c r="G5" s="35">
        <f t="shared" ref="G5:G9" si="0">SUM(C5:F5)</f>
        <v>6968118</v>
      </c>
    </row>
    <row r="6" spans="2:7" x14ac:dyDescent="0.3">
      <c r="B6" t="s">
        <v>171</v>
      </c>
      <c r="C6" s="35">
        <v>3563687</v>
      </c>
      <c r="D6" s="35">
        <v>4441886</v>
      </c>
      <c r="E6" s="35">
        <v>4805431</v>
      </c>
      <c r="F6" s="35">
        <v>3716674</v>
      </c>
      <c r="G6" s="35">
        <f t="shared" si="0"/>
        <v>16527678</v>
      </c>
    </row>
    <row r="7" spans="2:7" x14ac:dyDescent="0.3">
      <c r="B7" t="s">
        <v>172</v>
      </c>
      <c r="C7" s="35">
        <v>4489700</v>
      </c>
      <c r="D7" s="35">
        <v>2651064</v>
      </c>
      <c r="E7" s="35">
        <v>796330</v>
      </c>
      <c r="F7" s="35">
        <v>2898601</v>
      </c>
      <c r="G7" s="35">
        <f t="shared" si="0"/>
        <v>10835695</v>
      </c>
    </row>
    <row r="8" spans="2:7" x14ac:dyDescent="0.3">
      <c r="B8" t="s">
        <v>174</v>
      </c>
      <c r="C8" s="35">
        <v>2167319</v>
      </c>
      <c r="D8" s="35">
        <v>1357850</v>
      </c>
      <c r="E8" s="35">
        <v>776850</v>
      </c>
      <c r="F8" s="35">
        <v>3024542</v>
      </c>
      <c r="G8" s="35">
        <f t="shared" si="0"/>
        <v>7326561</v>
      </c>
    </row>
    <row r="9" spans="2:7" x14ac:dyDescent="0.3">
      <c r="B9" t="s">
        <v>175</v>
      </c>
      <c r="C9" s="35">
        <v>1861239</v>
      </c>
      <c r="D9" s="35">
        <v>3578280</v>
      </c>
      <c r="E9" s="35">
        <v>4069389</v>
      </c>
      <c r="F9" s="35">
        <v>1475301</v>
      </c>
      <c r="G9" s="35">
        <f t="shared" si="0"/>
        <v>10984209</v>
      </c>
    </row>
    <row r="10" spans="2:7" ht="15" thickBot="1" x14ac:dyDescent="0.35">
      <c r="B10" t="s">
        <v>22</v>
      </c>
      <c r="C10" s="43">
        <f>SUM(C4:C9)</f>
        <v>16311199</v>
      </c>
      <c r="D10" s="43">
        <f t="shared" ref="D10:G10" si="1">SUM(D4:D9)</f>
        <v>15669322</v>
      </c>
      <c r="E10" s="43">
        <f t="shared" si="1"/>
        <v>13087629</v>
      </c>
      <c r="F10" s="43">
        <f t="shared" si="1"/>
        <v>12851269</v>
      </c>
      <c r="G10" s="43">
        <f t="shared" si="1"/>
        <v>57919419</v>
      </c>
    </row>
    <row r="11" spans="2:7" ht="15" thickTop="1" x14ac:dyDescent="0.3">
      <c r="C11" s="35"/>
      <c r="D11" s="35"/>
      <c r="E11" s="35"/>
      <c r="F11" s="35"/>
    </row>
    <row r="13" spans="2:7" x14ac:dyDescent="0.3">
      <c r="B13" s="40" t="s">
        <v>176</v>
      </c>
      <c r="C13" s="41" t="s">
        <v>171</v>
      </c>
    </row>
    <row r="14" spans="2:7" x14ac:dyDescent="0.3">
      <c r="B14" s="40" t="s">
        <v>177</v>
      </c>
      <c r="C14" s="41">
        <v>2011</v>
      </c>
    </row>
    <row r="15" spans="2:7" x14ac:dyDescent="0.3">
      <c r="B15" s="40" t="s">
        <v>178</v>
      </c>
      <c r="C15" s="42">
        <f>INDEX(C4:F9,MATCH(C13,B4:B9,FALSE),MATCH(C14,C3:F3,FALSE))</f>
        <v>4441886</v>
      </c>
    </row>
  </sheetData>
  <dataValidations count="2">
    <dataValidation type="list" allowBlank="1" showInputMessage="1" showErrorMessage="1" sqref="C13" xr:uid="{00000000-0002-0000-0800-000000000000}">
      <formula1>$B$4:$B$9</formula1>
    </dataValidation>
    <dataValidation type="list" allowBlank="1" showInputMessage="1" showErrorMessage="1" sqref="C14" xr:uid="{00000000-0002-0000-0800-000001000000}">
      <formula1>$C$3:$F$3</formula1>
    </dataValidation>
  </dataValidations>
  <pageMargins left="0.7" right="0.7" top="0.75" bottom="0.75" header="0.3" footer="0.3"/>
  <ignoredErrors>
    <ignoredError sqref="C10 D10:F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55</vt:lpstr>
      <vt:lpstr>56</vt:lpstr>
      <vt:lpstr>57</vt:lpstr>
      <vt:lpstr>58</vt:lpstr>
      <vt:lpstr>58.1</vt:lpstr>
      <vt:lpstr>59</vt:lpstr>
      <vt:lpstr>59.1</vt:lpstr>
      <vt:lpstr>60</vt:lpstr>
      <vt:lpstr>61</vt:lpstr>
      <vt:lpstr>61.2</vt:lpstr>
      <vt:lpstr>62</vt:lpstr>
      <vt:lpstr>63</vt:lpstr>
      <vt:lpstr>Married</vt:lpstr>
      <vt:lpstr>Single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mha105</cp:lastModifiedBy>
  <dcterms:created xsi:type="dcterms:W3CDTF">2013-10-28T00:19:55Z</dcterms:created>
  <dcterms:modified xsi:type="dcterms:W3CDTF">2018-08-06T12:08:01Z</dcterms:modified>
</cp:coreProperties>
</file>