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_jandaghian/Documents/Polimi/Y 02/Polimi - Git/MarkAn - Marketing Analytics (LAMBERTI LUCIO) [2024-25] - 057027 /File/"/>
    </mc:Choice>
  </mc:AlternateContent>
  <xr:revisionPtr revIDLastSave="0" documentId="13_ncr:1_{3B31BF69-1B5C-4B44-8517-2ADE40EA7E3F}" xr6:coauthVersionLast="47" xr6:coauthVersionMax="47" xr10:uidLastSave="{00000000-0000-0000-0000-000000000000}"/>
  <bookViews>
    <workbookView xWindow="0" yWindow="500" windowWidth="16800" windowHeight="19300" activeTab="2" xr2:uid="{F81285E3-953F-1F41-B970-E34ACFCD74A9}"/>
  </bookViews>
  <sheets>
    <sheet name="Ex_ISP_Page 27" sheetId="1" r:id="rId1"/>
    <sheet name="Exercise BEAR_Page 31" sheetId="2" r:id="rId2"/>
    <sheet name="CL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3" l="1"/>
  <c r="Q26" i="3"/>
  <c r="Q25" i="3"/>
  <c r="P16" i="3"/>
  <c r="E25" i="3"/>
  <c r="E36" i="3"/>
  <c r="E9" i="2"/>
  <c r="E4" i="2"/>
  <c r="E3" i="2"/>
  <c r="B13" i="2"/>
  <c r="B14" i="2"/>
  <c r="B9" i="2"/>
  <c r="B8" i="2"/>
  <c r="B7" i="2"/>
  <c r="B10" i="1"/>
  <c r="E7" i="2" l="1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25" i="3"/>
  <c r="E26" i="3"/>
  <c r="E27" i="3"/>
  <c r="G25" i="3"/>
  <c r="E28" i="3"/>
  <c r="E29" i="3"/>
  <c r="E30" i="3"/>
  <c r="E31" i="3"/>
  <c r="E32" i="3"/>
  <c r="E33" i="3"/>
  <c r="E34" i="3"/>
  <c r="E35" i="3"/>
  <c r="E37" i="3"/>
  <c r="E38" i="3"/>
  <c r="E39" i="3"/>
  <c r="E40" i="3"/>
  <c r="E41" i="3"/>
  <c r="E42" i="3"/>
  <c r="E43" i="3"/>
  <c r="E44" i="3"/>
  <c r="E45" i="3"/>
  <c r="E46" i="3"/>
  <c r="E47" i="3"/>
  <c r="E48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25" i="3"/>
  <c r="H25" i="3" s="1"/>
  <c r="D7" i="1"/>
  <c r="D6" i="1"/>
  <c r="D4" i="1"/>
  <c r="B9" i="1" s="1"/>
  <c r="J25" i="3" l="1"/>
  <c r="K25" i="3" s="1"/>
  <c r="M25" i="3"/>
  <c r="B13" i="1"/>
  <c r="G26" i="3"/>
  <c r="N25" i="3"/>
  <c r="H26" i="3"/>
  <c r="J26" i="3" l="1"/>
  <c r="K26" i="3" s="1"/>
  <c r="P25" i="3"/>
  <c r="G27" i="3"/>
  <c r="J27" i="3" s="1"/>
  <c r="M26" i="3"/>
  <c r="P26" i="3" s="1"/>
  <c r="M27" i="3" l="1"/>
  <c r="P27" i="3"/>
  <c r="N27" i="3"/>
  <c r="G28" i="3"/>
  <c r="J28" i="3" s="1"/>
  <c r="K27" i="3"/>
  <c r="H27" i="3"/>
  <c r="N26" i="3"/>
  <c r="M28" i="3" l="1"/>
  <c r="Q27" i="3"/>
  <c r="P28" i="3"/>
  <c r="N28" i="3"/>
  <c r="K28" i="3"/>
  <c r="H28" i="3"/>
  <c r="Q28" i="3" s="1"/>
  <c r="G29" i="3"/>
  <c r="J29" i="3" s="1"/>
  <c r="G30" i="3" l="1"/>
  <c r="K29" i="3"/>
  <c r="H29" i="3"/>
  <c r="Q29" i="3" s="1"/>
  <c r="M29" i="3"/>
  <c r="M30" i="3" l="1"/>
  <c r="J30" i="3"/>
  <c r="P29" i="3"/>
  <c r="N29" i="3"/>
  <c r="P30" i="3"/>
  <c r="N30" i="3"/>
  <c r="K30" i="3"/>
  <c r="G31" i="3"/>
  <c r="J31" i="3" s="1"/>
  <c r="H30" i="3"/>
  <c r="K31" i="3" l="1"/>
  <c r="G32" i="3"/>
  <c r="H31" i="3"/>
  <c r="Q31" i="3" s="1"/>
  <c r="M31" i="3"/>
  <c r="Q30" i="3"/>
  <c r="H32" i="3" l="1"/>
  <c r="J32" i="3"/>
  <c r="P31" i="3"/>
  <c r="N31" i="3"/>
  <c r="K32" i="3"/>
  <c r="G33" i="3"/>
  <c r="M32" i="3"/>
  <c r="M33" i="3" l="1"/>
  <c r="J33" i="3"/>
  <c r="P33" i="3"/>
  <c r="N33" i="3"/>
  <c r="Q32" i="3"/>
  <c r="K33" i="3"/>
  <c r="G34" i="3"/>
  <c r="J34" i="3" s="1"/>
  <c r="H33" i="3"/>
  <c r="P32" i="3"/>
  <c r="N32" i="3"/>
  <c r="K34" i="3" l="1"/>
  <c r="G35" i="3"/>
  <c r="J35" i="3" s="1"/>
  <c r="H34" i="3"/>
  <c r="M34" i="3"/>
  <c r="Q33" i="3"/>
  <c r="Q34" i="3" l="1"/>
  <c r="P34" i="3"/>
  <c r="N34" i="3"/>
  <c r="K35" i="3"/>
  <c r="G36" i="3"/>
  <c r="J36" i="3" s="1"/>
  <c r="H35" i="3"/>
  <c r="Q35" i="3" s="1"/>
  <c r="M35" i="3"/>
  <c r="P35" i="3" l="1"/>
  <c r="N35" i="3"/>
  <c r="K36" i="3"/>
  <c r="G37" i="3"/>
  <c r="J37" i="3" s="1"/>
  <c r="H36" i="3"/>
  <c r="Q36" i="3" s="1"/>
  <c r="M36" i="3"/>
  <c r="P36" i="3" l="1"/>
  <c r="N36" i="3"/>
  <c r="K37" i="3"/>
  <c r="G38" i="3"/>
  <c r="J38" i="3" s="1"/>
  <c r="H37" i="3"/>
  <c r="Q37" i="3" s="1"/>
  <c r="M37" i="3"/>
  <c r="P37" i="3" l="1"/>
  <c r="N37" i="3"/>
  <c r="K38" i="3"/>
  <c r="H38" i="3"/>
  <c r="Q38" i="3" s="1"/>
  <c r="G39" i="3"/>
  <c r="J39" i="3" s="1"/>
  <c r="M38" i="3"/>
  <c r="K39" i="3" l="1"/>
  <c r="H39" i="3"/>
  <c r="G40" i="3"/>
  <c r="J40" i="3" s="1"/>
  <c r="P38" i="3"/>
  <c r="N38" i="3"/>
  <c r="M39" i="3"/>
  <c r="Q39" i="3" l="1"/>
  <c r="P39" i="3"/>
  <c r="N39" i="3"/>
  <c r="K40" i="3"/>
  <c r="H40" i="3"/>
  <c r="G41" i="3"/>
  <c r="J41" i="3" s="1"/>
  <c r="M40" i="3"/>
  <c r="Q40" i="3" l="1"/>
  <c r="P40" i="3"/>
  <c r="N40" i="3"/>
  <c r="K41" i="3"/>
  <c r="H41" i="3"/>
  <c r="Q41" i="3" s="1"/>
  <c r="G42" i="3"/>
  <c r="J42" i="3" s="1"/>
  <c r="M41" i="3"/>
  <c r="K42" i="3" l="1"/>
  <c r="H42" i="3"/>
  <c r="G43" i="3"/>
  <c r="J43" i="3" s="1"/>
  <c r="P41" i="3"/>
  <c r="N41" i="3"/>
  <c r="M42" i="3"/>
  <c r="M16" i="3" l="1"/>
  <c r="K43" i="3"/>
  <c r="H43" i="3"/>
  <c r="G44" i="3"/>
  <c r="J44" i="3" s="1"/>
  <c r="P42" i="3"/>
  <c r="N42" i="3"/>
  <c r="M43" i="3"/>
  <c r="P43" i="3" l="1"/>
  <c r="N43" i="3"/>
  <c r="K44" i="3"/>
  <c r="H44" i="3"/>
  <c r="G45" i="3"/>
  <c r="J45" i="3" s="1"/>
  <c r="M44" i="3"/>
  <c r="P44" i="3" l="1"/>
  <c r="N44" i="3"/>
  <c r="K45" i="3"/>
  <c r="H45" i="3"/>
  <c r="G46" i="3"/>
  <c r="J46" i="3" s="1"/>
  <c r="M45" i="3"/>
  <c r="P45" i="3" l="1"/>
  <c r="N45" i="3"/>
  <c r="K46" i="3"/>
  <c r="H46" i="3"/>
  <c r="G47" i="3"/>
  <c r="J47" i="3" s="1"/>
  <c r="M46" i="3"/>
  <c r="P46" i="3" l="1"/>
  <c r="N46" i="3"/>
  <c r="K47" i="3"/>
  <c r="H47" i="3"/>
  <c r="G48" i="3"/>
  <c r="J48" i="3" s="1"/>
  <c r="M47" i="3"/>
  <c r="P47" i="3" l="1"/>
  <c r="N47" i="3"/>
  <c r="H48" i="3"/>
  <c r="K48" i="3"/>
  <c r="M48" i="3"/>
  <c r="P48" i="3" l="1"/>
  <c r="M49" i="3"/>
  <c r="P49" i="3" s="1"/>
  <c r="N48" i="3"/>
  <c r="F11" i="3"/>
  <c r="F12" i="3" s="1"/>
  <c r="K12" i="3" s="1"/>
  <c r="K13" i="3" s="1"/>
</calcChain>
</file>

<file path=xl/sharedStrings.xml><?xml version="1.0" encoding="utf-8"?>
<sst xmlns="http://schemas.openxmlformats.org/spreadsheetml/2006/main" count="92" uniqueCount="75">
  <si>
    <t>Charges</t>
  </si>
  <si>
    <t>month</t>
  </si>
  <si>
    <t>Costs</t>
  </si>
  <si>
    <t>year</t>
  </si>
  <si>
    <t>Marketing</t>
  </si>
  <si>
    <t>RR</t>
  </si>
  <si>
    <t>DR</t>
  </si>
  <si>
    <t>M</t>
  </si>
  <si>
    <t>CLV</t>
  </si>
  <si>
    <t>Approx</t>
  </si>
  <si>
    <t xml:space="preserve">CLV </t>
  </si>
  <si>
    <t>Total budget</t>
  </si>
  <si>
    <t>Target</t>
  </si>
  <si>
    <t>Initial Margin</t>
  </si>
  <si>
    <t>Acquired</t>
  </si>
  <si>
    <t>Equity generated</t>
  </si>
  <si>
    <t>BEAR</t>
  </si>
  <si>
    <t>Budget per targeted customer</t>
  </si>
  <si>
    <t>Telco operator</t>
  </si>
  <si>
    <t>P</t>
  </si>
  <si>
    <t>€/month</t>
  </si>
  <si>
    <t>C</t>
  </si>
  <si>
    <t>First 3 months</t>
  </si>
  <si>
    <t>3-5</t>
  </si>
  <si>
    <t>6-11</t>
  </si>
  <si>
    <t>12-23</t>
  </si>
  <si>
    <t>monthly</t>
  </si>
  <si>
    <t>Fees are paid at the beginning of the month</t>
  </si>
  <si>
    <t>1-2</t>
  </si>
  <si>
    <t>T</t>
  </si>
  <si>
    <t>Actualization</t>
  </si>
  <si>
    <t>RR(t)</t>
  </si>
  <si>
    <t>Cumulated RR</t>
  </si>
  <si>
    <t>Contribution of T to CLV</t>
  </si>
  <si>
    <t>Base case</t>
  </si>
  <si>
    <t>Fee</t>
  </si>
  <si>
    <t>Delta</t>
  </si>
  <si>
    <t>Customer base</t>
  </si>
  <si>
    <t>Return</t>
  </si>
  <si>
    <t>ROI</t>
  </si>
  <si>
    <t>Customer call</t>
  </si>
  <si>
    <t>Probability call</t>
  </si>
  <si>
    <t>Contribution CLV of the contact center</t>
  </si>
  <si>
    <t>on total customers</t>
  </si>
  <si>
    <t>If you churn before 24 months you pay the 30% of the remaining fees as a penalty</t>
  </si>
  <si>
    <t>Penalty</t>
  </si>
  <si>
    <t>Churners(%)</t>
  </si>
  <si>
    <t>Contribution CLV of the penalty</t>
  </si>
  <si>
    <t>Lifetime at churn</t>
  </si>
  <si>
    <t>Average lifetime</t>
  </si>
  <si>
    <t>Contribution to CLV for median customer</t>
  </si>
  <si>
    <t>CLV(median customer)</t>
  </si>
  <si>
    <t>*we took 11 because first month is taken for granted</t>
  </si>
  <si>
    <t>Acqui. Rate</t>
  </si>
  <si>
    <t>total</t>
  </si>
  <si>
    <t>total rev</t>
  </si>
  <si>
    <t>total cost</t>
  </si>
  <si>
    <t>BE _ AR</t>
  </si>
  <si>
    <t>Final result</t>
  </si>
  <si>
    <t>RR(t):</t>
  </si>
  <si>
    <t xml:space="preserve">CLV= ? </t>
  </si>
  <si>
    <t>Customer care Cost</t>
  </si>
  <si>
    <t>clv till here: 24.10  (Sum this col)</t>
  </si>
  <si>
    <t xml:space="preserve">وقتی روی اکتیو بود اومد سه درصد رو ثابت نگه داشت و بعد اومد دلتا حساب کرد با حالت اول که بدون کاستومر کر بود! </t>
  </si>
  <si>
    <t>Probability روی کل کاربرا سه درصد</t>
  </si>
  <si>
    <t>||||</t>
  </si>
  <si>
    <t>چرن ریت نیست! در واقع باید ببینی که احتمال اینکه دقیقا در ماه چرن بشی چقدره.</t>
  </si>
  <si>
    <t>حالا اینم اضافه میکنم افکت چرن شدن</t>
  </si>
  <si>
    <t>همه در ماه اخر چرن میشن!‌</t>
  </si>
  <si>
    <t>با این میانگین لایف تایم رو در آورد.</t>
  </si>
  <si>
    <t>Median -&gt; وقتی تجمیعی ۵۰ درصد میشه</t>
  </si>
  <si>
    <t xml:space="preserve">فرقش تو اینه که بگه اوریج لایف تایم که میشه مال همه </t>
  </si>
  <si>
    <t>یا اینکه بگه لایف تایم مدیان کاستومر که تا اون ماه رو میگیره</t>
  </si>
  <si>
    <t>این پنالتی رو میده</t>
  </si>
  <si>
    <t xml:space="preserve">باید دترمنیتسیک باشیم وقتی که مثلا وقتی میگه ۷۵ پرسنت باشه.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</si>
</sst>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0.0%"/>
    <numFmt numFmtId="168" formatCode="_-* #,##0\ _€_-;\-* #,##0\ _€_-;_-* &quot;-&quot;??\ _€_-;_-@_-"/>
    <numFmt numFmtId="169" formatCode="_-* #,##0.0000\ _€_-;\-* #,##0.0000\ _€_-;_-* &quot;-&quot;??\ _€_-;_-@_-"/>
    <numFmt numFmtId="170" formatCode="_-* #,##0.0000\ _€_-;\-* #,##0.0000\ _€_-;_-* &quot;-&quot;????\ _€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167" fontId="0" fillId="0" borderId="0" xfId="3" applyNumberFormat="1" applyFont="1"/>
    <xf numFmtId="165" fontId="0" fillId="0" borderId="0" xfId="2" applyFont="1"/>
    <xf numFmtId="165" fontId="0" fillId="0" borderId="0" xfId="0" applyNumberFormat="1"/>
    <xf numFmtId="10" fontId="0" fillId="0" borderId="0" xfId="0" applyNumberFormat="1"/>
    <xf numFmtId="168" fontId="0" fillId="0" borderId="0" xfId="1" applyNumberFormat="1" applyFont="1"/>
    <xf numFmtId="10" fontId="0" fillId="0" borderId="0" xfId="3" applyNumberFormat="1" applyFont="1"/>
    <xf numFmtId="164" fontId="0" fillId="0" borderId="0" xfId="2" applyNumberFormat="1" applyFont="1"/>
    <xf numFmtId="164" fontId="0" fillId="0" borderId="0" xfId="0" applyNumberFormat="1"/>
    <xf numFmtId="169" fontId="0" fillId="0" borderId="0" xfId="0" applyNumberFormat="1"/>
    <xf numFmtId="170" fontId="0" fillId="0" borderId="0" xfId="0" applyNumberForma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quotePrefix="1" applyBorder="1"/>
    <xf numFmtId="16" fontId="0" fillId="0" borderId="3" xfId="0" quotePrefix="1" applyNumberFormat="1" applyBorder="1"/>
    <xf numFmtId="0" fontId="0" fillId="0" borderId="5" xfId="0" quotePrefix="1" applyBorder="1"/>
    <xf numFmtId="0" fontId="0" fillId="0" borderId="6" xfId="0" applyBorder="1"/>
    <xf numFmtId="0" fontId="0" fillId="2" borderId="0" xfId="0" applyFill="1"/>
    <xf numFmtId="165" fontId="2" fillId="0" borderId="0" xfId="2" applyFont="1"/>
    <xf numFmtId="0" fontId="2" fillId="0" borderId="0" xfId="0" applyFont="1"/>
    <xf numFmtId="10" fontId="0" fillId="3" borderId="0" xfId="3" applyNumberFormat="1" applyFont="1" applyFill="1"/>
    <xf numFmtId="165" fontId="0" fillId="3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142D-FBE8-CF48-81C2-755942DC052E}">
  <dimension ref="A2:F13"/>
  <sheetViews>
    <sheetView zoomScale="125" workbookViewId="0">
      <selection activeCell="C12" sqref="C12"/>
    </sheetView>
  </sheetViews>
  <sheetFormatPr baseColWidth="10" defaultRowHeight="16" x14ac:dyDescent="0.2"/>
  <sheetData>
    <row r="2" spans="1:6" x14ac:dyDescent="0.2">
      <c r="A2" t="s">
        <v>0</v>
      </c>
      <c r="B2">
        <v>19.95</v>
      </c>
      <c r="C2" t="s">
        <v>1</v>
      </c>
    </row>
    <row r="4" spans="1:6" x14ac:dyDescent="0.2">
      <c r="A4" t="s">
        <v>2</v>
      </c>
      <c r="B4">
        <v>18</v>
      </c>
      <c r="C4" t="s">
        <v>3</v>
      </c>
      <c r="D4">
        <f>B4/12</f>
        <v>1.5</v>
      </c>
      <c r="E4" t="s">
        <v>1</v>
      </c>
    </row>
    <row r="5" spans="1:6" x14ac:dyDescent="0.2">
      <c r="A5" t="s">
        <v>4</v>
      </c>
      <c r="B5">
        <v>6</v>
      </c>
      <c r="C5" t="s">
        <v>3</v>
      </c>
      <c r="D5">
        <v>0.5</v>
      </c>
      <c r="E5" t="s">
        <v>1</v>
      </c>
    </row>
    <row r="6" spans="1:6" x14ac:dyDescent="0.2">
      <c r="A6" t="s">
        <v>5</v>
      </c>
      <c r="B6" s="1">
        <v>0.99</v>
      </c>
      <c r="C6" t="s">
        <v>1</v>
      </c>
      <c r="D6" s="2">
        <f>B6^11</f>
        <v>0.89533825425871627</v>
      </c>
      <c r="E6" t="s">
        <v>3</v>
      </c>
      <c r="F6" t="s">
        <v>52</v>
      </c>
    </row>
    <row r="7" spans="1:6" x14ac:dyDescent="0.2">
      <c r="A7" t="s">
        <v>6</v>
      </c>
      <c r="B7" s="1">
        <v>0.01</v>
      </c>
      <c r="C7" t="s">
        <v>1</v>
      </c>
      <c r="D7" s="2">
        <f>(1+B7)^11-1</f>
        <v>0.11566834666531656</v>
      </c>
      <c r="E7" t="s">
        <v>3</v>
      </c>
    </row>
    <row r="9" spans="1:6" x14ac:dyDescent="0.2">
      <c r="A9" t="s">
        <v>7</v>
      </c>
      <c r="B9">
        <f>(B2-D4-D5)*12</f>
        <v>215.39999999999998</v>
      </c>
    </row>
    <row r="10" spans="1:6" x14ac:dyDescent="0.2">
      <c r="A10" t="s">
        <v>8</v>
      </c>
      <c r="B10" s="3">
        <f>B9*(D6/(1+D7-D6))</f>
        <v>875.3042213200207</v>
      </c>
    </row>
    <row r="11" spans="1:6" x14ac:dyDescent="0.2">
      <c r="B11" s="3"/>
    </row>
    <row r="12" spans="1:6" x14ac:dyDescent="0.2">
      <c r="A12" t="s">
        <v>9</v>
      </c>
      <c r="B12" s="1">
        <v>0.7</v>
      </c>
    </row>
    <row r="13" spans="1:6" x14ac:dyDescent="0.2">
      <c r="A13" t="s">
        <v>10</v>
      </c>
      <c r="B13" s="4">
        <f>B12*B10</f>
        <v>612.71295492401441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ECB1-CFB3-7346-B5C2-B7260BEF2A47}">
  <dimension ref="A1:E14"/>
  <sheetViews>
    <sheetView zoomScale="183" workbookViewId="0">
      <selection activeCell="E10" sqref="E10"/>
    </sheetView>
  </sheetViews>
  <sheetFormatPr baseColWidth="10" defaultRowHeight="16" x14ac:dyDescent="0.2"/>
  <cols>
    <col min="1" max="1" width="15" bestFit="1" customWidth="1"/>
    <col min="2" max="2" width="12" bestFit="1" customWidth="1"/>
    <col min="3" max="3" width="27.6640625" customWidth="1"/>
  </cols>
  <sheetData>
    <row r="1" spans="1:5" x14ac:dyDescent="0.2">
      <c r="A1" t="s">
        <v>11</v>
      </c>
      <c r="B1" s="3">
        <v>60000</v>
      </c>
    </row>
    <row r="2" spans="1:5" x14ac:dyDescent="0.2">
      <c r="A2" t="s">
        <v>12</v>
      </c>
      <c r="B2">
        <v>75000</v>
      </c>
    </row>
    <row r="3" spans="1:5" x14ac:dyDescent="0.2">
      <c r="A3" t="s">
        <v>53</v>
      </c>
      <c r="B3" s="5">
        <v>1.2E-2</v>
      </c>
      <c r="D3" t="s">
        <v>54</v>
      </c>
      <c r="E3">
        <f>B3*B2</f>
        <v>900</v>
      </c>
    </row>
    <row r="4" spans="1:5" x14ac:dyDescent="0.2">
      <c r="A4" t="s">
        <v>13</v>
      </c>
      <c r="B4" s="3">
        <v>10</v>
      </c>
      <c r="D4" t="s">
        <v>55</v>
      </c>
      <c r="E4">
        <f>B3*B2*(B4+B5)</f>
        <v>99000</v>
      </c>
    </row>
    <row r="5" spans="1:5" x14ac:dyDescent="0.2">
      <c r="A5" t="s">
        <v>8</v>
      </c>
      <c r="B5" s="3">
        <v>100</v>
      </c>
      <c r="D5" t="s">
        <v>56</v>
      </c>
      <c r="E5">
        <v>60000</v>
      </c>
    </row>
    <row r="7" spans="1:5" x14ac:dyDescent="0.2">
      <c r="A7" t="s">
        <v>14</v>
      </c>
      <c r="B7">
        <f>B3*B2</f>
        <v>900</v>
      </c>
      <c r="D7" t="s">
        <v>58</v>
      </c>
      <c r="E7" s="12">
        <f>E4-E5</f>
        <v>39000</v>
      </c>
    </row>
    <row r="8" spans="1:5" x14ac:dyDescent="0.2">
      <c r="A8" t="s">
        <v>15</v>
      </c>
      <c r="B8" s="4">
        <f>B7*(B4+B5)</f>
        <v>99000</v>
      </c>
    </row>
    <row r="9" spans="1:5" x14ac:dyDescent="0.2">
      <c r="A9" t="s">
        <v>16</v>
      </c>
      <c r="B9" s="7">
        <f>(_xlfn.CEILING.MATH(B1/(B5+B4)))/B2</f>
        <v>7.28E-3</v>
      </c>
      <c r="D9" t="s">
        <v>57</v>
      </c>
      <c r="E9" s="7">
        <f>B1/(B2*(B4+B5))</f>
        <v>7.2727272727272727E-3</v>
      </c>
    </row>
    <row r="13" spans="1:5" x14ac:dyDescent="0.2">
      <c r="A13" t="s">
        <v>17</v>
      </c>
      <c r="B13" s="4">
        <f>B1/B2</f>
        <v>0.8</v>
      </c>
    </row>
    <row r="14" spans="1:5" x14ac:dyDescent="0.2">
      <c r="A14" t="s">
        <v>16</v>
      </c>
      <c r="B14" s="7">
        <f>(B1/(B4+B5))/B2</f>
        <v>7.2727272727272736E-3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AE5B-2B88-A74C-B54E-1093AD8291E8}">
  <dimension ref="A1:S56"/>
  <sheetViews>
    <sheetView tabSelected="1" topLeftCell="K8" zoomScale="75" workbookViewId="0">
      <selection activeCell="T33" sqref="T33"/>
    </sheetView>
  </sheetViews>
  <sheetFormatPr baseColWidth="10" defaultRowHeight="16" x14ac:dyDescent="0.2"/>
  <cols>
    <col min="1" max="3" width="13.5" customWidth="1"/>
    <col min="4" max="4" width="14.33203125" customWidth="1"/>
    <col min="6" max="6" width="13.1640625" customWidth="1"/>
    <col min="8" max="8" width="20.6640625" style="3" bestFit="1" customWidth="1"/>
    <col min="10" max="10" width="13" bestFit="1" customWidth="1"/>
    <col min="11" max="11" width="33.5" bestFit="1" customWidth="1"/>
    <col min="14" max="14" width="27" bestFit="1" customWidth="1"/>
    <col min="15" max="15" width="15.33203125" bestFit="1" customWidth="1"/>
    <col min="16" max="16" width="12.5" customWidth="1"/>
    <col min="17" max="17" width="36.33203125" bestFit="1" customWidth="1"/>
  </cols>
  <sheetData>
    <row r="1" spans="1:16" x14ac:dyDescent="0.2">
      <c r="A1" t="s">
        <v>18</v>
      </c>
    </row>
    <row r="2" spans="1:16" x14ac:dyDescent="0.2">
      <c r="A2" t="s">
        <v>19</v>
      </c>
      <c r="B2">
        <v>10</v>
      </c>
      <c r="C2" t="s">
        <v>20</v>
      </c>
    </row>
    <row r="3" spans="1:16" x14ac:dyDescent="0.2">
      <c r="A3" t="s">
        <v>21</v>
      </c>
      <c r="B3">
        <v>7</v>
      </c>
      <c r="C3" t="s">
        <v>20</v>
      </c>
    </row>
    <row r="4" spans="1:16" x14ac:dyDescent="0.2">
      <c r="A4" t="s">
        <v>22</v>
      </c>
      <c r="B4">
        <v>5</v>
      </c>
      <c r="C4" t="s">
        <v>20</v>
      </c>
    </row>
    <row r="5" spans="1:16" x14ac:dyDescent="0.2">
      <c r="A5" s="13" t="s">
        <v>59</v>
      </c>
      <c r="B5" s="14"/>
    </row>
    <row r="6" spans="1:16" x14ac:dyDescent="0.2">
      <c r="A6" s="15">
        <v>0</v>
      </c>
      <c r="B6" s="16">
        <v>1</v>
      </c>
      <c r="C6" t="s">
        <v>27</v>
      </c>
      <c r="E6" s="1"/>
    </row>
    <row r="7" spans="1:16" x14ac:dyDescent="0.2">
      <c r="A7" s="17" t="s">
        <v>28</v>
      </c>
      <c r="B7" s="16">
        <v>0.99</v>
      </c>
      <c r="E7" s="1"/>
    </row>
    <row r="8" spans="1:16" x14ac:dyDescent="0.2">
      <c r="A8" s="18" t="s">
        <v>23</v>
      </c>
      <c r="B8" s="16">
        <v>0.9</v>
      </c>
      <c r="E8" s="1"/>
    </row>
    <row r="9" spans="1:16" x14ac:dyDescent="0.2">
      <c r="A9" s="17" t="s">
        <v>24</v>
      </c>
      <c r="B9" s="16">
        <v>0.95</v>
      </c>
      <c r="H9"/>
      <c r="I9" s="3"/>
    </row>
    <row r="10" spans="1:16" x14ac:dyDescent="0.2">
      <c r="A10" s="19" t="s">
        <v>25</v>
      </c>
      <c r="B10" s="20">
        <v>0.97</v>
      </c>
      <c r="H10"/>
      <c r="I10" s="3"/>
    </row>
    <row r="11" spans="1:16" x14ac:dyDescent="0.2">
      <c r="E11" t="s">
        <v>8</v>
      </c>
      <c r="F11" s="3">
        <f>SUM(H25:H48)+SUM(K25:K48)+SUM(N25:N48)</f>
        <v>47.201254153039045</v>
      </c>
      <c r="H11" t="s">
        <v>34</v>
      </c>
      <c r="I11" s="3">
        <v>28.93</v>
      </c>
    </row>
    <row r="12" spans="1:16" x14ac:dyDescent="0.2">
      <c r="A12" t="s">
        <v>6</v>
      </c>
      <c r="B12" s="1">
        <v>0.01</v>
      </c>
      <c r="C12" t="s">
        <v>26</v>
      </c>
      <c r="E12" t="s">
        <v>36</v>
      </c>
      <c r="F12" s="4">
        <f>F11-I11</f>
        <v>18.271254153039045</v>
      </c>
      <c r="H12" t="s">
        <v>37</v>
      </c>
      <c r="I12" s="6">
        <v>45000</v>
      </c>
      <c r="J12" t="s">
        <v>38</v>
      </c>
      <c r="K12" s="3">
        <f>I12*F12</f>
        <v>822206.43688675703</v>
      </c>
    </row>
    <row r="13" spans="1:16" x14ac:dyDescent="0.2">
      <c r="A13" t="s">
        <v>60</v>
      </c>
      <c r="H13" t="s">
        <v>35</v>
      </c>
      <c r="I13" s="8">
        <v>100000</v>
      </c>
      <c r="J13" t="s">
        <v>39</v>
      </c>
      <c r="K13" s="2">
        <f>K12/I13-1</f>
        <v>7.2220643688675707</v>
      </c>
    </row>
    <row r="14" spans="1:16" x14ac:dyDescent="0.2">
      <c r="A14" t="s">
        <v>40</v>
      </c>
      <c r="B14" s="9">
        <v>4</v>
      </c>
      <c r="H14"/>
      <c r="I14" s="3" t="s">
        <v>44</v>
      </c>
    </row>
    <row r="15" spans="1:16" x14ac:dyDescent="0.2">
      <c r="A15" t="s">
        <v>41</v>
      </c>
      <c r="B15" s="1">
        <v>0.03</v>
      </c>
      <c r="C15" t="s">
        <v>43</v>
      </c>
      <c r="H15"/>
    </row>
    <row r="16" spans="1:16" x14ac:dyDescent="0.2">
      <c r="B16" s="1">
        <v>0.03</v>
      </c>
      <c r="C16" t="s">
        <v>63</v>
      </c>
      <c r="H16"/>
      <c r="L16" t="s">
        <v>51</v>
      </c>
      <c r="M16" s="4">
        <f>SUM(Q25:Q42)</f>
        <v>34.22861513420699</v>
      </c>
      <c r="O16" s="3" t="s">
        <v>49</v>
      </c>
      <c r="P16" s="11">
        <f>SUM(P25:P49)</f>
        <v>16.256008647347706</v>
      </c>
    </row>
    <row r="17" spans="1:18" x14ac:dyDescent="0.2">
      <c r="H17"/>
      <c r="I17" s="3"/>
      <c r="M17" s="4"/>
      <c r="O17" s="3" t="s">
        <v>70</v>
      </c>
      <c r="P17">
        <v>18</v>
      </c>
    </row>
    <row r="18" spans="1:18" x14ac:dyDescent="0.2">
      <c r="H18"/>
      <c r="I18" s="3"/>
      <c r="M18" s="4"/>
    </row>
    <row r="19" spans="1:18" x14ac:dyDescent="0.2">
      <c r="H19"/>
      <c r="I19" s="3"/>
      <c r="M19" s="4"/>
    </row>
    <row r="20" spans="1:18" x14ac:dyDescent="0.2">
      <c r="L20" s="4"/>
    </row>
    <row r="21" spans="1:18" x14ac:dyDescent="0.2">
      <c r="L21" s="4"/>
    </row>
    <row r="22" spans="1:18" x14ac:dyDescent="0.2">
      <c r="L22" s="4"/>
      <c r="M22" t="s">
        <v>66</v>
      </c>
      <c r="P22" t="s">
        <v>69</v>
      </c>
      <c r="R22" t="s">
        <v>71</v>
      </c>
    </row>
    <row r="23" spans="1:18" x14ac:dyDescent="0.2">
      <c r="H23" s="3" t="s">
        <v>62</v>
      </c>
      <c r="L23" s="3" t="s">
        <v>44</v>
      </c>
      <c r="M23" t="s">
        <v>65</v>
      </c>
      <c r="N23" t="s">
        <v>67</v>
      </c>
      <c r="R23" t="s">
        <v>72</v>
      </c>
    </row>
    <row r="24" spans="1:18" x14ac:dyDescent="0.2">
      <c r="A24" t="s">
        <v>29</v>
      </c>
      <c r="B24" t="s">
        <v>19</v>
      </c>
      <c r="C24" t="s">
        <v>21</v>
      </c>
      <c r="D24" t="s">
        <v>7</v>
      </c>
      <c r="E24" t="s">
        <v>30</v>
      </c>
      <c r="F24" s="21" t="s">
        <v>31</v>
      </c>
      <c r="G24" s="21" t="s">
        <v>32</v>
      </c>
      <c r="H24" s="22" t="s">
        <v>33</v>
      </c>
      <c r="I24" t="s">
        <v>61</v>
      </c>
      <c r="J24" t="s">
        <v>64</v>
      </c>
      <c r="K24" s="23" t="s">
        <v>42</v>
      </c>
      <c r="L24" t="s">
        <v>45</v>
      </c>
      <c r="M24" t="s">
        <v>46</v>
      </c>
      <c r="N24" s="23" t="s">
        <v>47</v>
      </c>
      <c r="O24" t="s">
        <v>48</v>
      </c>
      <c r="Q24" t="s">
        <v>50</v>
      </c>
    </row>
    <row r="25" spans="1:18" x14ac:dyDescent="0.2">
      <c r="A25">
        <v>0</v>
      </c>
      <c r="B25" s="3">
        <v>5</v>
      </c>
      <c r="C25" s="3">
        <v>7</v>
      </c>
      <c r="D25" s="4">
        <f>B25-C25</f>
        <v>-2</v>
      </c>
      <c r="E25">
        <f>1/(1+$B$12)^A25</f>
        <v>1</v>
      </c>
      <c r="F25" s="7">
        <v>1</v>
      </c>
      <c r="G25" s="7">
        <f>F25</f>
        <v>1</v>
      </c>
      <c r="H25" s="3">
        <f>D25*G25*E25</f>
        <v>-2</v>
      </c>
      <c r="I25" s="3">
        <v>-4</v>
      </c>
      <c r="J25" s="2">
        <f>3%/G25</f>
        <v>0.03</v>
      </c>
      <c r="K25" s="3">
        <f>I25*J25*G25*E25</f>
        <v>-0.12</v>
      </c>
      <c r="L25" s="4">
        <f>0.3*SUM(B26:B$48)</f>
        <v>66</v>
      </c>
      <c r="M25" s="10">
        <f>1-G25</f>
        <v>0</v>
      </c>
      <c r="N25">
        <f>L25*M25*E25</f>
        <v>0</v>
      </c>
      <c r="O25">
        <v>0.5</v>
      </c>
      <c r="P25" s="11">
        <f>M25*O25</f>
        <v>0</v>
      </c>
      <c r="Q25" s="4">
        <f>(H25+I25*J25)</f>
        <v>-2.12</v>
      </c>
    </row>
    <row r="26" spans="1:18" x14ac:dyDescent="0.2">
      <c r="A26">
        <v>1</v>
      </c>
      <c r="B26" s="3">
        <v>5</v>
      </c>
      <c r="C26" s="3">
        <v>7</v>
      </c>
      <c r="D26" s="4">
        <f t="shared" ref="D26:D48" si="0">B26-C26</f>
        <v>-2</v>
      </c>
      <c r="E26">
        <f>1/(1+$B$12)^A26</f>
        <v>0.99009900990099009</v>
      </c>
      <c r="F26" s="7">
        <v>0.99</v>
      </c>
      <c r="G26" s="7">
        <f>G25*F26</f>
        <v>0.99</v>
      </c>
      <c r="H26" s="3">
        <f t="shared" ref="H26:H48" si="1">D26*G26*E26</f>
        <v>-1.9603960396039604</v>
      </c>
      <c r="I26" s="3">
        <v>-4</v>
      </c>
      <c r="J26" s="2">
        <f t="shared" ref="J26:J48" si="2">3%/G26</f>
        <v>3.0303030303030304E-2</v>
      </c>
      <c r="K26" s="3">
        <f>I26*J26*G26*E26</f>
        <v>-0.11881188118811881</v>
      </c>
      <c r="L26" s="4">
        <f>0.3*SUM(B27:B$48)</f>
        <v>64.5</v>
      </c>
      <c r="M26" s="10">
        <f>G25-G26</f>
        <v>1.0000000000000009E-2</v>
      </c>
      <c r="N26">
        <f t="shared" ref="N26:N48" si="3">L26*M26*E26</f>
        <v>0.63861386138613918</v>
      </c>
      <c r="O26">
        <v>1.5</v>
      </c>
      <c r="P26" s="11">
        <f>M26*O26</f>
        <v>1.5000000000000013E-2</v>
      </c>
      <c r="Q26" s="4">
        <f>(H26+I26*J26)</f>
        <v>-2.0816081608160815</v>
      </c>
    </row>
    <row r="27" spans="1:18" x14ac:dyDescent="0.2">
      <c r="A27">
        <v>2</v>
      </c>
      <c r="B27" s="3">
        <v>5</v>
      </c>
      <c r="C27" s="3">
        <v>7</v>
      </c>
      <c r="D27" s="4">
        <f t="shared" si="0"/>
        <v>-2</v>
      </c>
      <c r="E27">
        <f>1/(1+$B$12)^A27</f>
        <v>0.98029604940692083</v>
      </c>
      <c r="F27" s="7">
        <v>0.99</v>
      </c>
      <c r="G27" s="7">
        <f t="shared" ref="G27:G48" si="4">G26*F27</f>
        <v>0.98009999999999997</v>
      </c>
      <c r="H27" s="3">
        <f t="shared" si="1"/>
        <v>-1.9215763160474462</v>
      </c>
      <c r="I27" s="3">
        <v>-4</v>
      </c>
      <c r="J27" s="2">
        <f t="shared" si="2"/>
        <v>3.0609121518212427E-2</v>
      </c>
      <c r="K27" s="3">
        <f t="shared" ref="K27:K48" si="5">I27*J27*G27*E27</f>
        <v>-0.11763552592883049</v>
      </c>
      <c r="L27" s="4">
        <f>0.3*SUM(B28:B$48)</f>
        <v>63</v>
      </c>
      <c r="M27" s="10">
        <f>G26-G27</f>
        <v>9.9000000000000199E-3</v>
      </c>
      <c r="N27">
        <f t="shared" si="3"/>
        <v>0.61141064601509776</v>
      </c>
      <c r="O27">
        <v>2.5</v>
      </c>
      <c r="P27" s="11">
        <f t="shared" ref="P27:P47" si="6">M27*O27</f>
        <v>2.475000000000005E-2</v>
      </c>
      <c r="Q27" s="4">
        <f t="shared" ref="Q26:Q41" si="7">(H27+I27*J27)</f>
        <v>-2.0440128021202959</v>
      </c>
    </row>
    <row r="28" spans="1:18" x14ac:dyDescent="0.2">
      <c r="A28">
        <v>3</v>
      </c>
      <c r="B28" s="3">
        <v>10</v>
      </c>
      <c r="C28" s="3">
        <v>7</v>
      </c>
      <c r="D28" s="4">
        <f t="shared" si="0"/>
        <v>3</v>
      </c>
      <c r="E28">
        <f>1/(1+$B$12)^A28</f>
        <v>0.97059014792764453</v>
      </c>
      <c r="F28" s="7">
        <v>0.95</v>
      </c>
      <c r="G28" s="7">
        <f t="shared" si="4"/>
        <v>0.93109499999999989</v>
      </c>
      <c r="H28" s="3">
        <f t="shared" si="1"/>
        <v>2.71113490135407</v>
      </c>
      <c r="I28" s="3">
        <v>-4</v>
      </c>
      <c r="J28" s="2">
        <f t="shared" si="2"/>
        <v>3.2220127913907819E-2</v>
      </c>
      <c r="K28" s="3">
        <f t="shared" si="5"/>
        <v>-0.11647081775131733</v>
      </c>
      <c r="L28" s="4">
        <f>0.3*SUM(B29:B$48)</f>
        <v>60</v>
      </c>
      <c r="M28" s="10">
        <f>G27-G28</f>
        <v>4.9005000000000076E-2</v>
      </c>
      <c r="N28">
        <f t="shared" si="3"/>
        <v>2.8538262119516578</v>
      </c>
      <c r="O28">
        <v>3.5</v>
      </c>
      <c r="P28" s="11">
        <f t="shared" si="6"/>
        <v>0.17151750000000027</v>
      </c>
      <c r="Q28" s="4">
        <f t="shared" si="7"/>
        <v>2.5822543896984387</v>
      </c>
    </row>
    <row r="29" spans="1:18" x14ac:dyDescent="0.2">
      <c r="A29">
        <v>4</v>
      </c>
      <c r="B29" s="3">
        <v>10</v>
      </c>
      <c r="C29" s="3">
        <v>7</v>
      </c>
      <c r="D29" s="4">
        <f t="shared" si="0"/>
        <v>3</v>
      </c>
      <c r="E29">
        <f>1/(1+$B$12)^A29</f>
        <v>0.96098034448281622</v>
      </c>
      <c r="F29" s="7">
        <v>0.95</v>
      </c>
      <c r="G29" s="7">
        <f>G28*F29</f>
        <v>0.88454024999999981</v>
      </c>
      <c r="H29" s="3">
        <f t="shared" si="1"/>
        <v>2.5500773824617489</v>
      </c>
      <c r="I29" s="3">
        <v>-4</v>
      </c>
      <c r="J29" s="2">
        <f t="shared" si="2"/>
        <v>3.391592411990297E-2</v>
      </c>
      <c r="K29" s="3">
        <f t="shared" si="5"/>
        <v>-0.11531764133793793</v>
      </c>
      <c r="L29" s="4">
        <f>0.3*SUM(B30:B$48)</f>
        <v>57</v>
      </c>
      <c r="M29" s="10">
        <f t="shared" ref="M29:M48" si="8">G28-G29</f>
        <v>4.6554750000000089E-2</v>
      </c>
      <c r="N29">
        <f t="shared" si="3"/>
        <v>2.5500773824617542</v>
      </c>
      <c r="O29">
        <v>4.5</v>
      </c>
      <c r="P29" s="11">
        <f t="shared" si="6"/>
        <v>0.2094963750000004</v>
      </c>
      <c r="Q29" s="4">
        <f t="shared" si="7"/>
        <v>2.414413685982137</v>
      </c>
    </row>
    <row r="30" spans="1:18" x14ac:dyDescent="0.2">
      <c r="A30">
        <v>5</v>
      </c>
      <c r="B30" s="3">
        <v>10</v>
      </c>
      <c r="C30" s="3">
        <v>7</v>
      </c>
      <c r="D30" s="4">
        <f t="shared" si="0"/>
        <v>3</v>
      </c>
      <c r="E30">
        <f>1/(1+$B$12)^A30</f>
        <v>0.95146568760674888</v>
      </c>
      <c r="F30" s="7">
        <v>0.95</v>
      </c>
      <c r="G30" s="7">
        <f t="shared" si="4"/>
        <v>0.84031323749999975</v>
      </c>
      <c r="H30" s="3">
        <f t="shared" si="1"/>
        <v>2.3985876369689718</v>
      </c>
      <c r="I30" s="3">
        <v>-4</v>
      </c>
      <c r="J30" s="2">
        <f t="shared" si="2"/>
        <v>3.5700972757792604E-2</v>
      </c>
      <c r="K30" s="3">
        <f t="shared" si="5"/>
        <v>-0.11417588251280986</v>
      </c>
      <c r="L30" s="4">
        <f>0.3*SUM(B31:B$48)</f>
        <v>54</v>
      </c>
      <c r="M30" s="10">
        <f t="shared" si="8"/>
        <v>4.4227012500000051E-2</v>
      </c>
      <c r="N30">
        <f t="shared" si="3"/>
        <v>2.2723461823916606</v>
      </c>
      <c r="O30">
        <v>5.5</v>
      </c>
      <c r="P30" s="11">
        <f t="shared" si="6"/>
        <v>0.24324856875000028</v>
      </c>
      <c r="Q30" s="4">
        <f t="shared" si="7"/>
        <v>2.2557837459378014</v>
      </c>
    </row>
    <row r="31" spans="1:18" x14ac:dyDescent="0.2">
      <c r="A31">
        <v>6</v>
      </c>
      <c r="B31" s="3">
        <v>10</v>
      </c>
      <c r="C31" s="3">
        <v>7</v>
      </c>
      <c r="D31" s="4">
        <f t="shared" si="0"/>
        <v>3</v>
      </c>
      <c r="E31">
        <f>1/(1+$B$12)^A31</f>
        <v>0.94204523525420658</v>
      </c>
      <c r="F31" s="7">
        <v>0.95</v>
      </c>
      <c r="G31" s="7">
        <f t="shared" si="4"/>
        <v>0.7982975756249997</v>
      </c>
      <c r="H31" s="3">
        <f t="shared" si="1"/>
        <v>2.2560972822975467</v>
      </c>
      <c r="I31" s="3">
        <v>-4</v>
      </c>
      <c r="J31" s="2">
        <f t="shared" si="2"/>
        <v>3.7579971323992219E-2</v>
      </c>
      <c r="K31" s="3">
        <f t="shared" si="5"/>
        <v>-0.11304542823050479</v>
      </c>
      <c r="L31" s="4">
        <f>0.3*SUM(B32:B$48)</f>
        <v>51</v>
      </c>
      <c r="M31" s="10">
        <f t="shared" si="8"/>
        <v>4.2015661875000054E-2</v>
      </c>
      <c r="N31">
        <f t="shared" si="3"/>
        <v>2.0186133578451768</v>
      </c>
      <c r="O31">
        <v>6.5</v>
      </c>
      <c r="P31" s="11">
        <f t="shared" si="6"/>
        <v>0.27310180218750035</v>
      </c>
      <c r="Q31" s="4">
        <f t="shared" si="7"/>
        <v>2.1057773970015776</v>
      </c>
    </row>
    <row r="32" spans="1:18" x14ac:dyDescent="0.2">
      <c r="A32">
        <v>7</v>
      </c>
      <c r="B32" s="3">
        <v>10</v>
      </c>
      <c r="C32" s="3">
        <v>7</v>
      </c>
      <c r="D32" s="4">
        <f t="shared" si="0"/>
        <v>3</v>
      </c>
      <c r="E32">
        <f>1/(1+$B$12)^A32</f>
        <v>0.93271805470713554</v>
      </c>
      <c r="F32" s="7">
        <v>0.95</v>
      </c>
      <c r="G32" s="7">
        <f t="shared" si="4"/>
        <v>0.7583826968437497</v>
      </c>
      <c r="H32" s="3">
        <f>D32*G32*E32</f>
        <v>2.1220717011709604</v>
      </c>
      <c r="I32" s="3">
        <v>-4</v>
      </c>
      <c r="J32" s="2">
        <f t="shared" si="2"/>
        <v>3.9557864551570759E-2</v>
      </c>
      <c r="K32" s="3">
        <f t="shared" si="5"/>
        <v>-0.11192616656485627</v>
      </c>
      <c r="L32" s="4">
        <f>0.3*SUM(B33:B$48)</f>
        <v>48</v>
      </c>
      <c r="M32" s="10">
        <f t="shared" si="8"/>
        <v>3.9914878781249996E-2</v>
      </c>
      <c r="N32">
        <f t="shared" si="3"/>
        <v>1.7870077483544937</v>
      </c>
      <c r="O32">
        <v>7.5</v>
      </c>
      <c r="P32" s="11">
        <f t="shared" si="6"/>
        <v>0.29936159085937497</v>
      </c>
      <c r="Q32" s="4">
        <f t="shared" si="7"/>
        <v>1.9638402429646775</v>
      </c>
    </row>
    <row r="33" spans="1:19" x14ac:dyDescent="0.2">
      <c r="A33">
        <v>8</v>
      </c>
      <c r="B33" s="3">
        <v>10</v>
      </c>
      <c r="C33" s="3">
        <v>7</v>
      </c>
      <c r="D33" s="4">
        <f t="shared" si="0"/>
        <v>3</v>
      </c>
      <c r="E33">
        <f>1/(1+$B$12)^A33</f>
        <v>0.92348322248231218</v>
      </c>
      <c r="F33" s="7">
        <v>0.95</v>
      </c>
      <c r="G33" s="7">
        <f t="shared" si="4"/>
        <v>0.72046356200156214</v>
      </c>
      <c r="H33" s="3">
        <f t="shared" si="1"/>
        <v>1.9960080357548631</v>
      </c>
      <c r="I33" s="3">
        <v>-4</v>
      </c>
      <c r="J33" s="2">
        <f t="shared" si="2"/>
        <v>4.1639857422706067E-2</v>
      </c>
      <c r="K33" s="3">
        <f t="shared" si="5"/>
        <v>-0.11081798669787746</v>
      </c>
      <c r="L33" s="4">
        <f>0.3*SUM(B34:B$48)</f>
        <v>45</v>
      </c>
      <c r="M33" s="10">
        <f t="shared" si="8"/>
        <v>3.7919134842187563E-2</v>
      </c>
      <c r="N33">
        <f t="shared" si="3"/>
        <v>1.5757958177012112</v>
      </c>
      <c r="O33">
        <v>8.5</v>
      </c>
      <c r="P33" s="11">
        <f t="shared" si="6"/>
        <v>0.32231264615859428</v>
      </c>
      <c r="Q33" s="4">
        <f t="shared" si="7"/>
        <v>1.8294486060640387</v>
      </c>
    </row>
    <row r="34" spans="1:19" x14ac:dyDescent="0.2">
      <c r="A34">
        <v>9</v>
      </c>
      <c r="B34" s="3">
        <v>10</v>
      </c>
      <c r="C34" s="3">
        <v>7</v>
      </c>
      <c r="D34" s="4">
        <f t="shared" si="0"/>
        <v>3</v>
      </c>
      <c r="E34">
        <f>1/(1+$B$12)^A34</f>
        <v>0.91433982423991289</v>
      </c>
      <c r="F34" s="7">
        <v>0.95</v>
      </c>
      <c r="G34" s="7">
        <f t="shared" si="4"/>
        <v>0.68444038390148398</v>
      </c>
      <c r="H34" s="3">
        <f t="shared" si="1"/>
        <v>1.8774333009575441</v>
      </c>
      <c r="I34" s="3">
        <v>-4</v>
      </c>
      <c r="J34" s="2">
        <f t="shared" si="2"/>
        <v>4.383142886600639E-2</v>
      </c>
      <c r="K34" s="3">
        <f t="shared" si="5"/>
        <v>-0.10972077890878955</v>
      </c>
      <c r="L34" s="4">
        <f>0.3*SUM(B35:B$48)</f>
        <v>42</v>
      </c>
      <c r="M34" s="10">
        <f t="shared" si="8"/>
        <v>3.6023178100078157E-2</v>
      </c>
      <c r="N34">
        <f t="shared" si="3"/>
        <v>1.3833719059687188</v>
      </c>
      <c r="O34">
        <v>9.5</v>
      </c>
      <c r="P34" s="11">
        <f t="shared" si="6"/>
        <v>0.34222019195074249</v>
      </c>
      <c r="Q34" s="4">
        <f t="shared" si="7"/>
        <v>1.7021075854935186</v>
      </c>
    </row>
    <row r="35" spans="1:19" x14ac:dyDescent="0.2">
      <c r="A35">
        <v>10</v>
      </c>
      <c r="B35" s="3">
        <v>10</v>
      </c>
      <c r="C35" s="3">
        <v>7</v>
      </c>
      <c r="D35" s="4">
        <f t="shared" si="0"/>
        <v>3</v>
      </c>
      <c r="E35">
        <f>1/(1+$B$12)^A35</f>
        <v>0.90528695469298315</v>
      </c>
      <c r="F35" s="7">
        <v>0.95</v>
      </c>
      <c r="G35" s="7">
        <f t="shared" si="4"/>
        <v>0.6502183647064097</v>
      </c>
      <c r="H35" s="3">
        <f t="shared" si="1"/>
        <v>1.7659026098115513</v>
      </c>
      <c r="I35" s="3">
        <v>-4</v>
      </c>
      <c r="J35" s="2">
        <f t="shared" si="2"/>
        <v>4.6138346174743571E-2</v>
      </c>
      <c r="K35" s="3">
        <f t="shared" si="5"/>
        <v>-0.10863443456315798</v>
      </c>
      <c r="L35" s="4">
        <f>0.3*SUM(B36:B$48)</f>
        <v>39</v>
      </c>
      <c r="M35" s="10">
        <f t="shared" si="8"/>
        <v>3.4222019195074282E-2</v>
      </c>
      <c r="N35">
        <f t="shared" si="3"/>
        <v>1.2082491540815909</v>
      </c>
      <c r="O35">
        <v>10.5</v>
      </c>
      <c r="P35" s="11">
        <f t="shared" si="6"/>
        <v>0.35933120154827997</v>
      </c>
      <c r="Q35" s="4">
        <f t="shared" si="7"/>
        <v>1.5813492251125771</v>
      </c>
    </row>
    <row r="36" spans="1:19" x14ac:dyDescent="0.2">
      <c r="A36">
        <v>11</v>
      </c>
      <c r="B36" s="3">
        <v>10</v>
      </c>
      <c r="C36" s="3">
        <v>7</v>
      </c>
      <c r="D36" s="4">
        <f t="shared" si="0"/>
        <v>3</v>
      </c>
      <c r="E36">
        <f>1/(1+$B$12)^A36</f>
        <v>0.89632371751780526</v>
      </c>
      <c r="F36" s="7">
        <v>0.95</v>
      </c>
      <c r="G36" s="7">
        <f t="shared" si="4"/>
        <v>0.61770744647108922</v>
      </c>
      <c r="H36" s="3">
        <f t="shared" si="1"/>
        <v>1.6609975042781921</v>
      </c>
      <c r="I36" s="3">
        <v>-4</v>
      </c>
      <c r="J36" s="2">
        <f t="shared" si="2"/>
        <v>4.85666801839406E-2</v>
      </c>
      <c r="K36" s="3">
        <f t="shared" si="5"/>
        <v>-0.10755884610213663</v>
      </c>
      <c r="L36" s="4">
        <f>0.3*SUM(B37:B$48)</f>
        <v>36</v>
      </c>
      <c r="M36" s="10">
        <f t="shared" si="8"/>
        <v>3.2510918235320485E-2</v>
      </c>
      <c r="N36">
        <f t="shared" si="3"/>
        <v>1.049051055333595</v>
      </c>
      <c r="O36">
        <v>11.5</v>
      </c>
      <c r="P36" s="11">
        <f t="shared" si="6"/>
        <v>0.37387555970618558</v>
      </c>
      <c r="Q36" s="4">
        <f t="shared" si="7"/>
        <v>1.4667307835424297</v>
      </c>
    </row>
    <row r="37" spans="1:19" x14ac:dyDescent="0.2">
      <c r="A37">
        <v>12</v>
      </c>
      <c r="B37" s="3">
        <v>10</v>
      </c>
      <c r="C37" s="3">
        <v>7</v>
      </c>
      <c r="D37" s="4">
        <f t="shared" si="0"/>
        <v>3</v>
      </c>
      <c r="E37">
        <f>1/(1+$B$12)^A37</f>
        <v>0.88744922526515368</v>
      </c>
      <c r="F37" s="7">
        <v>0.97</v>
      </c>
      <c r="G37" s="7">
        <f t="shared" si="4"/>
        <v>0.5991762230769565</v>
      </c>
      <c r="H37" s="3">
        <f t="shared" si="1"/>
        <v>1.5952154249008379</v>
      </c>
      <c r="I37" s="3">
        <v>-4</v>
      </c>
      <c r="J37" s="2">
        <f t="shared" si="2"/>
        <v>5.0068742457670727E-2</v>
      </c>
      <c r="K37" s="3">
        <f t="shared" si="5"/>
        <v>-0.10649390703181844</v>
      </c>
      <c r="L37" s="4">
        <f>0.3*SUM(B38:B$48)</f>
        <v>33</v>
      </c>
      <c r="M37" s="10">
        <f t="shared" si="8"/>
        <v>1.8531223394132712E-2</v>
      </c>
      <c r="N37">
        <f t="shared" si="3"/>
        <v>0.54270215486317275</v>
      </c>
      <c r="O37">
        <v>12.5</v>
      </c>
      <c r="P37" s="11">
        <f t="shared" si="6"/>
        <v>0.2316402924266589</v>
      </c>
      <c r="Q37" s="4">
        <f t="shared" si="7"/>
        <v>1.394940455070155</v>
      </c>
    </row>
    <row r="38" spans="1:19" x14ac:dyDescent="0.2">
      <c r="A38">
        <v>13</v>
      </c>
      <c r="B38" s="3">
        <v>10</v>
      </c>
      <c r="C38" s="3">
        <v>7</v>
      </c>
      <c r="D38" s="4">
        <f t="shared" si="0"/>
        <v>3</v>
      </c>
      <c r="E38">
        <f>1/(1+$B$12)^A38</f>
        <v>0.87866259927242929</v>
      </c>
      <c r="F38" s="7">
        <v>0.97</v>
      </c>
      <c r="G38" s="7">
        <f t="shared" si="4"/>
        <v>0.58120093638464776</v>
      </c>
      <c r="H38" s="3">
        <f t="shared" si="1"/>
        <v>1.5320385763899134</v>
      </c>
      <c r="I38" s="3">
        <v>-4</v>
      </c>
      <c r="J38" s="2">
        <f t="shared" si="2"/>
        <v>5.1617260265639932E-2</v>
      </c>
      <c r="K38" s="3">
        <f t="shared" si="5"/>
        <v>-0.10543951191269151</v>
      </c>
      <c r="L38" s="4">
        <f>0.3*SUM(B39:B$48)</f>
        <v>30</v>
      </c>
      <c r="M38" s="10">
        <f t="shared" si="8"/>
        <v>1.7975286692308745E-2</v>
      </c>
      <c r="N38">
        <f t="shared" si="3"/>
        <v>0.47382636383193327</v>
      </c>
      <c r="O38">
        <v>13.5</v>
      </c>
      <c r="P38" s="11">
        <f t="shared" si="6"/>
        <v>0.24266637034616806</v>
      </c>
      <c r="Q38" s="4">
        <f t="shared" si="7"/>
        <v>1.3255695353273536</v>
      </c>
    </row>
    <row r="39" spans="1:19" x14ac:dyDescent="0.2">
      <c r="A39">
        <v>14</v>
      </c>
      <c r="B39" s="3">
        <v>10</v>
      </c>
      <c r="C39" s="3">
        <v>7</v>
      </c>
      <c r="D39" s="4">
        <f t="shared" si="0"/>
        <v>3</v>
      </c>
      <c r="E39">
        <f>1/(1+$B$12)^A39</f>
        <v>0.86996296957666264</v>
      </c>
      <c r="F39" s="7">
        <v>0.97</v>
      </c>
      <c r="G39" s="7">
        <f t="shared" si="4"/>
        <v>0.56376490829310832</v>
      </c>
      <c r="H39" s="3">
        <f t="shared" si="1"/>
        <v>1.4713637812853624</v>
      </c>
      <c r="I39" s="3">
        <v>-4</v>
      </c>
      <c r="J39" s="2">
        <f t="shared" si="2"/>
        <v>5.321367037694838E-2</v>
      </c>
      <c r="K39" s="3">
        <f t="shared" si="5"/>
        <v>-0.10439555634919952</v>
      </c>
      <c r="L39" s="4">
        <f>0.3*SUM(B40:B$48)</f>
        <v>27</v>
      </c>
      <c r="M39" s="10">
        <f t="shared" si="8"/>
        <v>1.7436028091539435E-2</v>
      </c>
      <c r="N39">
        <f t="shared" si="3"/>
        <v>0.40955486695571941</v>
      </c>
      <c r="O39">
        <v>14.5</v>
      </c>
      <c r="P39" s="11">
        <f t="shared" si="6"/>
        <v>0.25282240732732181</v>
      </c>
      <c r="Q39" s="4">
        <f t="shared" si="7"/>
        <v>1.258509099777569</v>
      </c>
    </row>
    <row r="40" spans="1:19" x14ac:dyDescent="0.2">
      <c r="A40">
        <v>15</v>
      </c>
      <c r="B40" s="3">
        <v>10</v>
      </c>
      <c r="C40" s="3">
        <v>7</v>
      </c>
      <c r="D40" s="4">
        <f t="shared" si="0"/>
        <v>3</v>
      </c>
      <c r="E40">
        <f>1/(1+$B$12)^A40</f>
        <v>0.86134947482837909</v>
      </c>
      <c r="F40" s="7">
        <v>0.97</v>
      </c>
      <c r="G40" s="7">
        <f t="shared" si="4"/>
        <v>0.5468519610443151</v>
      </c>
      <c r="H40" s="3">
        <f t="shared" si="1"/>
        <v>1.4130919483631703</v>
      </c>
      <c r="I40" s="3">
        <v>-4</v>
      </c>
      <c r="J40" s="2">
        <f t="shared" si="2"/>
        <v>5.4859453996853998E-2</v>
      </c>
      <c r="K40" s="3">
        <f t="shared" si="5"/>
        <v>-0.10336193697940549</v>
      </c>
      <c r="L40" s="4">
        <f>0.3*SUM(B41:B$48)</f>
        <v>24</v>
      </c>
      <c r="M40" s="10">
        <f t="shared" si="8"/>
        <v>1.691294724879322E-2</v>
      </c>
      <c r="N40">
        <f t="shared" si="3"/>
        <v>0.34963099753315485</v>
      </c>
      <c r="O40">
        <v>15.5</v>
      </c>
      <c r="P40" s="11">
        <f t="shared" si="6"/>
        <v>0.26215068235629491</v>
      </c>
      <c r="Q40" s="4">
        <f t="shared" si="7"/>
        <v>1.1936541323757544</v>
      </c>
    </row>
    <row r="41" spans="1:19" x14ac:dyDescent="0.2">
      <c r="A41">
        <v>16</v>
      </c>
      <c r="B41" s="3">
        <v>10</v>
      </c>
      <c r="C41" s="3">
        <v>7</v>
      </c>
      <c r="D41" s="4">
        <f t="shared" si="0"/>
        <v>3</v>
      </c>
      <c r="E41">
        <f>1/(1+$B$12)^A41</f>
        <v>0.8528212622063156</v>
      </c>
      <c r="F41" s="7">
        <v>0.97</v>
      </c>
      <c r="G41" s="7">
        <f t="shared" si="4"/>
        <v>0.53044640221298567</v>
      </c>
      <c r="H41" s="3">
        <f t="shared" si="1"/>
        <v>1.3571279108042322</v>
      </c>
      <c r="I41" s="3">
        <v>-4</v>
      </c>
      <c r="J41" s="2">
        <f t="shared" si="2"/>
        <v>5.6556138141086593E-2</v>
      </c>
      <c r="K41" s="3">
        <f t="shared" si="5"/>
        <v>-0.10233855146475787</v>
      </c>
      <c r="L41" s="4">
        <f>0.3*SUM(B42:B$48)</f>
        <v>21</v>
      </c>
      <c r="M41" s="10">
        <f t="shared" si="8"/>
        <v>1.6405558831329436E-2</v>
      </c>
      <c r="N41">
        <f t="shared" si="3"/>
        <v>0.29381119718442111</v>
      </c>
      <c r="O41">
        <v>16.5</v>
      </c>
      <c r="P41" s="11">
        <f t="shared" si="6"/>
        <v>0.2706917207169357</v>
      </c>
      <c r="Q41" s="4">
        <f t="shared" si="7"/>
        <v>1.1309033582398857</v>
      </c>
    </row>
    <row r="42" spans="1:19" x14ac:dyDescent="0.2">
      <c r="A42">
        <v>17</v>
      </c>
      <c r="B42" s="3">
        <v>10</v>
      </c>
      <c r="C42" s="3">
        <v>7</v>
      </c>
      <c r="D42" s="4">
        <f t="shared" si="0"/>
        <v>3</v>
      </c>
      <c r="E42">
        <f>1/(1+$B$12)^A42</f>
        <v>0.84437748733298568</v>
      </c>
      <c r="F42" s="7">
        <v>0.97</v>
      </c>
      <c r="G42" s="24">
        <f t="shared" si="4"/>
        <v>0.51453301014659614</v>
      </c>
      <c r="H42" s="3">
        <f t="shared" si="1"/>
        <v>1.3033802707723814</v>
      </c>
      <c r="I42" s="3">
        <v>-4</v>
      </c>
      <c r="J42" s="2">
        <f t="shared" si="2"/>
        <v>5.8305297052666585E-2</v>
      </c>
      <c r="K42" s="3">
        <f t="shared" si="5"/>
        <v>-0.10132529847995828</v>
      </c>
      <c r="L42" s="4">
        <f>0.3*SUM(B43:B$48)</f>
        <v>18</v>
      </c>
      <c r="M42" s="10">
        <f t="shared" si="8"/>
        <v>1.5913392066389531E-2</v>
      </c>
      <c r="N42">
        <f t="shared" si="3"/>
        <v>0.2418643801433279</v>
      </c>
      <c r="O42">
        <v>17.5</v>
      </c>
      <c r="P42" s="11">
        <f t="shared" si="6"/>
        <v>0.2784843611618168</v>
      </c>
      <c r="Q42" s="25">
        <f>(H42+I42*J42)+L42*E42</f>
        <v>16.268953854555459</v>
      </c>
      <c r="R42" t="s">
        <v>73</v>
      </c>
      <c r="S42" t="s">
        <v>74</v>
      </c>
    </row>
    <row r="43" spans="1:19" x14ac:dyDescent="0.2">
      <c r="A43">
        <v>18</v>
      </c>
      <c r="B43" s="3">
        <v>10</v>
      </c>
      <c r="C43" s="3">
        <v>7</v>
      </c>
      <c r="D43" s="4">
        <f t="shared" si="0"/>
        <v>3</v>
      </c>
      <c r="E43">
        <f>1/(1+$B$12)^A43</f>
        <v>0.83601731419107495</v>
      </c>
      <c r="F43" s="7">
        <v>0.97</v>
      </c>
      <c r="G43" s="24">
        <f t="shared" si="4"/>
        <v>0.49909701984219823</v>
      </c>
      <c r="H43" s="3">
        <f t="shared" si="1"/>
        <v>1.2517612501477327</v>
      </c>
      <c r="I43" s="3">
        <v>-4</v>
      </c>
      <c r="J43" s="2">
        <f t="shared" si="2"/>
        <v>6.0108553662542877E-2</v>
      </c>
      <c r="K43" s="3">
        <f t="shared" si="5"/>
        <v>-0.10032207770292899</v>
      </c>
      <c r="L43" s="4">
        <f>0.3*SUM(B44:B$48)</f>
        <v>15</v>
      </c>
      <c r="M43" s="10">
        <f t="shared" si="8"/>
        <v>1.5435990304397906E-2</v>
      </c>
      <c r="N43">
        <f t="shared" si="3"/>
        <v>0.19357132734243315</v>
      </c>
      <c r="O43">
        <v>18.5</v>
      </c>
      <c r="P43" s="11">
        <f t="shared" si="6"/>
        <v>0.28556582063136127</v>
      </c>
      <c r="Q43" s="4"/>
    </row>
    <row r="44" spans="1:19" x14ac:dyDescent="0.2">
      <c r="A44">
        <v>19</v>
      </c>
      <c r="B44" s="3">
        <v>10</v>
      </c>
      <c r="C44" s="3">
        <v>7</v>
      </c>
      <c r="D44" s="4">
        <f t="shared" si="0"/>
        <v>3</v>
      </c>
      <c r="E44">
        <f>1/(1+$B$12)^A44</f>
        <v>0.82773991504066846</v>
      </c>
      <c r="F44" s="7">
        <v>0.97</v>
      </c>
      <c r="G44" s="7">
        <f t="shared" si="4"/>
        <v>0.48412410924693228</v>
      </c>
      <c r="H44" s="3">
        <f t="shared" si="1"/>
        <v>1.2021865471715849</v>
      </c>
      <c r="I44" s="3">
        <v>-4</v>
      </c>
      <c r="J44" s="2">
        <f t="shared" si="2"/>
        <v>6.1967581095405025E-2</v>
      </c>
      <c r="K44" s="3">
        <f t="shared" si="5"/>
        <v>-9.9328789804880205E-2</v>
      </c>
      <c r="L44" s="4">
        <f>0.3*SUM(B45:B$48)</f>
        <v>12</v>
      </c>
      <c r="M44" s="10">
        <f t="shared" si="8"/>
        <v>1.4972910595265954E-2</v>
      </c>
      <c r="N44">
        <f t="shared" si="3"/>
        <v>0.14872410892844359</v>
      </c>
      <c r="O44">
        <v>19.5</v>
      </c>
      <c r="P44" s="11">
        <f t="shared" si="6"/>
        <v>0.29197175660768609</v>
      </c>
      <c r="Q44" s="4"/>
    </row>
    <row r="45" spans="1:19" x14ac:dyDescent="0.2">
      <c r="A45">
        <v>20</v>
      </c>
      <c r="B45" s="3">
        <v>10</v>
      </c>
      <c r="C45" s="3">
        <v>7</v>
      </c>
      <c r="D45" s="4">
        <f t="shared" si="0"/>
        <v>3</v>
      </c>
      <c r="E45">
        <f>1/(1+$B$12)^A45</f>
        <v>0.81954447033729538</v>
      </c>
      <c r="F45" s="7">
        <v>0.97</v>
      </c>
      <c r="G45" s="7">
        <f t="shared" si="4"/>
        <v>0.4696003859695243</v>
      </c>
      <c r="H45" s="3">
        <f t="shared" si="1"/>
        <v>1.1545751987687498</v>
      </c>
      <c r="I45" s="3">
        <v>-4</v>
      </c>
      <c r="J45" s="2">
        <f t="shared" si="2"/>
        <v>6.3884104222067042E-2</v>
      </c>
      <c r="K45" s="3">
        <f t="shared" si="5"/>
        <v>-9.8345336440475439E-2</v>
      </c>
      <c r="L45" s="4">
        <f>0.3*SUM(B46:B$48)</f>
        <v>9</v>
      </c>
      <c r="M45" s="10">
        <f t="shared" si="8"/>
        <v>1.4523723277407974E-2</v>
      </c>
      <c r="N45">
        <f t="shared" si="3"/>
        <v>0.1071255339063789</v>
      </c>
      <c r="O45">
        <v>20.5</v>
      </c>
      <c r="P45" s="11">
        <f t="shared" si="6"/>
        <v>0.29773632718686349</v>
      </c>
      <c r="Q45" s="4"/>
    </row>
    <row r="46" spans="1:19" x14ac:dyDescent="0.2">
      <c r="A46">
        <v>21</v>
      </c>
      <c r="B46" s="3">
        <v>10</v>
      </c>
      <c r="C46" s="3">
        <v>7</v>
      </c>
      <c r="D46" s="4">
        <f t="shared" si="0"/>
        <v>3</v>
      </c>
      <c r="E46">
        <f>1/(1+$B$12)^A46</f>
        <v>0.81143016865078765</v>
      </c>
      <c r="F46" s="7">
        <v>0.97</v>
      </c>
      <c r="G46" s="7">
        <f t="shared" si="4"/>
        <v>0.45551237439043857</v>
      </c>
      <c r="H46" s="3">
        <f t="shared" si="1"/>
        <v>1.1088494483224629</v>
      </c>
      <c r="I46" s="3">
        <v>-4</v>
      </c>
      <c r="J46" s="2">
        <f t="shared" si="2"/>
        <v>6.5859901259862921E-2</v>
      </c>
      <c r="K46" s="3">
        <f t="shared" si="5"/>
        <v>-9.7371620238094508E-2</v>
      </c>
      <c r="L46" s="4">
        <f>0.3*SUM(B47:B$48)</f>
        <v>6</v>
      </c>
      <c r="M46" s="10">
        <f t="shared" si="8"/>
        <v>1.4088011579085735E-2</v>
      </c>
      <c r="N46">
        <f t="shared" si="3"/>
        <v>6.8588625669430719E-2</v>
      </c>
      <c r="O46">
        <v>21.5</v>
      </c>
      <c r="P46" s="11">
        <f t="shared" si="6"/>
        <v>0.30289224895034328</v>
      </c>
      <c r="Q46" s="4"/>
    </row>
    <row r="47" spans="1:19" x14ac:dyDescent="0.2">
      <c r="A47">
        <v>22</v>
      </c>
      <c r="B47" s="3">
        <v>10</v>
      </c>
      <c r="C47" s="3">
        <v>7</v>
      </c>
      <c r="D47" s="4">
        <f t="shared" si="0"/>
        <v>3</v>
      </c>
      <c r="E47">
        <f>1/(1+$B$12)^A47</f>
        <v>0.80339620658493804</v>
      </c>
      <c r="F47" s="7">
        <v>0.97</v>
      </c>
      <c r="G47" s="7">
        <f t="shared" si="4"/>
        <v>0.44184700315872538</v>
      </c>
      <c r="H47" s="3">
        <f t="shared" si="1"/>
        <v>1.0649346186859294</v>
      </c>
      <c r="I47" s="3">
        <v>-4</v>
      </c>
      <c r="J47" s="2">
        <f t="shared" si="2"/>
        <v>6.7896805422539105E-2</v>
      </c>
      <c r="K47" s="3">
        <f t="shared" si="5"/>
        <v>-9.6407544790192562E-2</v>
      </c>
      <c r="L47" s="4">
        <f>0.3*SUM(B48:B$48)</f>
        <v>3</v>
      </c>
      <c r="M47" s="10">
        <f t="shared" si="8"/>
        <v>1.3665371231713186E-2</v>
      </c>
      <c r="N47">
        <f t="shared" si="3"/>
        <v>3.2936122227399951E-2</v>
      </c>
      <c r="O47">
        <v>22.5</v>
      </c>
      <c r="P47" s="11">
        <f t="shared" si="6"/>
        <v>0.30747085271354668</v>
      </c>
      <c r="Q47" s="4"/>
    </row>
    <row r="48" spans="1:19" x14ac:dyDescent="0.2">
      <c r="A48">
        <v>23</v>
      </c>
      <c r="B48" s="3">
        <v>10</v>
      </c>
      <c r="C48" s="3">
        <v>7</v>
      </c>
      <c r="D48" s="4">
        <f t="shared" si="0"/>
        <v>3</v>
      </c>
      <c r="E48">
        <f>1/(1+$B$12)^A48</f>
        <v>0.79544178869795856</v>
      </c>
      <c r="F48" s="7">
        <v>0.97</v>
      </c>
      <c r="G48" s="7">
        <f t="shared" si="4"/>
        <v>0.42859159306396361</v>
      </c>
      <c r="H48" s="3">
        <f t="shared" si="1"/>
        <v>1.0227589902231202</v>
      </c>
      <c r="I48" s="3">
        <v>-4</v>
      </c>
      <c r="J48" s="2">
        <f t="shared" si="2"/>
        <v>6.999670662117434E-2</v>
      </c>
      <c r="K48" s="3">
        <f t="shared" si="5"/>
        <v>-9.5453014643755024E-2</v>
      </c>
      <c r="L48" s="4">
        <f>0.3*SUM(B$48:B49)</f>
        <v>3</v>
      </c>
      <c r="M48" s="10">
        <f t="shared" si="8"/>
        <v>1.3255410094761777E-2</v>
      </c>
      <c r="N48">
        <f t="shared" si="3"/>
        <v>3.1631721347106852E-2</v>
      </c>
      <c r="O48">
        <v>23.5</v>
      </c>
      <c r="P48" s="11">
        <f>M48*O48</f>
        <v>0.31150213722690179</v>
      </c>
      <c r="Q48" s="4"/>
    </row>
    <row r="49" spans="6:16" x14ac:dyDescent="0.2">
      <c r="F49" s="5"/>
      <c r="G49" s="5"/>
      <c r="K49" s="3"/>
      <c r="M49" s="11">
        <f>1-SUM(M25:M48)</f>
        <v>0.42859159306396366</v>
      </c>
      <c r="O49">
        <v>24</v>
      </c>
      <c r="P49" s="11">
        <f>M49*O49</f>
        <v>10.286198233535128</v>
      </c>
    </row>
    <row r="50" spans="6:16" x14ac:dyDescent="0.2">
      <c r="K50" s="3"/>
      <c r="M50" t="s">
        <v>68</v>
      </c>
    </row>
    <row r="51" spans="6:16" x14ac:dyDescent="0.2">
      <c r="K51" s="3"/>
    </row>
    <row r="52" spans="6:16" x14ac:dyDescent="0.2">
      <c r="K52" s="3"/>
    </row>
    <row r="53" spans="6:16" x14ac:dyDescent="0.2">
      <c r="K53" s="3"/>
    </row>
    <row r="54" spans="6:16" x14ac:dyDescent="0.2">
      <c r="K54" s="3"/>
    </row>
    <row r="55" spans="6:16" x14ac:dyDescent="0.2">
      <c r="K55" s="3"/>
    </row>
    <row r="56" spans="6:16" x14ac:dyDescent="0.2">
      <c r="K56" s="3"/>
    </row>
  </sheetData>
  <mergeCells count="1"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Ex_ISP_Page 27</vt:lpstr>
      <vt:lpstr>Exercise BEAR_Page 31</vt:lpstr>
      <vt:lpstr>CLV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Amirhossein Jandaghian</cp:lastModifiedBy>
  <dcterms:created xsi:type="dcterms:W3CDTF">2024-10-03T12:37:24Z</dcterms:created>
  <dcterms:modified xsi:type="dcterms:W3CDTF">2024-10-14T22:45:06Z</dcterms:modified>
</cp:coreProperties>
</file>