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s\Work\Skyzer\Billing Template\"/>
    </mc:Choice>
  </mc:AlternateContent>
  <xr:revisionPtr revIDLastSave="0" documentId="13_ncr:1_{6DE40E72-ED18-4C19-BDE4-007C627B62B8}" xr6:coauthVersionLast="47" xr6:coauthVersionMax="47" xr10:uidLastSave="{00000000-0000-0000-0000-000000000000}"/>
  <bookViews>
    <workbookView xWindow="-28920" yWindow="5145" windowWidth="29040" windowHeight="16440" activeTab="5" xr2:uid="{00A1F220-B496-4644-BB55-836357F490EA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0" l="1"/>
  <c r="D2" i="6"/>
  <c r="D3" i="6"/>
  <c r="D4" i="6"/>
  <c r="D5" i="6"/>
  <c r="D8" i="3"/>
  <c r="H8" i="3" s="1"/>
  <c r="I8" i="3"/>
  <c r="K8" i="3"/>
  <c r="D19" i="10"/>
  <c r="B19" i="10"/>
  <c r="D28" i="10"/>
  <c r="B28" i="10"/>
  <c r="D27" i="10"/>
  <c r="B27" i="10"/>
  <c r="D26" i="10"/>
  <c r="B26" i="10"/>
  <c r="D25" i="10"/>
  <c r="B25" i="10"/>
  <c r="D22" i="10"/>
  <c r="B22" i="10"/>
  <c r="D18" i="10"/>
  <c r="B18" i="10"/>
  <c r="D15" i="10"/>
  <c r="B15" i="10"/>
  <c r="D14" i="10"/>
  <c r="B14" i="10"/>
  <c r="D11" i="10"/>
  <c r="B11" i="10"/>
  <c r="D10" i="10"/>
  <c r="B10" i="10"/>
  <c r="D7" i="10"/>
  <c r="B7" i="10"/>
  <c r="E8" i="3" l="1"/>
  <c r="L8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G4" i="6"/>
  <c r="G2" i="6"/>
  <c r="G3" i="6"/>
  <c r="G5" i="6"/>
  <c r="C10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D4" i="10"/>
  <c r="D3" i="10"/>
  <c r="B3" i="10"/>
  <c r="B4" i="10"/>
  <c r="D4" i="5"/>
  <c r="D2" i="5"/>
  <c r="D3" i="5"/>
  <c r="C2" i="1"/>
  <c r="C3" i="1"/>
  <c r="C4" i="1"/>
  <c r="C5" i="1"/>
  <c r="C6" i="1"/>
  <c r="C7" i="1"/>
  <c r="C8" i="1"/>
  <c r="C9" i="1"/>
  <c r="C11" i="1"/>
  <c r="C12" i="1"/>
  <c r="D2" i="2"/>
  <c r="D3" i="2"/>
  <c r="D6" i="2"/>
  <c r="D7" i="2"/>
  <c r="D8" i="2"/>
  <c r="D9" i="2"/>
  <c r="D10" i="2"/>
  <c r="D11" i="2"/>
  <c r="D12" i="2"/>
  <c r="D13" i="2"/>
  <c r="D14" i="2"/>
  <c r="D15" i="2"/>
  <c r="H15" i="2"/>
  <c r="H3" i="2"/>
  <c r="H5" i="2"/>
  <c r="H4" i="2"/>
  <c r="H6" i="2"/>
  <c r="H7" i="2"/>
  <c r="H9" i="2"/>
  <c r="H12" i="2"/>
  <c r="H10" i="2"/>
  <c r="H14" i="2"/>
  <c r="H13" i="2"/>
  <c r="H2" i="2"/>
  <c r="G15" i="2"/>
  <c r="G3" i="2"/>
  <c r="G5" i="2"/>
  <c r="G4" i="2"/>
  <c r="G6" i="2"/>
  <c r="G11" i="2"/>
  <c r="G8" i="2"/>
  <c r="G9" i="2"/>
  <c r="G12" i="2"/>
  <c r="G10" i="2"/>
  <c r="G14" i="2"/>
  <c r="G13" i="2"/>
  <c r="G2" i="2"/>
  <c r="F15" i="2"/>
  <c r="F3" i="2"/>
  <c r="F5" i="2"/>
  <c r="F4" i="2"/>
  <c r="F7" i="2"/>
  <c r="F8" i="2"/>
  <c r="F9" i="2"/>
  <c r="F14" i="2"/>
  <c r="F13" i="2"/>
  <c r="F2" i="2"/>
  <c r="E4" i="6"/>
  <c r="D4" i="2"/>
  <c r="H3" i="6"/>
  <c r="J3" i="6" s="1"/>
  <c r="H5" i="6"/>
  <c r="J5" i="6" s="1"/>
  <c r="K2" i="3"/>
  <c r="K4" i="3"/>
  <c r="K5" i="3"/>
  <c r="K6" i="3"/>
  <c r="K7" i="3"/>
  <c r="K3" i="3"/>
  <c r="K10" i="3"/>
  <c r="K9" i="3"/>
  <c r="K11" i="3"/>
  <c r="K12" i="3"/>
  <c r="D2" i="3"/>
  <c r="E2" i="3" s="1"/>
  <c r="D4" i="3"/>
  <c r="E4" i="3" s="1"/>
  <c r="D5" i="3"/>
  <c r="E5" i="3" s="1"/>
  <c r="D6" i="3"/>
  <c r="E6" i="3" s="1"/>
  <c r="D7" i="3"/>
  <c r="E7" i="3" s="1"/>
  <c r="D13" i="3"/>
  <c r="E13" i="3" s="1"/>
  <c r="D3" i="3"/>
  <c r="E3" i="3" s="1"/>
  <c r="D10" i="3"/>
  <c r="D9" i="3"/>
  <c r="H9" i="3" s="1"/>
  <c r="I9" i="3" s="1"/>
  <c r="D11" i="3"/>
  <c r="E11" i="3" s="1"/>
  <c r="D12" i="3"/>
  <c r="E12" i="3" s="1"/>
  <c r="M8" i="3" l="1"/>
  <c r="B2" i="9"/>
  <c r="K13" i="3"/>
  <c r="H8" i="2"/>
  <c r="F10" i="2"/>
  <c r="I10" i="2" s="1"/>
  <c r="E11" i="10" s="1"/>
  <c r="F11" i="10" s="1"/>
  <c r="F12" i="2"/>
  <c r="I12" i="2" s="1"/>
  <c r="E15" i="10" s="1"/>
  <c r="F15" i="10" s="1"/>
  <c r="F11" i="2"/>
  <c r="B6" i="9"/>
  <c r="E5" i="6"/>
  <c r="I5" i="6" s="1"/>
  <c r="E3" i="6"/>
  <c r="I3" i="6" s="1"/>
  <c r="E2" i="6"/>
  <c r="B3" i="9"/>
  <c r="I13" i="2"/>
  <c r="I9" i="2"/>
  <c r="E10" i="10" s="1"/>
  <c r="F10" i="10" s="1"/>
  <c r="I14" i="2"/>
  <c r="E19" i="10" s="1"/>
  <c r="F19" i="10" s="1"/>
  <c r="I8" i="2"/>
  <c r="I15" i="2"/>
  <c r="E25" i="10" s="1"/>
  <c r="F25" i="10" s="1"/>
  <c r="I3" i="2"/>
  <c r="I4" i="2"/>
  <c r="E22" i="10" s="1"/>
  <c r="F22" i="10" s="1"/>
  <c r="I2" i="2"/>
  <c r="F6" i="2"/>
  <c r="I6" i="2" s="1"/>
  <c r="E27" i="10" s="1"/>
  <c r="F27" i="10" s="1"/>
  <c r="H12" i="3"/>
  <c r="I12" i="3" s="1"/>
  <c r="M12" i="3" s="1"/>
  <c r="H11" i="2"/>
  <c r="I11" i="2" s="1"/>
  <c r="E14" i="10" s="1"/>
  <c r="H3" i="3"/>
  <c r="I3" i="3" s="1"/>
  <c r="M3" i="3" s="1"/>
  <c r="H11" i="3"/>
  <c r="I11" i="3" s="1"/>
  <c r="M11" i="3" s="1"/>
  <c r="H10" i="3"/>
  <c r="I10" i="3" s="1"/>
  <c r="H13" i="3"/>
  <c r="I13" i="3" s="1"/>
  <c r="M13" i="3" s="1"/>
  <c r="H5" i="3"/>
  <c r="I5" i="3" s="1"/>
  <c r="M5" i="3" s="1"/>
  <c r="H4" i="3"/>
  <c r="I4" i="3" s="1"/>
  <c r="M4" i="3" s="1"/>
  <c r="H6" i="3"/>
  <c r="I6" i="3" s="1"/>
  <c r="M6" i="3" s="1"/>
  <c r="H2" i="3"/>
  <c r="I2" i="3" s="1"/>
  <c r="M2" i="3" s="1"/>
  <c r="H7" i="3"/>
  <c r="I7" i="3" s="1"/>
  <c r="M7" i="3" s="1"/>
  <c r="D5" i="2"/>
  <c r="I5" i="2" s="1"/>
  <c r="E26" i="10" s="1"/>
  <c r="F26" i="10" s="1"/>
  <c r="H2" i="6"/>
  <c r="J2" i="6" s="1"/>
  <c r="H4" i="6"/>
  <c r="J4" i="6" s="1"/>
  <c r="E9" i="3"/>
  <c r="M9" i="3" s="1"/>
  <c r="E10" i="3"/>
  <c r="F14" i="10" l="1"/>
  <c r="E18" i="10"/>
  <c r="E7" i="10"/>
  <c r="F7" i="10" s="1"/>
  <c r="J13" i="2"/>
  <c r="F18" i="10"/>
  <c r="B5" i="9"/>
  <c r="J9" i="2"/>
  <c r="E3" i="10"/>
  <c r="F3" i="10" s="1"/>
  <c r="E4" i="10"/>
  <c r="F4" i="10" s="1"/>
  <c r="J2" i="2"/>
  <c r="I2" i="6"/>
  <c r="I4" i="6"/>
  <c r="J10" i="2"/>
  <c r="J14" i="2"/>
  <c r="M10" i="3"/>
  <c r="G7" i="2"/>
  <c r="I7" i="2" s="1"/>
  <c r="F28" i="10" s="1"/>
  <c r="J3" i="2"/>
  <c r="J15" i="2"/>
  <c r="J6" i="2"/>
  <c r="J11" i="2"/>
  <c r="J8" i="2"/>
  <c r="J12" i="2"/>
  <c r="J5" i="2"/>
  <c r="J4" i="2"/>
  <c r="L12" i="3"/>
  <c r="L11" i="3"/>
  <c r="L9" i="3"/>
  <c r="L10" i="3"/>
  <c r="L3" i="3"/>
  <c r="L13" i="3"/>
  <c r="L7" i="3"/>
  <c r="L6" i="3"/>
  <c r="L5" i="3"/>
  <c r="L4" i="3"/>
  <c r="L2" i="3"/>
  <c r="B4" i="9" l="1"/>
  <c r="J7" i="2"/>
  <c r="J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Ajani Bilby</author>
  </authors>
  <commentList>
    <comment ref="C2" authorId="0" shapeId="0" xr:uid="{4A11E2E2-4D5C-4076-8B9C-7BAABA8EAC6D}">
      <text>
        <r>
          <rPr>
            <b/>
            <sz val="9"/>
            <color indexed="81"/>
            <rFont val="Tahoma"/>
            <charset val="1"/>
          </rPr>
          <t>Ajani Bilby:</t>
        </r>
        <r>
          <rPr>
            <sz val="9"/>
            <color indexed="81"/>
            <rFont val="Tahoma"/>
            <charset val="1"/>
          </rPr>
          <t xml:space="preserve">
All orders are counted as replacement, then we subtract the number of welcome flyers sent</t>
        </r>
      </text>
    </comment>
  </commentList>
</comments>
</file>

<file path=xl/sharedStrings.xml><?xml version="1.0" encoding="utf-8"?>
<sst xmlns="http://schemas.openxmlformats.org/spreadsheetml/2006/main" count="121" uniqueCount="84">
  <si>
    <t>SKU</t>
  </si>
  <si>
    <t>Qty</t>
  </si>
  <si>
    <t>Error</t>
  </si>
  <si>
    <t>SAP Code</t>
  </si>
  <si>
    <t>Rate</t>
  </si>
  <si>
    <t>Storage</t>
  </si>
  <si>
    <t>Disbursement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</si>
  <si>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</si>
  <si>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</si>
  <si>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</si>
  <si>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</si>
  <si>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</si>
  <si>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</si>
  <si>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</si>
  <si>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</si>
  <si>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</si>
  <si>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</si>
  <si>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Standard</t>
  </si>
  <si>
    <t>REF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</si>
  <si>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</si>
  <si>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</si>
  <si>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</si>
  <si>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</si>
  <si>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</si>
  <si>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</si>
  <si>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</si>
  <si>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</si>
  <si>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</si>
  <si>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</si>
  <si>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</si>
  <si>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</si>
  <si>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</si>
  <si>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</si>
  <si>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Boxes</t>
  </si>
  <si>
    <t>Box Code</t>
  </si>
  <si>
    <t>Box Qty</t>
  </si>
  <si>
    <t>Box Cost</t>
  </si>
  <si>
    <t>#36558</t>
  </si>
  <si>
    <t>Satchel (TGE 500g)</t>
  </si>
  <si>
    <t>satchel_ctp3</t>
  </si>
  <si>
    <t>Satchel CTP3</t>
  </si>
  <si>
    <t>swoop_letter_sim_new</t>
  </si>
  <si>
    <t>Welcome Letter</t>
  </si>
  <si>
    <t>swoop_sim</t>
  </si>
  <si>
    <t>SIM (Swoop/Moose)</t>
  </si>
  <si>
    <t>swoop_sim_pro_rata</t>
  </si>
  <si>
    <t>Pro Rata (Swoop/Moose)</t>
  </si>
  <si>
    <t>tplink_vx230v</t>
  </si>
  <si>
    <t>TP-Link AX1800 Router Modem</t>
  </si>
  <si>
    <t>eero_7</t>
  </si>
  <si>
    <t>Eero 7 (Basic Type1)</t>
  </si>
  <si>
    <t>tge0025</t>
  </si>
  <si>
    <t>tag#sim-mobile</t>
  </si>
  <si>
    <t>tge0026</t>
  </si>
  <si>
    <t>tge0027</t>
  </si>
  <si>
    <t>De-vanning pallets/unloading from truck, pallet put-away</t>
  </si>
  <si>
    <t>De-vanning cartons/unloading from a truck, carton put-away</t>
  </si>
  <si>
    <t>RTS - Processing of RTS Returns, Unpack, Inspection, De-Trash, Scan, Sorting and Report</t>
  </si>
  <si>
    <t>Labour - Labour Rate Weekday</t>
  </si>
  <si>
    <t>API - Management Fee</t>
  </si>
  <si>
    <t>Configuration - Per Item Fee</t>
  </si>
  <si>
    <t>Standard Modem Dropship - Per order Fee</t>
  </si>
  <si>
    <t>Standard Modem Dropship - Per item Fee</t>
  </si>
  <si>
    <t>SIM Dropship - Per order Fee</t>
  </si>
  <si>
    <t>SIM Dropship - Per item Fee</t>
  </si>
  <si>
    <t>Replacement SIM Dropship - Per order Fee</t>
  </si>
  <si>
    <t>Replacement SIM Dropship - Per item Fee</t>
  </si>
  <si>
    <t>Standard Pallet Storage</t>
  </si>
  <si>
    <t>swoop_sim_standard</t>
  </si>
  <si>
    <t>swoop_express</t>
  </si>
  <si>
    <t>swoop_sim_express</t>
  </si>
  <si>
    <t>Express</t>
  </si>
  <si>
    <t>SIM Express</t>
  </si>
  <si>
    <t>SIM Standard</t>
  </si>
  <si>
    <t>swoop_standard</t>
  </si>
  <si>
    <t>In Bound Shipment Services</t>
  </si>
  <si>
    <t>Commissioning</t>
  </si>
  <si>
    <t>Standard SIM Dropship</t>
  </si>
  <si>
    <t>Standard Replacement SIM Dropship</t>
  </si>
  <si>
    <t>Standard Modem Dropship</t>
  </si>
  <si>
    <t>Return to Sender (RTS Processing)</t>
  </si>
  <si>
    <t>Other Services</t>
  </si>
  <si>
    <t>tag#returner-order</t>
  </si>
  <si>
    <t>Return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</si>
</sst>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0" fillId="6" borderId="5" xfId="1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0" fillId="0" borderId="0" xfId="0" applyAlignment="1">
      <alignment horizontal="right"/>
    </xf>
    <xf numFmtId="0" fontId="1" fillId="10" borderId="0" xfId="20"/>
    <xf numFmtId="0" fontId="17" fillId="9" borderId="0" xfId="19"/>
    <xf numFmtId="0" fontId="16" fillId="0" borderId="0" xfId="0" applyFont="1"/>
    <xf numFmtId="0" fontId="17" fillId="9" borderId="0" xfId="19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9" fillId="5" borderId="4" xfId="10" applyNumberFormat="1" applyAlignment="1">
      <alignment horizontal="center" vertical="center"/>
    </xf>
    <xf numFmtId="164" fontId="9" fillId="5" borderId="4" xfId="10" applyNumberFormat="1" applyAlignment="1">
      <alignment horizontal="center" vertical="center"/>
    </xf>
    <xf numFmtId="0" fontId="0" fillId="0" borderId="0" xfId="0" applyAlignment="1">
      <alignment vertical="center" wrapText="1"/>
    </xf>
    <xf numFmtId="44" fontId="1" fillId="10" borderId="0" xfId="20" applyNumberFormat="1" applyAlignment="1">
      <alignment vertical="center"/>
    </xf>
    <xf numFmtId="0" fontId="1" fillId="10" borderId="0" xfId="20" applyAlignment="1">
      <alignment horizontal="center" vertical="center"/>
    </xf>
    <xf numFmtId="0" fontId="1" fillId="10" borderId="0" xfId="20" applyAlignment="1">
      <alignment vertical="center"/>
    </xf>
    <xf numFmtId="1" fontId="1" fillId="10" borderId="0" xfId="20" applyNumberFormat="1" applyAlignment="1">
      <alignment horizontal="center" vertical="center"/>
    </xf>
    <xf numFmtId="1" fontId="11" fillId="6" borderId="4" xfId="12" applyNumberFormat="1" applyAlignment="1">
      <alignment horizontal="center" vertical="center"/>
    </xf>
    <xf numFmtId="0" fontId="16" fillId="20" borderId="0" xfId="3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12" totalsRowShown="0" headerRowCellStyle="Normal" dataCellStyle="Normal">
  <autoFilter ref="A1:C12" xr:uid="{689FAB5F-4156-4438-87D9-10E7BB3562C6}"/>
  <tableColumns count="3">
    <tableColumn id="1" xr3:uid="{17679FF9-EB04-473B-8F64-EEE76A76A2B2}" name="SKU" dataCellStyle="Normal"/>
    <tableColumn id="2" xr3:uid="{673B8975-D3E3-418C-9C84-52AE2D79D5AE}" name="Qty" dataDxfId="19" dataCellStyle="Normal"/>
    <tableColumn id="3" xr3:uid="{19826D0F-EEB9-41A6-9245-01026EEF5110}" name="Error" dataDxfId="18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D4" totalsRowShown="0">
  <autoFilter ref="A1:D4" xr:uid="{9267E437-28AE-41C5-9436-3B2C0516FFAB}"/>
  <sortState xmlns:xlrd2="http://schemas.microsoft.com/office/spreadsheetml/2017/richdata2" ref="A2:D4">
    <sortCondition ref="A1:A4"/>
  </sortState>
  <tableColumns count="4">
    <tableColumn id="1" xr3:uid="{200ABEF6-5238-4FCD-AC83-84B68D4D4838}" name="REF"/>
    <tableColumn id="2" xr3:uid="{7FCF562D-BB87-4432-80CA-C047B11BF23E}" name="Orders"/>
    <tableColumn id="5" xr3:uid="{18A1B239-48F3-4187-B75D-7E0D6287C3DD}" name="Boxes"/>
    <tableColumn id="3" xr3:uid="{51CE96A6-D026-4B7A-B4A7-DC490DBBE726}" name="Error" dataDxfId="17">
      <calculatedColumnFormula>_xlfn.CONCAT(
  IF(ISNA(MATCH(Ship_Type[[#This Row],[REF]], Type[REF], 0)), _xlfn.CONCAT("Missing ", Ship_Type[[#This Row],[REF]], " definition"), ""),
  IF(ISNUMBER(Ship_Type[[#This Row],[Orders]]),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K15" totalsRowShown="0" dataCellStyle="Normal">
  <autoFilter ref="A1:K15" xr:uid="{C3DE09D7-D422-4DAA-A816-08D2DF870459}"/>
  <sortState xmlns:xlrd2="http://schemas.microsoft.com/office/spreadsheetml/2017/richdata2" ref="A2:J15">
    <sortCondition ref="A1:A15"/>
  </sortState>
  <tableColumns count="11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SUMIF(Type[Ship Code], Rate[[#This Row],[SAP Code]], Type[Ship Qty])</calculatedColumnFormula>
    </tableColumn>
    <tableColumn id="11" xr3:uid="{B6314D7F-E2BD-4447-91E9-B45887035D99}" name="Boxes" dataDxfId="16" dataCellStyle="Calculation">
      <calculatedColumnFormula>SUMIF(Type[Box Code], Rate[[#This Row],[SAP Code]], Type[Box 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15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14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13" totalsRowShown="0">
  <autoFilter ref="A1:M13" xr:uid="{3408F06A-19C6-485A-BFD6-642AAEDC81AB}"/>
  <sortState xmlns:xlrd2="http://schemas.microsoft.com/office/spreadsheetml/2017/richdata2" ref="A2:M13">
    <sortCondition ref="A1:A13"/>
  </sortState>
  <tableColumns count="13">
    <tableColumn id="1" xr3:uid="{D34CFDBF-6E27-474A-96EE-C62F3857D517}" name="SKU" dataCellStyle="Normal"/>
    <tableColumn id="2" xr3:uid="{31BC9093-55B2-47F4-AC5E-20202B2E6550}" name="Name" dataCellStyle="Normal"/>
    <tableColumn id="3" xr3:uid="{531877B5-9C86-4C0D-9CBB-838D9F308DF1}" name="Ship Code" dataDxfId="13" dataCellStyle="Input"/>
    <tableColumn id="4" xr3:uid="{7088BE2B-D88F-4C34-8161-100B57F8FB78}" name="Ship Qty" dataDxfId="12" dataCellStyle="Calculation">
      <calculatedColumnFormula>SUMIF(Ship_SKU[SKU], SKU[[#This Row],[SKU]], Ship_SKU[Qty])</calculatedColumnFormula>
    </tableColumn>
    <tableColumn id="11" xr3:uid="{B9C37E4C-73B3-4F6A-A718-1097B41D1E93}" name="Ship Cost" dataDxfId="11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10" dataCellStyle="Calculation">
      <calculatedColumnFormula>SKU[[#This Row],[Ship Qty]]*SKU[[#This Row],[Kit Items]]</calculatedColumnFormula>
    </tableColumn>
    <tableColumn id="12" xr3:uid="{5CCD393F-2453-4795-833A-23ECDF388B07}" name="Kit Cost" dataDxfId="9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8" dataCellStyle="Input"/>
    <tableColumn id="13" xr3:uid="{140E9353-875E-4671-AD80-72991CE58F6D}" name="Comission Cost" dataDxfId="7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6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DxfId="5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J5" totalsRowShown="0">
  <autoFilter ref="A1:J5" xr:uid="{A3697F71-8505-4801-AFD3-DB4D2092ACE2}"/>
  <sortState xmlns:xlrd2="http://schemas.microsoft.com/office/spreadsheetml/2017/richdata2" ref="A2:J5">
    <sortCondition descending="1" ref="C1:C5"/>
  </sortState>
  <tableColumns count="10">
    <tableColumn id="1" xr3:uid="{0B29E2D3-D0A7-41FB-85C2-6295CBE39907}" name="REF"/>
    <tableColumn id="2" xr3:uid="{0D310FA7-648F-4BF4-8DC2-E720EFF9B487}" name="Name"/>
    <tableColumn id="3" xr3:uid="{A41ACBAE-7476-4350-B5AA-9FBA621C2301}" name="Ship Code" dataCellStyle="Input"/>
    <tableColumn id="4" xr3:uid="{0365826B-1DC9-4904-8CF1-A1C7B2EC0BA0}" name="Ship Qty" dataDxfId="4" dataCellStyle="Calculation">
      <calculatedColumnFormula>SUMIF(Ship_Type[REF], Type[[#This Row],[REF]], Ship_Type[Orders])</calculatedColumnFormula>
    </tableColumn>
    <tableColumn id="9" xr3:uid="{B4A4FBFC-F38A-41E1-97EE-34B2DAD05A6A}" name="Ship Cost" dataDxfId="3" dataCellStyle="Output">
      <calculatedColumnFormula>IF(Type[[#This Row],[Ship Code]]="", 0, VLOOKUP(Type[[#This Row],[Ship Code]], Rate[], 3, FALSE)*Type[[#This Row],[Ship Qty]])</calculatedColumnFormula>
    </tableColumn>
    <tableColumn id="8" xr3:uid="{ECB96FDD-3FFB-4D2A-B9D7-652E0D8E76B6}" name="Box Code" dataCellStyle="Input"/>
    <tableColumn id="7" xr3:uid="{61FD82E8-97A0-4340-8DE9-6079A30EA72C}" name="Box Qty" dataDxfId="2" dataCellStyle="Calculation">
      <calculatedColumnFormula>SUMIF(Ship_Type[REF], Type[[#This Row],[REF]], Ship_Type[Boxes])</calculatedColumnFormula>
    </tableColumn>
    <tableColumn id="5" xr3:uid="{3E13FEEA-904C-4B08-9F28-1B3E2FCE1F0F}" name="Box Cost" dataCellStyle="Currency">
      <calculatedColumnFormula>IF(Type[[#This Row],[Ship Code]]="", 0, VLOOKUP(Type[[#This Row],[Ship Code]], Rate[], 3, FALSE)*Type[[#This Row],[Ship Qty]])</calculatedColumnFormula>
    </tableColumn>
    <tableColumn id="10" xr3:uid="{F34217F3-3C8E-4B73-A28F-34E51FFDF408}" name="Cost" dataDxfId="1" dataCellStyle="Output">
      <calculatedColumnFormula>SUM(Type[[#This Row],[Ship Cost]], Type[[#This Row],[Box Cost]])</calculatedColumnFormula>
    </tableColumn>
    <tableColumn id="6" xr3:uid="{8FD79DA1-D3E8-4BF6-A486-3EB465A555C0}" name="Error" dataDxfId="0">
      <calculatedColumnFormula>IF(ISNA(Type[[#This Row],[Box 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C12"/>
  <sheetViews>
    <sheetView workbookViewId="0">
      <selection activeCell="H6" sqref="H6"/>
    </sheetView>
  </sheetViews>
  <sheetFormatPr defaultRowHeight="15" x14ac:dyDescent="0.25"/>
  <cols>
    <col min="1" max="1" width="22.28515625" bestFit="1" customWidth="1"/>
    <col min="3" max="3" width="3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51</v>
      </c>
      <c r="B2">
        <v>270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3" x14ac:dyDescent="0.25">
      <c r="A3" t="s">
        <v>47</v>
      </c>
      <c r="B3">
        <v>234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4" spans="1:3" x14ac:dyDescent="0.25">
      <c r="A4" t="s">
        <v>49</v>
      </c>
      <c r="B4">
        <v>146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3" x14ac:dyDescent="0.25">
      <c r="A5" t="s">
        <v>43</v>
      </c>
      <c r="B5">
        <v>117</v>
      </c>
      <c r="C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6" spans="1:3" x14ac:dyDescent="0.25">
      <c r="A6" t="s">
        <v>52</v>
      </c>
      <c r="B6">
        <v>117</v>
      </c>
      <c r="C6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7" spans="1:3" x14ac:dyDescent="0.25">
      <c r="A7" t="s">
        <v>41</v>
      </c>
      <c r="B7">
        <v>101</v>
      </c>
      <c r="C7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8" spans="1:3" x14ac:dyDescent="0.25">
      <c r="A8" t="s">
        <v>45</v>
      </c>
      <c r="B8">
        <v>101</v>
      </c>
      <c r="C8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9" spans="1:3" x14ac:dyDescent="0.25">
      <c r="A9" t="s">
        <v>37</v>
      </c>
      <c r="B9">
        <v>101</v>
      </c>
      <c r="C9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0" spans="1:3" x14ac:dyDescent="0.25">
      <c r="A10" t="s">
        <v>39</v>
      </c>
      <c r="B10">
        <v>80</v>
      </c>
      <c r="C10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1" spans="1:3" x14ac:dyDescent="0.25">
      <c r="A11" t="s">
        <v>53</v>
      </c>
      <c r="B11">
        <v>7</v>
      </c>
      <c r="C11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12" spans="1:3" x14ac:dyDescent="0.25">
      <c r="A12" t="s">
        <v>54</v>
      </c>
      <c r="B12">
        <v>4</v>
      </c>
      <c r="C1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</sheetData>
  <dataValidations count="1">
    <dataValidation type="whole" operator="greaterThan" showInputMessage="1" showErrorMessage="1" sqref="B2:B12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D4"/>
  <sheetViews>
    <sheetView workbookViewId="0">
      <selection activeCell="B3" sqref="B3:B4"/>
    </sheetView>
  </sheetViews>
  <sheetFormatPr defaultRowHeight="15" x14ac:dyDescent="0.25"/>
  <cols>
    <col min="1" max="1" width="20" bestFit="1" customWidth="1"/>
    <col min="3" max="3" width="8.5703125" bestFit="1" customWidth="1"/>
  </cols>
  <sheetData>
    <row r="1" spans="1:4" x14ac:dyDescent="0.25">
      <c r="A1" t="s">
        <v>18</v>
      </c>
      <c r="B1" t="s">
        <v>23</v>
      </c>
      <c r="C1" t="s">
        <v>33</v>
      </c>
      <c r="D1" t="s">
        <v>2</v>
      </c>
    </row>
    <row r="2" spans="1:4" x14ac:dyDescent="0.25">
      <c r="A2" t="s">
        <v>69</v>
      </c>
      <c r="B2">
        <v>361</v>
      </c>
      <c r="C2">
        <v>361</v>
      </c>
      <c r="D2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  <row r="3" spans="1:4" x14ac:dyDescent="0.25">
      <c r="A3" t="s">
        <v>68</v>
      </c>
      <c r="B3">
        <v>55</v>
      </c>
      <c r="C3">
        <v>55</v>
      </c>
      <c r="D3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  <row r="4" spans="1:4" x14ac:dyDescent="0.25">
      <c r="A4" t="s">
        <v>70</v>
      </c>
      <c r="B4">
        <v>46</v>
      </c>
      <c r="C4">
        <v>46</v>
      </c>
      <c r="D4" t="str">
        <f>_xlfn.CONCAT(
  IF(ISNA(MATCH(Ship_Type[[#This Row],[REF]], Type[REF], 0)), _xlfn.CONCAT("Missing ", Ship_Type[[#This Row],[REF]], " definition"), ""),
  IF(ISNUMBER(Ship_Type[[#This Row],[Orders]]), "", "Quantity is not number")
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K17"/>
  <sheetViews>
    <sheetView workbookViewId="0">
      <selection activeCell="C7" sqref="C7"/>
    </sheetView>
  </sheetViews>
  <sheetFormatPr defaultRowHeight="15" x14ac:dyDescent="0.25"/>
  <cols>
    <col min="1" max="1" width="13.5703125" bestFit="1" customWidth="1"/>
    <col min="2" max="2" width="79.7109375" bestFit="1" customWidth="1"/>
    <col min="3" max="3" width="12" bestFit="1" customWidth="1"/>
    <col min="4" max="5" width="9.7109375" customWidth="1"/>
    <col min="6" max="6" width="10.5703125" customWidth="1"/>
    <col min="7" max="7" width="8.85546875" customWidth="1"/>
    <col min="8" max="8" width="16.5703125" bestFit="1" customWidth="1"/>
    <col min="9" max="9" width="7" bestFit="1" customWidth="1"/>
    <col min="10" max="10" width="12" customWidth="1"/>
    <col min="11" max="11" width="26.42578125" bestFit="1" customWidth="1"/>
    <col min="12" max="12" width="25.85546875" bestFit="1" customWidth="1"/>
  </cols>
  <sheetData>
    <row r="1" spans="1:11" x14ac:dyDescent="0.25">
      <c r="A1" t="s">
        <v>3</v>
      </c>
      <c r="B1" t="s">
        <v>7</v>
      </c>
      <c r="C1" t="s">
        <v>4</v>
      </c>
      <c r="D1" t="s">
        <v>23</v>
      </c>
      <c r="E1" t="s">
        <v>33</v>
      </c>
      <c r="F1" t="s">
        <v>21</v>
      </c>
      <c r="G1" t="s">
        <v>20</v>
      </c>
      <c r="H1" t="s">
        <v>22</v>
      </c>
      <c r="I1" t="s">
        <v>1</v>
      </c>
      <c r="J1" t="s">
        <v>19</v>
      </c>
      <c r="K1" t="s">
        <v>2</v>
      </c>
    </row>
    <row r="2" spans="1:11" x14ac:dyDescent="0.25">
      <c r="A2">
        <v>1200110</v>
      </c>
      <c r="B2" t="s">
        <v>55</v>
      </c>
      <c r="C2" s="10">
        <v>12.5</v>
      </c>
      <c r="D2" s="7">
        <f>SUMIF(Type[Ship Code], Rate[[#This Row],[SAP Code]], Type[Ship Qty])</f>
        <v>0</v>
      </c>
      <c r="E2" s="7">
        <f>SUMIF(Type[Box Code], Rate[[#This Row],[SAP Code]], Type[Box Qty])</f>
        <v>0</v>
      </c>
      <c r="F2" s="7">
        <f>SUMIF(SKU[Ship Code], Rate[[#This Row],[SAP Code]], SKU[Ship Qty])</f>
        <v>0</v>
      </c>
      <c r="G2" s="7">
        <f>SUMIF(SKU[Kit Code], Rate[[#This Row],[SAP Code]], SKU[Kit Qty])</f>
        <v>0</v>
      </c>
      <c r="H2" s="7">
        <f>SUMIF(SKU[Commission Code], Rate[[#This Row],[SAP Code]], SKU[Ship Qty])</f>
        <v>0</v>
      </c>
      <c r="I2" s="6">
        <f>SUM(Rate[[#This Row],[Orders]:[Commissioned]])</f>
        <v>0</v>
      </c>
      <c r="J2" s="8">
        <f>Rate[[#This Row],[Rate]]*Rate[[#This Row],[Qty]]</f>
        <v>0</v>
      </c>
      <c r="K2" t="str">
        <f>IF(ISNA(MATCH(Rate[[#This Row],[SAP Code]], Summary!A:A, 0)), _xlfn.CONCAT("Missing ", Rate[[#This Row],[SAP Code]], " in summary"), "")</f>
        <v/>
      </c>
    </row>
    <row r="3" spans="1:11" x14ac:dyDescent="0.25">
      <c r="A3">
        <v>1200111</v>
      </c>
      <c r="B3" t="s">
        <v>56</v>
      </c>
      <c r="C3" s="10">
        <v>3.8</v>
      </c>
      <c r="D3" s="7">
        <f>SUMIF(Type[Ship Code], Rate[[#This Row],[SAP Code]], Type[Ship Qty])</f>
        <v>0</v>
      </c>
      <c r="E3" s="7">
        <f>SUMIF(Type[Box Code], Rate[[#This Row],[SAP Code]], Type[Box Qty])</f>
        <v>0</v>
      </c>
      <c r="F3" s="7">
        <f>SUMIF(SKU[Ship Code], Rate[[#This Row],[SAP Code]], SKU[Ship Qty])</f>
        <v>0</v>
      </c>
      <c r="G3" s="7">
        <f>SUMIF(SKU[Kit Code], Rate[[#This Row],[SAP Code]], SKU[Kit Qty])</f>
        <v>0</v>
      </c>
      <c r="H3" s="7">
        <f>SUMIF(SKU[Commission Code], Rate[[#This Row],[SAP Code]], SKU[Ship Qty])</f>
        <v>0</v>
      </c>
      <c r="I3" s="6">
        <f>SUM(Rate[[#This Row],[Orders]:[Commissioned]])</f>
        <v>0</v>
      </c>
      <c r="J3" s="8">
        <f>Rate[[#This Row],[Rate]]*Rate[[#This Row],[Qty]]</f>
        <v>0</v>
      </c>
      <c r="K3" t="str">
        <f>IF(ISNA(MATCH(Rate[[#This Row],[SAP Code]], Summary!A:A, 0)), _xlfn.CONCAT("Missing ", Rate[[#This Row],[SAP Code]], " in summary"), "")</f>
        <v/>
      </c>
    </row>
    <row r="4" spans="1:11" x14ac:dyDescent="0.25">
      <c r="A4">
        <v>4002284</v>
      </c>
      <c r="B4" t="s">
        <v>57</v>
      </c>
      <c r="C4" s="10">
        <v>5.95</v>
      </c>
      <c r="D4" s="7">
        <f>SUMIF(Type[Ship Code], Rate[[#This Row],[SAP Code]], Type[Ship Qty])</f>
        <v>0</v>
      </c>
      <c r="E4" s="7">
        <f>SUMIF(Type[Box Code], Rate[[#This Row],[SAP Code]], Type[Box Qty])</f>
        <v>0</v>
      </c>
      <c r="F4" s="7">
        <f>SUMIF(SKU[Ship Code], Rate[[#This Row],[SAP Code]], SKU[Ship Qty])</f>
        <v>0</v>
      </c>
      <c r="G4" s="7">
        <f>SUMIF(SKU[Kit Code], Rate[[#This Row],[SAP Code]], SKU[Kit Qty])</f>
        <v>0</v>
      </c>
      <c r="H4" s="7">
        <f>SUMIF(SKU[Commission Code], Rate[[#This Row],[SAP Code]], SKU[Ship Qty])</f>
        <v>0</v>
      </c>
      <c r="I4" s="6">
        <f>SUM(Rate[[#This Row],[Orders]:[Commissioned]])</f>
        <v>0</v>
      </c>
      <c r="J4" s="8">
        <f>Rate[[#This Row],[Rate]]*Rate[[#This Row],[Qty]]</f>
        <v>0</v>
      </c>
      <c r="K4" t="str">
        <f>IF(ISNA(MATCH(Rate[[#This Row],[SAP Code]], Summary!A:A, 0)), _xlfn.CONCAT("Missing ", Rate[[#This Row],[SAP Code]], " in summary"), "")</f>
        <v/>
      </c>
    </row>
    <row r="5" spans="1:11" x14ac:dyDescent="0.25">
      <c r="A5">
        <v>1200112</v>
      </c>
      <c r="B5" t="s">
        <v>58</v>
      </c>
      <c r="C5" s="10">
        <v>110</v>
      </c>
      <c r="D5" s="7">
        <f>SUMIF(Type[Ship Code], Rate[[#This Row],[SAP Code]], Type[Ship Qty])</f>
        <v>0</v>
      </c>
      <c r="E5" s="7">
        <f>SUMIF(Type[Box Code], Rate[[#This Row],[SAP Code]], Type[Box Qty])</f>
        <v>0</v>
      </c>
      <c r="F5" s="7">
        <f>SUMIF(SKU[Ship Code], Rate[[#This Row],[SAP Code]], SKU[Ship Qty])</f>
        <v>0</v>
      </c>
      <c r="G5" s="7">
        <f>SUMIF(SKU[Kit Code], Rate[[#This Row],[SAP Code]], SKU[Kit Qty])</f>
        <v>0</v>
      </c>
      <c r="H5" s="7">
        <f>SUMIF(SKU[Commission Code], Rate[[#This Row],[SAP Code]], SKU[Ship Qty])</f>
        <v>0</v>
      </c>
      <c r="I5" s="6">
        <f>SUM(Rate[[#This Row],[Orders]:[Commissioned]])</f>
        <v>0</v>
      </c>
      <c r="J5" s="8">
        <f>Rate[[#This Row],[Rate]]*Rate[[#This Row],[Qty]]</f>
        <v>0</v>
      </c>
      <c r="K5" t="str">
        <f>IF(ISNA(MATCH(Rate[[#This Row],[SAP Code]], Summary!A:A, 0)), _xlfn.CONCAT("Missing ", Rate[[#This Row],[SAP Code]], " in summary"), "")</f>
        <v/>
      </c>
    </row>
    <row r="6" spans="1:11" x14ac:dyDescent="0.25">
      <c r="A6">
        <v>1200113</v>
      </c>
      <c r="B6" t="s">
        <v>6</v>
      </c>
      <c r="C6" s="10">
        <v>0</v>
      </c>
      <c r="D6" s="7">
        <f>SUMIF(Type[Ship Code], Rate[[#This Row],[SAP Code]], Type[Ship Qty])</f>
        <v>0</v>
      </c>
      <c r="E6" s="7">
        <f>SUMIF(Type[Box Code], Rate[[#This Row],[SAP Code]], Type[Box Qty])</f>
        <v>0</v>
      </c>
      <c r="F6" s="7">
        <f>SUMIF(SKU[Ship Code], Rate[[#This Row],[SAP Code]], SKU[Ship Qty])</f>
        <v>0</v>
      </c>
      <c r="G6" s="7">
        <f>SUMIF(SKU[Kit Code], Rate[[#This Row],[SAP Code]], SKU[Kit Qty])</f>
        <v>0</v>
      </c>
      <c r="H6" s="7">
        <f>SUMIF(SKU[Commission Code], Rate[[#This Row],[SAP Code]], SKU[Ship Qty])</f>
        <v>0</v>
      </c>
      <c r="I6" s="6">
        <f>SUM(Rate[[#This Row],[Orders]:[Commissioned]])</f>
        <v>0</v>
      </c>
      <c r="J6" s="8">
        <f>Rate[[#This Row],[Rate]]*Rate[[#This Row],[Qty]]</f>
        <v>0</v>
      </c>
      <c r="K6" t="str">
        <f>IF(ISNA(MATCH(Rate[[#This Row],[SAP Code]], Summary!A:A, 0)), _xlfn.CONCAT("Missing ", Rate[[#This Row],[SAP Code]], " in summary"), "")</f>
        <v/>
      </c>
    </row>
    <row r="7" spans="1:11" x14ac:dyDescent="0.25">
      <c r="A7">
        <v>1200114</v>
      </c>
      <c r="B7" t="s">
        <v>59</v>
      </c>
      <c r="C7" s="10">
        <v>250</v>
      </c>
      <c r="D7" s="7">
        <f>SUMIF(Type[Ship Code], Rate[[#This Row],[SAP Code]], Type[Ship Qty])</f>
        <v>0</v>
      </c>
      <c r="E7" s="7">
        <f>SUMIF(Type[Box Code], Rate[[#This Row],[SAP Code]], Type[Box Qty])</f>
        <v>0</v>
      </c>
      <c r="F7" s="7">
        <f>SUMIF(SKU[Ship Code], Rate[[#This Row],[SAP Code]], SKU[Ship Qty])</f>
        <v>0</v>
      </c>
      <c r="G7" s="7">
        <f>SUMIF(SKU[Kit Code], Rate[[#This Row],[SAP Code]], SKU[Kit Qty])</f>
        <v>0</v>
      </c>
      <c r="H7" s="7">
        <f>SUMIF(SKU[Commission Code], Rate[[#This Row],[SAP Code]], SKU[Ship Qty])</f>
        <v>0</v>
      </c>
      <c r="I7" s="6">
        <f>SUM(Rate[[#This Row],[Orders]:[Commissioned]])</f>
        <v>0</v>
      </c>
      <c r="J7" s="8">
        <f>Rate[[#This Row],[Rate]]*Rate[[#This Row],[Qty]]</f>
        <v>0</v>
      </c>
      <c r="K7" t="str">
        <f>IF(ISNA(MATCH(Rate[[#This Row],[SAP Code]], Summary!A:A, 0)), _xlfn.CONCAT("Missing ", Rate[[#This Row],[SAP Code]], " in summary"), "")</f>
        <v/>
      </c>
    </row>
    <row r="8" spans="1:11" x14ac:dyDescent="0.25">
      <c r="A8">
        <v>2001711</v>
      </c>
      <c r="B8" t="s">
        <v>60</v>
      </c>
      <c r="C8" s="10">
        <v>3.72</v>
      </c>
      <c r="D8" s="7">
        <f>SUMIF(Type[Ship Code], Rate[[#This Row],[SAP Code]], Type[Ship Qty])</f>
        <v>0</v>
      </c>
      <c r="E8" s="7">
        <f>SUMIF(Type[Box Code], Rate[[#This Row],[SAP Code]], Type[Box Qty])</f>
        <v>0</v>
      </c>
      <c r="F8" s="7">
        <f>SUMIF(SKU[Ship Code], Rate[[#This Row],[SAP Code]], SKU[Ship Qty])</f>
        <v>0</v>
      </c>
      <c r="G8" s="7">
        <f>SUMIF(SKU[Kit Code], Rate[[#This Row],[SAP Code]], SKU[Kit Qty])</f>
        <v>0</v>
      </c>
      <c r="H8" s="7">
        <f>SUMIF(SKU[Commission Code], Rate[[#This Row],[SAP Code]], SKU[Ship Qty])</f>
        <v>234</v>
      </c>
      <c r="I8" s="6">
        <f>SUM(Rate[[#This Row],[Orders]:[Commissioned]])</f>
        <v>234</v>
      </c>
      <c r="J8" s="8">
        <f>Rate[[#This Row],[Rate]]*Rate[[#This Row],[Qty]]</f>
        <v>870.48</v>
      </c>
      <c r="K8" t="str">
        <f>IF(ISNA(MATCH(Rate[[#This Row],[SAP Code]], Summary!A:A, 0)), _xlfn.CONCAT("Missing ", Rate[[#This Row],[SAP Code]], " in summary"), "")</f>
        <v/>
      </c>
    </row>
    <row r="9" spans="1:11" x14ac:dyDescent="0.25">
      <c r="A9">
        <v>4002278</v>
      </c>
      <c r="B9" t="s">
        <v>61</v>
      </c>
      <c r="C9" s="10">
        <v>3.31</v>
      </c>
      <c r="D9" s="7">
        <f>SUMIF(Type[Ship Code], Rate[[#This Row],[SAP Code]], Type[Ship Qty])</f>
        <v>361</v>
      </c>
      <c r="E9" s="7">
        <f>SUMIF(Type[Box Code], Rate[[#This Row],[SAP Code]], Type[Box Qty])</f>
        <v>0</v>
      </c>
      <c r="F9" s="7">
        <f>SUMIF(SKU[Ship Code], Rate[[#This Row],[SAP Code]], SKU[Ship Qty])</f>
        <v>0</v>
      </c>
      <c r="G9" s="7">
        <f>SUMIF(SKU[Kit Code], Rate[[#This Row],[SAP Code]], SKU[Kit Qty])</f>
        <v>0</v>
      </c>
      <c r="H9" s="7">
        <f>SUMIF(SKU[Commission Code], Rate[[#This Row],[SAP Code]], SKU[Ship Qty])</f>
        <v>0</v>
      </c>
      <c r="I9" s="6">
        <f>SUM(Rate[[#This Row],[Orders]:[Commissioned]])</f>
        <v>361</v>
      </c>
      <c r="J9" s="8">
        <f>Rate[[#This Row],[Rate]]*Rate[[#This Row],[Qty]]</f>
        <v>1194.9100000000001</v>
      </c>
      <c r="K9" t="str">
        <f>IF(ISNA(MATCH(Rate[[#This Row],[SAP Code]], Summary!A:A, 0)), _xlfn.CONCAT("Missing ", Rate[[#This Row],[SAP Code]], " in summary"), "")</f>
        <v/>
      </c>
    </row>
    <row r="10" spans="1:11" x14ac:dyDescent="0.25">
      <c r="A10">
        <v>4002279</v>
      </c>
      <c r="B10" t="s">
        <v>62</v>
      </c>
      <c r="C10" s="10">
        <v>1.47</v>
      </c>
      <c r="D10" s="7">
        <f>SUMIF(Type[Ship Code], Rate[[#This Row],[SAP Code]], Type[Ship Qty])</f>
        <v>0</v>
      </c>
      <c r="E10" s="7">
        <f>SUMIF(Type[Box Code], Rate[[#This Row],[SAP Code]], Type[Box Qty])</f>
        <v>0</v>
      </c>
      <c r="F10" s="7">
        <f>SUMIF(SKU[Ship Code], Rate[[#This Row],[SAP Code]], SKU[Ship Qty])</f>
        <v>380</v>
      </c>
      <c r="G10" s="7">
        <f>SUMIF(SKU[Kit Code], Rate[[#This Row],[SAP Code]], SKU[Kit Qty])</f>
        <v>0</v>
      </c>
      <c r="H10" s="7">
        <f>SUMIF(SKU[Commission Code], Rate[[#This Row],[SAP Code]], SKU[Ship Qty])</f>
        <v>0</v>
      </c>
      <c r="I10" s="6">
        <f>SUM(Rate[[#This Row],[Orders]:[Commissioned]])</f>
        <v>380</v>
      </c>
      <c r="J10" s="8">
        <f>Rate[[#This Row],[Rate]]*Rate[[#This Row],[Qty]]</f>
        <v>558.6</v>
      </c>
      <c r="K10" t="str">
        <f>IF(ISNA(MATCH(Rate[[#This Row],[SAP Code]], Summary!A:A, 0)), _xlfn.CONCAT("Missing ", Rate[[#This Row],[SAP Code]], " in summary"), "")</f>
        <v/>
      </c>
    </row>
    <row r="11" spans="1:11" x14ac:dyDescent="0.25">
      <c r="A11">
        <v>4002280</v>
      </c>
      <c r="B11" t="s">
        <v>63</v>
      </c>
      <c r="C11" s="10">
        <v>1.3</v>
      </c>
      <c r="D11" s="7">
        <f>SUMIF(Type[Ship Code], Rate[[#This Row],[SAP Code]], Type[Ship Qty])</f>
        <v>0</v>
      </c>
      <c r="E11" s="7">
        <f>SUMIF(Type[Box Code], Rate[[#This Row],[SAP Code]], Type[Box Qty])</f>
        <v>0</v>
      </c>
      <c r="F11" s="7">
        <f>SUMIF(SKU[Ship Code], Rate[[#This Row],[SAP Code]], SKU[Ship Qty])</f>
        <v>101</v>
      </c>
      <c r="G11" s="7">
        <f>SUMIF(SKU[Kit Code], Rate[[#This Row],[SAP Code]], SKU[Kit Qty])</f>
        <v>0</v>
      </c>
      <c r="H11" s="7">
        <f>SUMIF(SKU[Commission Code], Rate[[#This Row],[SAP Code]], SKU[Ship Qty])</f>
        <v>0</v>
      </c>
      <c r="I11" s="6">
        <f>SUM(Rate[[#This Row],[Orders]:[Commissioned]])</f>
        <v>101</v>
      </c>
      <c r="J11" s="8">
        <f>Rate[[#This Row],[Rate]]*Rate[[#This Row],[Qty]]</f>
        <v>131.30000000000001</v>
      </c>
      <c r="K11" t="str">
        <f>IF(ISNA(MATCH(Rate[[#This Row],[SAP Code]], Summary!A:A, 0)), _xlfn.CONCAT("Missing ", Rate[[#This Row],[SAP Code]], " in summary"), "")</f>
        <v/>
      </c>
    </row>
    <row r="12" spans="1:11" x14ac:dyDescent="0.25">
      <c r="A12">
        <v>4002281</v>
      </c>
      <c r="B12" t="s">
        <v>64</v>
      </c>
      <c r="C12" s="10">
        <v>1.37</v>
      </c>
      <c r="D12" s="7">
        <f>SUMIF(Type[Ship Code], Rate[[#This Row],[SAP Code]], Type[Ship Qty])</f>
        <v>0</v>
      </c>
      <c r="E12" s="7">
        <f>SUMIF(Type[Box Code], Rate[[#This Row],[SAP Code]], Type[Box Qty])</f>
        <v>0</v>
      </c>
      <c r="F12" s="7">
        <f>SUMIF(SKU[Ship Code], Rate[[#This Row],[SAP Code]], SKU[Ship Qty])</f>
        <v>117</v>
      </c>
      <c r="G12" s="7">
        <f>SUMIF(SKU[Kit Code], Rate[[#This Row],[SAP Code]], SKU[Kit Qty])</f>
        <v>0</v>
      </c>
      <c r="H12" s="7">
        <f>SUMIF(SKU[Commission Code], Rate[[#This Row],[SAP Code]], SKU[Ship Qty])</f>
        <v>0</v>
      </c>
      <c r="I12" s="6">
        <f>SUM(Rate[[#This Row],[Orders]:[Commissioned]])</f>
        <v>117</v>
      </c>
      <c r="J12" s="8">
        <f>Rate[[#This Row],[Rate]]*Rate[[#This Row],[Qty]]</f>
        <v>160.29000000000002</v>
      </c>
      <c r="K12" t="str">
        <f>IF(ISNA(MATCH(Rate[[#This Row],[SAP Code]], Summary!A:A, 0)), _xlfn.CONCAT("Missing ", Rate[[#This Row],[SAP Code]], " in summary"), "")</f>
        <v/>
      </c>
    </row>
    <row r="13" spans="1:11" x14ac:dyDescent="0.25">
      <c r="A13">
        <v>4002282</v>
      </c>
      <c r="B13" t="s">
        <v>65</v>
      </c>
      <c r="C13" s="10">
        <v>1.1200000000000001</v>
      </c>
      <c r="D13" s="7">
        <f>SUMIF(Type[Ship Code], Rate[[#This Row],[SAP Code]], Type[Ship Qty])</f>
        <v>101</v>
      </c>
      <c r="E13" s="7">
        <f>SUMIF(Type[Box Code], Rate[[#This Row],[SAP Code]], Type[Box Qty])</f>
        <v>0</v>
      </c>
      <c r="F13" s="7">
        <f>SUMIF(SKU[Ship Code], Rate[[#This Row],[SAP Code]], SKU[Ship Qty])</f>
        <v>0</v>
      </c>
      <c r="G13" s="7">
        <f>SUMIF(SKU[Kit Code], Rate[[#This Row],[SAP Code]], SKU[Kit Qty])</f>
        <v>0</v>
      </c>
      <c r="H13" s="7">
        <f>SUMIF(SKU[Commission Code], Rate[[#This Row],[SAP Code]], SKU[Ship Qty])</f>
        <v>0</v>
      </c>
      <c r="I13" s="6">
        <f>SUM(Rate[[#This Row],[Orders]:[Commissioned]])</f>
        <v>101</v>
      </c>
      <c r="J13" s="8">
        <f>Rate[[#This Row],[Rate]]*Rate[[#This Row],[Qty]]</f>
        <v>113.12</v>
      </c>
      <c r="K13" t="str">
        <f>IF(ISNA(MATCH(Rate[[#This Row],[SAP Code]], Summary!A:A, 0)), _xlfn.CONCAT("Missing ", Rate[[#This Row],[SAP Code]], " in summary"), "")</f>
        <v/>
      </c>
    </row>
    <row r="14" spans="1:11" x14ac:dyDescent="0.25">
      <c r="A14">
        <v>4002283</v>
      </c>
      <c r="B14" t="s">
        <v>66</v>
      </c>
      <c r="C14" s="10">
        <v>1.37</v>
      </c>
      <c r="D14" s="7">
        <f>SUMIF(Type[Ship Code], Rate[[#This Row],[SAP Code]], Type[Ship Qty])</f>
        <v>0</v>
      </c>
      <c r="E14" s="7">
        <f>SUMIF(Type[Box Code], Rate[[#This Row],[SAP Code]], Type[Box Qty])</f>
        <v>0</v>
      </c>
      <c r="F14" s="7">
        <f>SUMIF(SKU[Ship Code], Rate[[#This Row],[SAP Code]], SKU[Ship Qty])</f>
        <v>0</v>
      </c>
      <c r="G14" s="7">
        <f>SUMIF(SKU[Kit Code], Rate[[#This Row],[SAP Code]], SKU[Kit Qty])</f>
        <v>0</v>
      </c>
      <c r="H14" s="7">
        <f>SUMIF(SKU[Commission Code], Rate[[#This Row],[SAP Code]], SKU[Ship Qty])</f>
        <v>0</v>
      </c>
      <c r="I14" s="6">
        <f>SUM(Rate[[#This Row],[Orders]:[Commissioned]])</f>
        <v>0</v>
      </c>
      <c r="J14" s="8">
        <f>Rate[[#This Row],[Rate]]*Rate[[#This Row],[Qty]]</f>
        <v>0</v>
      </c>
      <c r="K14" t="str">
        <f>IF(ISNA(MATCH(Rate[[#This Row],[SAP Code]], Summary!A:A, 0)), _xlfn.CONCAT("Missing ", Rate[[#This Row],[SAP Code]], " in summary"), "")</f>
        <v/>
      </c>
    </row>
    <row r="15" spans="1:11" x14ac:dyDescent="0.25">
      <c r="A15" t="s">
        <v>5</v>
      </c>
      <c r="B15" t="s">
        <v>67</v>
      </c>
      <c r="C15" s="10">
        <v>6.2</v>
      </c>
      <c r="D15" s="7">
        <f>SUMIF(Type[Ship Code], Rate[[#This Row],[SAP Code]], Type[Ship Qty])</f>
        <v>0</v>
      </c>
      <c r="E15" s="7">
        <f>SUMIF(Type[Box Code], Rate[[#This Row],[SAP Code]], Type[Box Qty])</f>
        <v>0</v>
      </c>
      <c r="F15" s="7">
        <f>SUMIF(SKU[Ship Code], Rate[[#This Row],[SAP Code]], SKU[Ship Qty])</f>
        <v>0</v>
      </c>
      <c r="G15" s="7">
        <f>SUMIF(SKU[Kit Code], Rate[[#This Row],[SAP Code]], SKU[Kit Qty])</f>
        <v>0</v>
      </c>
      <c r="H15" s="7">
        <f>SUMIF(SKU[Commission Code], Rate[[#This Row],[SAP Code]], SKU[Ship Qty])</f>
        <v>0</v>
      </c>
      <c r="I15" s="6">
        <f>SUM(Rate[[#This Row],[Orders]:[Commissioned]])</f>
        <v>0</v>
      </c>
      <c r="J15" s="8">
        <f>Rate[[#This Row],[Rate]]*Rate[[#This Row],[Qty]]</f>
        <v>0</v>
      </c>
      <c r="K15" t="str">
        <f>IF(ISNA(MATCH(Rate[[#This Row],[SAP Code]], Summary!A:A, 0)), _xlfn.CONCAT("Missing ", Rate[[#This Row],[SAP Code]], " in summary"), "")</f>
        <v/>
      </c>
    </row>
    <row r="17" spans="9:10" x14ac:dyDescent="0.25">
      <c r="I17" s="11" t="s">
        <v>16</v>
      </c>
      <c r="J17" s="9">
        <f>SUM(Rate[Cost])</f>
        <v>3028.7000000000003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13"/>
  <sheetViews>
    <sheetView workbookViewId="0">
      <selection activeCell="A2" sqref="A2:B13"/>
    </sheetView>
  </sheetViews>
  <sheetFormatPr defaultRowHeight="15" x14ac:dyDescent="0.25"/>
  <cols>
    <col min="1" max="1" width="22.28515625" bestFit="1" customWidth="1"/>
    <col min="2" max="2" width="28.5703125" bestFit="1" customWidth="1"/>
    <col min="3" max="3" width="12.140625" bestFit="1" customWidth="1"/>
    <col min="4" max="4" width="10.7109375" bestFit="1" customWidth="1"/>
    <col min="5" max="5" width="11.85546875" customWidth="1"/>
    <col min="6" max="6" width="10.7109375" bestFit="1" customWidth="1"/>
    <col min="7" max="7" width="11.140625" bestFit="1" customWidth="1"/>
    <col min="8" max="9" width="11.140625" customWidth="1"/>
    <col min="10" max="10" width="19.28515625" bestFit="1" customWidth="1"/>
    <col min="11" max="11" width="19.28515625" customWidth="1"/>
    <col min="12" max="12" width="11.85546875" bestFit="1" customWidth="1"/>
    <col min="13" max="13" width="32.7109375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9</v>
      </c>
      <c r="E1" t="s">
        <v>13</v>
      </c>
      <c r="F1" t="s">
        <v>10</v>
      </c>
      <c r="G1" t="s">
        <v>11</v>
      </c>
      <c r="H1" t="s">
        <v>24</v>
      </c>
      <c r="I1" t="s">
        <v>14</v>
      </c>
      <c r="J1" t="s">
        <v>12</v>
      </c>
      <c r="K1" t="s">
        <v>15</v>
      </c>
      <c r="L1" t="s">
        <v>16</v>
      </c>
      <c r="M1" t="s">
        <v>2</v>
      </c>
    </row>
    <row r="2" spans="1:13" x14ac:dyDescent="0.25">
      <c r="A2" t="s">
        <v>37</v>
      </c>
      <c r="B2" t="s">
        <v>38</v>
      </c>
      <c r="C2" s="1"/>
      <c r="D2" s="3">
        <f>SUMIF(Ship_SKU[SKU], SKU[[#This Row],[SKU]], Ship_SKU[Qty])</f>
        <v>101</v>
      </c>
      <c r="E2" s="5">
        <f>IF(SKU[[#This Row],[Ship Code]]="", 0, VLOOKUP(SKU[[#This Row],[Ship Code]], Rate[], 3, FALSE)*SKU[[#This Row],[Ship Qty]])</f>
        <v>0</v>
      </c>
      <c r="F2" s="1"/>
      <c r="G2">
        <v>0</v>
      </c>
      <c r="H2" s="3">
        <f>SKU[[#This Row],[Ship Qty]]*SKU[[#This Row],[Kit Items]]</f>
        <v>0</v>
      </c>
      <c r="I2" s="4">
        <f>IF(SKU[[#This Row],[Kit Code]]="", 0, VLOOKUP(SKU[[#This Row],[Kit Code]], Rate[], 3, FALSE)*SKU[[#This Row],[Kit Qty]])</f>
        <v>0</v>
      </c>
      <c r="J2" s="2"/>
      <c r="K2" s="4">
        <f>IF(SKU[[#This Row],[Commission Code]]="", 0, VLOOKUP(SKU[[#This Row],[Commission Code]], Rate[], 3, FALSE)*SKU[[#This Row],[Ship Qty]])</f>
        <v>0</v>
      </c>
      <c r="L2" s="9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25">
      <c r="A3" t="s">
        <v>49</v>
      </c>
      <c r="B3" t="s">
        <v>50</v>
      </c>
      <c r="C3" s="1">
        <v>4002279</v>
      </c>
      <c r="D3" s="3">
        <f>SUMIF(Ship_SKU[SKU], SKU[[#This Row],[SKU]], Ship_SKU[Qty])</f>
        <v>146</v>
      </c>
      <c r="E3" s="5">
        <f>IF(SKU[[#This Row],[Ship Code]]="", 0, VLOOKUP(SKU[[#This Row],[Ship Code]], Rate[], 3, FALSE)*SKU[[#This Row],[Ship Qty]])</f>
        <v>214.62</v>
      </c>
      <c r="F3" s="1"/>
      <c r="G3">
        <v>0</v>
      </c>
      <c r="H3" s="3">
        <f>SKU[[#This Row],[Ship Qty]]*SKU[[#This Row],[Kit Items]]</f>
        <v>0</v>
      </c>
      <c r="I3" s="4">
        <f>IF(SKU[[#This Row],[Kit Code]]="", 0, VLOOKUP(SKU[[#This Row],[Kit Code]], Rate[], 3, FALSE)*SKU[[#This Row],[Kit Qty]])</f>
        <v>0</v>
      </c>
      <c r="J3" s="2"/>
      <c r="K3" s="4">
        <f>IF(SKU[[#This Row],[Commission Code]]="", 0, VLOOKUP(SKU[[#This Row],[Commission Code]], Rate[], 3, FALSE)*SKU[[#This Row],[Ship Qty]])</f>
        <v>0</v>
      </c>
      <c r="L3" s="9">
        <f>SKU[[#This Row],[Ship Cost]]+SKU[[#This Row],[Kit Cost]]+SKU[[#This Row],[Comission Cost]]</f>
        <v>214.62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25">
      <c r="A4" t="s">
        <v>39</v>
      </c>
      <c r="B4" t="s">
        <v>40</v>
      </c>
      <c r="C4" s="1"/>
      <c r="D4" s="3">
        <f>SUMIF(Ship_SKU[SKU], SKU[[#This Row],[SKU]], Ship_SKU[Qty])</f>
        <v>80</v>
      </c>
      <c r="E4" s="5">
        <f>IF(SKU[[#This Row],[Ship Code]]="", 0, VLOOKUP(SKU[[#This Row],[Ship Code]], Rate[], 3, FALSE)*SKU[[#This Row],[Ship Qty]])</f>
        <v>0</v>
      </c>
      <c r="F4" s="1"/>
      <c r="G4">
        <v>0</v>
      </c>
      <c r="H4" s="3">
        <f>SKU[[#This Row],[Ship Qty]]*SKU[[#This Row],[Kit Items]]</f>
        <v>0</v>
      </c>
      <c r="I4" s="4">
        <f>IF(SKU[[#This Row],[Kit Code]]="", 0, VLOOKUP(SKU[[#This Row],[Kit Code]], Rate[], 3, FALSE)*SKU[[#This Row],[Kit Qty]])</f>
        <v>0</v>
      </c>
      <c r="J4" s="2"/>
      <c r="K4" s="4">
        <f>IF(SKU[[#This Row],[Commission Code]]="", 0, VLOOKUP(SKU[[#This Row],[Commission Code]], Rate[], 3, FALSE)*SKU[[#This Row],[Ship Qty]])</f>
        <v>0</v>
      </c>
      <c r="L4" s="9">
        <f>SKU[[#This Row],[Ship Cost]]+SKU[[#This Row],[Kit Cost]]+SKU[[#This Row],[Comission Cost]]</f>
        <v>0</v>
      </c>
      <c r="M4" t="str">
        <f>IF(OR(ISNA(SKU[[#This Row],[Ship Cost]]), ISNA(SKU[[#This Row],[Kit Cost]]), ISNA(SKU[[#This Row],[Comission Cost]])), "Error Accessing SAP Rate", "")</f>
        <v/>
      </c>
    </row>
    <row r="5" spans="1:13" x14ac:dyDescent="0.25">
      <c r="A5" t="s">
        <v>41</v>
      </c>
      <c r="B5" t="s">
        <v>42</v>
      </c>
      <c r="C5" s="1">
        <v>4002280</v>
      </c>
      <c r="D5" s="3">
        <f>SUMIF(Ship_SKU[SKU], SKU[[#This Row],[SKU]], Ship_SKU[Qty])</f>
        <v>101</v>
      </c>
      <c r="E5" s="5">
        <f>IF(SKU[[#This Row],[Ship Code]]="", 0, VLOOKUP(SKU[[#This Row],[Ship Code]], Rate[], 3, FALSE)*SKU[[#This Row],[Ship Qty]])</f>
        <v>131.30000000000001</v>
      </c>
      <c r="F5" s="1"/>
      <c r="G5">
        <v>0</v>
      </c>
      <c r="H5" s="3">
        <f>SKU[[#This Row],[Ship Qty]]*SKU[[#This Row],[Kit Items]]</f>
        <v>0</v>
      </c>
      <c r="I5" s="4">
        <f>IF(SKU[[#This Row],[Kit Code]]="", 0, VLOOKUP(SKU[[#This Row],[Kit Code]], Rate[], 3, FALSE)*SKU[[#This Row],[Kit Qty]])</f>
        <v>0</v>
      </c>
      <c r="J5" s="2"/>
      <c r="K5" s="4">
        <f>IF(SKU[[#This Row],[Commission Code]]="", 0, VLOOKUP(SKU[[#This Row],[Commission Code]], Rate[], 3, FALSE)*SKU[[#This Row],[Ship Qty]])</f>
        <v>0</v>
      </c>
      <c r="L5" s="9">
        <f>SKU[[#This Row],[Ship Cost]]+SKU[[#This Row],[Kit Cost]]+SKU[[#This Row],[Comission Cost]]</f>
        <v>131.30000000000001</v>
      </c>
      <c r="M5" t="str">
        <f>IF(OR(ISNA(SKU[[#This Row],[Ship Cost]]), ISNA(SKU[[#This Row],[Kit Cost]]), ISNA(SKU[[#This Row],[Comission Cost]])), "Error Accessing SAP Rate", "")</f>
        <v/>
      </c>
    </row>
    <row r="6" spans="1:13" x14ac:dyDescent="0.25">
      <c r="A6" t="s">
        <v>43</v>
      </c>
      <c r="B6" t="s">
        <v>44</v>
      </c>
      <c r="C6" s="1">
        <v>4002281</v>
      </c>
      <c r="D6" s="3">
        <f>SUMIF(Ship_SKU[SKU], SKU[[#This Row],[SKU]], Ship_SKU[Qty])</f>
        <v>117</v>
      </c>
      <c r="E6" s="5">
        <f>IF(SKU[[#This Row],[Ship Code]]="", 0, VLOOKUP(SKU[[#This Row],[Ship Code]], Rate[], 3, FALSE)*SKU[[#This Row],[Ship Qty]])</f>
        <v>160.29000000000002</v>
      </c>
      <c r="F6" s="1"/>
      <c r="G6">
        <v>0</v>
      </c>
      <c r="H6" s="3">
        <f>SKU[[#This Row],[Ship Qty]]*SKU[[#This Row],[Kit Items]]</f>
        <v>0</v>
      </c>
      <c r="I6" s="4">
        <f>IF(SKU[[#This Row],[Kit Code]]="", 0, VLOOKUP(SKU[[#This Row],[Kit Code]], Rate[], 3, FALSE)*SKU[[#This Row],[Kit Qty]])</f>
        <v>0</v>
      </c>
      <c r="J6" s="2"/>
      <c r="K6" s="4">
        <f>IF(SKU[[#This Row],[Commission Code]]="", 0, VLOOKUP(SKU[[#This Row],[Commission Code]], Rate[], 3, FALSE)*SKU[[#This Row],[Ship Qty]])</f>
        <v>0</v>
      </c>
      <c r="L6" s="9">
        <f>SKU[[#This Row],[Ship Cost]]+SKU[[#This Row],[Kit Cost]]+SKU[[#This Row],[Comission Cost]]</f>
        <v>160.29000000000002</v>
      </c>
      <c r="M6" t="str">
        <f>IF(OR(ISNA(SKU[[#This Row],[Ship Cost]]), ISNA(SKU[[#This Row],[Kit Cost]]), ISNA(SKU[[#This Row],[Comission Cost]])), "Error Accessing SAP Rate", "")</f>
        <v/>
      </c>
    </row>
    <row r="7" spans="1:13" x14ac:dyDescent="0.25">
      <c r="A7" t="s">
        <v>45</v>
      </c>
      <c r="B7" t="s">
        <v>46</v>
      </c>
      <c r="C7" s="1"/>
      <c r="D7" s="3">
        <f>SUMIF(Ship_SKU[SKU], SKU[[#This Row],[SKU]], Ship_SKU[Qty])</f>
        <v>101</v>
      </c>
      <c r="E7" s="5">
        <f>IF(SKU[[#This Row],[Ship Code]]="", 0, VLOOKUP(SKU[[#This Row],[Ship Code]], Rate[], 3, FALSE)*SKU[[#This Row],[Ship Qty]])</f>
        <v>0</v>
      </c>
      <c r="F7" s="1"/>
      <c r="G7">
        <v>0</v>
      </c>
      <c r="H7" s="3">
        <f>SKU[[#This Row],[Ship Qty]]*SKU[[#This Row],[Kit Items]]</f>
        <v>0</v>
      </c>
      <c r="I7" s="4">
        <f>IF(SKU[[#This Row],[Kit Code]]="", 0, VLOOKUP(SKU[[#This Row],[Kit Code]], Rate[], 3, FALSE)*SKU[[#This Row],[Kit Qty]])</f>
        <v>0</v>
      </c>
      <c r="J7" s="2"/>
      <c r="K7" s="4">
        <f>IF(SKU[[#This Row],[Commission Code]]="", 0, VLOOKUP(SKU[[#This Row],[Commission Code]], Rate[], 3, FALSE)*SKU[[#This Row],[Ship Qty]])</f>
        <v>0</v>
      </c>
      <c r="L7" s="9">
        <f>SKU[[#This Row],[Ship Cost]]+SKU[[#This Row],[Kit Cost]]+SKU[[#This Row],[Comission Cost]]</f>
        <v>0</v>
      </c>
      <c r="M7" t="str">
        <f>IF(OR(ISNA(SKU[[#This Row],[Ship Cost]]), ISNA(SKU[[#This Row],[Kit Cost]]), ISNA(SKU[[#This Row],[Comission Cost]])), "Error Accessing SAP Rate", "")</f>
        <v/>
      </c>
    </row>
    <row r="8" spans="1:13" x14ac:dyDescent="0.25">
      <c r="A8" t="s">
        <v>82</v>
      </c>
      <c r="B8" t="s">
        <v>83</v>
      </c>
      <c r="C8" s="1">
        <v>4002279</v>
      </c>
      <c r="D8" s="3">
        <f>SUMIF(Ship_SKU[SKU], SKU[[#This Row],[SKU]], Ship_SKU[Qty])</f>
        <v>0</v>
      </c>
      <c r="E8" s="5">
        <f>IF(SKU[[#This Row],[Ship Code]]="", 0, VLOOKUP(SKU[[#This Row],[Ship Code]], Rate[], 3, FALSE)*SKU[[#This Row],[Ship Qty]])</f>
        <v>0</v>
      </c>
      <c r="F8" s="1"/>
      <c r="H8" s="3">
        <f>SKU[[#This Row],[Ship Qty]]*SKU[[#This Row],[Kit Items]]</f>
        <v>0</v>
      </c>
      <c r="I8" s="4">
        <f>IF(SKU[[#This Row],[Kit Code]]="", 0, VLOOKUP(SKU[[#This Row],[Kit Code]], Rate[], 3, FALSE)*SKU[[#This Row],[Kit Qty]])</f>
        <v>0</v>
      </c>
      <c r="J8" s="2"/>
      <c r="K8" s="4">
        <f>IF(SKU[[#This Row],[Commission Code]]="", 0, VLOOKUP(SKU[[#This Row],[Commission Code]], Rate[], 3, FALSE)*SKU[[#This Row],[Ship Qty]])</f>
        <v>0</v>
      </c>
      <c r="L8" s="9">
        <f>SKU[[#This Row],[Ship Cost]]+SKU[[#This Row],[Kit Cost]]+SKU[[#This Row],[Comission Cost]]</f>
        <v>0</v>
      </c>
      <c r="M8" t="str">
        <f>IF(OR(ISNA(SKU[[#This Row],[Ship Cost]]), ISNA(SKU[[#This Row],[Kit Cost]]), ISNA(SKU[[#This Row],[Comission Cost]])), "Error Accessing SAP Rate", "")</f>
        <v/>
      </c>
    </row>
    <row r="9" spans="1:13" x14ac:dyDescent="0.25">
      <c r="A9" t="s">
        <v>52</v>
      </c>
      <c r="C9" s="1"/>
      <c r="D9" s="3">
        <f>SUMIF(Ship_SKU[SKU], SKU[[#This Row],[SKU]], Ship_SKU[Qty])</f>
        <v>117</v>
      </c>
      <c r="E9" s="5">
        <f>IF(SKU[[#This Row],[Ship Code]]="", 0, VLOOKUP(SKU[[#This Row],[Ship Code]], Rate[], 3, FALSE)*SKU[[#This Row],[Ship Qty]])</f>
        <v>0</v>
      </c>
      <c r="F9" s="1"/>
      <c r="G9">
        <v>0</v>
      </c>
      <c r="H9" s="3">
        <f>SKU[[#This Row],[Ship Qty]]*SKU[[#This Row],[Kit Items]]</f>
        <v>0</v>
      </c>
      <c r="I9" s="4">
        <f>IF(SKU[[#This Row],[Kit Code]]="", 0, VLOOKUP(SKU[[#This Row],[Kit Code]], Rate[], 3, FALSE)*SKU[[#This Row],[Kit Qty]])</f>
        <v>0</v>
      </c>
      <c r="J9" s="2"/>
      <c r="K9" s="4">
        <f>IF(SKU[[#This Row],[Commission Code]]="", 0, VLOOKUP(SKU[[#This Row],[Commission Code]], Rate[], 3, FALSE)*SKU[[#This Row],[Ship Qty]])</f>
        <v>0</v>
      </c>
      <c r="L9" s="9">
        <f>SKU[[#This Row],[Ship Cost]]+SKU[[#This Row],[Kit Cost]]+SKU[[#This Row],[Comission Cost]]</f>
        <v>0</v>
      </c>
      <c r="M9" t="str">
        <f>IF(OR(ISNA(SKU[[#This Row],[Ship Cost]]), ISNA(SKU[[#This Row],[Kit Cost]]), ISNA(SKU[[#This Row],[Comission Cost]])), "Error Accessing SAP Rate", "")</f>
        <v/>
      </c>
    </row>
    <row r="10" spans="1:13" x14ac:dyDescent="0.25">
      <c r="A10" t="s">
        <v>51</v>
      </c>
      <c r="C10" s="1"/>
      <c r="D10" s="3">
        <f>SUMIF(Ship_SKU[SKU], SKU[[#This Row],[SKU]], Ship_SKU[Qty])</f>
        <v>270</v>
      </c>
      <c r="E10" s="5">
        <f>IF(SKU[[#This Row],[Ship Code]]="", 0, VLOOKUP(SKU[[#This Row],[Ship Code]], Rate[], 3, FALSE)*SKU[[#This Row],[Ship Qty]])</f>
        <v>0</v>
      </c>
      <c r="F10" s="1"/>
      <c r="G10">
        <v>0</v>
      </c>
      <c r="H10" s="3">
        <f>SKU[[#This Row],[Ship Qty]]*SKU[[#This Row],[Kit Items]]</f>
        <v>0</v>
      </c>
      <c r="I10" s="4">
        <f>IF(SKU[[#This Row],[Kit Code]]="", 0, VLOOKUP(SKU[[#This Row],[Kit Code]], Rate[], 3, FALSE)*SKU[[#This Row],[Kit Qty]])</f>
        <v>0</v>
      </c>
      <c r="J10" s="2"/>
      <c r="K10" s="4">
        <f>IF(SKU[[#This Row],[Commission Code]]="", 0, VLOOKUP(SKU[[#This Row],[Commission Code]], Rate[], 3, FALSE)*SKU[[#This Row],[Ship Qty]])</f>
        <v>0</v>
      </c>
      <c r="L10" s="9">
        <f>SKU[[#This Row],[Ship Cost]]+SKU[[#This Row],[Kit Cost]]+SKU[[#This Row],[Comission Cost]]</f>
        <v>0</v>
      </c>
      <c r="M10" t="str">
        <f>IF(OR(ISNA(SKU[[#This Row],[Ship Cost]]), ISNA(SKU[[#This Row],[Kit Cost]]), ISNA(SKU[[#This Row],[Comission Cost]])), "Error Accessing SAP Rate", "")</f>
        <v/>
      </c>
    </row>
    <row r="11" spans="1:13" x14ac:dyDescent="0.25">
      <c r="A11" t="s">
        <v>53</v>
      </c>
      <c r="C11" s="1"/>
      <c r="D11" s="3">
        <f>SUMIF(Ship_SKU[SKU], SKU[[#This Row],[SKU]], Ship_SKU[Qty])</f>
        <v>7</v>
      </c>
      <c r="E11" s="5">
        <f>IF(SKU[[#This Row],[Ship Code]]="", 0, VLOOKUP(SKU[[#This Row],[Ship Code]], Rate[], 3, FALSE)*SKU[[#This Row],[Ship Qty]])</f>
        <v>0</v>
      </c>
      <c r="F11" s="1"/>
      <c r="G11">
        <v>0</v>
      </c>
      <c r="H11" s="3">
        <f>SKU[[#This Row],[Ship Qty]]*SKU[[#This Row],[Kit Items]]</f>
        <v>0</v>
      </c>
      <c r="I11" s="4">
        <f>IF(SKU[[#This Row],[Kit Code]]="", 0, VLOOKUP(SKU[[#This Row],[Kit Code]], Rate[], 3, FALSE)*SKU[[#This Row],[Kit Qty]])</f>
        <v>0</v>
      </c>
      <c r="J11" s="2"/>
      <c r="K11" s="4">
        <f>IF(SKU[[#This Row],[Commission Code]]="", 0, VLOOKUP(SKU[[#This Row],[Commission Code]], Rate[], 3, FALSE)*SKU[[#This Row],[Ship Qty]])</f>
        <v>0</v>
      </c>
      <c r="L11" s="9">
        <f>SKU[[#This Row],[Ship Cost]]+SKU[[#This Row],[Kit Cost]]+SKU[[#This Row],[Comission Cost]]</f>
        <v>0</v>
      </c>
      <c r="M11" t="str">
        <f>IF(OR(ISNA(SKU[[#This Row],[Ship Cost]]), ISNA(SKU[[#This Row],[Kit Cost]]), ISNA(SKU[[#This Row],[Comission Cost]])), "Error Accessing SAP Rate", "")</f>
        <v/>
      </c>
    </row>
    <row r="12" spans="1:13" x14ac:dyDescent="0.25">
      <c r="A12" t="s">
        <v>54</v>
      </c>
      <c r="C12" s="1"/>
      <c r="D12" s="3">
        <f>SUMIF(Ship_SKU[SKU], SKU[[#This Row],[SKU]], Ship_SKU[Qty])</f>
        <v>4</v>
      </c>
      <c r="E12" s="5">
        <f>IF(SKU[[#This Row],[Ship Code]]="", 0, VLOOKUP(SKU[[#This Row],[Ship Code]], Rate[], 3, FALSE)*SKU[[#This Row],[Ship Qty]])</f>
        <v>0</v>
      </c>
      <c r="F12" s="1"/>
      <c r="G12">
        <v>0</v>
      </c>
      <c r="H12" s="3">
        <f>SKU[[#This Row],[Ship Qty]]*SKU[[#This Row],[Kit Items]]</f>
        <v>0</v>
      </c>
      <c r="I12" s="4">
        <f>IF(SKU[[#This Row],[Kit Code]]="", 0, VLOOKUP(SKU[[#This Row],[Kit Code]], Rate[], 3, FALSE)*SKU[[#This Row],[Kit Qty]])</f>
        <v>0</v>
      </c>
      <c r="J12" s="2"/>
      <c r="K12" s="4">
        <f>IF(SKU[[#This Row],[Commission Code]]="", 0, VLOOKUP(SKU[[#This Row],[Commission Code]], Rate[], 3, FALSE)*SKU[[#This Row],[Ship Qty]])</f>
        <v>0</v>
      </c>
      <c r="L12" s="9">
        <f>SKU[[#This Row],[Ship Cost]]+SKU[[#This Row],[Kit Cost]]+SKU[[#This Row],[Comission Cost]]</f>
        <v>0</v>
      </c>
      <c r="M12" t="str">
        <f>IF(OR(ISNA(SKU[[#This Row],[Ship Cost]]), ISNA(SKU[[#This Row],[Kit Cost]]), ISNA(SKU[[#This Row],[Comission Cost]])), "Error Accessing SAP Rate", "")</f>
        <v/>
      </c>
    </row>
    <row r="13" spans="1:13" x14ac:dyDescent="0.25">
      <c r="A13" t="s">
        <v>47</v>
      </c>
      <c r="B13" t="s">
        <v>48</v>
      </c>
      <c r="C13" s="1">
        <v>4002279</v>
      </c>
      <c r="D13" s="3">
        <f>SUMIF(Ship_SKU[SKU], SKU[[#This Row],[SKU]], Ship_SKU[Qty])</f>
        <v>234</v>
      </c>
      <c r="E13" s="5">
        <f>IF(SKU[[#This Row],[Ship Code]]="", 0, VLOOKUP(SKU[[#This Row],[Ship Code]], Rate[], 3, FALSE)*SKU[[#This Row],[Ship Qty]])</f>
        <v>343.98</v>
      </c>
      <c r="F13" s="1"/>
      <c r="G13">
        <v>0</v>
      </c>
      <c r="H13" s="3">
        <f>SKU[[#This Row],[Ship Qty]]*SKU[[#This Row],[Kit Items]]</f>
        <v>0</v>
      </c>
      <c r="I13" s="4">
        <f>IF(SKU[[#This Row],[Kit Code]]="", 0, VLOOKUP(SKU[[#This Row],[Kit Code]], Rate[], 3, FALSE)*SKU[[#This Row],[Kit Qty]])</f>
        <v>0</v>
      </c>
      <c r="J13" s="2">
        <v>2001711</v>
      </c>
      <c r="K13" s="4">
        <f>IF(SKU[[#This Row],[Commission Code]]="", 0, VLOOKUP(SKU[[#This Row],[Commission Code]], Rate[], 3, FALSE)*SKU[[#This Row],[Ship Qty]])</f>
        <v>870.48</v>
      </c>
      <c r="L13" s="9">
        <f>SKU[[#This Row],[Ship Cost]]+SKU[[#This Row],[Kit Cost]]+SKU[[#This Row],[Comission Cost]]</f>
        <v>1214.46</v>
      </c>
      <c r="M13" t="str">
        <f>IF(OR(ISNA(SKU[[#This Row],[Ship Cost]]), ISNA(SKU[[#This Row],[Kit Cost]]), ISNA(SKU[[#This Row],[Comission Cost]])), "Error Accessing SAP Rate", "")</f>
        <v/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J5"/>
  <sheetViews>
    <sheetView workbookViewId="0">
      <selection activeCell="C3" sqref="C3"/>
    </sheetView>
  </sheetViews>
  <sheetFormatPr defaultRowHeight="15" x14ac:dyDescent="0.25"/>
  <cols>
    <col min="1" max="1" width="20" bestFit="1" customWidth="1"/>
    <col min="2" max="2" width="12.5703125" bestFit="1" customWidth="1"/>
    <col min="3" max="3" width="12.140625" customWidth="1"/>
    <col min="4" max="4" width="13" bestFit="1" customWidth="1"/>
    <col min="5" max="5" width="13.7109375" bestFit="1" customWidth="1"/>
    <col min="6" max="6" width="13.85546875" bestFit="1" customWidth="1"/>
    <col min="7" max="7" width="12.42578125" bestFit="1" customWidth="1"/>
    <col min="8" max="8" width="13.140625" bestFit="1" customWidth="1"/>
    <col min="9" max="9" width="10.5703125" bestFit="1" customWidth="1"/>
  </cols>
  <sheetData>
    <row r="1" spans="1:10" x14ac:dyDescent="0.25">
      <c r="A1" t="s">
        <v>18</v>
      </c>
      <c r="B1" t="s">
        <v>7</v>
      </c>
      <c r="C1" t="s">
        <v>8</v>
      </c>
      <c r="D1" s="16" t="s">
        <v>9</v>
      </c>
      <c r="E1" s="16" t="s">
        <v>13</v>
      </c>
      <c r="F1" s="16" t="s">
        <v>34</v>
      </c>
      <c r="G1" s="16" t="s">
        <v>35</v>
      </c>
      <c r="H1" s="16" t="s">
        <v>36</v>
      </c>
      <c r="I1" s="16" t="s">
        <v>19</v>
      </c>
      <c r="J1" t="s">
        <v>2</v>
      </c>
    </row>
    <row r="2" spans="1:10" x14ac:dyDescent="0.25">
      <c r="A2" t="s">
        <v>70</v>
      </c>
      <c r="B2" t="s">
        <v>72</v>
      </c>
      <c r="C2" s="2">
        <v>4002282</v>
      </c>
      <c r="D2" s="7">
        <f>SUMIF(Ship_Type[REF], Type[[#This Row],[REF]], Ship_Type[Orders])</f>
        <v>46</v>
      </c>
      <c r="E2" s="9">
        <f>IF(Type[[#This Row],[Ship Code]]="", 0, VLOOKUP(Type[[#This Row],[Ship Code]], Rate[], 3, FALSE)*Type[[#This Row],[Ship Qty]])</f>
        <v>51.52</v>
      </c>
      <c r="F2" s="2"/>
      <c r="G2" s="7">
        <f>SUMIF(Ship_Type[REF], Type[[#This Row],[REF]], Ship_Type[Boxes])</f>
        <v>46</v>
      </c>
      <c r="H2" s="8">
        <f>IF(Type[[#This Row],[Ship Code]]="", 0, VLOOKUP(Type[[#This Row],[Ship Code]], Rate[], 3, FALSE)*Type[[#This Row],[Ship Qty]])</f>
        <v>51.52</v>
      </c>
      <c r="I2" s="9">
        <f>SUM(Type[[#This Row],[Ship Cost]], Type[[#This Row],[Box Cost]])</f>
        <v>103.04</v>
      </c>
      <c r="J2" t="str">
        <f>IF(ISNA(Type[[#This Row],[Box Cost]]), "Error Accessing SAP Rate", "")</f>
        <v/>
      </c>
    </row>
    <row r="3" spans="1:10" x14ac:dyDescent="0.25">
      <c r="A3" t="s">
        <v>68</v>
      </c>
      <c r="B3" t="s">
        <v>73</v>
      </c>
      <c r="C3" s="2">
        <v>4002282</v>
      </c>
      <c r="D3" s="7">
        <f>SUMIF(Ship_Type[REF], Type[[#This Row],[REF]], Ship_Type[Orders])</f>
        <v>55</v>
      </c>
      <c r="E3" s="9">
        <f>IF(Type[[#This Row],[Ship Code]]="", 0, VLOOKUP(Type[[#This Row],[Ship Code]], Rate[], 3, FALSE)*Type[[#This Row],[Ship Qty]])</f>
        <v>61.600000000000009</v>
      </c>
      <c r="F3" s="2"/>
      <c r="G3" s="7">
        <f>SUMIF(Ship_Type[REF], Type[[#This Row],[REF]], Ship_Type[Boxes])</f>
        <v>55</v>
      </c>
      <c r="H3" s="8">
        <f>IF(Type[[#This Row],[Ship Code]]="", 0, VLOOKUP(Type[[#This Row],[Ship Code]], Rate[], 3, FALSE)*Type[[#This Row],[Ship Qty]])</f>
        <v>61.600000000000009</v>
      </c>
      <c r="I3" s="9">
        <f>SUM(Type[[#This Row],[Ship Cost]], Type[[#This Row],[Box Cost]])</f>
        <v>123.20000000000002</v>
      </c>
      <c r="J3" t="str">
        <f>IF(ISNA(Type[[#This Row],[Box Cost]]), "Error Accessing SAP Rate", "")</f>
        <v/>
      </c>
    </row>
    <row r="4" spans="1:10" x14ac:dyDescent="0.25">
      <c r="A4" t="s">
        <v>69</v>
      </c>
      <c r="B4" t="s">
        <v>71</v>
      </c>
      <c r="C4" s="2">
        <v>4002278</v>
      </c>
      <c r="D4" s="7">
        <f>SUMIF(Ship_Type[REF], Type[[#This Row],[REF]], Ship_Type[Orders])</f>
        <v>361</v>
      </c>
      <c r="E4" s="9">
        <f>IF(Type[[#This Row],[Ship Code]]="", 0, VLOOKUP(Type[[#This Row],[Ship Code]], Rate[], 3, FALSE)*Type[[#This Row],[Ship Qty]])</f>
        <v>1194.9100000000001</v>
      </c>
      <c r="F4" s="2"/>
      <c r="G4" s="7">
        <f>SUMIF(Ship_Type[REF], Type[[#This Row],[REF]], Ship_Type[Boxes])</f>
        <v>361</v>
      </c>
      <c r="H4" s="8">
        <f>IF(Type[[#This Row],[Ship Code]]="", 0, VLOOKUP(Type[[#This Row],[Ship Code]], Rate[], 3, FALSE)*Type[[#This Row],[Ship Qty]])</f>
        <v>1194.9100000000001</v>
      </c>
      <c r="I4" s="9">
        <f>SUM(Type[[#This Row],[Ship Cost]], Type[[#This Row],[Box Cost]])</f>
        <v>2389.8200000000002</v>
      </c>
      <c r="J4" t="str">
        <f>IF(ISNA(Type[[#This Row],[Box Cost]]), "Error Accessing SAP Rate", "")</f>
        <v/>
      </c>
    </row>
    <row r="5" spans="1:10" x14ac:dyDescent="0.25">
      <c r="A5" t="s">
        <v>74</v>
      </c>
      <c r="B5" t="s">
        <v>17</v>
      </c>
      <c r="C5" s="2">
        <v>4002278</v>
      </c>
      <c r="D5" s="7">
        <f>SUMIF(Ship_Type[REF], Type[[#This Row],[REF]], Ship_Type[Orders])</f>
        <v>0</v>
      </c>
      <c r="E5" s="9">
        <f>IF(Type[[#This Row],[Ship Code]]="", 0, VLOOKUP(Type[[#This Row],[Ship Code]], Rate[], 3, FALSE)*Type[[#This Row],[Ship Qty]])</f>
        <v>0</v>
      </c>
      <c r="F5" s="2"/>
      <c r="G5" s="7">
        <f>SUMIF(Ship_Type[REF], Type[[#This Row],[REF]], Ship_Type[Boxes])</f>
        <v>0</v>
      </c>
      <c r="H5" s="8">
        <f>IF(Type[[#This Row],[Ship Code]]="", 0, VLOOKUP(Type[[#This Row],[Ship Code]], Rate[], 3, FALSE)*Type[[#This Row],[Ship Qty]])</f>
        <v>0</v>
      </c>
      <c r="I5" s="9">
        <f>SUM(Type[[#This Row],[Ship Cost]], Type[[#This Row],[Box Cost]])</f>
        <v>0</v>
      </c>
      <c r="J5" t="str">
        <f>IF(ISNA(Type[[#This Row],[Box Cost]]), "Error Accessing SAP Rate", "")</f>
        <v/>
      </c>
    </row>
  </sheetData>
  <sheetProtection sheet="1" objects="1" scenarios="1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F30"/>
  <sheetViews>
    <sheetView tabSelected="1" topLeftCell="A2" workbookViewId="0">
      <selection activeCell="F31" sqref="F31"/>
    </sheetView>
  </sheetViews>
  <sheetFormatPr defaultRowHeight="15" x14ac:dyDescent="0.25"/>
  <cols>
    <col min="1" max="1" width="13.5703125" bestFit="1" customWidth="1"/>
    <col min="2" max="2" width="60.42578125" customWidth="1"/>
    <col min="3" max="3" width="6.5703125" bestFit="1" customWidth="1"/>
    <col min="6" max="6" width="10.5703125" bestFit="1" customWidth="1"/>
  </cols>
  <sheetData>
    <row r="1" spans="1:6" x14ac:dyDescent="0.25">
      <c r="A1" s="15" t="s">
        <v>3</v>
      </c>
      <c r="B1" s="13" t="s">
        <v>31</v>
      </c>
      <c r="C1" s="15" t="s">
        <v>1</v>
      </c>
      <c r="D1" s="15" t="s">
        <v>4</v>
      </c>
      <c r="E1" s="15" t="s">
        <v>1</v>
      </c>
      <c r="F1" s="15" t="s">
        <v>16</v>
      </c>
    </row>
    <row r="2" spans="1:6" x14ac:dyDescent="0.25">
      <c r="A2" s="32" t="s">
        <v>75</v>
      </c>
      <c r="B2" s="32"/>
      <c r="C2" s="32"/>
      <c r="D2" s="32"/>
      <c r="E2" s="32"/>
      <c r="F2" s="32"/>
    </row>
    <row r="3" spans="1:6" x14ac:dyDescent="0.25">
      <c r="A3" s="18">
        <v>1200110</v>
      </c>
      <c r="B3" s="21" t="str">
        <f>VLOOKUP($A3, Rate[[SAP Code]:[Qty]], 2, FALSE)</f>
        <v>De-vanning pallets/unloading from truck, pallet put-away</v>
      </c>
      <c r="C3" s="21"/>
      <c r="D3" s="19">
        <f>VLOOKUP($A3, Rate[[SAP Code]:[Qty]], 3, FALSE)</f>
        <v>12.5</v>
      </c>
      <c r="E3" s="17">
        <f>VLOOKUP($A3, Rate[[SAP Code]:[Qty]], 9, FALSE)</f>
        <v>0</v>
      </c>
      <c r="F3" s="20">
        <f>D3*E3</f>
        <v>0</v>
      </c>
    </row>
    <row r="4" spans="1:6" x14ac:dyDescent="0.25">
      <c r="A4" s="28">
        <v>1200111</v>
      </c>
      <c r="B4" s="29" t="str">
        <f>VLOOKUP(A4, Rate[[SAP Code]:[Qty]], 2, FALSE)</f>
        <v>De-vanning cartons/unloading from a truck, carton put-away</v>
      </c>
      <c r="C4" s="29"/>
      <c r="D4" s="27">
        <f>VLOOKUP($A4, Rate[[SAP Code]:[Qty]], 3, FALSE)</f>
        <v>3.8</v>
      </c>
      <c r="E4" s="30">
        <f>VLOOKUP($A4, Rate[[SAP Code]:[Qty]], 9, FALSE)</f>
        <v>0</v>
      </c>
      <c r="F4" s="27">
        <f>D4*E4</f>
        <v>0</v>
      </c>
    </row>
    <row r="5" spans="1:6" x14ac:dyDescent="0.25">
      <c r="A5" s="18"/>
      <c r="B5" s="21"/>
      <c r="C5" s="21"/>
      <c r="D5" s="19"/>
      <c r="E5" s="18"/>
      <c r="F5" s="20"/>
    </row>
    <row r="6" spans="1:6" x14ac:dyDescent="0.25">
      <c r="A6" s="32" t="s">
        <v>76</v>
      </c>
      <c r="B6" s="32"/>
      <c r="C6" s="32"/>
      <c r="D6" s="32"/>
      <c r="E6" s="32"/>
      <c r="F6" s="32"/>
    </row>
    <row r="7" spans="1:6" x14ac:dyDescent="0.25">
      <c r="A7" s="18">
        <v>2001711</v>
      </c>
      <c r="B7" s="21" t="str">
        <f>VLOOKUP($A7, Rate[[SAP Code]:[Qty]], 2, FALSE)</f>
        <v>Configuration - Per Item Fee</v>
      </c>
      <c r="C7" s="21"/>
      <c r="D7" s="19">
        <f>VLOOKUP($A7, Rate[[SAP Code]:[Qty]], 3, FALSE)</f>
        <v>3.72</v>
      </c>
      <c r="E7" s="17">
        <f>VLOOKUP($A7, Rate[[SAP Code]:[Qty]], 9, FALSE)</f>
        <v>234</v>
      </c>
      <c r="F7" s="20">
        <f>D7*E7</f>
        <v>870.48</v>
      </c>
    </row>
    <row r="8" spans="1:6" x14ac:dyDescent="0.25">
      <c r="A8" s="18"/>
      <c r="B8" s="21"/>
      <c r="C8" s="21"/>
      <c r="D8" s="19"/>
      <c r="E8" s="22"/>
      <c r="F8" s="20"/>
    </row>
    <row r="9" spans="1:6" x14ac:dyDescent="0.25">
      <c r="A9" s="32" t="s">
        <v>79</v>
      </c>
      <c r="B9" s="32"/>
      <c r="C9" s="32"/>
      <c r="D9" s="32"/>
      <c r="E9" s="32"/>
      <c r="F9" s="32"/>
    </row>
    <row r="10" spans="1:6" x14ac:dyDescent="0.25">
      <c r="A10" s="18">
        <v>4002278</v>
      </c>
      <c r="B10" s="21" t="str">
        <f>VLOOKUP($A10, Rate[[SAP Code]:[Qty]], 2, FALSE)</f>
        <v>Standard Modem Dropship - Per order Fee</v>
      </c>
      <c r="C10" s="21"/>
      <c r="D10" s="19">
        <f>VLOOKUP($A10, Rate[[SAP Code]:[Qty]], 3, FALSE)</f>
        <v>3.31</v>
      </c>
      <c r="E10" s="17">
        <f>VLOOKUP($A10, Rate[[SAP Code]:[Qty]], 9, FALSE)</f>
        <v>361</v>
      </c>
      <c r="F10" s="20">
        <f>D10*E10</f>
        <v>1194.9100000000001</v>
      </c>
    </row>
    <row r="11" spans="1:6" x14ac:dyDescent="0.25">
      <c r="A11" s="28">
        <v>4002279</v>
      </c>
      <c r="B11" s="29" t="str">
        <f>VLOOKUP(A11, Rate[[SAP Code]:[Qty]], 2, FALSE)</f>
        <v>Standard Modem Dropship - Per item Fee</v>
      </c>
      <c r="C11" s="29"/>
      <c r="D11" s="27">
        <f>VLOOKUP($A11, Rate[[SAP Code]:[Qty]], 3, FALSE)</f>
        <v>1.47</v>
      </c>
      <c r="E11" s="30">
        <f>VLOOKUP($A11, Rate[[SAP Code]:[Qty]], 9, FALSE)</f>
        <v>380</v>
      </c>
      <c r="F11" s="27">
        <f>D11*E11</f>
        <v>558.6</v>
      </c>
    </row>
    <row r="12" spans="1:6" x14ac:dyDescent="0.25">
      <c r="A12" s="18"/>
      <c r="B12" s="21"/>
      <c r="C12" s="21"/>
      <c r="D12" s="19"/>
      <c r="E12" s="22"/>
      <c r="F12" s="20"/>
    </row>
    <row r="13" spans="1:6" x14ac:dyDescent="0.25">
      <c r="A13" s="32" t="s">
        <v>77</v>
      </c>
      <c r="B13" s="32"/>
      <c r="C13" s="32"/>
      <c r="D13" s="32"/>
      <c r="E13" s="32"/>
      <c r="F13" s="32"/>
    </row>
    <row r="14" spans="1:6" x14ac:dyDescent="0.25">
      <c r="A14" s="18">
        <v>4002280</v>
      </c>
      <c r="B14" s="21" t="str">
        <f>VLOOKUP($A14, Rate[[SAP Code]:[Qty]], 2, FALSE)</f>
        <v>SIM Dropship - Per order Fee</v>
      </c>
      <c r="C14" s="21"/>
      <c r="D14" s="19">
        <f>VLOOKUP($A14, Rate[[SAP Code]:[Qty]], 3, FALSE)</f>
        <v>1.3</v>
      </c>
      <c r="E14" s="17">
        <f>VLOOKUP($A14, Rate[[SAP Code]:[Qty]], 9, FALSE)</f>
        <v>101</v>
      </c>
      <c r="F14" s="20">
        <f>D14*E14</f>
        <v>131.30000000000001</v>
      </c>
    </row>
    <row r="15" spans="1:6" x14ac:dyDescent="0.25">
      <c r="A15" s="28">
        <v>4002281</v>
      </c>
      <c r="B15" s="29" t="str">
        <f>VLOOKUP(A15, Rate[[SAP Code]:[Qty]], 2, FALSE)</f>
        <v>SIM Dropship - Per item Fee</v>
      </c>
      <c r="C15" s="29"/>
      <c r="D15" s="27">
        <f>VLOOKUP($A15, Rate[[SAP Code]:[Qty]], 3, FALSE)</f>
        <v>1.37</v>
      </c>
      <c r="E15" s="30">
        <f>VLOOKUP($A15, Rate[[SAP Code]:[Qty]], 9, FALSE)</f>
        <v>117</v>
      </c>
      <c r="F15" s="27">
        <f>D15*E15</f>
        <v>160.29000000000002</v>
      </c>
    </row>
    <row r="16" spans="1:6" x14ac:dyDescent="0.25">
      <c r="A16" s="23"/>
      <c r="B16" s="21"/>
      <c r="C16" s="21"/>
      <c r="D16" s="21"/>
      <c r="E16" s="21"/>
      <c r="F16" s="21"/>
    </row>
    <row r="17" spans="1:6" x14ac:dyDescent="0.25">
      <c r="A17" s="32" t="s">
        <v>78</v>
      </c>
      <c r="B17" s="32"/>
      <c r="C17" s="32"/>
      <c r="D17" s="32"/>
      <c r="E17" s="32"/>
      <c r="F17" s="32"/>
    </row>
    <row r="18" spans="1:6" x14ac:dyDescent="0.25">
      <c r="A18" s="18">
        <v>4002282</v>
      </c>
      <c r="B18" s="21" t="str">
        <f>VLOOKUP($A18, Rate[[SAP Code]:[Qty]], 2, FALSE)</f>
        <v>Replacement SIM Dropship - Per order Fee</v>
      </c>
      <c r="C18" s="21"/>
      <c r="D18" s="19">
        <f>VLOOKUP($A18, Rate[[SAP Code]:[Qty]], 3, FALSE)</f>
        <v>1.1200000000000001</v>
      </c>
      <c r="E18" s="31">
        <f>VLOOKUP($A18, Rate[[SAP Code]:[Qty]], 9, FALSE)-E14</f>
        <v>0</v>
      </c>
      <c r="F18" s="20">
        <f>D18*E18</f>
        <v>0</v>
      </c>
    </row>
    <row r="19" spans="1:6" x14ac:dyDescent="0.25">
      <c r="A19" s="28">
        <v>4002283</v>
      </c>
      <c r="B19" s="29" t="str">
        <f>VLOOKUP($A19, Rate[[SAP Code]:[Qty]], 2, FALSE)</f>
        <v>Replacement SIM Dropship - Per item Fee</v>
      </c>
      <c r="C19" s="29"/>
      <c r="D19" s="27">
        <f>VLOOKUP($A19, Rate[[SAP Code]:[Qty]], 3, FALSE)</f>
        <v>1.37</v>
      </c>
      <c r="E19" s="30">
        <f>VLOOKUP($A19, Rate[[SAP Code]:[Qty]], 9, FALSE)</f>
        <v>0</v>
      </c>
      <c r="F19" s="27">
        <f>D19*E19</f>
        <v>0</v>
      </c>
    </row>
    <row r="20" spans="1:6" x14ac:dyDescent="0.25">
      <c r="A20" s="18"/>
      <c r="B20" s="21"/>
      <c r="C20" s="21"/>
      <c r="D20" s="21"/>
      <c r="E20" s="21"/>
      <c r="F20" s="21"/>
    </row>
    <row r="21" spans="1:6" x14ac:dyDescent="0.25">
      <c r="A21" s="32" t="s">
        <v>80</v>
      </c>
      <c r="B21" s="32"/>
      <c r="C21" s="32"/>
      <c r="D21" s="32"/>
      <c r="E21" s="32"/>
      <c r="F21" s="32"/>
    </row>
    <row r="22" spans="1:6" ht="30" x14ac:dyDescent="0.25">
      <c r="A22" s="18">
        <v>4002284</v>
      </c>
      <c r="B22" s="26" t="str">
        <f>VLOOKUP($A22, Rate[[SAP Code]:[Qty]], 2, FALSE)</f>
        <v>RTS - Processing of RTS Returns, Unpack, Inspection, De-Trash, Scan, Sorting and Report</v>
      </c>
      <c r="C22" s="21"/>
      <c r="D22" s="19">
        <f>VLOOKUP($A22, Rate[[SAP Code]:[Qty]], 3, FALSE)</f>
        <v>5.95</v>
      </c>
      <c r="E22" s="24">
        <f>VLOOKUP($A22, Rate[[SAP Code]:[Qty]], 9, FALSE)</f>
        <v>0</v>
      </c>
      <c r="F22" s="20">
        <f>D22*E22</f>
        <v>0</v>
      </c>
    </row>
    <row r="23" spans="1:6" x14ac:dyDescent="0.25">
      <c r="A23" s="18"/>
      <c r="B23" s="21"/>
      <c r="C23" s="21"/>
      <c r="D23" s="21"/>
      <c r="E23" s="21"/>
      <c r="F23" s="21"/>
    </row>
    <row r="24" spans="1:6" x14ac:dyDescent="0.25">
      <c r="A24" s="32" t="s">
        <v>81</v>
      </c>
      <c r="B24" s="32"/>
      <c r="C24" s="32"/>
      <c r="D24" s="32"/>
      <c r="E24" s="32"/>
      <c r="F24" s="32"/>
    </row>
    <row r="25" spans="1:6" x14ac:dyDescent="0.25">
      <c r="A25" s="18" t="s">
        <v>5</v>
      </c>
      <c r="B25" s="21" t="str">
        <f>VLOOKUP($A25, Rate[[SAP Code]:[Qty]], 2, FALSE)</f>
        <v>Standard Pallet Storage</v>
      </c>
      <c r="C25" s="21"/>
      <c r="D25" s="19">
        <f>VLOOKUP($A25, Rate[[SAP Code]:[Qty]], 3, FALSE)</f>
        <v>6.2</v>
      </c>
      <c r="E25" s="24">
        <f>VLOOKUP($A25, Rate[[SAP Code]:[Qty]], 9, FALSE)</f>
        <v>0</v>
      </c>
      <c r="F25" s="20">
        <f>D25*E25</f>
        <v>0</v>
      </c>
    </row>
    <row r="26" spans="1:6" x14ac:dyDescent="0.25">
      <c r="A26" s="28">
        <v>1200112</v>
      </c>
      <c r="B26" s="29" t="str">
        <f>VLOOKUP(A26, Rate[[SAP Code]:[Qty]], 2, FALSE)</f>
        <v>Labour - Labour Rate Weekday</v>
      </c>
      <c r="C26" s="29"/>
      <c r="D26" s="27">
        <f>VLOOKUP($A26, Rate[[SAP Code]:[Qty]], 3, FALSE)</f>
        <v>110</v>
      </c>
      <c r="E26" s="24">
        <f>VLOOKUP($A26, Rate[[SAP Code]:[Qty]], 9, FALSE)</f>
        <v>0</v>
      </c>
      <c r="F26" s="27">
        <f>D26*E26</f>
        <v>0</v>
      </c>
    </row>
    <row r="27" spans="1:6" x14ac:dyDescent="0.25">
      <c r="A27" s="18">
        <v>1200113</v>
      </c>
      <c r="B27" s="21" t="str">
        <f>VLOOKUP($A27, Rate[[SAP Code]:[Qty]], 2, FALSE)</f>
        <v>Disbursement</v>
      </c>
      <c r="C27" s="21"/>
      <c r="D27" s="19">
        <f>VLOOKUP($A27, Rate[[SAP Code]:[Qty]], 3, FALSE)</f>
        <v>0</v>
      </c>
      <c r="E27" s="24">
        <f>VLOOKUP($A27, Rate[[SAP Code]:[Qty]], 9, FALSE)</f>
        <v>0</v>
      </c>
      <c r="F27" s="20">
        <f>D27*E27</f>
        <v>0</v>
      </c>
    </row>
    <row r="28" spans="1:6" x14ac:dyDescent="0.25">
      <c r="A28" s="28">
        <v>1200114</v>
      </c>
      <c r="B28" s="29" t="str">
        <f>VLOOKUP(A28, Rate[[SAP Code]:[Qty]], 2, FALSE)</f>
        <v>API - Management Fee</v>
      </c>
      <c r="C28" s="29"/>
      <c r="D28" s="27">
        <f>VLOOKUP($A28, Rate[[SAP Code]:[Qty]], 3, FALSE)</f>
        <v>250</v>
      </c>
      <c r="E28" s="25">
        <v>0.5</v>
      </c>
      <c r="F28" s="27">
        <f>D28*E28</f>
        <v>125</v>
      </c>
    </row>
    <row r="30" spans="1:6" x14ac:dyDescent="0.25">
      <c r="D30" s="14" t="s">
        <v>16</v>
      </c>
      <c r="E30" s="14"/>
      <c r="F30" s="9">
        <f>SUM(F3:F28)</f>
        <v>3040.5800000000004</v>
      </c>
    </row>
  </sheetData>
  <mergeCells count="7">
    <mergeCell ref="A24:F24"/>
    <mergeCell ref="A2:F2"/>
    <mergeCell ref="A6:F6"/>
    <mergeCell ref="A13:F13"/>
    <mergeCell ref="A17:F17"/>
    <mergeCell ref="A21:F21"/>
    <mergeCell ref="A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workbookViewId="0">
      <selection activeCell="B3" sqref="B3"/>
    </sheetView>
  </sheetViews>
  <sheetFormatPr defaultRowHeight="15" x14ac:dyDescent="0.25"/>
  <cols>
    <col min="1" max="1" width="14.140625" bestFit="1" customWidth="1"/>
    <col min="2" max="2" width="25.85546875" bestFit="1" customWidth="1"/>
  </cols>
  <sheetData>
    <row r="1" spans="1:2" x14ac:dyDescent="0.25">
      <c r="A1" s="13" t="s">
        <v>26</v>
      </c>
      <c r="B1" s="13" t="s">
        <v>25</v>
      </c>
    </row>
    <row r="2" spans="1:2" x14ac:dyDescent="0.25">
      <c r="A2" t="s">
        <v>27</v>
      </c>
      <c r="B2" t="str">
        <f>_xlfn.IFNA(INDEX(Ship_SKU[Error],MATCH(TRUE,INDEX(Ship_SKU[Error]&lt;&gt;"",0),0)), "")</f>
        <v/>
      </c>
    </row>
    <row r="3" spans="1:2" x14ac:dyDescent="0.25">
      <c r="A3" s="12" t="s">
        <v>28</v>
      </c>
      <c r="B3" s="12" t="str">
        <f>_xlfn.IFNA(INDEX(Ship_Type[Error],MATCH(TRUE,INDEX(Ship_Type[Error]&lt;&gt;"",0),0)), "")</f>
        <v/>
      </c>
    </row>
    <row r="4" spans="1:2" x14ac:dyDescent="0.25">
      <c r="A4" t="s">
        <v>29</v>
      </c>
      <c r="B4" t="str">
        <f>_xlfn.IFNA(INDEX(SKU[Error],MATCH(TRUE,INDEX(SKU[Error]&lt;&gt;"",0),0)), "")</f>
        <v/>
      </c>
    </row>
    <row r="5" spans="1:2" x14ac:dyDescent="0.25">
      <c r="A5" s="12" t="s">
        <v>30</v>
      </c>
      <c r="B5" s="12" t="str">
        <f>_xlfn.IFNA(INDEX(Type[Error],MATCH(TRUE,INDEX(Type[Error]&lt;&gt;"",0),0)), "")</f>
        <v/>
      </c>
    </row>
    <row r="6" spans="1:2" x14ac:dyDescent="0.25">
      <c r="A6" t="s">
        <v>32</v>
      </c>
      <c r="B6" t="str">
        <f>_xlfn.IFNA(INDEX(Rate[Error],MATCH(TRUE,INDEX(Rate[Error]&lt;&gt;"",0),0)), "")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>Skyzer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Dropship Billing</dc:title>
  <dc:creator>AJ Bilby</dc:creator>
  <cp:keywords>v1.0.0</cp:keywords>
  <cp:lastModifiedBy>AJ Bilby</cp:lastModifiedBy>
  <dcterms:created xsi:type="dcterms:W3CDTF">2025-08-26T00:25:30Z</dcterms:created>
  <dcterms:modified xsi:type="dcterms:W3CDTF">2025-10-03T02:50:46Z</dcterms:modified>
</cp:coreProperties>
</file>