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Documents\Work\Skyzer\Billing Template\"/>
    </mc:Choice>
  </mc:AlternateContent>
  <xr:revisionPtr revIDLastSave="0" documentId="13_ncr:1_{DB6B7C45-78AC-4824-AC08-DF7B15F9FCD5}" xr6:coauthVersionLast="47" xr6:coauthVersionMax="47" xr10:uidLastSave="{00000000-0000-0000-0000-000000000000}"/>
  <bookViews>
    <workbookView xWindow="-120" yWindow="-120" windowWidth="38640" windowHeight="21840" activeTab="5" xr2:uid="{4C6456CD-DD40-42CB-890C-C117C2723257}"/>
    <workbookView xWindow="-28920" yWindow="2490" windowWidth="29040" windowHeight="16440" activeTab="2" xr2:uid="{5D28160B-5C56-4089-80E3-EDA404E004E3}"/>
  </bookViews>
  <sheets>
    <sheet name="Shipped SKU" sheetId="1" r:id="rId1"/>
    <sheet name="Shipped Types" sheetId="5" r:id="rId2"/>
    <sheet name="Rates" sheetId="2" r:id="rId3"/>
    <sheet name="SKU Summary" sheetId="3" r:id="rId4"/>
    <sheet name="Type Summary" sheetId="6" r:id="rId5"/>
    <sheet name="Summary" sheetId="10" r:id="rId6"/>
    <sheet name="Errors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0" l="1"/>
  <c r="C8" i="10"/>
  <c r="B9" i="10"/>
  <c r="C9" i="10"/>
  <c r="B10" i="10"/>
  <c r="C10" i="10"/>
  <c r="B11" i="10"/>
  <c r="C11" i="10"/>
  <c r="C7" i="10"/>
  <c r="B7" i="10"/>
  <c r="D2" i="6" l="1"/>
  <c r="D3" i="6"/>
  <c r="C24" i="10"/>
  <c r="B24" i="10"/>
  <c r="C23" i="10"/>
  <c r="B23" i="10"/>
  <c r="C20" i="10"/>
  <c r="B20" i="10"/>
  <c r="B15" i="10"/>
  <c r="B16" i="10"/>
  <c r="D10" i="2"/>
  <c r="D4" i="2"/>
  <c r="D5" i="2"/>
  <c r="D6" i="2"/>
  <c r="D7" i="2"/>
  <c r="E4" i="2"/>
  <c r="E5" i="2"/>
  <c r="E6" i="2"/>
  <c r="E7" i="2"/>
  <c r="F10" i="2"/>
  <c r="F4" i="2"/>
  <c r="F5" i="2"/>
  <c r="F6" i="2"/>
  <c r="F7" i="2"/>
  <c r="G10" i="2"/>
  <c r="G4" i="2"/>
  <c r="G5" i="2"/>
  <c r="G6" i="2"/>
  <c r="G7" i="2"/>
  <c r="J10" i="2"/>
  <c r="J4" i="2"/>
  <c r="J5" i="2"/>
  <c r="J6" i="2"/>
  <c r="J7" i="2"/>
  <c r="H7" i="2" l="1"/>
  <c r="I7" i="2" s="1"/>
  <c r="H4" i="2"/>
  <c r="H6" i="2"/>
  <c r="D11" i="10" s="1"/>
  <c r="E11" i="10" s="1"/>
  <c r="H5" i="2"/>
  <c r="D10" i="10" s="1"/>
  <c r="E10" i="10" s="1"/>
  <c r="D20" i="10"/>
  <c r="E20" i="10" s="1"/>
  <c r="I4" i="2" l="1"/>
  <c r="D9" i="10"/>
  <c r="E9" i="10" s="1"/>
  <c r="I5" i="2"/>
  <c r="I6" i="2"/>
  <c r="D2" i="2" l="1"/>
  <c r="E2" i="2"/>
  <c r="F2" i="2"/>
  <c r="G2" i="2"/>
  <c r="J2" i="2"/>
  <c r="J3" i="2"/>
  <c r="J8" i="2"/>
  <c r="J9" i="2"/>
  <c r="C4" i="10"/>
  <c r="C15" i="10"/>
  <c r="C16" i="10"/>
  <c r="C3" i="10"/>
  <c r="B3" i="10"/>
  <c r="B4" i="10"/>
  <c r="C2" i="5"/>
  <c r="C3" i="5"/>
  <c r="C4" i="5"/>
  <c r="C3" i="1"/>
  <c r="C4" i="1"/>
  <c r="C5" i="1"/>
  <c r="C6" i="1"/>
  <c r="C7" i="1"/>
  <c r="C2" i="1"/>
  <c r="D3" i="2"/>
  <c r="D8" i="2"/>
  <c r="D9" i="2"/>
  <c r="G9" i="2"/>
  <c r="G3" i="2"/>
  <c r="F9" i="2"/>
  <c r="F8" i="2"/>
  <c r="F3" i="2"/>
  <c r="E9" i="2"/>
  <c r="E8" i="2"/>
  <c r="E3" i="2"/>
  <c r="E3" i="6"/>
  <c r="F3" i="6" s="1"/>
  <c r="K3" i="3"/>
  <c r="K2" i="3"/>
  <c r="D3" i="3"/>
  <c r="E3" i="3" s="1"/>
  <c r="D4" i="3"/>
  <c r="K4" i="3" s="1"/>
  <c r="D2" i="3"/>
  <c r="E2" i="3" s="1"/>
  <c r="E4" i="3" l="1"/>
  <c r="E10" i="2"/>
  <c r="H10" i="2" s="1"/>
  <c r="G8" i="2"/>
  <c r="H8" i="2" s="1"/>
  <c r="H2" i="2"/>
  <c r="B6" i="9"/>
  <c r="B2" i="9"/>
  <c r="B3" i="9"/>
  <c r="H3" i="2"/>
  <c r="D8" i="10" s="1"/>
  <c r="E8" i="10" s="1"/>
  <c r="D16" i="10"/>
  <c r="E16" i="10" s="1"/>
  <c r="H9" i="2"/>
  <c r="D24" i="10" s="1"/>
  <c r="E24" i="10" s="1"/>
  <c r="H2" i="3"/>
  <c r="I2" i="3" s="1"/>
  <c r="M2" i="3" s="1"/>
  <c r="H3" i="3"/>
  <c r="I3" i="3" s="1"/>
  <c r="M3" i="3" s="1"/>
  <c r="H4" i="3"/>
  <c r="I4" i="3" s="1"/>
  <c r="E2" i="6"/>
  <c r="F2" i="6" s="1"/>
  <c r="I2" i="2" l="1"/>
  <c r="D7" i="10"/>
  <c r="E7" i="10" s="1"/>
  <c r="I10" i="2"/>
  <c r="D23" i="10"/>
  <c r="E23" i="10" s="1"/>
  <c r="M4" i="3"/>
  <c r="D3" i="10"/>
  <c r="E3" i="10" s="1"/>
  <c r="D15" i="10"/>
  <c r="D4" i="10"/>
  <c r="E4" i="10" s="1"/>
  <c r="I3" i="2"/>
  <c r="B5" i="9"/>
  <c r="I8" i="2"/>
  <c r="I9" i="2"/>
  <c r="L2" i="3"/>
  <c r="L4" i="3"/>
  <c r="L3" i="3"/>
  <c r="E15" i="10" l="1"/>
  <c r="B4" i="9"/>
  <c r="E26" i="10" l="1"/>
</calcChain>
</file>

<file path=xl/sharedStrings.xml><?xml version="1.0" encoding="utf-8"?>
<sst xmlns="http://schemas.openxmlformats.org/spreadsheetml/2006/main" count="85" uniqueCount="63">
  <si>
    <t>SKU</t>
  </si>
  <si>
    <t>Qty</t>
  </si>
  <si>
    <t>Error</t>
  </si>
  <si>
    <t>SAP Code</t>
  </si>
  <si>
    <t>Rate</t>
  </si>
  <si>
    <t>Storage</t>
  </si>
  <si>
    <t>Name</t>
  </si>
  <si>
    <t>Ship Code</t>
  </si>
  <si>
    <t>Ship Qty</t>
  </si>
  <si>
    <t>Kit Code</t>
  </si>
  <si>
    <t>Kit Items</t>
  </si>
  <si>
    <t>Commission Code</t>
  </si>
  <si>
    <t>Ship Cost</t>
  </si>
  <si>
    <t>Kit Cost</t>
  </si>
  <si>
    <t>Comission Cost</t>
  </si>
  <si>
    <t>Total</t>
  </si>
  <si>
    <t>Standard</t>
  </si>
  <si>
    <t>REF</t>
  </si>
  <si>
    <t>Rate Code</t>
  </si>
  <si>
    <t>Cost</t>
  </si>
  <si>
    <t>Kitted</t>
  </si>
  <si>
    <t>Shipped</t>
  </si>
  <si>
    <t>Commissioned</t>
  </si>
  <si>
    <t>Orders</t>
  </si>
  <si>
    <t>Kit Qty</t>
  </si>
  <si>
    <t>Message</t>
  </si>
  <si>
    <t>Source</t>
  </si>
  <si>
    <t>Shipped SKU</t>
  </si>
  <si>
    <t>Shipped Types</t>
  </si>
  <si>
    <t>SKU Summary</t>
  </si>
  <si>
    <t>Type Summary</t>
  </si>
  <si>
    <t>Item</t>
  </si>
  <si>
    <t>Rates</t>
  </si>
  <si>
    <t>satchel_ctp3</t>
  </si>
  <si>
    <t>swoop_sim</t>
  </si>
  <si>
    <t>swoop_sim_pro_rata</t>
  </si>
  <si>
    <t>tplink_vx230v</t>
  </si>
  <si>
    <t>#36558</t>
  </si>
  <si>
    <t>moose_express</t>
  </si>
  <si>
    <t>moose_sim_express</t>
  </si>
  <si>
    <t>moose_sim_standard</t>
  </si>
  <si>
    <t>Express</t>
  </si>
  <si>
    <t>Satchel CTP3</t>
  </si>
  <si>
    <t>TP-Link AX1800 Router Modem</t>
  </si>
  <si>
    <t>Satchel (TGE 500g)</t>
  </si>
  <si>
    <t>moose_letter_sim_new</t>
  </si>
  <si>
    <t>In Bound Shipment Services</t>
  </si>
  <si>
    <t>Standard Modem Dropship</t>
  </si>
  <si>
    <t>Return to Sender (RTS Processing)</t>
  </si>
  <si>
    <t>Other Services</t>
  </si>
  <si>
    <t>Commissioning</t>
  </si>
  <si>
    <t>b2b_express</t>
  </si>
  <si>
    <t>b2b_regular</t>
  </si>
  <si>
    <t>Freight</t>
  </si>
  <si>
    <t>TP-Link VX 230v – First Energy – Custom Configuration and Dropship</t>
  </si>
  <si>
    <t>TP-Link VX 230v – Boost – Custom Configuration and Dropship</t>
  </si>
  <si>
    <t>TP-Link VX 230v – Sumo – Custom Configuration and Dropship</t>
  </si>
  <si>
    <t>TP-Link VX 230v – Bolton Clarke – Custom Configuration and Dropship</t>
  </si>
  <si>
    <t xml:space="preserve">Outbound - Order Admin Fee </t>
  </si>
  <si>
    <t>Outbound - Order Item Loading</t>
  </si>
  <si>
    <t>Any freight costs are invoiced separately as "Carrier Invoice, Plus 20%"</t>
  </si>
  <si>
    <t>Warehouse storage, Pallet equivalent is 1200mm (L) x 1200mm (W) x 1400mm (H);</t>
  </si>
  <si>
    <t>TP-Link VX 230v – Australia Post - Modem Conversion to Boost 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</si>
</sst>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9" fillId="5" borderId="4" xfId="10" applyAlignment="1">
      <alignment horizontal="right"/>
    </xf>
    <xf numFmtId="0" fontId="9" fillId="5" borderId="4" xfId="10"/>
    <xf numFmtId="1" fontId="0" fillId="0" borderId="0" xfId="0" applyNumberFormat="1"/>
    <xf numFmtId="1" fontId="11" fillId="6" borderId="4" xfId="12" applyNumberFormat="1"/>
    <xf numFmtId="44" fontId="11" fillId="6" borderId="4" xfId="12" applyNumberFormat="1"/>
    <xf numFmtId="44" fontId="11" fillId="6" borderId="4" xfId="1" applyFont="1" applyFill="1" applyBorder="1"/>
    <xf numFmtId="0" fontId="11" fillId="6" borderId="4" xfId="12"/>
    <xf numFmtId="44" fontId="10" fillId="6" borderId="5" xfId="1" applyFont="1" applyFill="1" applyBorder="1"/>
    <xf numFmtId="44" fontId="10" fillId="6" borderId="5" xfId="11" applyNumberFormat="1"/>
    <xf numFmtId="44" fontId="0" fillId="0" borderId="0" xfId="1" applyFont="1"/>
    <xf numFmtId="0" fontId="1" fillId="10" borderId="0" xfId="20"/>
    <xf numFmtId="0" fontId="17" fillId="9" borderId="0" xfId="19"/>
    <xf numFmtId="0" fontId="17" fillId="9" borderId="0" xfId="19" applyAlignment="1">
      <alignment horizontal="center"/>
    </xf>
    <xf numFmtId="0" fontId="0" fillId="0" borderId="0" xfId="0" applyAlignment="1">
      <alignment horizontal="center"/>
    </xf>
    <xf numFmtId="0" fontId="9" fillId="5" borderId="10" xfId="10" applyBorder="1"/>
    <xf numFmtId="1" fontId="11" fillId="6" borderId="10" xfId="12" applyNumberFormat="1" applyBorder="1"/>
    <xf numFmtId="44" fontId="11" fillId="6" borderId="10" xfId="12" applyNumberFormat="1" applyBorder="1"/>
    <xf numFmtId="0" fontId="9" fillId="5" borderId="10" xfId="10" applyBorder="1" applyAlignment="1">
      <alignment horizontal="right"/>
    </xf>
    <xf numFmtId="44" fontId="10" fillId="6" borderId="11" xfId="11" applyNumberFormat="1" applyBorder="1"/>
    <xf numFmtId="0" fontId="10" fillId="6" borderId="5" xfId="11"/>
    <xf numFmtId="0" fontId="10" fillId="6" borderId="5" xfId="11" applyNumberFormat="1"/>
    <xf numFmtId="0" fontId="1" fillId="20" borderId="0" xfId="30" applyAlignment="1">
      <alignment horizontal="center"/>
    </xf>
    <xf numFmtId="0" fontId="16" fillId="20" borderId="0" xfId="30" applyFont="1" applyAlignment="1">
      <alignment horizontal="center"/>
    </xf>
    <xf numFmtId="0" fontId="1" fillId="20" borderId="0" xfId="30" applyAlignment="1">
      <alignment horizontal="center" vertical="center"/>
    </xf>
    <xf numFmtId="0" fontId="16" fillId="20" borderId="0" xfId="3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0" applyNumberFormat="1" applyAlignment="1">
      <alignment vertical="center"/>
    </xf>
    <xf numFmtId="0" fontId="1" fillId="10" borderId="0" xfId="20" applyAlignment="1">
      <alignment vertical="center"/>
    </xf>
    <xf numFmtId="49" fontId="1" fillId="10" borderId="0" xfId="20" applyNumberFormat="1" applyAlignment="1">
      <alignment horizontal="center" vertical="center"/>
    </xf>
    <xf numFmtId="44" fontId="1" fillId="10" borderId="0" xfId="20" applyNumberFormat="1" applyAlignment="1">
      <alignment vertical="center"/>
    </xf>
    <xf numFmtId="49" fontId="1" fillId="20" borderId="0" xfId="30" applyNumberFormat="1" applyAlignment="1">
      <alignment horizontal="center" vertical="center"/>
    </xf>
    <xf numFmtId="44" fontId="1" fillId="20" borderId="0" xfId="30" applyNumberFormat="1" applyAlignment="1">
      <alignment vertical="center"/>
    </xf>
    <xf numFmtId="49" fontId="16" fillId="20" borderId="0" xfId="30" applyNumberFormat="1" applyFont="1" applyAlignment="1">
      <alignment horizontal="center" vertical="center"/>
    </xf>
    <xf numFmtId="44" fontId="16" fillId="20" borderId="0" xfId="30" applyNumberFormat="1" applyFont="1" applyAlignment="1">
      <alignment vertical="center"/>
    </xf>
    <xf numFmtId="0" fontId="1" fillId="20" borderId="0" xfId="3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10" borderId="0" xfId="20" applyAlignment="1">
      <alignment horizontal="center" vertical="center"/>
    </xf>
    <xf numFmtId="0" fontId="1" fillId="10" borderId="0" xfId="20" applyAlignment="1">
      <alignment horizontal="center"/>
    </xf>
    <xf numFmtId="49" fontId="9" fillId="5" borderId="4" xfId="10" applyNumberFormat="1" applyAlignment="1">
      <alignment horizontal="center" vertical="center"/>
    </xf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1" formatCode="0"/>
    </dxf>
    <dxf>
      <numFmt numFmtId="34" formatCode="_-&quot;$&quot;* #,##0.00_-;\-&quot;$&quot;* #,##0.00_-;_-&quot;$&quot;* &quot;-&quot;??_-;_-@_-"/>
    </dxf>
    <dxf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E541C2-C83E-47C3-A116-2DEE71B5E79E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9FAB5F-4156-4438-87D9-10E7BB3562C6}" name="Ship_SKU" displayName="Ship_SKU" ref="A1:C7" totalsRowShown="0" headerRowCellStyle="Normal" dataCellStyle="Normal">
  <autoFilter ref="A1:C7" xr:uid="{689FAB5F-4156-4438-87D9-10E7BB3562C6}"/>
  <sortState xmlns:xlrd2="http://schemas.microsoft.com/office/spreadsheetml/2017/richdata2" ref="A2:C7">
    <sortCondition ref="A1:A7"/>
  </sortState>
  <tableColumns count="3">
    <tableColumn id="1" xr3:uid="{17679FF9-EB04-473B-8F64-EEE76A76A2B2}" name="SKU" dataCellStyle="Normal"/>
    <tableColumn id="2" xr3:uid="{673B8975-D3E3-418C-9C84-52AE2D79D5AE}" name="Qty" dataDxfId="17" dataCellStyle="Normal"/>
    <tableColumn id="3" xr3:uid="{19826D0F-EEB9-41A6-9245-01026EEF5110}" name="Error" dataDxfId="16" dataCellStyle="Normal">
      <calculatedColumnFormula>_xlfn.CONCAT(
  IF(ISNA(MATCH(Ship_SKU[[#This Row],[SKU]], SKU[SKU], 0)), _xlfn.CONCAT("Missing ", Ship_SKU[[#This Row],[SKU]], " definition"), ""),
  IF(ISNUMBER(Ship_SKU[[#This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7E437-28AE-41C5-9436-3B2C0516FFAB}" name="Ship_Type" displayName="Ship_Type" ref="A1:C4" totalsRowShown="0">
  <autoFilter ref="A1:C4" xr:uid="{9267E437-28AE-41C5-9436-3B2C0516FFAB}"/>
  <tableColumns count="3">
    <tableColumn id="1" xr3:uid="{200ABEF6-5238-4FCD-AC83-84B68D4D4838}" name="REF"/>
    <tableColumn id="2" xr3:uid="{7FCF562D-BB87-4432-80CA-C047B11BF23E}" name="Qty"/>
    <tableColumn id="3" xr3:uid="{51CE96A6-D026-4B7A-B4A7-DC490DBBE726}" name="Error" dataDxfId="15">
      <calculatedColumnFormula>_xlfn.CONCAT(
  IF(ISNA(MATCH(Ship_Type[[#This Row],[REF]], Type[REF], 0)), _xlfn.CONCAT("Missing ", Ship_Type[[#This Row],[REF]], " definition"), ""),
  IF(ISNUMBER(Ship_Type[[#This Row],[Qty]]), "", "Quantity is not number")
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09D7-D422-4DAA-A816-08D2DF870459}" name="Rate" displayName="Rate" ref="A1:J10" totalsRowShown="0" dataCellStyle="Normal">
  <autoFilter ref="A1:J10" xr:uid="{C3DE09D7-D422-4DAA-A816-08D2DF870459}"/>
  <sortState xmlns:xlrd2="http://schemas.microsoft.com/office/spreadsheetml/2017/richdata2" ref="A2:J10">
    <sortCondition ref="A1:A10"/>
  </sortState>
  <tableColumns count="10">
    <tableColumn id="1" xr3:uid="{24F70D57-2EE1-4C0C-AB27-FA9936CA2FDA}" name="SAP Code" dataCellStyle="Normal"/>
    <tableColumn id="2" xr3:uid="{551A844F-4250-48AF-996B-2DB5E2C14C9E}" name="Name" dataCellStyle="Normal"/>
    <tableColumn id="3" xr3:uid="{D3AEF243-FC04-4A0D-8F19-68B3EA5F9E86}" name="Rate" dataCellStyle="Currency"/>
    <tableColumn id="7" xr3:uid="{B071484C-D0BA-4C96-9047-56AA6FAE2695}" name="Orders" dataCellStyle="Calculation">
      <calculatedColumnFormula>SUMIF(Type[Rate Code], Rate[[#This Row],[SAP Code]], Type[Qty])</calculatedColumnFormula>
    </tableColumn>
    <tableColumn id="10" xr3:uid="{D36CB0F0-B99E-4655-8240-3D29B34D47F2}" name="Shipped" dataCellStyle="Calculation">
      <calculatedColumnFormula>SUMIF(SKU[Ship Code], Rate[[#This Row],[SAP Code]], SKU[Ship Qty])</calculatedColumnFormula>
    </tableColumn>
    <tableColumn id="8" xr3:uid="{683B56EE-AF7D-4895-922B-EBC3DCB82A98}" name="Kitted" dataCellStyle="Calculation">
      <calculatedColumnFormula>SUMIF(SKU[Kit Code], Rate[[#This Row],[SAP Code]], SKU[Kit Qty])</calculatedColumnFormula>
    </tableColumn>
    <tableColumn id="9" xr3:uid="{A631A77F-4C93-47BA-B2F5-87087DAEEB42}" name="Commissioned" dataCellStyle="Calculation">
      <calculatedColumnFormula>SUMIF(SKU[Commission Code], Rate[[#This Row],[SAP Code]], SKU[Ship Qty])</calculatedColumnFormula>
    </tableColumn>
    <tableColumn id="6" xr3:uid="{43ECE4A2-7997-4541-9CF5-E9D0E002B84A}" name="Qty" dataDxfId="14" dataCellStyle="Output">
      <calculatedColumnFormula>SUM(Rate[[#This Row],[Orders]:[Commissioned]])</calculatedColumnFormula>
    </tableColumn>
    <tableColumn id="5" xr3:uid="{061815EC-389D-41AD-8624-476B7BDF7EF9}" name="Cost" dataCellStyle="Currency">
      <calculatedColumnFormula>Rate[[#This Row],[Rate]]*Rate[[#This Row],[Qty]]</calculatedColumnFormula>
    </tableColumn>
    <tableColumn id="4" xr3:uid="{3DA820DC-EBEF-4FE5-9A43-78816C2BB57F}" name="Error" dataDxfId="13" dataCellStyle="Normal">
      <calculatedColumnFormula>IF(ISNA(MATCH(Rate[[#This Row],[SAP Code]], Summary!A:A, 0)), _xlfn.CONCAT("Missing ", Rate[[#This Row],[SAP Code]], " in summary"),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08F06A-19C6-485A-BFD6-642AAEDC81AB}" name="SKU" displayName="SKU" ref="A1:M4" totalsRowShown="0">
  <autoFilter ref="A1:M4" xr:uid="{3408F06A-19C6-485A-BFD6-642AAEDC81AB}"/>
  <sortState xmlns:xlrd2="http://schemas.microsoft.com/office/spreadsheetml/2017/richdata2" ref="A2:M4">
    <sortCondition ref="A1:A4"/>
  </sortState>
  <tableColumns count="13">
    <tableColumn id="1" xr3:uid="{D34CFDBF-6E27-474A-96EE-C62F3857D517}" name="SKU" dataDxfId="12"/>
    <tableColumn id="2" xr3:uid="{31BC9093-55B2-47F4-AC5E-20202B2E6550}" name="Name" dataDxfId="11"/>
    <tableColumn id="3" xr3:uid="{531877B5-9C86-4C0D-9CBB-838D9F308DF1}" name="Ship Code" dataDxfId="10" dataCellStyle="Input"/>
    <tableColumn id="4" xr3:uid="{7088BE2B-D88F-4C34-8161-100B57F8FB78}" name="Ship Qty" dataDxfId="9" dataCellStyle="Calculation">
      <calculatedColumnFormula>SUMIF(Ship_SKU[SKU], SKU[[#This Row],[SKU]], Ship_SKU[Qty])</calculatedColumnFormula>
    </tableColumn>
    <tableColumn id="11" xr3:uid="{B9C37E4C-73B3-4F6A-A718-1097B41D1E93}" name="Ship Cost" dataDxfId="8" dataCellStyle="Currency">
      <calculatedColumnFormula>IF(SKU[[#This Row],[Ship Code]]="", 0, VLOOKUP(SKU[[#This Row],[Ship Code]], Rate[], 3, FALSE)*SKU[[#This Row],[Ship Qty]])</calculatedColumnFormula>
    </tableColumn>
    <tableColumn id="5" xr3:uid="{FB5DBA6D-00FD-4CED-8E0F-4F56D5A58EC5}" name="Kit Code" dataCellStyle="Input"/>
    <tableColumn id="6" xr3:uid="{687DD87B-20BA-46B9-B299-3A91BDAE14EC}" name="Kit Items" dataCellStyle="Normal"/>
    <tableColumn id="14" xr3:uid="{4DBEE7C7-94EB-422A-9A5B-D62C4BDDD8E9}" name="Kit Qty" dataDxfId="7" dataCellStyle="Calculation">
      <calculatedColumnFormula>SKU[[#This Row],[Ship Qty]]*SKU[[#This Row],[Kit Items]]</calculatedColumnFormula>
    </tableColumn>
    <tableColumn id="12" xr3:uid="{5CCD393F-2453-4795-833A-23ECDF388B07}" name="Kit Cost" dataDxfId="6" dataCellStyle="Calculation">
      <calculatedColumnFormula>IF(SKU[[#This Row],[Kit Code]]="", 0, VLOOKUP(SKU[[#This Row],[Kit Code]], Rate[], 3, FALSE)*SKU[[#This Row],[Kit Qty]])</calculatedColumnFormula>
    </tableColumn>
    <tableColumn id="7" xr3:uid="{75ED25F9-159C-4388-8B09-7F5EE9FBF6F7}" name="Commission Code" dataDxfId="5" dataCellStyle="Input"/>
    <tableColumn id="13" xr3:uid="{140E9353-875E-4671-AD80-72991CE58F6D}" name="Comission Cost" dataDxfId="4" dataCellStyle="Calculation">
      <calculatedColumnFormula>IF(SKU[[#This Row],[Commission Code]]="", 0, VLOOKUP(SKU[[#This Row],[Commission Code]], Rate[], 3, FALSE)*SKU[[#This Row],[Ship Qty]])</calculatedColumnFormula>
    </tableColumn>
    <tableColumn id="8" xr3:uid="{6E734072-2A9B-43B4-A7B8-5682F9AC4C66}" name="Total" dataDxfId="3" dataCellStyle="Output">
      <calculatedColumnFormula>SKU[[#This Row],[Ship Cost]]+SKU[[#This Row],[Kit Cost]]+SKU[[#This Row],[Comission Cost]]</calculatedColumnFormula>
    </tableColumn>
    <tableColumn id="9" xr3:uid="{D23FACEE-5AD9-4665-B748-4AB1D0EFFD86}" name="Error" dataDxfId="2">
      <calculatedColumnFormula>IF(OR(ISNA(SKU[[#This Row],[Ship Cost]]), ISNA(SKU[[#This Row],[Kit Cost]]), ISNA(SKU[[#This Row],[Comission Cost]])), "Error Accessing SAP Rate",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697F71-8505-4801-AFD3-DB4D2092ACE2}" name="Type" displayName="Type" ref="A1:F3" totalsRowShown="0">
  <autoFilter ref="A1:F3" xr:uid="{A3697F71-8505-4801-AFD3-DB4D2092ACE2}"/>
  <sortState xmlns:xlrd2="http://schemas.microsoft.com/office/spreadsheetml/2017/richdata2" ref="A2:F3">
    <sortCondition ref="A1:A3"/>
  </sortState>
  <tableColumns count="6">
    <tableColumn id="1" xr3:uid="{0B29E2D3-D0A7-41FB-85C2-6295CBE39907}" name="REF"/>
    <tableColumn id="2" xr3:uid="{0D310FA7-648F-4BF4-8DC2-E720EFF9B487}" name="Name"/>
    <tableColumn id="3" xr3:uid="{A41ACBAE-7476-4350-B5AA-9FBA621C2301}" name="Rate Code" dataCellStyle="Input"/>
    <tableColumn id="4" xr3:uid="{0365826B-1DC9-4904-8CF1-A1C7B2EC0BA0}" name="Qty" dataDxfId="1" dataCellStyle="Calculation">
      <calculatedColumnFormula>SUMIF(Ship_Type[REF], Type[[#This Row],[REF]], Ship_Type[Qty])</calculatedColumnFormula>
    </tableColumn>
    <tableColumn id="5" xr3:uid="{3E13FEEA-904C-4B08-9F28-1B3E2FCE1F0F}" name="Cost" dataCellStyle="Output">
      <calculatedColumnFormula>IF(Type[[#This Row],[Rate Code]]="", 0, VLOOKUP(Type[[#This Row],[Rate Code]], Rate[], 3, FALSE)*Type[[#This Row],[Qty]])</calculatedColumnFormula>
    </tableColumn>
    <tableColumn id="6" xr3:uid="{8FD79DA1-D3E8-4BF6-A486-3EB465A555C0}" name="Error" dataDxfId="0">
      <calculatedColumnFormula>IF(ISNA(Type[[#This Row],[Cost]]), "Error Accessing SAP Rate",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07E-1D19-41D6-8514-57E05F41ED7E}">
  <sheetPr codeName="Sheet1">
    <tabColor theme="5"/>
  </sheetPr>
  <dimension ref="A1:C7"/>
  <sheetViews>
    <sheetView workbookViewId="0"/>
    <sheetView workbookViewId="1"/>
  </sheetViews>
  <sheetFormatPr defaultRowHeight="15" x14ac:dyDescent="0.25"/>
  <cols>
    <col min="1" max="1" width="22.42578125" bestFit="1" customWidth="1"/>
    <col min="3" max="3" width="39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37</v>
      </c>
      <c r="B2" s="3">
        <v>1442</v>
      </c>
      <c r="C2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3" spans="1:3" x14ac:dyDescent="0.25">
      <c r="A3" t="s">
        <v>45</v>
      </c>
      <c r="B3" s="3">
        <v>1448</v>
      </c>
      <c r="C3" t="str">
        <f>_xlfn.CONCAT(
  IF(ISNA(MATCH(Ship_SKU[[#This Row],[SKU]], SKU[SKU], 0)), _xlfn.CONCAT("Missing ", Ship_SKU[[#This Row],[SKU]], " definition"), ""),
  IF(ISNUMBER(Ship_SKU[[#This Row],[Qty]]), "", "Quantity is not number")
)</f>
        <v>Missing moose_letter_sim_new definition</v>
      </c>
    </row>
    <row r="4" spans="1:3" x14ac:dyDescent="0.25">
      <c r="A4" t="s">
        <v>33</v>
      </c>
      <c r="B4" s="3">
        <v>103</v>
      </c>
      <c r="C4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  <row r="5" spans="1:3" x14ac:dyDescent="0.25">
      <c r="A5" t="s">
        <v>34</v>
      </c>
      <c r="B5" s="3">
        <v>1673</v>
      </c>
      <c r="C5" t="str">
        <f>_xlfn.CONCAT(
  IF(ISNA(MATCH(Ship_SKU[[#This Row],[SKU]], SKU[SKU], 0)), _xlfn.CONCAT("Missing ", Ship_SKU[[#This Row],[SKU]], " definition"), ""),
  IF(ISNUMBER(Ship_SKU[[#This Row],[Qty]]), "", "Quantity is not number")
)</f>
        <v>Missing swoop_sim definition</v>
      </c>
    </row>
    <row r="6" spans="1:3" x14ac:dyDescent="0.25">
      <c r="A6" t="s">
        <v>35</v>
      </c>
      <c r="B6" s="3">
        <v>1448</v>
      </c>
      <c r="C6" t="str">
        <f>_xlfn.CONCAT(
  IF(ISNA(MATCH(Ship_SKU[[#This Row],[SKU]], SKU[SKU], 0)), _xlfn.CONCAT("Missing ", Ship_SKU[[#This Row],[SKU]], " definition"), ""),
  IF(ISNUMBER(Ship_SKU[[#This Row],[Qty]]), "", "Quantity is not number")
)</f>
        <v>Missing swoop_sim_pro_rata definition</v>
      </c>
    </row>
    <row r="7" spans="1:3" x14ac:dyDescent="0.25">
      <c r="A7" t="s">
        <v>36</v>
      </c>
      <c r="B7" s="3">
        <v>98</v>
      </c>
      <c r="C7" t="str">
        <f>_xlfn.CONCAT(
  IF(ISNA(MATCH(Ship_SKU[[#This Row],[SKU]], SKU[SKU], 0)), _xlfn.CONCAT("Missing ", Ship_SKU[[#This Row],[SKU]], " definition"), ""),
  IF(ISNUMBER(Ship_SKU[[#This Row],[Qty]]), "", "Quantity is not number")
)</f>
        <v/>
      </c>
    </row>
  </sheetData>
  <dataValidations count="1">
    <dataValidation type="whole" operator="greaterThan" showInputMessage="1" showErrorMessage="1" sqref="B2:B7" xr:uid="{FB48059A-80C0-42C2-8C41-BDE827D81EBA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D868-0192-4E51-8CBA-6B1716C68046}">
  <sheetPr codeName="Sheet2">
    <tabColor theme="5"/>
  </sheetPr>
  <dimension ref="A1:C4"/>
  <sheetViews>
    <sheetView workbookViewId="0"/>
    <sheetView workbookViewId="1"/>
  </sheetViews>
  <sheetFormatPr defaultRowHeight="15" x14ac:dyDescent="0.25"/>
  <cols>
    <col min="1" max="1" width="26.140625" customWidth="1"/>
    <col min="3" max="3" width="28.28515625" bestFit="1" customWidth="1"/>
  </cols>
  <sheetData>
    <row r="1" spans="1:3" x14ac:dyDescent="0.25">
      <c r="A1" t="s">
        <v>17</v>
      </c>
      <c r="B1" t="s">
        <v>1</v>
      </c>
      <c r="C1" t="s">
        <v>2</v>
      </c>
    </row>
    <row r="2" spans="1:3" x14ac:dyDescent="0.25">
      <c r="A2" t="s">
        <v>38</v>
      </c>
      <c r="B2">
        <v>98</v>
      </c>
      <c r="C2" t="str">
        <f>_xlfn.CONCAT(
  IF(ISNA(MATCH(Ship_Type[[#This Row],[REF]], Type[REF], 0)), _xlfn.CONCAT("Missing ", Ship_Type[[#This Row],[REF]], " definition"), ""),
  IF(ISNUMBER(Ship_Type[[#This Row],[Qty]]), "", "Quantity is not number")
)</f>
        <v>Missing moose_express definition</v>
      </c>
    </row>
    <row r="3" spans="1:3" x14ac:dyDescent="0.25">
      <c r="A3" t="s">
        <v>39</v>
      </c>
      <c r="B3">
        <v>1350</v>
      </c>
      <c r="C3" t="str">
        <f>_xlfn.CONCAT(
  IF(ISNA(MATCH(Ship_Type[[#This Row],[REF]], Type[REF], 0)), _xlfn.CONCAT("Missing ", Ship_Type[[#This Row],[REF]], " definition"), ""),
  IF(ISNUMBER(Ship_Type[[#This Row],[Qty]]), "", "Quantity is not number")
)</f>
        <v>Missing moose_sim_express definition</v>
      </c>
    </row>
    <row r="4" spans="1:3" x14ac:dyDescent="0.25">
      <c r="A4" t="s">
        <v>40</v>
      </c>
      <c r="B4">
        <v>101</v>
      </c>
      <c r="C4" t="str">
        <f>_xlfn.CONCAT(
  IF(ISNA(MATCH(Ship_Type[[#This Row],[REF]], Type[REF], 0)), _xlfn.CONCAT("Missing ", Ship_Type[[#This Row],[REF]], " definition"), ""),
  IF(ISNUMBER(Ship_Type[[#This Row],[Qty]]), "", "Quantity is not number")
)</f>
        <v>Missing moose_sim_standard definition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A3CA-EA90-4EEE-AB69-D6B46A5A568D}">
  <sheetPr codeName="Sheet3">
    <tabColor theme="2" tint="-0.499984740745262"/>
  </sheetPr>
  <dimension ref="A1:J10"/>
  <sheetViews>
    <sheetView workbookViewId="0">
      <selection activeCell="B7" sqref="B7"/>
    </sheetView>
    <sheetView tabSelected="1" workbookViewId="1">
      <selection activeCell="A9" sqref="A9"/>
    </sheetView>
  </sheetViews>
  <sheetFormatPr defaultRowHeight="15" x14ac:dyDescent="0.25"/>
  <cols>
    <col min="1" max="1" width="13.5703125" bestFit="1" customWidth="1"/>
    <col min="2" max="2" width="87.85546875" bestFit="1" customWidth="1"/>
    <col min="3" max="3" width="12" bestFit="1" customWidth="1"/>
    <col min="4" max="4" width="9.7109375" customWidth="1"/>
    <col min="5" max="5" width="10.5703125" customWidth="1"/>
    <col min="6" max="6" width="8.85546875" customWidth="1"/>
    <col min="7" max="7" width="16.5703125" bestFit="1" customWidth="1"/>
    <col min="8" max="8" width="7" bestFit="1" customWidth="1"/>
    <col min="9" max="9" width="12" customWidth="1"/>
    <col min="10" max="10" width="26.42578125" bestFit="1" customWidth="1"/>
    <col min="11" max="11" width="25.85546875" bestFit="1" customWidth="1"/>
  </cols>
  <sheetData>
    <row r="1" spans="1:10" x14ac:dyDescent="0.25">
      <c r="A1" t="s">
        <v>3</v>
      </c>
      <c r="B1" t="s">
        <v>6</v>
      </c>
      <c r="C1" t="s">
        <v>4</v>
      </c>
      <c r="D1" t="s">
        <v>23</v>
      </c>
      <c r="E1" t="s">
        <v>21</v>
      </c>
      <c r="F1" t="s">
        <v>20</v>
      </c>
      <c r="G1" t="s">
        <v>22</v>
      </c>
      <c r="H1" t="s">
        <v>1</v>
      </c>
      <c r="I1" t="s">
        <v>19</v>
      </c>
      <c r="J1" t="s">
        <v>2</v>
      </c>
    </row>
    <row r="2" spans="1:10" x14ac:dyDescent="0.25">
      <c r="A2">
        <v>4002015</v>
      </c>
      <c r="B2" t="s">
        <v>54</v>
      </c>
      <c r="C2" s="10">
        <v>12.5</v>
      </c>
      <c r="D2" s="7">
        <f>SUMIF(Type[Rate Code], Rate[[#This Row],[SAP Code]], Type[Qty])</f>
        <v>0</v>
      </c>
      <c r="E2" s="7">
        <f>SUMIF(SKU[Ship Code], Rate[[#This Row],[SAP Code]], SKU[Ship Qty])</f>
        <v>98</v>
      </c>
      <c r="F2" s="7">
        <f>SUMIF(SKU[Kit Code], Rate[[#This Row],[SAP Code]], SKU[Kit Qty])</f>
        <v>0</v>
      </c>
      <c r="G2" s="7">
        <f>SUMIF(SKU[Commission Code], Rate[[#This Row],[SAP Code]], SKU[Ship Qty])</f>
        <v>0</v>
      </c>
      <c r="H2" s="20">
        <f>SUM(Rate[[#This Row],[Orders]:[Commissioned]])</f>
        <v>98</v>
      </c>
      <c r="I2" s="8">
        <f>Rate[[#This Row],[Rate]]*Rate[[#This Row],[Qty]]</f>
        <v>1225</v>
      </c>
      <c r="J2" t="str">
        <f>IF(ISNA(MATCH(Rate[[#This Row],[SAP Code]], Summary!A:A, 0)), _xlfn.CONCAT("Missing ", Rate[[#This Row],[SAP Code]], " in summary"), "")</f>
        <v/>
      </c>
    </row>
    <row r="3" spans="1:10" x14ac:dyDescent="0.25">
      <c r="A3">
        <v>4002016</v>
      </c>
      <c r="B3" t="s">
        <v>55</v>
      </c>
      <c r="C3" s="10">
        <v>3.8</v>
      </c>
      <c r="D3" s="7">
        <f>SUMIF(Type[Rate Code], Rate[[#This Row],[SAP Code]], Type[Qty])</f>
        <v>0</v>
      </c>
      <c r="E3" s="7">
        <f>SUMIF(SKU[Ship Code], Rate[[#This Row],[SAP Code]], SKU[Ship Qty])</f>
        <v>0</v>
      </c>
      <c r="F3" s="7">
        <f>SUMIF(SKU[Kit Code], Rate[[#This Row],[SAP Code]], SKU[Kit Qty])</f>
        <v>0</v>
      </c>
      <c r="G3" s="7">
        <f>SUMIF(SKU[Commission Code], Rate[[#This Row],[SAP Code]], SKU[Ship Qty])</f>
        <v>0</v>
      </c>
      <c r="H3" s="20">
        <f>SUM(Rate[[#This Row],[Orders]:[Commissioned]])</f>
        <v>0</v>
      </c>
      <c r="I3" s="8">
        <f>Rate[[#This Row],[Rate]]*Rate[[#This Row],[Qty]]</f>
        <v>0</v>
      </c>
      <c r="J3" t="str">
        <f>IF(ISNA(MATCH(Rate[[#This Row],[SAP Code]], Summary!A:A, 0)), _xlfn.CONCAT("Missing ", Rate[[#This Row],[SAP Code]], " in summary"), "")</f>
        <v/>
      </c>
    </row>
    <row r="4" spans="1:10" x14ac:dyDescent="0.25">
      <c r="A4">
        <v>4002017</v>
      </c>
      <c r="B4" t="s">
        <v>56</v>
      </c>
      <c r="C4" s="10">
        <v>5.95</v>
      </c>
      <c r="D4" s="7">
        <f>SUMIF(Type[Rate Code], Rate[[#This Row],[SAP Code]], Type[Qty])</f>
        <v>0</v>
      </c>
      <c r="E4" s="7">
        <f>SUMIF(SKU[Ship Code], Rate[[#This Row],[SAP Code]], SKU[Ship Qty])</f>
        <v>0</v>
      </c>
      <c r="F4" s="7">
        <f>SUMIF(SKU[Kit Code], Rate[[#This Row],[SAP Code]], SKU[Kit Qty])</f>
        <v>0</v>
      </c>
      <c r="G4" s="7">
        <f>SUMIF(SKU[Commission Code], Rate[[#This Row],[SAP Code]], SKU[Ship Qty])</f>
        <v>0</v>
      </c>
      <c r="H4" s="21">
        <f>SUM(Rate[[#This Row],[Orders]:[Commissioned]])</f>
        <v>0</v>
      </c>
      <c r="I4" s="8">
        <f>Rate[[#This Row],[Rate]]*Rate[[#This Row],[Qty]]</f>
        <v>0</v>
      </c>
      <c r="J4" t="str">
        <f>IF(ISNA(MATCH(Rate[[#This Row],[SAP Code]], Summary!A:A, 0)), _xlfn.CONCAT("Missing ", Rate[[#This Row],[SAP Code]], " in summary"), "")</f>
        <v/>
      </c>
    </row>
    <row r="5" spans="1:10" x14ac:dyDescent="0.25">
      <c r="A5">
        <v>4002169</v>
      </c>
      <c r="B5" t="s">
        <v>57</v>
      </c>
      <c r="C5" s="10">
        <v>110</v>
      </c>
      <c r="D5" s="7">
        <f>SUMIF(Type[Rate Code], Rate[[#This Row],[SAP Code]], Type[Qty])</f>
        <v>0</v>
      </c>
      <c r="E5" s="7">
        <f>SUMIF(SKU[Ship Code], Rate[[#This Row],[SAP Code]], SKU[Ship Qty])</f>
        <v>0</v>
      </c>
      <c r="F5" s="7">
        <f>SUMIF(SKU[Kit Code], Rate[[#This Row],[SAP Code]], SKU[Kit Qty])</f>
        <v>0</v>
      </c>
      <c r="G5" s="7">
        <f>SUMIF(SKU[Commission Code], Rate[[#This Row],[SAP Code]], SKU[Ship Qty])</f>
        <v>0</v>
      </c>
      <c r="H5" s="21">
        <f>SUM(Rate[[#This Row],[Orders]:[Commissioned]])</f>
        <v>0</v>
      </c>
      <c r="I5" s="8">
        <f>Rate[[#This Row],[Rate]]*Rate[[#This Row],[Qty]]</f>
        <v>0</v>
      </c>
      <c r="J5" t="str">
        <f>IF(ISNA(MATCH(Rate[[#This Row],[SAP Code]], Summary!A:A, 0)), _xlfn.CONCAT("Missing ", Rate[[#This Row],[SAP Code]], " in summary"), "")</f>
        <v/>
      </c>
    </row>
    <row r="6" spans="1:10" x14ac:dyDescent="0.25">
      <c r="A6">
        <v>4002018</v>
      </c>
      <c r="B6" t="s">
        <v>62</v>
      </c>
      <c r="C6" s="10"/>
      <c r="D6" s="7">
        <f>SUMIF(Type[Rate Code], Rate[[#This Row],[SAP Code]], Type[Qty])</f>
        <v>0</v>
      </c>
      <c r="E6" s="7">
        <f>SUMIF(SKU[Ship Code], Rate[[#This Row],[SAP Code]], SKU[Ship Qty])</f>
        <v>0</v>
      </c>
      <c r="F6" s="7">
        <f>SUMIF(SKU[Kit Code], Rate[[#This Row],[SAP Code]], SKU[Kit Qty])</f>
        <v>0</v>
      </c>
      <c r="G6" s="7">
        <f>SUMIF(SKU[Commission Code], Rate[[#This Row],[SAP Code]], SKU[Ship Qty])</f>
        <v>0</v>
      </c>
      <c r="H6" s="21">
        <f>SUM(Rate[[#This Row],[Orders]:[Commissioned]])</f>
        <v>0</v>
      </c>
      <c r="I6" s="8">
        <f>Rate[[#This Row],[Rate]]*Rate[[#This Row],[Qty]]</f>
        <v>0</v>
      </c>
      <c r="J6" t="str">
        <f>IF(ISNA(MATCH(Rate[[#This Row],[SAP Code]], Summary!A:A, 0)), _xlfn.CONCAT("Missing ", Rate[[#This Row],[SAP Code]], " in summary"), "")</f>
        <v/>
      </c>
    </row>
    <row r="7" spans="1:10" x14ac:dyDescent="0.25">
      <c r="A7">
        <v>1200065</v>
      </c>
      <c r="B7" t="s">
        <v>58</v>
      </c>
      <c r="C7" s="10">
        <v>250</v>
      </c>
      <c r="D7" s="7">
        <f>SUMIF(Type[Rate Code], Rate[[#This Row],[SAP Code]], Type[Qty])</f>
        <v>0</v>
      </c>
      <c r="E7" s="7">
        <f>SUMIF(SKU[Ship Code], Rate[[#This Row],[SAP Code]], SKU[Ship Qty])</f>
        <v>0</v>
      </c>
      <c r="F7" s="7">
        <f>SUMIF(SKU[Kit Code], Rate[[#This Row],[SAP Code]], SKU[Kit Qty])</f>
        <v>0</v>
      </c>
      <c r="G7" s="7">
        <f>SUMIF(SKU[Commission Code], Rate[[#This Row],[SAP Code]], SKU[Ship Qty])</f>
        <v>0</v>
      </c>
      <c r="H7" s="21">
        <f>SUM(Rate[[#This Row],[Orders]:[Commissioned]])</f>
        <v>0</v>
      </c>
      <c r="I7" s="8">
        <f>Rate[[#This Row],[Rate]]*Rate[[#This Row],[Qty]]</f>
        <v>0</v>
      </c>
      <c r="J7" t="str">
        <f>IF(ISNA(MATCH(Rate[[#This Row],[SAP Code]], Summary!A:A, 0)), _xlfn.CONCAT("Missing ", Rate[[#This Row],[SAP Code]], " in summary"), "")</f>
        <v/>
      </c>
    </row>
    <row r="8" spans="1:10" x14ac:dyDescent="0.25">
      <c r="A8">
        <v>1200066</v>
      </c>
      <c r="B8" t="s">
        <v>59</v>
      </c>
      <c r="C8" s="10">
        <v>3.72</v>
      </c>
      <c r="D8" s="7">
        <f>SUMIF(Type[Rate Code], Rate[[#This Row],[SAP Code]], Type[Qty])</f>
        <v>0</v>
      </c>
      <c r="E8" s="7">
        <f>SUMIF(SKU[Ship Code], Rate[[#This Row],[SAP Code]], SKU[Ship Qty])</f>
        <v>0</v>
      </c>
      <c r="F8" s="7">
        <f>SUMIF(SKU[Kit Code], Rate[[#This Row],[SAP Code]], SKU[Kit Qty])</f>
        <v>0</v>
      </c>
      <c r="G8" s="7">
        <f>SUMIF(SKU[Commission Code], Rate[[#This Row],[SAP Code]], SKU[Ship Qty])</f>
        <v>0</v>
      </c>
      <c r="H8" s="20">
        <f>SUM(Rate[[#This Row],[Orders]:[Commissioned]])</f>
        <v>0</v>
      </c>
      <c r="I8" s="8">
        <f>Rate[[#This Row],[Rate]]*Rate[[#This Row],[Qty]]</f>
        <v>0</v>
      </c>
      <c r="J8" t="str">
        <f>IF(ISNA(MATCH(Rate[[#This Row],[SAP Code]], Summary!A:A, 0)), _xlfn.CONCAT("Missing ", Rate[[#This Row],[SAP Code]], " in summary"), "")</f>
        <v/>
      </c>
    </row>
    <row r="9" spans="1:10" x14ac:dyDescent="0.25">
      <c r="A9" t="s">
        <v>53</v>
      </c>
      <c r="B9" t="s">
        <v>60</v>
      </c>
      <c r="C9" s="10">
        <v>3.31</v>
      </c>
      <c r="D9" s="7">
        <f>SUMIF(Type[Rate Code], Rate[[#This Row],[SAP Code]], Type[Qty])</f>
        <v>0</v>
      </c>
      <c r="E9" s="7">
        <f>SUMIF(SKU[Ship Code], Rate[[#This Row],[SAP Code]], SKU[Ship Qty])</f>
        <v>0</v>
      </c>
      <c r="F9" s="7">
        <f>SUMIF(SKU[Kit Code], Rate[[#This Row],[SAP Code]], SKU[Kit Qty])</f>
        <v>0</v>
      </c>
      <c r="G9" s="7">
        <f>SUMIF(SKU[Commission Code], Rate[[#This Row],[SAP Code]], SKU[Ship Qty])</f>
        <v>0</v>
      </c>
      <c r="H9" s="20">
        <f>SUM(Rate[[#This Row],[Orders]:[Commissioned]])</f>
        <v>0</v>
      </c>
      <c r="I9" s="8">
        <f>Rate[[#This Row],[Rate]]*Rate[[#This Row],[Qty]]</f>
        <v>0</v>
      </c>
      <c r="J9" t="str">
        <f>IF(ISNA(MATCH(Rate[[#This Row],[SAP Code]], Summary!A:A, 0)), _xlfn.CONCAT("Missing ", Rate[[#This Row],[SAP Code]], " in summary"), "")</f>
        <v/>
      </c>
    </row>
    <row r="10" spans="1:10" x14ac:dyDescent="0.25">
      <c r="A10" t="s">
        <v>5</v>
      </c>
      <c r="B10" t="s">
        <v>61</v>
      </c>
      <c r="C10" s="10">
        <v>1.47</v>
      </c>
      <c r="D10" s="7">
        <f>SUMIF(Type[Rate Code], Rate[[#This Row],[SAP Code]], Type[Qty])</f>
        <v>0</v>
      </c>
      <c r="E10" s="7">
        <f>SUMIF(SKU[Ship Code], Rate[[#This Row],[SAP Code]], SKU[Ship Qty])</f>
        <v>0</v>
      </c>
      <c r="F10" s="7">
        <f>SUMIF(SKU[Kit Code], Rate[[#This Row],[SAP Code]], SKU[Kit Qty])</f>
        <v>0</v>
      </c>
      <c r="G10" s="7">
        <f>SUMIF(SKU[Commission Code], Rate[[#This Row],[SAP Code]], SKU[Ship Qty])</f>
        <v>0</v>
      </c>
      <c r="H10" s="21">
        <f>SUM(Rate[[#This Row],[Orders]:[Commissioned]])</f>
        <v>0</v>
      </c>
      <c r="I10" s="8">
        <f>Rate[[#This Row],[Rate]]*Rate[[#This Row],[Qty]]</f>
        <v>0</v>
      </c>
      <c r="J10" t="str">
        <f>IF(ISNA(MATCH(Rate[[#This Row],[SAP Code]], Summary!A:A, 0)), _xlfn.CONCAT("Missing ", Rate[[#This Row],[SAP Code]], " in summary"), "")</f>
        <v/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771A-8952-4C52-ACD1-201BD85BA3EF}">
  <sheetPr codeName="Sheet4">
    <tabColor theme="2" tint="-0.499984740745262"/>
  </sheetPr>
  <dimension ref="A1:M4"/>
  <sheetViews>
    <sheetView workbookViewId="0">
      <selection activeCell="C4" sqref="C4"/>
    </sheetView>
    <sheetView workbookViewId="1"/>
  </sheetViews>
  <sheetFormatPr defaultRowHeight="15" x14ac:dyDescent="0.25"/>
  <cols>
    <col min="1" max="1" width="22.42578125" bestFit="1" customWidth="1"/>
    <col min="2" max="2" width="49.5703125" bestFit="1" customWidth="1"/>
    <col min="3" max="3" width="12.140625" bestFit="1" customWidth="1"/>
    <col min="4" max="4" width="10.7109375" bestFit="1" customWidth="1"/>
    <col min="5" max="5" width="11.85546875" customWidth="1"/>
    <col min="6" max="6" width="10.7109375" bestFit="1" customWidth="1"/>
    <col min="7" max="7" width="11.140625" bestFit="1" customWidth="1"/>
    <col min="8" max="9" width="11.140625" customWidth="1"/>
    <col min="10" max="10" width="19.28515625" bestFit="1" customWidth="1"/>
    <col min="11" max="11" width="19.28515625" customWidth="1"/>
    <col min="12" max="12" width="11.85546875" bestFit="1" customWidth="1"/>
    <col min="13" max="13" width="32.7109375" customWidth="1"/>
  </cols>
  <sheetData>
    <row r="1" spans="1:13" x14ac:dyDescent="0.25">
      <c r="A1" t="s">
        <v>0</v>
      </c>
      <c r="B1" t="s">
        <v>6</v>
      </c>
      <c r="C1" t="s">
        <v>7</v>
      </c>
      <c r="D1" t="s">
        <v>8</v>
      </c>
      <c r="E1" t="s">
        <v>12</v>
      </c>
      <c r="F1" t="s">
        <v>9</v>
      </c>
      <c r="G1" t="s">
        <v>10</v>
      </c>
      <c r="H1" t="s">
        <v>24</v>
      </c>
      <c r="I1" t="s">
        <v>13</v>
      </c>
      <c r="J1" t="s">
        <v>11</v>
      </c>
      <c r="K1" t="s">
        <v>14</v>
      </c>
      <c r="L1" t="s">
        <v>15</v>
      </c>
      <c r="M1" t="s">
        <v>2</v>
      </c>
    </row>
    <row r="2" spans="1:13" x14ac:dyDescent="0.25">
      <c r="A2" t="s">
        <v>37</v>
      </c>
      <c r="B2" t="s">
        <v>44</v>
      </c>
      <c r="C2" s="1"/>
      <c r="D2" s="4">
        <f>SUMIF(Ship_SKU[SKU], SKU[[#This Row],[SKU]], Ship_SKU[Qty])</f>
        <v>1442</v>
      </c>
      <c r="E2" s="6">
        <f>IF(SKU[[#This Row],[Ship Code]]="", 0, VLOOKUP(SKU[[#This Row],[Ship Code]], Rate[], 3, FALSE)*SKU[[#This Row],[Ship Qty]])</f>
        <v>0</v>
      </c>
      <c r="F2" s="1"/>
      <c r="H2" s="4">
        <f>SKU[[#This Row],[Ship Qty]]*SKU[[#This Row],[Kit Items]]</f>
        <v>0</v>
      </c>
      <c r="I2" s="5">
        <f>IF(SKU[[#This Row],[Kit Code]]="", 0, VLOOKUP(SKU[[#This Row],[Kit Code]], Rate[], 3, FALSE)*SKU[[#This Row],[Kit Qty]])</f>
        <v>0</v>
      </c>
      <c r="J2" s="2"/>
      <c r="K2" s="5">
        <f>IF(SKU[[#This Row],[Commission Code]]="", 0, VLOOKUP(SKU[[#This Row],[Commission Code]], Rate[], 3, FALSE)*SKU[[#This Row],[Ship Qty]])</f>
        <v>0</v>
      </c>
      <c r="L2" s="9">
        <f>SKU[[#This Row],[Ship Cost]]+SKU[[#This Row],[Kit Cost]]+SKU[[#This Row],[Comission Cost]]</f>
        <v>0</v>
      </c>
      <c r="M2" t="str">
        <f>IF(OR(ISNA(SKU[[#This Row],[Ship Cost]]), ISNA(SKU[[#This Row],[Kit Cost]]), ISNA(SKU[[#This Row],[Comission Cost]])), "Error Accessing SAP Rate", "")</f>
        <v/>
      </c>
    </row>
    <row r="3" spans="1:13" x14ac:dyDescent="0.25">
      <c r="A3" t="s">
        <v>33</v>
      </c>
      <c r="B3" t="s">
        <v>42</v>
      </c>
      <c r="C3" s="1"/>
      <c r="D3" s="4">
        <f>SUMIF(Ship_SKU[SKU], SKU[[#This Row],[SKU]], Ship_SKU[Qty])</f>
        <v>103</v>
      </c>
      <c r="E3" s="6">
        <f>IF(SKU[[#This Row],[Ship Code]]="", 0, VLOOKUP(SKU[[#This Row],[Ship Code]], Rate[], 3, FALSE)*SKU[[#This Row],[Ship Qty]])</f>
        <v>0</v>
      </c>
      <c r="F3" s="1"/>
      <c r="H3" s="4">
        <f>SKU[[#This Row],[Ship Qty]]*SKU[[#This Row],[Kit Items]]</f>
        <v>0</v>
      </c>
      <c r="I3" s="5">
        <f>IF(SKU[[#This Row],[Kit Code]]="", 0, VLOOKUP(SKU[[#This Row],[Kit Code]], Rate[], 3, FALSE)*SKU[[#This Row],[Kit Qty]])</f>
        <v>0</v>
      </c>
      <c r="J3" s="2"/>
      <c r="K3" s="5">
        <f>IF(SKU[[#This Row],[Commission Code]]="", 0, VLOOKUP(SKU[[#This Row],[Commission Code]], Rate[], 3, FALSE)*SKU[[#This Row],[Ship Qty]])</f>
        <v>0</v>
      </c>
      <c r="L3" s="9">
        <f>SKU[[#This Row],[Ship Cost]]+SKU[[#This Row],[Kit Cost]]+SKU[[#This Row],[Comission Cost]]</f>
        <v>0</v>
      </c>
      <c r="M3" t="str">
        <f>IF(OR(ISNA(SKU[[#This Row],[Ship Cost]]), ISNA(SKU[[#This Row],[Kit Cost]]), ISNA(SKU[[#This Row],[Comission Cost]])), "Error Accessing SAP Rate", "")</f>
        <v/>
      </c>
    </row>
    <row r="4" spans="1:13" x14ac:dyDescent="0.25">
      <c r="A4" t="s">
        <v>36</v>
      </c>
      <c r="B4" t="s">
        <v>43</v>
      </c>
      <c r="C4" s="1">
        <v>4002015</v>
      </c>
      <c r="D4" s="16">
        <f>SUMIF(Ship_SKU[SKU], SKU[[#This Row],[SKU]], Ship_SKU[Qty])</f>
        <v>98</v>
      </c>
      <c r="E4" s="6">
        <f>IF(SKU[[#This Row],[Ship Code]]="", 0, VLOOKUP(SKU[[#This Row],[Ship Code]], Rate[], 3, FALSE)*SKU[[#This Row],[Ship Qty]])</f>
        <v>1225</v>
      </c>
      <c r="F4" s="18"/>
      <c r="H4" s="16">
        <f>SKU[[#This Row],[Ship Qty]]*SKU[[#This Row],[Kit Items]]</f>
        <v>0</v>
      </c>
      <c r="I4" s="17">
        <f>IF(SKU[[#This Row],[Kit Code]]="", 0, VLOOKUP(SKU[[#This Row],[Kit Code]], Rate[], 3, FALSE)*SKU[[#This Row],[Kit Qty]])</f>
        <v>0</v>
      </c>
      <c r="J4" s="15">
        <v>2001710</v>
      </c>
      <c r="K4" s="17" t="e">
        <f>IF(SKU[[#This Row],[Commission Code]]="", 0, VLOOKUP(SKU[[#This Row],[Commission Code]], Rate[], 3, FALSE)*SKU[[#This Row],[Ship Qty]])</f>
        <v>#N/A</v>
      </c>
      <c r="L4" s="19" t="e">
        <f>SKU[[#This Row],[Ship Cost]]+SKU[[#This Row],[Kit Cost]]+SKU[[#This Row],[Comission Cost]]</f>
        <v>#N/A</v>
      </c>
      <c r="M4" t="str">
        <f>IF(OR(ISNA(SKU[[#This Row],[Ship Cost]]), ISNA(SKU[[#This Row],[Kit Cost]]), ISNA(SKU[[#This Row],[Comission Cost]])), "Error Accessing SAP Rate", "")</f>
        <v>Error Accessing SAP Rate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BC8E-EDCF-403D-8A71-6674E9D1B126}">
  <sheetPr codeName="Sheet5">
    <tabColor theme="2" tint="-0.499984740745262"/>
  </sheetPr>
  <dimension ref="A1:F3"/>
  <sheetViews>
    <sheetView workbookViewId="0">
      <selection activeCell="D5" sqref="D5"/>
    </sheetView>
    <sheetView workbookViewId="1"/>
  </sheetViews>
  <sheetFormatPr defaultRowHeight="15" x14ac:dyDescent="0.25"/>
  <cols>
    <col min="1" max="1" width="20.140625" bestFit="1" customWidth="1"/>
    <col min="2" max="2" width="20.140625" customWidth="1"/>
    <col min="3" max="3" width="12.140625" customWidth="1"/>
    <col min="5" max="5" width="10.5703125" bestFit="1" customWidth="1"/>
  </cols>
  <sheetData>
    <row r="1" spans="1:6" x14ac:dyDescent="0.25">
      <c r="A1" t="s">
        <v>17</v>
      </c>
      <c r="B1" t="s">
        <v>6</v>
      </c>
      <c r="C1" t="s">
        <v>18</v>
      </c>
      <c r="D1" s="14" t="s">
        <v>1</v>
      </c>
      <c r="E1" s="14" t="s">
        <v>19</v>
      </c>
      <c r="F1" t="s">
        <v>2</v>
      </c>
    </row>
    <row r="2" spans="1:6" x14ac:dyDescent="0.25">
      <c r="A2" t="s">
        <v>51</v>
      </c>
      <c r="B2" t="s">
        <v>41</v>
      </c>
      <c r="C2" s="2">
        <v>1200065</v>
      </c>
      <c r="D2" s="7">
        <f>SUMIF(Ship_Type[REF], Type[[#This Row],[REF]], Ship_Type[Qty])</f>
        <v>0</v>
      </c>
      <c r="E2" s="9">
        <f>IF(Type[[#This Row],[Rate Code]]="", 0, VLOOKUP(Type[[#This Row],[Rate Code]], Rate[], 3, FALSE)*Type[[#This Row],[Qty]])</f>
        <v>0</v>
      </c>
      <c r="F2" t="str">
        <f>IF(ISNA(Type[[#This Row],[Cost]]), "Error Accessing SAP Rate", "")</f>
        <v/>
      </c>
    </row>
    <row r="3" spans="1:6" x14ac:dyDescent="0.25">
      <c r="A3" t="s">
        <v>52</v>
      </c>
      <c r="B3" t="s">
        <v>16</v>
      </c>
      <c r="C3" s="2">
        <v>1200065</v>
      </c>
      <c r="D3" s="7">
        <f>SUMIF(Ship_Type[REF], Type[[#This Row],[REF]], Ship_Type[Qty])</f>
        <v>0</v>
      </c>
      <c r="E3" s="9">
        <f>IF(Type[[#This Row],[Rate Code]]="", 0, VLOOKUP(Type[[#This Row],[Rate Code]], Rate[], 3, FALSE)*Type[[#This Row],[Qty]])</f>
        <v>0</v>
      </c>
      <c r="F3" t="str">
        <f>IF(ISNA(Type[[#This Row],[Cost]]), "Error Accessing SAP Rate", "")</f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4AB0-C65D-42E3-A9C4-EA6A1BB77F27}">
  <sheetPr codeName="Sheet7">
    <tabColor rgb="FF00B050"/>
  </sheetPr>
  <dimension ref="A1:E26"/>
  <sheetViews>
    <sheetView tabSelected="1" workbookViewId="0">
      <selection activeCell="K14" sqref="K14"/>
    </sheetView>
    <sheetView workbookViewId="1"/>
  </sheetViews>
  <sheetFormatPr defaultRowHeight="15" x14ac:dyDescent="0.25"/>
  <cols>
    <col min="1" max="1" width="13.5703125" style="14" bestFit="1" customWidth="1"/>
    <col min="2" max="2" width="63.5703125" customWidth="1"/>
    <col min="4" max="4" width="7.140625" customWidth="1"/>
    <col min="5" max="5" width="11.5703125" bestFit="1" customWidth="1"/>
  </cols>
  <sheetData>
    <row r="1" spans="1:5" x14ac:dyDescent="0.25">
      <c r="A1" s="13" t="s">
        <v>3</v>
      </c>
      <c r="B1" s="12" t="s">
        <v>31</v>
      </c>
      <c r="C1" s="13" t="s">
        <v>4</v>
      </c>
      <c r="D1" s="13" t="s">
        <v>1</v>
      </c>
      <c r="E1" s="13" t="s">
        <v>15</v>
      </c>
    </row>
    <row r="2" spans="1:5" x14ac:dyDescent="0.25">
      <c r="A2" s="24"/>
      <c r="B2" s="25" t="s">
        <v>46</v>
      </c>
      <c r="C2" s="24"/>
      <c r="D2" s="24"/>
      <c r="E2" s="24"/>
    </row>
    <row r="3" spans="1:5" x14ac:dyDescent="0.25">
      <c r="A3" s="39">
        <v>1200065</v>
      </c>
      <c r="B3" s="26" t="str">
        <f>VLOOKUP($A3, Rate[[SAP Code]:[Qty]], 2, FALSE)</f>
        <v xml:space="preserve">Outbound - Order Admin Fee </v>
      </c>
      <c r="C3" s="28">
        <f>VLOOKUP($A3, Rate[[SAP Code]:[Qty]], 3, FALSE)</f>
        <v>250</v>
      </c>
      <c r="D3" s="42">
        <f>VLOOKUP($A3, Rate[[SAP Code]:[Qty]], 8, FALSE)</f>
        <v>0</v>
      </c>
      <c r="E3" s="29">
        <f>C3*D3</f>
        <v>0</v>
      </c>
    </row>
    <row r="4" spans="1:5" x14ac:dyDescent="0.25">
      <c r="A4" s="40">
        <v>1200066</v>
      </c>
      <c r="B4" s="30" t="str">
        <f>VLOOKUP(A4, Rate[[SAP Code]:[Qty]], 2, FALSE)</f>
        <v>Outbound - Order Item Loading</v>
      </c>
      <c r="C4" s="32">
        <f>VLOOKUP($A4, Rate[[SAP Code]:[Qty]], 3, FALSE)</f>
        <v>3.72</v>
      </c>
      <c r="D4" s="42">
        <f>VLOOKUP($A4, Rate[[SAP Code]:[Qty]], 8, FALSE)</f>
        <v>0</v>
      </c>
      <c r="E4" s="32">
        <f>C4*D4</f>
        <v>0</v>
      </c>
    </row>
    <row r="5" spans="1:5" x14ac:dyDescent="0.25">
      <c r="A5" s="39"/>
      <c r="B5" s="26"/>
      <c r="C5" s="28"/>
      <c r="D5" s="27"/>
      <c r="E5" s="29"/>
    </row>
    <row r="6" spans="1:5" x14ac:dyDescent="0.25">
      <c r="A6" s="24"/>
      <c r="B6" s="23" t="s">
        <v>50</v>
      </c>
      <c r="C6" s="34"/>
      <c r="D6" s="33"/>
      <c r="E6" s="34"/>
    </row>
    <row r="7" spans="1:5" x14ac:dyDescent="0.25">
      <c r="A7" s="14">
        <v>4002015</v>
      </c>
      <c r="B7" s="26" t="str">
        <f>VLOOKUP(A7, Rate[[SAP Code]:[Qty]], 2, FALSE)</f>
        <v>TP-Link VX 230v – First Energy – Custom Configuration and Dropship</v>
      </c>
      <c r="C7" s="28">
        <f>VLOOKUP($A7, Rate[[SAP Code]:[Qty]], 3, FALSE)</f>
        <v>12.5</v>
      </c>
      <c r="D7" s="27">
        <f>VLOOKUP($A7, Rate[[SAP Code]:[Qty]], 8, FALSE)</f>
        <v>98</v>
      </c>
      <c r="E7" s="29">
        <f>C7*D7</f>
        <v>1225</v>
      </c>
    </row>
    <row r="8" spans="1:5" x14ac:dyDescent="0.25">
      <c r="A8" s="41">
        <v>4002016</v>
      </c>
      <c r="B8" s="30" t="str">
        <f>VLOOKUP(A8, Rate[[SAP Code]:[Qty]], 2, FALSE)</f>
        <v>TP-Link VX 230v – Boost – Custom Configuration and Dropship</v>
      </c>
      <c r="C8" s="32">
        <f>VLOOKUP($A8, Rate[[SAP Code]:[Qty]], 3, FALSE)</f>
        <v>3.8</v>
      </c>
      <c r="D8" s="31">
        <f>VLOOKUP($A8, Rate[[SAP Code]:[Qty]], 8, FALSE)</f>
        <v>0</v>
      </c>
      <c r="E8" s="32">
        <f t="shared" ref="E8:E11" si="0">C8*D8</f>
        <v>0</v>
      </c>
    </row>
    <row r="9" spans="1:5" x14ac:dyDescent="0.25">
      <c r="A9" s="14">
        <v>4002017</v>
      </c>
      <c r="B9" s="26" t="str">
        <f>VLOOKUP(A9, Rate[[SAP Code]:[Qty]], 2, FALSE)</f>
        <v>TP-Link VX 230v – Sumo – Custom Configuration and Dropship</v>
      </c>
      <c r="C9" s="28">
        <f>VLOOKUP($A9, Rate[[SAP Code]:[Qty]], 3, FALSE)</f>
        <v>5.95</v>
      </c>
      <c r="D9" s="27">
        <f>VLOOKUP($A9, Rate[[SAP Code]:[Qty]], 8, FALSE)</f>
        <v>0</v>
      </c>
      <c r="E9" s="29">
        <f t="shared" si="0"/>
        <v>0</v>
      </c>
    </row>
    <row r="10" spans="1:5" x14ac:dyDescent="0.25">
      <c r="A10" s="41">
        <v>4002169</v>
      </c>
      <c r="B10" s="30" t="str">
        <f>VLOOKUP(A10, Rate[[SAP Code]:[Qty]], 2, FALSE)</f>
        <v>TP-Link VX 230v – Bolton Clarke – Custom Configuration and Dropship</v>
      </c>
      <c r="C10" s="32">
        <f>VLOOKUP($A10, Rate[[SAP Code]:[Qty]], 3, FALSE)</f>
        <v>110</v>
      </c>
      <c r="D10" s="31">
        <f>VLOOKUP($A10, Rate[[SAP Code]:[Qty]], 8, FALSE)</f>
        <v>0</v>
      </c>
      <c r="E10" s="32">
        <f t="shared" si="0"/>
        <v>0</v>
      </c>
    </row>
    <row r="11" spans="1:5" x14ac:dyDescent="0.25">
      <c r="A11" s="14">
        <v>4002018</v>
      </c>
      <c r="B11" s="26" t="str">
        <f>VLOOKUP(A11, Rate[[SAP Code]:[Qty]], 2, FALSE)</f>
        <v>TP-Link VX 230v – Australia Post - Modem Conversion to Boost Branding</v>
      </c>
      <c r="C11" s="28">
        <f>VLOOKUP($A11, Rate[[SAP Code]:[Qty]], 3, FALSE)</f>
        <v>0</v>
      </c>
      <c r="D11" s="27">
        <f>VLOOKUP($A11, Rate[[SAP Code]:[Qty]], 8, FALSE)</f>
        <v>0</v>
      </c>
      <c r="E11" s="29">
        <f t="shared" si="0"/>
        <v>0</v>
      </c>
    </row>
    <row r="12" spans="1:5" x14ac:dyDescent="0.25">
      <c r="C12" s="10"/>
      <c r="D12" s="27"/>
      <c r="E12" s="10"/>
    </row>
    <row r="13" spans="1:5" x14ac:dyDescent="0.25">
      <c r="A13" s="39"/>
      <c r="B13" s="26"/>
      <c r="C13" s="26"/>
      <c r="D13" s="39"/>
      <c r="E13" s="26"/>
    </row>
    <row r="14" spans="1:5" x14ac:dyDescent="0.25">
      <c r="A14" s="25"/>
      <c r="B14" s="25" t="s">
        <v>47</v>
      </c>
      <c r="C14" s="36"/>
      <c r="D14" s="35"/>
      <c r="E14" s="36"/>
    </row>
    <row r="15" spans="1:5" x14ac:dyDescent="0.25">
      <c r="A15" s="39">
        <v>4002270</v>
      </c>
      <c r="B15" s="26" t="e">
        <f>VLOOKUP(A15, Rate[[SAP Code]:[Qty]], 2, FALSE)</f>
        <v>#N/A</v>
      </c>
      <c r="C15" s="28" t="e">
        <f>VLOOKUP($A15, Rate[[SAP Code]:[Qty]], 3, FALSE)</f>
        <v>#N/A</v>
      </c>
      <c r="D15" s="27" t="e">
        <f>VLOOKUP($A15, Rate[[SAP Code]:[Qty]], 8, FALSE)</f>
        <v>#N/A</v>
      </c>
      <c r="E15" s="29" t="e">
        <f>C15*D15</f>
        <v>#N/A</v>
      </c>
    </row>
    <row r="16" spans="1:5" x14ac:dyDescent="0.25">
      <c r="A16" s="40">
        <v>4002271</v>
      </c>
      <c r="B16" s="30" t="e">
        <f>VLOOKUP(A16, Rate[[SAP Code]:[Qty]], 2, FALSE)</f>
        <v>#N/A</v>
      </c>
      <c r="C16" s="32" t="e">
        <f>VLOOKUP($A16, Rate[[SAP Code]:[Qty]], 3, FALSE)</f>
        <v>#N/A</v>
      </c>
      <c r="D16" s="31" t="e">
        <f>VLOOKUP($A16, Rate[[SAP Code]:[Qty]], 8, FALSE)</f>
        <v>#N/A</v>
      </c>
      <c r="E16" s="32" t="e">
        <f>C16*D16</f>
        <v>#N/A</v>
      </c>
    </row>
    <row r="17" spans="1:5" x14ac:dyDescent="0.25">
      <c r="A17" s="39"/>
      <c r="B17" s="26"/>
      <c r="C17" s="28"/>
      <c r="D17" s="27"/>
      <c r="E17" s="29"/>
    </row>
    <row r="18" spans="1:5" x14ac:dyDescent="0.25">
      <c r="A18"/>
    </row>
    <row r="19" spans="1:5" x14ac:dyDescent="0.25">
      <c r="A19" s="24"/>
      <c r="B19" s="25" t="s">
        <v>48</v>
      </c>
      <c r="C19" s="37"/>
      <c r="D19" s="24"/>
      <c r="E19" s="37"/>
    </row>
    <row r="20" spans="1:5" ht="29.25" customHeight="1" x14ac:dyDescent="0.25">
      <c r="A20" s="39"/>
      <c r="B20" s="38" t="e">
        <f>VLOOKUP(A20, Rate[[SAP Code]:[Qty]], 2, FALSE)</f>
        <v>#N/A</v>
      </c>
      <c r="C20" s="28" t="e">
        <f>VLOOKUP($A20, Rate[[SAP Code]:[Qty]], 3, FALSE)</f>
        <v>#N/A</v>
      </c>
      <c r="D20" s="42" t="e">
        <f>VLOOKUP($A20, Rate[[SAP Code]:[Qty]], 8, FALSE)</f>
        <v>#N/A</v>
      </c>
      <c r="E20" s="29" t="e">
        <f>C20*D20</f>
        <v>#N/A</v>
      </c>
    </row>
    <row r="21" spans="1:5" x14ac:dyDescent="0.25">
      <c r="D21" s="14"/>
    </row>
    <row r="22" spans="1:5" x14ac:dyDescent="0.25">
      <c r="A22" s="22"/>
      <c r="B22" s="23" t="s">
        <v>49</v>
      </c>
      <c r="C22" s="22"/>
      <c r="D22" s="22"/>
      <c r="E22" s="22"/>
    </row>
    <row r="23" spans="1:5" x14ac:dyDescent="0.25">
      <c r="A23" s="14" t="s">
        <v>5</v>
      </c>
      <c r="B23" s="26" t="str">
        <f>VLOOKUP(A23, Rate[[SAP Code]:[Qty]], 2, FALSE)</f>
        <v>Warehouse storage, Pallet equivalent is 1200mm (L) x 1200mm (W) x 1400mm (H);</v>
      </c>
      <c r="C23" s="28">
        <f>VLOOKUP($A23, Rate[[SAP Code]:[Qty]], 3, FALSE)</f>
        <v>1.47</v>
      </c>
      <c r="D23" s="42">
        <f>VLOOKUP($A23, Rate[[SAP Code]:[Qty]], 8, FALSE)</f>
        <v>0</v>
      </c>
      <c r="E23" s="29">
        <f>C23*D23</f>
        <v>0</v>
      </c>
    </row>
    <row r="24" spans="1:5" x14ac:dyDescent="0.25">
      <c r="A24" s="41" t="s">
        <v>53</v>
      </c>
      <c r="B24" s="30" t="str">
        <f>VLOOKUP(A24, Rate[[SAP Code]:[Qty]], 2, FALSE)</f>
        <v>Any freight costs are invoiced separately as "Carrier Invoice, Plus 20%"</v>
      </c>
      <c r="C24" s="32">
        <f>VLOOKUP($A24, Rate[[SAP Code]:[Qty]], 3, FALSE)</f>
        <v>3.31</v>
      </c>
      <c r="D24" s="42">
        <f>VLOOKUP($A24, Rate[[SAP Code]:[Qty]], 8, FALSE)</f>
        <v>0</v>
      </c>
      <c r="E24" s="32">
        <f>C24*D24</f>
        <v>0</v>
      </c>
    </row>
    <row r="26" spans="1:5" x14ac:dyDescent="0.25">
      <c r="D26" s="43" t="s">
        <v>15</v>
      </c>
      <c r="E26" s="9" t="e">
        <f>SUM(E3:E25)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9B2-98BD-4910-92FA-EC887E76DC30}">
  <sheetPr codeName="Sheet6">
    <tabColor theme="1" tint="0.499984740745262"/>
  </sheetPr>
  <dimension ref="A1:B6"/>
  <sheetViews>
    <sheetView workbookViewId="0"/>
    <sheetView workbookViewId="1"/>
  </sheetViews>
  <sheetFormatPr defaultRowHeight="15" x14ac:dyDescent="0.25"/>
  <cols>
    <col min="1" max="1" width="14.140625" bestFit="1" customWidth="1"/>
    <col min="2" max="2" width="37" bestFit="1" customWidth="1"/>
  </cols>
  <sheetData>
    <row r="1" spans="1:2" x14ac:dyDescent="0.25">
      <c r="A1" s="12" t="s">
        <v>26</v>
      </c>
      <c r="B1" s="12" t="s">
        <v>25</v>
      </c>
    </row>
    <row r="2" spans="1:2" x14ac:dyDescent="0.25">
      <c r="A2" t="s">
        <v>27</v>
      </c>
      <c r="B2" t="str">
        <f>_xlfn.IFNA(INDEX(Ship_SKU[Error],MATCH(TRUE,INDEX(Ship_SKU[Error]&lt;&gt;"",0),0)), "")</f>
        <v>Missing moose_letter_sim_new definition</v>
      </c>
    </row>
    <row r="3" spans="1:2" x14ac:dyDescent="0.25">
      <c r="A3" s="11" t="s">
        <v>28</v>
      </c>
      <c r="B3" s="11" t="str">
        <f>_xlfn.IFNA(INDEX(Ship_Type[Error],MATCH(TRUE,INDEX(Ship_Type[Error]&lt;&gt;"",0),0)), "")</f>
        <v>Missing moose_express definition</v>
      </c>
    </row>
    <row r="4" spans="1:2" x14ac:dyDescent="0.25">
      <c r="A4" t="s">
        <v>29</v>
      </c>
      <c r="B4" t="str">
        <f>_xlfn.IFNA(INDEX(SKU[Error],MATCH(TRUE,INDEX(SKU[Error]&lt;&gt;"",0),0)), "")</f>
        <v>Error Accessing SAP Rate</v>
      </c>
    </row>
    <row r="5" spans="1:2" x14ac:dyDescent="0.25">
      <c r="A5" s="11" t="s">
        <v>30</v>
      </c>
      <c r="B5" s="11" t="str">
        <f>_xlfn.IFNA(INDEX(Type[Error],MATCH(TRUE,INDEX(Type[Error]&lt;&gt;"",0),0)), "")</f>
        <v/>
      </c>
    </row>
    <row r="6" spans="1:2" x14ac:dyDescent="0.25">
      <c r="A6" t="s">
        <v>32</v>
      </c>
      <c r="B6" t="str">
        <f>_xlfn.IFNA(INDEX(Rate[Error],MATCH(TRUE,INDEX(Rate[Error]&lt;&gt;"",0),0)), "")</f>
        <v/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Shipped SKU</vt:lpstr>
      <vt:lpstr>Shipped Types</vt:lpstr>
      <vt:lpstr>Rates</vt:lpstr>
      <vt:lpstr>SKU Summary</vt:lpstr>
      <vt:lpstr>Type Summary</vt:lpstr>
      <vt:lpstr>Summary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Bilby</dc:creator>
  <cp:lastModifiedBy>AJ Bilby</cp:lastModifiedBy>
  <dcterms:created xsi:type="dcterms:W3CDTF">2025-08-26T00:25:30Z</dcterms:created>
  <dcterms:modified xsi:type="dcterms:W3CDTF">2025-08-27T03:14:45Z</dcterms:modified>
</cp:coreProperties>
</file>