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fileSharing readOnlyRecommended="1"/>
  <workbookPr defaultThemeVersion="166925"/>
  <mc:AlternateContent xmlns:mc="http://schemas.openxmlformats.org/markup-compatibility/2006">
    <mc:Choice Requires="x15">
      <x15ac:absPath xmlns:x15ac="http://schemas.microsoft.com/office/spreadsheetml/2010/11/ac" url="/Users/allisonadams/My files/Thesis/Microplankton/MicroplanktonAnalysis/data/MasterFiles/"/>
    </mc:Choice>
  </mc:AlternateContent>
  <xr:revisionPtr revIDLastSave="0" documentId="13_ncr:1_{4EBA496E-5FF0-5246-B2A4-5F98CC67DABC}" xr6:coauthVersionLast="47" xr6:coauthVersionMax="47" xr10:uidLastSave="{00000000-0000-0000-0000-000000000000}"/>
  <bookViews>
    <workbookView xWindow="-38400" yWindow="0" windowWidth="38400" windowHeight="21600" xr2:uid="{CE99CF81-25E3-0A45-8FEA-1697372800C1}"/>
  </bookViews>
  <sheets>
    <sheet name="400x_RawCount_R" sheetId="3" r:id="rId1"/>
    <sheet name="Note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I2" i="3" l="1"/>
  <c r="AC4" i="3"/>
  <c r="AV4" i="3"/>
  <c r="AM5" i="3"/>
  <c r="AT5" i="3"/>
  <c r="AS6" i="3"/>
  <c r="AZ6" i="3"/>
  <c r="AD8" i="3"/>
  <c r="AR8" i="3"/>
  <c r="BM8" i="3"/>
  <c r="AN9" i="3"/>
  <c r="BB9" i="3"/>
  <c r="BM9" i="3"/>
  <c r="BG11" i="3"/>
  <c r="AI12" i="3"/>
  <c r="AS12" i="3"/>
  <c r="BE12" i="3"/>
  <c r="O13" i="3"/>
  <c r="Q13" i="3"/>
  <c r="R13" i="3"/>
  <c r="BE13" i="3"/>
  <c r="M14" i="3"/>
  <c r="AD14" i="3"/>
  <c r="AH14" i="3"/>
  <c r="AM14" i="3"/>
  <c r="AN14" i="3"/>
  <c r="AS14" i="3"/>
  <c r="AU14" i="3"/>
  <c r="AV14" i="3"/>
  <c r="BP14" i="3"/>
  <c r="AO15" i="3"/>
  <c r="AQ15" i="3"/>
  <c r="AR15" i="3"/>
  <c r="AY15" i="3"/>
  <c r="BB15" i="3"/>
  <c r="BD15" i="3"/>
  <c r="P16" i="3"/>
  <c r="AC18" i="3"/>
  <c r="AK19" i="3"/>
  <c r="AE21" i="3"/>
  <c r="AF22" i="3"/>
  <c r="Q23" i="3"/>
  <c r="AD23" i="3"/>
  <c r="AH23" i="3"/>
  <c r="AI23" i="3"/>
  <c r="AJ23" i="3"/>
  <c r="AK23" i="3"/>
  <c r="AL23" i="3"/>
  <c r="AM23" i="3"/>
  <c r="AN23" i="3"/>
  <c r="AO23" i="3"/>
  <c r="AQ23" i="3"/>
  <c r="AR23" i="3"/>
  <c r="AS23" i="3"/>
  <c r="AT23" i="3"/>
  <c r="AU23" i="3"/>
  <c r="AV23" i="3"/>
  <c r="AX23" i="3"/>
  <c r="AY23" i="3"/>
  <c r="AZ23" i="3"/>
  <c r="BA23" i="3"/>
  <c r="BB23" i="3"/>
  <c r="BC23" i="3"/>
  <c r="BE23" i="3"/>
  <c r="BL23" i="3"/>
  <c r="BM23" i="3"/>
  <c r="BP23" i="3"/>
  <c r="M24" i="3"/>
  <c r="P24" i="3"/>
  <c r="Q24" i="3"/>
  <c r="R24" i="3"/>
  <c r="AD24" i="3"/>
  <c r="AE24" i="3"/>
  <c r="AF24" i="3"/>
  <c r="AG24" i="3"/>
  <c r="AH24" i="3"/>
  <c r="AI24" i="3"/>
  <c r="AJ24" i="3"/>
  <c r="AK24" i="3"/>
  <c r="AL24" i="3"/>
  <c r="AM24" i="3"/>
  <c r="AN24" i="3"/>
  <c r="AO24" i="3"/>
  <c r="AQ24" i="3"/>
  <c r="AR24" i="3"/>
  <c r="AS24" i="3"/>
  <c r="AT24" i="3"/>
  <c r="AU24" i="3"/>
  <c r="AV24" i="3"/>
  <c r="AX24" i="3"/>
  <c r="AY24" i="3"/>
  <c r="AZ24" i="3"/>
  <c r="BA24" i="3"/>
  <c r="BB24" i="3"/>
  <c r="BC24" i="3"/>
  <c r="BE24" i="3"/>
  <c r="BL24" i="3"/>
  <c r="BM24" i="3"/>
  <c r="BP24" i="3"/>
  <c r="M25" i="3"/>
  <c r="P25" i="3"/>
  <c r="Q25" i="3"/>
  <c r="R25" i="3"/>
  <c r="AC25" i="3"/>
  <c r="AD25" i="3"/>
  <c r="AF25" i="3"/>
  <c r="AG25" i="3"/>
  <c r="AH25" i="3"/>
  <c r="AI25" i="3"/>
  <c r="AJ25" i="3"/>
  <c r="AK25" i="3"/>
  <c r="AL25" i="3"/>
  <c r="AM25" i="3"/>
  <c r="AN25" i="3"/>
  <c r="AO25" i="3"/>
  <c r="AR25" i="3"/>
  <c r="AS25" i="3"/>
  <c r="AT25" i="3"/>
  <c r="AU25" i="3"/>
  <c r="AV25" i="3"/>
  <c r="AX25" i="3"/>
  <c r="AY25" i="3"/>
  <c r="AZ25" i="3"/>
  <c r="BA25" i="3"/>
  <c r="BB25" i="3"/>
  <c r="BC25" i="3"/>
  <c r="BE25" i="3"/>
  <c r="BG25" i="3"/>
  <c r="BI25" i="3"/>
  <c r="BL25" i="3"/>
  <c r="BM25" i="3"/>
  <c r="BP25" i="3"/>
  <c r="P28" i="3"/>
  <c r="Q28" i="3"/>
  <c r="R28" i="3"/>
  <c r="AD28" i="3"/>
  <c r="AE28" i="3"/>
  <c r="AG28" i="3"/>
  <c r="AH28" i="3"/>
  <c r="AI28" i="3"/>
  <c r="AJ28" i="3"/>
  <c r="AK28" i="3"/>
  <c r="AL28" i="3"/>
  <c r="AN28" i="3"/>
  <c r="AO28" i="3"/>
  <c r="AP28" i="3"/>
  <c r="AQ28" i="3"/>
  <c r="AR28" i="3"/>
  <c r="AS28" i="3"/>
  <c r="AT28" i="3"/>
  <c r="AU28" i="3"/>
  <c r="AV28" i="3"/>
  <c r="AY28" i="3"/>
  <c r="AZ28" i="3"/>
  <c r="BF28" i="3"/>
  <c r="BG28" i="3"/>
  <c r="BM28" i="3"/>
  <c r="BO28" i="3"/>
  <c r="P29" i="3"/>
  <c r="Q29" i="3"/>
  <c r="R29" i="3"/>
  <c r="AC29" i="3"/>
  <c r="AD29" i="3"/>
  <c r="AE29" i="3"/>
  <c r="AF29" i="3"/>
  <c r="AG29" i="3"/>
  <c r="AH29" i="3"/>
  <c r="AI29" i="3"/>
  <c r="AK29" i="3"/>
  <c r="AL29" i="3"/>
  <c r="AM29" i="3"/>
  <c r="AN29" i="3"/>
  <c r="AO29" i="3"/>
  <c r="AQ29" i="3"/>
  <c r="AR29" i="3"/>
  <c r="AS29" i="3"/>
  <c r="AT29" i="3"/>
  <c r="AU29" i="3"/>
  <c r="AV29" i="3"/>
  <c r="AY29" i="3"/>
  <c r="AZ29" i="3"/>
  <c r="BF29" i="3"/>
  <c r="BG29" i="3"/>
  <c r="BH29" i="3"/>
  <c r="BM29" i="3"/>
  <c r="BO29" i="3"/>
  <c r="P30" i="3"/>
  <c r="Q30" i="3"/>
  <c r="R30" i="3"/>
  <c r="AD30" i="3"/>
  <c r="AE30" i="3"/>
  <c r="AF30" i="3"/>
  <c r="AG30" i="3"/>
  <c r="AH30" i="3"/>
  <c r="AI30" i="3"/>
  <c r="AJ30" i="3"/>
  <c r="AK30" i="3"/>
  <c r="AL30" i="3"/>
  <c r="AN30" i="3"/>
  <c r="AR30" i="3"/>
  <c r="AS30" i="3"/>
  <c r="AU30" i="3"/>
  <c r="AV30" i="3"/>
  <c r="AY30" i="3"/>
  <c r="AZ30" i="3"/>
  <c r="BE30" i="3"/>
  <c r="BF30" i="3"/>
  <c r="BG30" i="3"/>
  <c r="BO30" i="3"/>
  <c r="H31" i="3"/>
  <c r="P31" i="3"/>
  <c r="H32" i="3"/>
  <c r="O32" i="3"/>
  <c r="Q32" i="3"/>
  <c r="R32" i="3"/>
  <c r="AB32" i="3"/>
  <c r="H33" i="3"/>
  <c r="H34" i="3"/>
  <c r="M34" i="3"/>
  <c r="O34" i="3"/>
  <c r="P34" i="3"/>
  <c r="Q34" i="3"/>
  <c r="AA34" i="3"/>
  <c r="AB34" i="3"/>
  <c r="AG34" i="3"/>
  <c r="AH34" i="3"/>
  <c r="AI34" i="3"/>
  <c r="AO34" i="3"/>
  <c r="AQ34" i="3"/>
  <c r="AR34" i="3"/>
  <c r="AS34" i="3"/>
  <c r="AT34" i="3"/>
  <c r="AU34" i="3"/>
  <c r="AV34" i="3"/>
  <c r="AZ34" i="3"/>
  <c r="BB34" i="3"/>
  <c r="BD34" i="3"/>
  <c r="H35" i="3"/>
  <c r="I35" i="3"/>
  <c r="H36" i="3"/>
  <c r="R36" i="3"/>
  <c r="BC36" i="3"/>
  <c r="H37" i="3"/>
  <c r="AA37" i="3"/>
  <c r="BH37" i="3"/>
  <c r="H38" i="3"/>
  <c r="H39" i="3"/>
  <c r="H40" i="3"/>
  <c r="AC40" i="3"/>
  <c r="AP40" i="3"/>
  <c r="AX40" i="3"/>
  <c r="BA40" i="3"/>
  <c r="BP40" i="3"/>
  <c r="H41" i="3"/>
  <c r="Q41" i="3"/>
  <c r="H42" i="3"/>
  <c r="AY42" i="3"/>
  <c r="H43" i="3"/>
  <c r="BE43" i="3"/>
  <c r="H44" i="3"/>
  <c r="H45" i="3"/>
  <c r="BC45" i="3"/>
  <c r="H46" i="3"/>
  <c r="AN46" i="3"/>
  <c r="H47" i="3"/>
  <c r="P48" i="3"/>
  <c r="Q48" i="3"/>
  <c r="R48" i="3"/>
  <c r="AD48" i="3"/>
  <c r="AE48" i="3"/>
  <c r="AG48" i="3"/>
  <c r="AH48" i="3"/>
  <c r="AI48" i="3"/>
  <c r="AJ48" i="3"/>
  <c r="AK48" i="3"/>
  <c r="AO48" i="3"/>
  <c r="AP48" i="3"/>
  <c r="AR48" i="3"/>
  <c r="AT48" i="3"/>
  <c r="AU48" i="3"/>
  <c r="AV48" i="3"/>
  <c r="BG48" i="3"/>
  <c r="BM48" i="3"/>
  <c r="O49" i="3"/>
  <c r="P49" i="3"/>
  <c r="Q49" i="3"/>
  <c r="R49" i="3"/>
  <c r="AC49" i="3"/>
  <c r="AM49" i="3"/>
  <c r="O50" i="3"/>
  <c r="P50" i="3"/>
  <c r="Q50" i="3"/>
  <c r="R50" i="3"/>
  <c r="N51" i="3"/>
  <c r="O51" i="3"/>
  <c r="P51" i="3"/>
  <c r="Q51" i="3"/>
  <c r="R51" i="3"/>
  <c r="AD51" i="3"/>
  <c r="AE51" i="3"/>
  <c r="AF51" i="3"/>
  <c r="AG51" i="3"/>
  <c r="AH51" i="3"/>
  <c r="AK51" i="3"/>
  <c r="AM51" i="3"/>
  <c r="AN51" i="3"/>
  <c r="AO51" i="3"/>
  <c r="AP51" i="3"/>
  <c r="AQ51" i="3"/>
  <c r="AR51" i="3"/>
  <c r="AS51" i="3"/>
  <c r="AT51" i="3"/>
  <c r="AU51" i="3"/>
  <c r="AV51" i="3"/>
  <c r="AX51" i="3"/>
  <c r="AY51" i="3"/>
  <c r="AZ51" i="3"/>
  <c r="BA51" i="3"/>
  <c r="BB51" i="3"/>
  <c r="BC51" i="3"/>
  <c r="BD51" i="3"/>
  <c r="BF51" i="3"/>
  <c r="BJ51" i="3"/>
  <c r="BL51" i="3"/>
  <c r="BM51" i="3"/>
  <c r="N52" i="3"/>
  <c r="O52" i="3"/>
  <c r="P52" i="3"/>
  <c r="Q52" i="3"/>
  <c r="R52" i="3"/>
  <c r="AC52" i="3"/>
  <c r="AD52" i="3"/>
  <c r="AE52" i="3"/>
  <c r="AF52" i="3"/>
  <c r="AG52" i="3"/>
  <c r="AH52" i="3"/>
  <c r="AJ52" i="3"/>
  <c r="AK52" i="3"/>
  <c r="AN52" i="3"/>
  <c r="AO52" i="3"/>
  <c r="AP52" i="3"/>
  <c r="AQ52" i="3"/>
  <c r="AR52" i="3"/>
  <c r="AS52" i="3"/>
  <c r="AT52" i="3"/>
  <c r="AU52" i="3"/>
  <c r="AV52" i="3"/>
  <c r="AW52" i="3"/>
  <c r="AX52" i="3"/>
  <c r="AY52" i="3"/>
  <c r="AZ52" i="3"/>
  <c r="BA52" i="3"/>
  <c r="BB52" i="3"/>
  <c r="BC52" i="3"/>
  <c r="BD52" i="3"/>
  <c r="BF52" i="3"/>
  <c r="BG52" i="3"/>
  <c r="BI52" i="3"/>
  <c r="BJ52" i="3"/>
  <c r="BL52" i="3"/>
  <c r="BM52" i="3"/>
  <c r="AD53" i="3"/>
  <c r="AH53" i="3"/>
  <c r="AK53" i="3"/>
  <c r="AN53" i="3"/>
  <c r="AP53" i="3"/>
  <c r="AQ53" i="3"/>
  <c r="AU53" i="3"/>
  <c r="AV53" i="3"/>
  <c r="AX53" i="3"/>
  <c r="AY53" i="3"/>
  <c r="AZ53" i="3"/>
  <c r="BA53" i="3"/>
  <c r="BB53" i="3"/>
  <c r="BC53" i="3"/>
  <c r="BD53" i="3"/>
  <c r="BF53" i="3"/>
  <c r="BG53" i="3"/>
  <c r="BM53" i="3"/>
  <c r="AB54" i="3"/>
  <c r="M56" i="3"/>
  <c r="BM56" i="3"/>
  <c r="BO56" i="3"/>
  <c r="M57" i="3"/>
  <c r="AB58" i="3"/>
  <c r="BJ58" i="3"/>
  <c r="BK59" i="3"/>
  <c r="AC60" i="3"/>
  <c r="O61" i="3"/>
  <c r="P61" i="3"/>
  <c r="M62" i="3"/>
  <c r="L63" i="3"/>
  <c r="AG64" i="3"/>
  <c r="AH64" i="3"/>
  <c r="AQ65" i="3"/>
  <c r="BI65" i="3"/>
  <c r="AA66" i="3"/>
  <c r="BJ66" i="3"/>
  <c r="AC67" i="3"/>
  <c r="AW67" i="3"/>
  <c r="AY67" i="3"/>
  <c r="BA67" i="3"/>
  <c r="BH67" i="3"/>
  <c r="BM67" i="3"/>
  <c r="AB68" i="3"/>
  <c r="BD68" i="3"/>
  <c r="BG68" i="3"/>
  <c r="AD69" i="3"/>
  <c r="AE69" i="3"/>
  <c r="AF69" i="3"/>
  <c r="AZ69" i="3"/>
  <c r="O70" i="3"/>
  <c r="P70" i="3"/>
  <c r="Q70" i="3"/>
  <c r="R70" i="3"/>
  <c r="AD70" i="3"/>
  <c r="AF70" i="3"/>
  <c r="AG70" i="3"/>
  <c r="AH70" i="3"/>
  <c r="AI70" i="3"/>
  <c r="AJ70" i="3"/>
  <c r="AK70" i="3"/>
  <c r="AM70" i="3"/>
  <c r="AN70" i="3"/>
  <c r="AO70" i="3"/>
  <c r="AP70" i="3"/>
  <c r="AQ70" i="3"/>
  <c r="AR70" i="3"/>
  <c r="AT70" i="3"/>
  <c r="AU70" i="3"/>
  <c r="AV70" i="3"/>
  <c r="AW70" i="3"/>
  <c r="AX70" i="3"/>
  <c r="AY70" i="3"/>
  <c r="AZ70" i="3"/>
  <c r="BA70" i="3"/>
  <c r="BB70" i="3"/>
  <c r="BC70" i="3"/>
  <c r="BD70" i="3"/>
  <c r="BF70" i="3"/>
  <c r="BG70" i="3"/>
  <c r="BK70" i="3"/>
  <c r="BM70" i="3"/>
  <c r="BO70" i="3"/>
  <c r="BP70" i="3"/>
  <c r="K71" i="3"/>
  <c r="O71" i="3"/>
  <c r="P71" i="3"/>
  <c r="Q71" i="3"/>
  <c r="R71" i="3"/>
  <c r="AD71" i="3"/>
  <c r="AE71" i="3"/>
  <c r="AF71" i="3"/>
  <c r="AG71" i="3"/>
  <c r="AH71" i="3"/>
  <c r="AI71" i="3"/>
  <c r="AJ71" i="3"/>
  <c r="AK71" i="3"/>
  <c r="AM71" i="3"/>
  <c r="AN71" i="3"/>
  <c r="AO71" i="3"/>
  <c r="AP71" i="3"/>
  <c r="AQ71" i="3"/>
  <c r="AR71" i="3"/>
  <c r="AS71" i="3"/>
  <c r="AT71" i="3"/>
  <c r="AU71" i="3"/>
  <c r="AV71" i="3"/>
  <c r="AX71" i="3"/>
  <c r="AY71" i="3"/>
  <c r="AZ71" i="3"/>
  <c r="BA71" i="3"/>
  <c r="BB71" i="3"/>
  <c r="BC71" i="3"/>
  <c r="BD71" i="3"/>
  <c r="BF71" i="3"/>
  <c r="BG71" i="3"/>
  <c r="BM71" i="3"/>
  <c r="BO71" i="3"/>
  <c r="BP71" i="3"/>
  <c r="P72" i="3"/>
  <c r="R72" i="3"/>
  <c r="AC72" i="3"/>
  <c r="AN72" i="3"/>
  <c r="AQ72" i="3"/>
  <c r="AR72" i="3"/>
  <c r="AS72" i="3"/>
  <c r="AY72" i="3"/>
  <c r="AZ72" i="3"/>
  <c r="BA72" i="3"/>
  <c r="BB72" i="3"/>
  <c r="BC72" i="3"/>
  <c r="BD72" i="3"/>
  <c r="BG72" i="3"/>
  <c r="BM72" i="3"/>
  <c r="BO72" i="3"/>
  <c r="BP72" i="3"/>
</calcChain>
</file>

<file path=xl/sharedStrings.xml><?xml version="1.0" encoding="utf-8"?>
<sst xmlns="http://schemas.openxmlformats.org/spreadsheetml/2006/main" count="428" uniqueCount="234">
  <si>
    <t>Organism</t>
  </si>
  <si>
    <t>Group</t>
  </si>
  <si>
    <t>type</t>
  </si>
  <si>
    <t>name</t>
  </si>
  <si>
    <t>shp</t>
  </si>
  <si>
    <t>sa</t>
  </si>
  <si>
    <t>la</t>
  </si>
  <si>
    <t>wi</t>
  </si>
  <si>
    <t>SJR2 site</t>
  </si>
  <si>
    <t>SJR2 FC-1</t>
  </si>
  <si>
    <t>SJR2 T24-1</t>
  </si>
  <si>
    <t>SJR2 FC-2</t>
  </si>
  <si>
    <t>SJR2 T24-2</t>
  </si>
  <si>
    <t>SJR2 FC-3</t>
  </si>
  <si>
    <t>SJR2 T24-3</t>
  </si>
  <si>
    <t>SJR2 IC-1</t>
  </si>
  <si>
    <t>SJR2 IC-2</t>
  </si>
  <si>
    <t>SJR2 IC-3</t>
  </si>
  <si>
    <t>YBP1 site</t>
  </si>
  <si>
    <t>YBP1 FC-1</t>
  </si>
  <si>
    <t>YBP1 T24-1</t>
  </si>
  <si>
    <t>YBP1 FC-2</t>
  </si>
  <si>
    <t>YBP1 T24-2</t>
  </si>
  <si>
    <t>YBP1 FC-3</t>
  </si>
  <si>
    <t>YBP1 T24-3</t>
  </si>
  <si>
    <t>YBP1 IC-1</t>
  </si>
  <si>
    <t>YBP1 IC-2</t>
  </si>
  <si>
    <t>YBP1 IC-3</t>
  </si>
  <si>
    <t>LSZ2 site</t>
  </si>
  <si>
    <t>LSZ2 FC-1</t>
  </si>
  <si>
    <t>LSZ2 T24-1</t>
  </si>
  <si>
    <t>LSZ2 FC-2</t>
  </si>
  <si>
    <t>LSZ2 T24-2</t>
  </si>
  <si>
    <t>LSZ2 FC-3</t>
  </si>
  <si>
    <t>LSZ2 T24-3</t>
  </si>
  <si>
    <t>LSZ2 IC-1</t>
  </si>
  <si>
    <t>LSZ2 IC-2</t>
  </si>
  <si>
    <t>LSZ2 IC-3</t>
  </si>
  <si>
    <t>WLD2 site</t>
  </si>
  <si>
    <t>WLD2 FC-1</t>
  </si>
  <si>
    <t>WLD2 T24-1</t>
  </si>
  <si>
    <t>WLD2 FC-2</t>
  </si>
  <si>
    <t>WLD2 T24-2</t>
  </si>
  <si>
    <t>WLD2 FC-3</t>
  </si>
  <si>
    <t>WLD2 T24-3</t>
  </si>
  <si>
    <t>WLD2 IC-1</t>
  </si>
  <si>
    <t>WLD2 IC-2</t>
  </si>
  <si>
    <t>WLD2 IC-3</t>
  </si>
  <si>
    <t>SJR1 FC-1</t>
  </si>
  <si>
    <t>SJR1 T24-1</t>
  </si>
  <si>
    <t>SJR1 FC-2</t>
  </si>
  <si>
    <t>SJR1 T24-2</t>
  </si>
  <si>
    <t>SJR1 FC-3</t>
  </si>
  <si>
    <t>SJR1 T24-3</t>
  </si>
  <si>
    <t>SJR1 IC-1</t>
  </si>
  <si>
    <t>SJR1 IC-2</t>
  </si>
  <si>
    <t>SJR1 IC-3</t>
  </si>
  <si>
    <t>YBP2 site</t>
  </si>
  <si>
    <t>YBP2 FC-1</t>
  </si>
  <si>
    <t>YBP2 FC-2</t>
  </si>
  <si>
    <t>YBP2 T24-2</t>
  </si>
  <si>
    <t>YBP2 FC-3</t>
  </si>
  <si>
    <t>YBP2 T24-3</t>
  </si>
  <si>
    <t>YBP2 IC-1</t>
  </si>
  <si>
    <t>YBP2 IC-2</t>
  </si>
  <si>
    <t>YBP2 IC-3</t>
  </si>
  <si>
    <t>Chlorophyte B: colonial 4x4</t>
  </si>
  <si>
    <t>chlorophyte</t>
  </si>
  <si>
    <t>colonial</t>
  </si>
  <si>
    <t>chlorb</t>
  </si>
  <si>
    <t>sph</t>
  </si>
  <si>
    <t>Chlorophyte C: colonial 4x16</t>
  </si>
  <si>
    <t>chlorc</t>
  </si>
  <si>
    <t>Chlorophyte D: colonial 6x6</t>
  </si>
  <si>
    <t>chlord</t>
  </si>
  <si>
    <t>cyl</t>
  </si>
  <si>
    <t>Chlorophyte E: colonial 6x12</t>
  </si>
  <si>
    <t>chlore</t>
  </si>
  <si>
    <t>Chlorophyte F: colonial 8x8</t>
  </si>
  <si>
    <t>chlorf</t>
  </si>
  <si>
    <t>Chlorophyte G: colonial 8x16</t>
  </si>
  <si>
    <t>chlorg</t>
  </si>
  <si>
    <t>Chlorophyte H: colonial 10x10</t>
  </si>
  <si>
    <t>chlorh</t>
  </si>
  <si>
    <t>Chlorophyte I: colonial 12x12</t>
  </si>
  <si>
    <t>chlori</t>
  </si>
  <si>
    <t>Chlorophyte J: colonial 16x16</t>
  </si>
  <si>
    <t>chlorj</t>
  </si>
  <si>
    <t>Chlorophyte L: colonial 4x10</t>
  </si>
  <si>
    <t>chlorl</t>
  </si>
  <si>
    <t>Chlorophyte M: other 10x10</t>
  </si>
  <si>
    <t>other</t>
  </si>
  <si>
    <t>chlorm</t>
  </si>
  <si>
    <t>Chlorophyte N: scendesmus</t>
  </si>
  <si>
    <t>scenedesmus</t>
  </si>
  <si>
    <t>chlorn</t>
  </si>
  <si>
    <t>prosph</t>
  </si>
  <si>
    <t>Chlorophyte O: scendesmus</t>
  </si>
  <si>
    <t>chloro</t>
  </si>
  <si>
    <t>Chlorophyte P: scendesmus</t>
  </si>
  <si>
    <t>chlorp</t>
  </si>
  <si>
    <t>Chlorophyte Q: scendesmus</t>
  </si>
  <si>
    <t>chlorq</t>
  </si>
  <si>
    <t>Chlorophyte R: scendesmus</t>
  </si>
  <si>
    <t>chlorr</t>
  </si>
  <si>
    <t>Chlorophyte S: scendesmus</t>
  </si>
  <si>
    <t>chlors</t>
  </si>
  <si>
    <t>Chlorophyte T: scendesmus</t>
  </si>
  <si>
    <t>chlort</t>
  </si>
  <si>
    <t>Chlorophyte U: scendesmus</t>
  </si>
  <si>
    <t>chloru</t>
  </si>
  <si>
    <t>Chlorophyte V: scendesmus</t>
  </si>
  <si>
    <t>chlorv</t>
  </si>
  <si>
    <t>Chlorophyte W: scendesmus</t>
  </si>
  <si>
    <t>chlorw</t>
  </si>
  <si>
    <t>Ciliate A: Round 4 to 7 µm</t>
  </si>
  <si>
    <t>ciliate</t>
  </si>
  <si>
    <t>round</t>
  </si>
  <si>
    <t>cila</t>
  </si>
  <si>
    <t>Ciliate B: Round 8 to 11 µm</t>
  </si>
  <si>
    <t>cilb</t>
  </si>
  <si>
    <t>Ciliate C: Round 12 to 16 µm</t>
  </si>
  <si>
    <t>cilc</t>
  </si>
  <si>
    <t>Cyanobacteria A: 4x24</t>
  </si>
  <si>
    <t>cyanobacteria</t>
  </si>
  <si>
    <t>cyana</t>
  </si>
  <si>
    <t>Cyanobacteria B: 4x50</t>
  </si>
  <si>
    <t>cyanb</t>
  </si>
  <si>
    <t>Diatom A: Centric 4 to 7 µm</t>
  </si>
  <si>
    <t>diatom</t>
  </si>
  <si>
    <t>centric</t>
  </si>
  <si>
    <t>diaa</t>
  </si>
  <si>
    <t>Diatom B: Centric 8 to 11 µm</t>
  </si>
  <si>
    <t>diab</t>
  </si>
  <si>
    <t>Diatom C: Centric 12 to 16 µm</t>
  </si>
  <si>
    <t>diac</t>
  </si>
  <si>
    <t>Diatom D: pennate A 2x8</t>
  </si>
  <si>
    <t>pennate</t>
  </si>
  <si>
    <t>diad</t>
  </si>
  <si>
    <t>prisell</t>
  </si>
  <si>
    <t>Diatom E: pennate A 2x10</t>
  </si>
  <si>
    <t>diae</t>
  </si>
  <si>
    <t>Diatom F: pennate A 2x12</t>
  </si>
  <si>
    <t>diaf</t>
  </si>
  <si>
    <t>Diatom G: pennate A 2x20</t>
  </si>
  <si>
    <t>diag</t>
  </si>
  <si>
    <t>Diatom H: pennate A 3x12</t>
  </si>
  <si>
    <t>diah</t>
  </si>
  <si>
    <t>Diatom I: pennate A 4x10</t>
  </si>
  <si>
    <t>diai</t>
  </si>
  <si>
    <t>Diatom J: pennate A 4x24</t>
  </si>
  <si>
    <t>diaj</t>
  </si>
  <si>
    <t>Diatom K: pennate A 4x36</t>
  </si>
  <si>
    <t>diak</t>
  </si>
  <si>
    <t>Diatom M: pennate B 3x20</t>
  </si>
  <si>
    <t>diam</t>
  </si>
  <si>
    <t>Diatom N: pennate B4x12</t>
  </si>
  <si>
    <t>dian</t>
  </si>
  <si>
    <t>Diatom O: pennate B 4x16</t>
  </si>
  <si>
    <t>diao</t>
  </si>
  <si>
    <t>Diatom P: pennate B 4x20</t>
  </si>
  <si>
    <t>diap</t>
  </si>
  <si>
    <t>Diatom Q: pennate C 1x20</t>
  </si>
  <si>
    <t>diaq</t>
  </si>
  <si>
    <t>Diatom R: pennate C 2x16</t>
  </si>
  <si>
    <t>diar</t>
  </si>
  <si>
    <t>Diatom S: pennate C 2x18</t>
  </si>
  <si>
    <t>dias</t>
  </si>
  <si>
    <t>Diatom U: pennate C 2x30</t>
  </si>
  <si>
    <t>diau</t>
  </si>
  <si>
    <t>Diatom X: pennate C 4x26</t>
  </si>
  <si>
    <t>diax</t>
  </si>
  <si>
    <t>Flagellate A: Cryptomonas 4 to 7 µm</t>
  </si>
  <si>
    <t>flagellate</t>
  </si>
  <si>
    <t>cryptomonas</t>
  </si>
  <si>
    <t>flaga</t>
  </si>
  <si>
    <t>Flagellate B: Cryptomonas 8 to 11 µm</t>
  </si>
  <si>
    <t>flagb</t>
  </si>
  <si>
    <t>Flagellate C: Cryptomonas 12 to 16 µm</t>
  </si>
  <si>
    <t>flagc</t>
  </si>
  <si>
    <t>Flagellate D: Other 4 to 7 µm</t>
  </si>
  <si>
    <t>flagd</t>
  </si>
  <si>
    <t>Flagellate E: Other 8 to 11 µm</t>
  </si>
  <si>
    <t>flage</t>
  </si>
  <si>
    <t>Flagellate F: Other 12 to 16 µm</t>
  </si>
  <si>
    <t>flagf</t>
  </si>
  <si>
    <t>Flagellate G: in a cone</t>
  </si>
  <si>
    <t>in a cone</t>
  </si>
  <si>
    <t>flagg</t>
  </si>
  <si>
    <t>Flagellate H: in a cone</t>
  </si>
  <si>
    <t>flagh</t>
  </si>
  <si>
    <t>unidentified</t>
  </si>
  <si>
    <t>Unidentified A1</t>
  </si>
  <si>
    <t>una1</t>
  </si>
  <si>
    <t>Unidentified A2</t>
  </si>
  <si>
    <t>una2</t>
  </si>
  <si>
    <t>Unidentified A3</t>
  </si>
  <si>
    <t>una3</t>
  </si>
  <si>
    <t>Unidentified A4</t>
  </si>
  <si>
    <t>una4</t>
  </si>
  <si>
    <t>Unidentified A5</t>
  </si>
  <si>
    <t>una5</t>
  </si>
  <si>
    <t>Unidentified A6</t>
  </si>
  <si>
    <t>una6</t>
  </si>
  <si>
    <t>Unidentified A7</t>
  </si>
  <si>
    <t>una7</t>
  </si>
  <si>
    <t>Unidentified A8</t>
  </si>
  <si>
    <t>una8</t>
  </si>
  <si>
    <t>Unidentified B1 flag/chloro</t>
  </si>
  <si>
    <t>flagchloro</t>
  </si>
  <si>
    <t>unb1</t>
  </si>
  <si>
    <t>Unidentified B2 flag/chloro</t>
  </si>
  <si>
    <t>unb2</t>
  </si>
  <si>
    <t>Unidentified B3 flag/chloro</t>
  </si>
  <si>
    <t>unb3</t>
  </si>
  <si>
    <t>Unidentified B4 flag/chloro</t>
  </si>
  <si>
    <t>unb4</t>
  </si>
  <si>
    <t>Unidentified B5 flag/chloro</t>
  </si>
  <si>
    <t>unb5</t>
  </si>
  <si>
    <t>Unidentified B6 flag/chloro</t>
  </si>
  <si>
    <t>unb6</t>
  </si>
  <si>
    <t>Unidentified Round A: 4 to 7 µm</t>
  </si>
  <si>
    <t>unrna</t>
  </si>
  <si>
    <t>Unidentified Round B: 8 to 11 µm</t>
  </si>
  <si>
    <t>unrnb</t>
  </si>
  <si>
    <t>Unidentified Round C: 12 to 16 µm</t>
  </si>
  <si>
    <t>unrnc</t>
  </si>
  <si>
    <t>SJR1 site</t>
  </si>
  <si>
    <t>YBP2 T24-1</t>
  </si>
  <si>
    <t>On 12/8/22, I corrected the cyanobacteria and unidentified entries that had the type category blank, to add "other" to the type column so that they would fit into the "other" category instead of being separate</t>
  </si>
  <si>
    <t>12/9/22, I deletied the unidentified triangle entry because it had been deleted in a previous version as well, and it's not important to include since there are so few and they don’t fit into any identifiable category</t>
  </si>
  <si>
    <t>1/18/23, combined the three pennate diatoms 2 20, that were in three rows, since they were originally pennate A, pennate B, pennate C</t>
  </si>
  <si>
    <t>Note 1/20/23: I discovered that diatom pennate 4x24 and 4x16 occurred in both the 100x and 400x raw counts, so added the 100x counts to the 400x file, but only did it in the PropCntd_400_R.xlsx and PropCntd_100_R.xlsx files, not here in this spreadsheet</t>
  </si>
  <si>
    <t>Note 1/23/23 Added Unidentified A9 to Unidentified A1 and deleted A9 since they appeard as duplicated rows because their dimensions are the same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</si>
</sst>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2"/>
      <color theme="1"/>
      <name val="Calibri"/>
      <family val="2"/>
      <scheme val="minor"/>
    </font>
    <font>
      <sz val="10"/>
      <name val="Arial"/>
      <family val="2"/>
    </font>
    <font>
      <sz val="12"/>
      <name val="Arial"/>
      <family val="2"/>
    </font>
    <font>
      <sz val="12"/>
      <color theme="1"/>
      <name val="Arial"/>
      <family val="2"/>
    </font>
    <font>
      <sz val="12"/>
      <color rgb="FF000000"/>
      <name val="Arial"/>
      <family val="2"/>
    </font>
  </fonts>
  <fills count="2">
    <fill>
      <patternFill patternType="none"/>
    </fill>
    <fill>
      <patternFill patternType="gray125"/>
    </fill>
  </fills>
  <borders count="11">
    <border>
      <left/>
      <right/>
      <top/>
      <bottom/>
      <diagonal/>
    </border>
    <border>
      <left style="hair">
        <color indexed="64"/>
      </left>
      <right style="hair">
        <color indexed="64"/>
      </right>
      <top style="hair">
        <color indexed="64"/>
      </top>
      <bottom style="hair">
        <color indexed="64"/>
      </bottom>
      <diagonal/>
    </border>
    <border>
      <left style="slantDashDot">
        <color indexed="64"/>
      </left>
      <right style="hair">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hair">
        <color indexed="64"/>
      </left>
      <right/>
      <top style="hair">
        <color indexed="64"/>
      </top>
      <bottom style="hair">
        <color indexed="64"/>
      </bottom>
      <diagonal/>
    </border>
    <border>
      <left style="slantDashDot">
        <color indexed="64"/>
      </left>
      <right style="hair">
        <color indexed="64"/>
      </right>
      <top style="hair">
        <color indexed="64"/>
      </top>
      <bottom/>
      <diagonal/>
    </border>
    <border>
      <left/>
      <right style="hair">
        <color indexed="64"/>
      </right>
      <top style="hair">
        <color indexed="64"/>
      </top>
      <bottom/>
      <diagonal/>
    </border>
    <border>
      <left style="hair">
        <color indexed="64"/>
      </left>
      <right style="hair">
        <color indexed="64"/>
      </right>
      <top style="hair">
        <color indexed="64"/>
      </top>
      <bottom/>
      <diagonal/>
    </border>
    <border>
      <left style="slantDashDot">
        <color indexed="64"/>
      </left>
      <right style="hair">
        <color indexed="64"/>
      </right>
      <top/>
      <bottom style="hair">
        <color indexed="64"/>
      </bottom>
      <diagonal/>
    </border>
    <border>
      <left/>
      <right style="hair">
        <color indexed="64"/>
      </right>
      <top/>
      <bottom style="hair">
        <color indexed="64"/>
      </bottom>
      <diagonal/>
    </border>
  </borders>
  <cellStyleXfs count="2">
    <xf numFmtId="0" fontId="0" fillId="0" borderId="0"/>
    <xf numFmtId="0" fontId="1" fillId="0" borderId="0"/>
  </cellStyleXfs>
  <cellXfs count="45">
    <xf numFmtId="0" fontId="0" fillId="0" borderId="0" xfId="0"/>
    <xf numFmtId="0" fontId="2" fillId="0" borderId="1" xfId="0" applyFont="1" applyBorder="1" applyAlignment="1">
      <alignment vertical="center" wrapText="1"/>
    </xf>
    <xf numFmtId="0" fontId="2" fillId="0" borderId="1" xfId="0" applyFont="1" applyBorder="1" applyAlignment="1">
      <alignment wrapText="1"/>
    </xf>
    <xf numFmtId="164" fontId="3" fillId="0" borderId="1" xfId="0" applyNumberFormat="1" applyFont="1" applyBorder="1" applyAlignment="1">
      <alignment horizontal="right"/>
    </xf>
    <xf numFmtId="0" fontId="2" fillId="0" borderId="2" xfId="0" applyFont="1" applyBorder="1" applyAlignment="1">
      <alignment vertical="center" wrapText="1"/>
    </xf>
    <xf numFmtId="0" fontId="2" fillId="0" borderId="3" xfId="0" applyFont="1" applyBorder="1" applyAlignment="1">
      <alignment vertical="center" wrapText="1"/>
    </xf>
    <xf numFmtId="0" fontId="2" fillId="0" borderId="0" xfId="0" applyFont="1" applyAlignment="1">
      <alignment vertical="center" wrapText="1"/>
    </xf>
    <xf numFmtId="0" fontId="2" fillId="0" borderId="1" xfId="0" applyFont="1" applyBorder="1" applyAlignment="1">
      <alignment horizontal="right" wrapText="1"/>
    </xf>
    <xf numFmtId="1" fontId="3" fillId="0" borderId="4" xfId="1" applyNumberFormat="1" applyFont="1" applyBorder="1"/>
    <xf numFmtId="0" fontId="2" fillId="0" borderId="5" xfId="0" applyFont="1" applyBorder="1" applyAlignment="1">
      <alignment horizontal="right" wrapText="1"/>
    </xf>
    <xf numFmtId="1" fontId="3" fillId="0" borderId="4" xfId="1" applyNumberFormat="1" applyFont="1" applyBorder="1" applyAlignment="1">
      <alignment horizontal="right"/>
    </xf>
    <xf numFmtId="1" fontId="3" fillId="0" borderId="1" xfId="1" applyNumberFormat="1" applyFont="1" applyBorder="1" applyAlignment="1">
      <alignment horizontal="right"/>
    </xf>
    <xf numFmtId="2" fontId="2" fillId="0" borderId="1" xfId="0" applyNumberFormat="1" applyFont="1" applyBorder="1" applyAlignment="1">
      <alignment vertical="center" wrapText="1"/>
    </xf>
    <xf numFmtId="1" fontId="3" fillId="0" borderId="1" xfId="1" applyNumberFormat="1" applyFont="1" applyBorder="1"/>
    <xf numFmtId="0" fontId="2" fillId="0" borderId="1" xfId="0" applyFont="1" applyBorder="1" applyAlignment="1">
      <alignment horizontal="right" vertical="center" wrapText="1"/>
    </xf>
    <xf numFmtId="0" fontId="2" fillId="0" borderId="4" xfId="0" applyFont="1" applyBorder="1" applyAlignment="1">
      <alignment horizontal="right" wrapText="1"/>
    </xf>
    <xf numFmtId="0" fontId="2" fillId="0" borderId="0" xfId="0" applyFont="1" applyAlignment="1">
      <alignment horizontal="right" vertical="center" wrapText="1"/>
    </xf>
    <xf numFmtId="0" fontId="2" fillId="0" borderId="2" xfId="0" applyFont="1" applyBorder="1"/>
    <xf numFmtId="0" fontId="2" fillId="0" borderId="3" xfId="0" applyFont="1" applyBorder="1"/>
    <xf numFmtId="1" fontId="2" fillId="0" borderId="1" xfId="0" applyNumberFormat="1" applyFont="1" applyBorder="1" applyAlignment="1">
      <alignment vertical="center" wrapText="1"/>
    </xf>
    <xf numFmtId="1" fontId="4" fillId="0" borderId="1" xfId="0" applyNumberFormat="1" applyFont="1" applyBorder="1"/>
    <xf numFmtId="1" fontId="4" fillId="0" borderId="1" xfId="0" applyNumberFormat="1" applyFont="1" applyBorder="1" applyAlignment="1">
      <alignment horizontal="right"/>
    </xf>
    <xf numFmtId="0" fontId="3" fillId="0" borderId="2" xfId="1" applyFont="1" applyBorder="1" applyAlignment="1">
      <alignment horizontal="left"/>
    </xf>
    <xf numFmtId="0" fontId="3" fillId="0" borderId="3" xfId="1" applyFont="1" applyBorder="1" applyAlignment="1">
      <alignment horizontal="left"/>
    </xf>
    <xf numFmtId="0" fontId="2" fillId="0" borderId="0" xfId="0" applyFont="1" applyAlignment="1">
      <alignment horizontal="right" wrapText="1"/>
    </xf>
    <xf numFmtId="2" fontId="2" fillId="0" borderId="1" xfId="1" applyNumberFormat="1" applyFont="1" applyBorder="1"/>
    <xf numFmtId="0" fontId="2" fillId="0" borderId="1" xfId="1" applyFont="1" applyBorder="1"/>
    <xf numFmtId="0" fontId="2" fillId="0" borderId="0" xfId="0" applyFont="1" applyAlignment="1">
      <alignment wrapText="1"/>
    </xf>
    <xf numFmtId="0" fontId="2" fillId="0" borderId="6" xfId="0" applyFont="1" applyBorder="1" applyAlignment="1">
      <alignment vertical="center" wrapText="1"/>
    </xf>
    <xf numFmtId="0" fontId="2" fillId="0" borderId="7" xfId="0" applyFont="1" applyBorder="1" applyAlignment="1">
      <alignment vertical="center" wrapText="1"/>
    </xf>
    <xf numFmtId="0" fontId="2" fillId="0" borderId="8" xfId="0" applyFont="1" applyBorder="1" applyAlignment="1">
      <alignment vertical="center" wrapText="1"/>
    </xf>
    <xf numFmtId="0" fontId="2" fillId="0" borderId="8" xfId="0" applyFont="1" applyBorder="1" applyAlignment="1">
      <alignment horizontal="right" wrapText="1"/>
    </xf>
    <xf numFmtId="0" fontId="2" fillId="0" borderId="8" xfId="0" applyFont="1" applyBorder="1" applyAlignment="1">
      <alignment horizontal="right" vertical="center" wrapText="1"/>
    </xf>
    <xf numFmtId="0" fontId="2" fillId="0" borderId="9" xfId="0" applyFont="1" applyBorder="1" applyAlignment="1">
      <alignment vertical="center" wrapText="1"/>
    </xf>
    <xf numFmtId="0" fontId="2" fillId="0" borderId="10" xfId="0" applyFont="1" applyBorder="1" applyAlignment="1">
      <alignment vertical="center" wrapText="1"/>
    </xf>
    <xf numFmtId="0" fontId="2" fillId="0" borderId="4" xfId="0" applyFont="1" applyBorder="1" applyAlignment="1">
      <alignment vertical="center" wrapText="1"/>
    </xf>
    <xf numFmtId="0" fontId="2" fillId="0" borderId="4" xfId="0" applyFont="1" applyBorder="1" applyAlignment="1">
      <alignment horizontal="right" vertical="center" wrapText="1"/>
    </xf>
    <xf numFmtId="0" fontId="3" fillId="0" borderId="10" xfId="1" applyFont="1" applyBorder="1" applyAlignment="1">
      <alignment horizontal="left"/>
    </xf>
    <xf numFmtId="0" fontId="3" fillId="0" borderId="6" xfId="1" applyFont="1" applyBorder="1" applyAlignment="1">
      <alignment horizontal="left"/>
    </xf>
    <xf numFmtId="0" fontId="3" fillId="0" borderId="1" xfId="1" applyFont="1" applyBorder="1" applyAlignment="1">
      <alignment horizontal="left"/>
    </xf>
    <xf numFmtId="0" fontId="2" fillId="0" borderId="8" xfId="0" applyFont="1" applyBorder="1" applyAlignment="1">
      <alignment wrapText="1"/>
    </xf>
    <xf numFmtId="1" fontId="3" fillId="0" borderId="8" xfId="1" applyNumberFormat="1" applyFont="1" applyBorder="1"/>
    <xf numFmtId="1" fontId="4" fillId="0" borderId="8" xfId="0" applyNumberFormat="1" applyFont="1" applyBorder="1"/>
    <xf numFmtId="1" fontId="3" fillId="0" borderId="8" xfId="1" applyNumberFormat="1" applyFont="1" applyBorder="1" applyAlignment="1">
      <alignment horizontal="right"/>
    </xf>
    <xf numFmtId="1" fontId="4" fillId="0" borderId="8" xfId="0" applyNumberFormat="1" applyFont="1" applyBorder="1" applyAlignment="1">
      <alignment horizontal="right"/>
    </xf>
  </cellXfs>
  <cellStyles count="2">
    <cellStyle name="Normal" xfId="0" builtinId="0"/>
    <cellStyle name="Normal 2" xfId="1" xr:uid="{21E85331-BB65-1D45-866D-3B08DB05E9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32955-0D6E-D240-9F8B-FDDBD2FE4809}">
  <dimension ref="A1:BP72"/>
  <sheetViews>
    <sheetView tabSelected="1" workbookViewId="0">
      <pane xSplit="1" topLeftCell="B1" activePane="topRight" state="frozen"/>
      <selection pane="topRight" activeCell="W30" sqref="W30"/>
    </sheetView>
  </sheetViews>
  <sheetFormatPr baseColWidth="10" defaultRowHeight="16" x14ac:dyDescent="0.2"/>
  <cols>
    <col min="1" max="1" width="36.6640625" bestFit="1" customWidth="1"/>
    <col min="2" max="2" width="14" bestFit="1" customWidth="1"/>
    <col min="3" max="3" width="13.83203125" bestFit="1" customWidth="1"/>
    <col min="4" max="4" width="7.33203125" bestFit="1" customWidth="1"/>
    <col min="5" max="5" width="7.5" bestFit="1" customWidth="1"/>
    <col min="6" max="6" width="5.1640625" bestFit="1" customWidth="1"/>
    <col min="7" max="7" width="4.6640625" bestFit="1" customWidth="1"/>
    <col min="8" max="8" width="3.1640625" bestFit="1" customWidth="1"/>
    <col min="9" max="9" width="9.83203125" bestFit="1" customWidth="1"/>
    <col min="10" max="10" width="11.1640625" bestFit="1" customWidth="1"/>
    <col min="11" max="11" width="12" bestFit="1" customWidth="1"/>
    <col min="12" max="12" width="11.1640625" bestFit="1" customWidth="1"/>
    <col min="13" max="13" width="12" bestFit="1" customWidth="1"/>
    <col min="14" max="14" width="11.1640625" bestFit="1" customWidth="1"/>
    <col min="15" max="15" width="12" bestFit="1" customWidth="1"/>
    <col min="16" max="18" width="10.5" bestFit="1" customWidth="1"/>
    <col min="19" max="19" width="10" bestFit="1" customWidth="1"/>
    <col min="20" max="20" width="11.33203125" bestFit="1" customWidth="1"/>
    <col min="21" max="21" width="12.1640625" bestFit="1" customWidth="1"/>
    <col min="22" max="22" width="11.33203125" bestFit="1" customWidth="1"/>
    <col min="23" max="23" width="12.1640625" bestFit="1" customWidth="1"/>
    <col min="24" max="24" width="11.33203125" bestFit="1" customWidth="1"/>
    <col min="25" max="25" width="12.1640625" bestFit="1" customWidth="1"/>
    <col min="26" max="28" width="10.6640625" bestFit="1" customWidth="1"/>
    <col min="29" max="29" width="9.6640625" bestFit="1" customWidth="1"/>
    <col min="30" max="30" width="11" bestFit="1" customWidth="1"/>
    <col min="31" max="31" width="11.83203125" bestFit="1" customWidth="1"/>
    <col min="32" max="32" width="11" bestFit="1" customWidth="1"/>
    <col min="33" max="33" width="11.83203125" bestFit="1" customWidth="1"/>
    <col min="34" max="34" width="11" bestFit="1" customWidth="1"/>
    <col min="35" max="35" width="11.83203125" bestFit="1" customWidth="1"/>
    <col min="36" max="38" width="10.33203125" bestFit="1" customWidth="1"/>
    <col min="39" max="39" width="10.5" bestFit="1" customWidth="1"/>
    <col min="40" max="40" width="11.83203125" bestFit="1" customWidth="1"/>
    <col min="41" max="41" width="12.6640625" bestFit="1" customWidth="1"/>
    <col min="42" max="42" width="11.83203125" bestFit="1" customWidth="1"/>
    <col min="43" max="43" width="12.6640625" bestFit="1" customWidth="1"/>
    <col min="44" max="44" width="11.83203125" bestFit="1" customWidth="1"/>
    <col min="45" max="45" width="12.6640625" bestFit="1" customWidth="1"/>
    <col min="46" max="48" width="11.1640625" bestFit="1" customWidth="1"/>
    <col min="49" max="49" width="9.83203125" bestFit="1" customWidth="1"/>
    <col min="50" max="50" width="11.1640625" bestFit="1" customWidth="1"/>
    <col min="51" max="51" width="12" bestFit="1" customWidth="1"/>
    <col min="52" max="52" width="11.1640625" bestFit="1" customWidth="1"/>
    <col min="53" max="53" width="12" bestFit="1" customWidth="1"/>
    <col min="54" max="54" width="11.1640625" bestFit="1" customWidth="1"/>
    <col min="55" max="55" width="12" bestFit="1" customWidth="1"/>
    <col min="56" max="58" width="10.5" bestFit="1" customWidth="1"/>
    <col min="59" max="59" width="10" bestFit="1" customWidth="1"/>
    <col min="60" max="60" width="11.33203125" bestFit="1" customWidth="1"/>
    <col min="61" max="61" width="12.1640625" bestFit="1" customWidth="1"/>
    <col min="62" max="62" width="11.33203125" bestFit="1" customWidth="1"/>
    <col min="63" max="63" width="12.1640625" bestFit="1" customWidth="1"/>
    <col min="64" max="64" width="11.33203125" bestFit="1" customWidth="1"/>
    <col min="65" max="65" width="12.1640625" bestFit="1" customWidth="1"/>
    <col min="66" max="68" width="10.6640625" bestFit="1" customWidth="1"/>
  </cols>
  <sheetData>
    <row r="1" spans="1:68" ht="17" x14ac:dyDescent="0.2">
      <c r="A1" s="1" t="s">
        <v>0</v>
      </c>
      <c r="B1" s="1" t="s">
        <v>1</v>
      </c>
      <c r="C1" s="2" t="s">
        <v>2</v>
      </c>
      <c r="D1" s="1" t="s">
        <v>3</v>
      </c>
      <c r="E1" s="1" t="s">
        <v>4</v>
      </c>
      <c r="F1" s="1" t="s">
        <v>5</v>
      </c>
      <c r="G1" s="1" t="s">
        <v>6</v>
      </c>
      <c r="H1" s="1"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c r="AQ1" s="3" t="s">
        <v>42</v>
      </c>
      <c r="AR1" s="3" t="s">
        <v>43</v>
      </c>
      <c r="AS1" s="3" t="s">
        <v>44</v>
      </c>
      <c r="AT1" s="3" t="s">
        <v>45</v>
      </c>
      <c r="AU1" s="3" t="s">
        <v>46</v>
      </c>
      <c r="AV1" s="3" t="s">
        <v>47</v>
      </c>
      <c r="AW1" s="3" t="s">
        <v>227</v>
      </c>
      <c r="AX1" s="3" t="s">
        <v>48</v>
      </c>
      <c r="AY1" s="3" t="s">
        <v>49</v>
      </c>
      <c r="AZ1" s="3" t="s">
        <v>50</v>
      </c>
      <c r="BA1" s="3" t="s">
        <v>51</v>
      </c>
      <c r="BB1" s="3" t="s">
        <v>52</v>
      </c>
      <c r="BC1" s="3" t="s">
        <v>53</v>
      </c>
      <c r="BD1" s="3" t="s">
        <v>54</v>
      </c>
      <c r="BE1" s="3" t="s">
        <v>55</v>
      </c>
      <c r="BF1" s="3" t="s">
        <v>56</v>
      </c>
      <c r="BG1" s="3" t="s">
        <v>57</v>
      </c>
      <c r="BH1" s="3" t="s">
        <v>58</v>
      </c>
      <c r="BI1" s="3" t="s">
        <v>228</v>
      </c>
      <c r="BJ1" s="3" t="s">
        <v>59</v>
      </c>
      <c r="BK1" s="3" t="s">
        <v>60</v>
      </c>
      <c r="BL1" s="3" t="s">
        <v>61</v>
      </c>
      <c r="BM1" s="3" t="s">
        <v>62</v>
      </c>
      <c r="BN1" s="3" t="s">
        <v>63</v>
      </c>
      <c r="BO1" s="3" t="s">
        <v>64</v>
      </c>
      <c r="BP1" s="3" t="s">
        <v>65</v>
      </c>
    </row>
    <row r="2" spans="1:68" ht="17" x14ac:dyDescent="0.2">
      <c r="A2" s="4" t="s">
        <v>66</v>
      </c>
      <c r="B2" s="5" t="s">
        <v>67</v>
      </c>
      <c r="C2" s="1" t="s">
        <v>68</v>
      </c>
      <c r="D2" s="1" t="s">
        <v>69</v>
      </c>
      <c r="E2" s="6" t="s">
        <v>70</v>
      </c>
      <c r="F2" s="1">
        <v>4</v>
      </c>
      <c r="G2" s="1">
        <v>4</v>
      </c>
      <c r="H2" s="1"/>
      <c r="I2" s="1"/>
      <c r="J2" s="1"/>
      <c r="K2" s="1"/>
      <c r="L2" s="1"/>
      <c r="M2" s="1"/>
      <c r="N2" s="1"/>
      <c r="O2" s="1"/>
      <c r="P2" s="1"/>
      <c r="Q2" s="1"/>
      <c r="R2" s="1"/>
      <c r="S2" s="7"/>
      <c r="T2" s="7"/>
      <c r="U2" s="7"/>
      <c r="V2" s="7"/>
      <c r="W2" s="7"/>
      <c r="X2" s="7"/>
      <c r="Y2" s="7"/>
      <c r="Z2" s="7"/>
      <c r="AA2" s="7"/>
      <c r="AB2" s="7"/>
      <c r="AC2" s="7"/>
      <c r="AD2" s="7"/>
      <c r="AE2" s="7"/>
      <c r="AF2" s="7"/>
      <c r="AG2" s="7"/>
      <c r="AH2" s="7"/>
      <c r="AI2" s="8">
        <f>2</f>
        <v>2</v>
      </c>
      <c r="AJ2" s="7"/>
      <c r="AK2" s="7"/>
      <c r="AL2" s="7"/>
      <c r="AM2" s="7"/>
      <c r="AN2" s="7"/>
      <c r="AO2" s="7"/>
      <c r="AP2" s="7"/>
      <c r="AQ2" s="7"/>
      <c r="AR2" s="7"/>
      <c r="AS2" s="7"/>
      <c r="AT2" s="7"/>
      <c r="AU2" s="7"/>
      <c r="AV2" s="7"/>
      <c r="AW2" s="7"/>
      <c r="AX2" s="9"/>
      <c r="AY2" s="9"/>
      <c r="AZ2" s="9"/>
      <c r="BA2" s="9"/>
      <c r="BB2" s="9"/>
      <c r="BC2" s="9"/>
      <c r="BD2" s="9"/>
      <c r="BE2" s="9"/>
      <c r="BF2" s="9"/>
      <c r="BG2" s="7">
        <v>8</v>
      </c>
      <c r="BH2" s="7"/>
      <c r="BI2" s="7"/>
      <c r="BJ2" s="10">
        <v>21</v>
      </c>
      <c r="BK2" s="7"/>
      <c r="BL2" s="7"/>
      <c r="BM2" s="7"/>
      <c r="BN2" s="7"/>
      <c r="BO2" s="7"/>
      <c r="BP2" s="7"/>
    </row>
    <row r="3" spans="1:68" ht="17" x14ac:dyDescent="0.2">
      <c r="A3" s="4" t="s">
        <v>71</v>
      </c>
      <c r="B3" s="5" t="s">
        <v>67</v>
      </c>
      <c r="C3" s="1" t="s">
        <v>68</v>
      </c>
      <c r="D3" s="1" t="s">
        <v>72</v>
      </c>
      <c r="E3" s="6" t="s">
        <v>70</v>
      </c>
      <c r="F3" s="1">
        <v>4</v>
      </c>
      <c r="G3" s="1">
        <v>16</v>
      </c>
      <c r="H3" s="1"/>
      <c r="I3" s="1"/>
      <c r="J3" s="1"/>
      <c r="K3" s="1"/>
      <c r="L3" s="1"/>
      <c r="M3" s="1"/>
      <c r="N3" s="1"/>
      <c r="O3" s="1"/>
      <c r="P3" s="1"/>
      <c r="Q3" s="1"/>
      <c r="R3" s="1"/>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9"/>
      <c r="AY3" s="9"/>
      <c r="AZ3" s="9"/>
      <c r="BA3" s="9"/>
      <c r="BB3" s="9"/>
      <c r="BC3" s="9"/>
      <c r="BD3" s="9"/>
      <c r="BE3" s="9"/>
      <c r="BF3" s="9"/>
      <c r="BG3" s="7">
        <v>1</v>
      </c>
      <c r="BH3" s="7"/>
      <c r="BI3" s="7"/>
      <c r="BJ3" s="7"/>
      <c r="BK3" s="7"/>
      <c r="BL3" s="7"/>
      <c r="BM3" s="7"/>
      <c r="BN3" s="7">
        <v>42</v>
      </c>
      <c r="BO3" s="7"/>
      <c r="BP3" s="7"/>
    </row>
    <row r="4" spans="1:68" ht="17" x14ac:dyDescent="0.2">
      <c r="A4" s="4" t="s">
        <v>73</v>
      </c>
      <c r="B4" s="5" t="s">
        <v>67</v>
      </c>
      <c r="C4" s="1" t="s">
        <v>68</v>
      </c>
      <c r="D4" s="1" t="s">
        <v>74</v>
      </c>
      <c r="E4" s="6" t="s">
        <v>75</v>
      </c>
      <c r="F4" s="1">
        <v>6</v>
      </c>
      <c r="G4" s="1">
        <v>6</v>
      </c>
      <c r="H4" s="1"/>
      <c r="I4" s="1"/>
      <c r="J4" s="1"/>
      <c r="K4" s="1"/>
      <c r="L4" s="1"/>
      <c r="M4" s="1"/>
      <c r="N4" s="1"/>
      <c r="O4" s="1"/>
      <c r="P4" s="1"/>
      <c r="Q4" s="1"/>
      <c r="R4" s="1"/>
      <c r="S4" s="7"/>
      <c r="T4" s="7"/>
      <c r="U4" s="7"/>
      <c r="V4" s="7"/>
      <c r="W4" s="7"/>
      <c r="X4" s="7"/>
      <c r="Y4" s="7"/>
      <c r="Z4" s="7"/>
      <c r="AA4" s="7"/>
      <c r="AB4" s="7"/>
      <c r="AC4" s="8">
        <f>3</f>
        <v>3</v>
      </c>
      <c r="AD4" s="7"/>
      <c r="AE4" s="7"/>
      <c r="AF4" s="7"/>
      <c r="AG4" s="7"/>
      <c r="AH4" s="7"/>
      <c r="AI4" s="7"/>
      <c r="AJ4" s="7"/>
      <c r="AK4" s="7"/>
      <c r="AL4" s="7"/>
      <c r="AM4" s="7"/>
      <c r="AN4" s="7"/>
      <c r="AO4" s="7"/>
      <c r="AP4" s="7"/>
      <c r="AQ4" s="7"/>
      <c r="AR4" s="7"/>
      <c r="AS4" s="7"/>
      <c r="AT4" s="7"/>
      <c r="AU4" s="7"/>
      <c r="AV4" s="8">
        <f>2</f>
        <v>2</v>
      </c>
      <c r="AW4" s="7"/>
      <c r="AX4" s="9"/>
      <c r="AY4" s="9"/>
      <c r="AZ4" s="9"/>
      <c r="BA4" s="9"/>
      <c r="BB4" s="9"/>
      <c r="BC4" s="9"/>
      <c r="BD4" s="9"/>
      <c r="BE4" s="9"/>
      <c r="BF4" s="9"/>
      <c r="BG4" s="7"/>
      <c r="BH4" s="7"/>
      <c r="BI4" s="11">
        <v>5</v>
      </c>
      <c r="BJ4" s="7"/>
      <c r="BK4" s="7"/>
      <c r="BL4" s="7"/>
      <c r="BM4" s="7"/>
      <c r="BN4" s="7"/>
      <c r="BO4" s="7">
        <v>47</v>
      </c>
      <c r="BP4" s="7"/>
    </row>
    <row r="5" spans="1:68" ht="17" x14ac:dyDescent="0.2">
      <c r="A5" s="4" t="s">
        <v>76</v>
      </c>
      <c r="B5" s="5" t="s">
        <v>67</v>
      </c>
      <c r="C5" s="1" t="s">
        <v>68</v>
      </c>
      <c r="D5" s="1" t="s">
        <v>77</v>
      </c>
      <c r="E5" s="6" t="s">
        <v>70</v>
      </c>
      <c r="F5" s="1">
        <v>6</v>
      </c>
      <c r="G5" s="1">
        <v>12</v>
      </c>
      <c r="H5" s="1"/>
      <c r="I5" s="1"/>
      <c r="J5" s="1"/>
      <c r="K5" s="1"/>
      <c r="L5" s="1"/>
      <c r="M5" s="1"/>
      <c r="N5" s="1"/>
      <c r="O5" s="1"/>
      <c r="P5" s="1"/>
      <c r="Q5" s="1"/>
      <c r="R5" s="1"/>
      <c r="S5" s="7"/>
      <c r="T5" s="7"/>
      <c r="U5" s="7"/>
      <c r="V5" s="7"/>
      <c r="W5" s="7"/>
      <c r="X5" s="7"/>
      <c r="Y5" s="7"/>
      <c r="Z5" s="7"/>
      <c r="AA5" s="7"/>
      <c r="AB5" s="7"/>
      <c r="AC5" s="7"/>
      <c r="AD5" s="7"/>
      <c r="AE5" s="7"/>
      <c r="AF5" s="7"/>
      <c r="AG5" s="7"/>
      <c r="AH5" s="7"/>
      <c r="AI5" s="7"/>
      <c r="AJ5" s="7"/>
      <c r="AK5" s="7"/>
      <c r="AL5" s="7"/>
      <c r="AM5" s="8">
        <f>100</f>
        <v>100</v>
      </c>
      <c r="AN5" s="7"/>
      <c r="AO5" s="7"/>
      <c r="AP5" s="7"/>
      <c r="AQ5" s="7"/>
      <c r="AR5" s="7"/>
      <c r="AS5" s="7"/>
      <c r="AT5" s="8">
        <f>2</f>
        <v>2</v>
      </c>
      <c r="AU5" s="7"/>
      <c r="AV5" s="7"/>
      <c r="AW5" s="7"/>
      <c r="AX5" s="9"/>
      <c r="AY5" s="9"/>
      <c r="AZ5" s="9"/>
      <c r="BA5" s="9"/>
      <c r="BB5" s="9"/>
      <c r="BC5" s="9"/>
      <c r="BD5" s="9"/>
      <c r="BE5" s="9"/>
      <c r="BF5" s="9"/>
      <c r="BG5" s="7"/>
      <c r="BH5" s="7"/>
      <c r="BI5" s="7"/>
      <c r="BJ5" s="7"/>
      <c r="BK5" s="7">
        <v>3</v>
      </c>
      <c r="BL5" s="7"/>
      <c r="BM5" s="7"/>
      <c r="BN5" s="7"/>
      <c r="BO5" s="7"/>
      <c r="BP5" s="7"/>
    </row>
    <row r="6" spans="1:68" ht="17" x14ac:dyDescent="0.2">
      <c r="A6" s="4" t="s">
        <v>78</v>
      </c>
      <c r="B6" s="5" t="s">
        <v>67</v>
      </c>
      <c r="C6" s="1" t="s">
        <v>68</v>
      </c>
      <c r="D6" s="1" t="s">
        <v>79</v>
      </c>
      <c r="E6" s="6" t="s">
        <v>70</v>
      </c>
      <c r="F6" s="1">
        <v>8</v>
      </c>
      <c r="G6" s="1">
        <v>8</v>
      </c>
      <c r="H6" s="1"/>
      <c r="I6" s="12"/>
      <c r="J6" s="12"/>
      <c r="K6" s="12"/>
      <c r="L6" s="12"/>
      <c r="M6" s="12"/>
      <c r="N6" s="12"/>
      <c r="O6" s="12"/>
      <c r="P6" s="12"/>
      <c r="Q6" s="12"/>
      <c r="R6" s="12"/>
      <c r="S6" s="7"/>
      <c r="T6" s="7"/>
      <c r="U6" s="7"/>
      <c r="V6" s="7"/>
      <c r="W6" s="7"/>
      <c r="X6" s="7"/>
      <c r="Y6" s="7"/>
      <c r="Z6" s="7"/>
      <c r="AA6" s="7"/>
      <c r="AB6" s="7"/>
      <c r="AC6" s="7"/>
      <c r="AD6" s="7"/>
      <c r="AE6" s="7"/>
      <c r="AF6" s="7"/>
      <c r="AG6" s="7"/>
      <c r="AH6" s="7"/>
      <c r="AI6" s="7"/>
      <c r="AJ6" s="7"/>
      <c r="AK6" s="7"/>
      <c r="AL6" s="7"/>
      <c r="AM6" s="7"/>
      <c r="AN6" s="7"/>
      <c r="AO6" s="7"/>
      <c r="AP6" s="7"/>
      <c r="AQ6" s="7"/>
      <c r="AR6" s="7"/>
      <c r="AS6" s="8">
        <f>1</f>
        <v>1</v>
      </c>
      <c r="AT6" s="7"/>
      <c r="AU6" s="7"/>
      <c r="AV6" s="7"/>
      <c r="AW6" s="7"/>
      <c r="AX6" s="9"/>
      <c r="AY6" s="9"/>
      <c r="AZ6" s="8">
        <f>6</f>
        <v>6</v>
      </c>
      <c r="BA6" s="9"/>
      <c r="BB6" s="9"/>
      <c r="BC6" s="9"/>
      <c r="BD6" s="9"/>
      <c r="BE6" s="9"/>
      <c r="BF6" s="9"/>
      <c r="BG6" s="7">
        <v>2</v>
      </c>
      <c r="BH6" s="7"/>
      <c r="BI6" s="7"/>
      <c r="BJ6" s="7"/>
      <c r="BK6" s="7"/>
      <c r="BL6" s="7"/>
      <c r="BM6" s="7"/>
      <c r="BN6" s="7"/>
      <c r="BO6" s="7"/>
      <c r="BP6" s="7">
        <v>77</v>
      </c>
    </row>
    <row r="7" spans="1:68" ht="17" x14ac:dyDescent="0.2">
      <c r="A7" s="4" t="s">
        <v>80</v>
      </c>
      <c r="B7" s="5" t="s">
        <v>67</v>
      </c>
      <c r="C7" s="1" t="s">
        <v>68</v>
      </c>
      <c r="D7" s="5" t="s">
        <v>81</v>
      </c>
      <c r="E7" s="6" t="s">
        <v>70</v>
      </c>
      <c r="F7" s="1">
        <v>8</v>
      </c>
      <c r="G7" s="1">
        <v>16</v>
      </c>
      <c r="H7" s="1"/>
      <c r="I7" s="12"/>
      <c r="J7" s="12"/>
      <c r="K7" s="12"/>
      <c r="L7" s="12"/>
      <c r="M7" s="12"/>
      <c r="N7" s="12"/>
      <c r="O7" s="12"/>
      <c r="P7" s="12"/>
      <c r="Q7" s="12"/>
      <c r="R7" s="12"/>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9"/>
      <c r="AY7" s="9"/>
      <c r="AZ7" s="9"/>
      <c r="BA7" s="9"/>
      <c r="BB7" s="9"/>
      <c r="BC7" s="9"/>
      <c r="BD7" s="9"/>
      <c r="BE7" s="9"/>
      <c r="BF7" s="9"/>
      <c r="BG7" s="7"/>
      <c r="BH7" s="7"/>
      <c r="BI7" s="7"/>
      <c r="BJ7" s="7"/>
      <c r="BK7" s="7"/>
      <c r="BL7" s="7"/>
      <c r="BM7" s="7"/>
      <c r="BN7" s="7">
        <v>2</v>
      </c>
      <c r="BO7" s="7">
        <v>5</v>
      </c>
      <c r="BP7" s="7"/>
    </row>
    <row r="8" spans="1:68" ht="17" x14ac:dyDescent="0.2">
      <c r="A8" s="4" t="s">
        <v>82</v>
      </c>
      <c r="B8" s="5" t="s">
        <v>67</v>
      </c>
      <c r="C8" s="1" t="s">
        <v>68</v>
      </c>
      <c r="D8" s="5" t="s">
        <v>83</v>
      </c>
      <c r="E8" s="6" t="s">
        <v>70</v>
      </c>
      <c r="F8" s="1">
        <v>10</v>
      </c>
      <c r="G8" s="1">
        <v>10</v>
      </c>
      <c r="H8" s="1"/>
      <c r="I8" s="1"/>
      <c r="J8" s="1">
        <v>13</v>
      </c>
      <c r="K8" s="1"/>
      <c r="L8" s="1"/>
      <c r="M8" s="1"/>
      <c r="N8" s="1"/>
      <c r="O8" s="1"/>
      <c r="P8" s="1"/>
      <c r="Q8" s="1"/>
      <c r="R8" s="1"/>
      <c r="S8" s="7"/>
      <c r="T8" s="7"/>
      <c r="U8" s="7"/>
      <c r="V8" s="7"/>
      <c r="W8" s="7"/>
      <c r="X8" s="7"/>
      <c r="Y8" s="7"/>
      <c r="Z8" s="7"/>
      <c r="AA8" s="7"/>
      <c r="AB8" s="7"/>
      <c r="AC8" s="7"/>
      <c r="AD8" s="8">
        <f>4</f>
        <v>4</v>
      </c>
      <c r="AE8" s="7"/>
      <c r="AF8" s="7"/>
      <c r="AG8" s="7"/>
      <c r="AH8" s="7"/>
      <c r="AI8" s="7"/>
      <c r="AJ8" s="7"/>
      <c r="AK8" s="7"/>
      <c r="AL8" s="7"/>
      <c r="AM8" s="7"/>
      <c r="AN8" s="7"/>
      <c r="AO8" s="7"/>
      <c r="AP8" s="7"/>
      <c r="AQ8" s="7"/>
      <c r="AR8" s="8">
        <f>2</f>
        <v>2</v>
      </c>
      <c r="AS8" s="7"/>
      <c r="AT8" s="7"/>
      <c r="AU8" s="7"/>
      <c r="AV8" s="7"/>
      <c r="AW8" s="7"/>
      <c r="AX8" s="9"/>
      <c r="AY8" s="9"/>
      <c r="AZ8" s="9"/>
      <c r="BA8" s="9"/>
      <c r="BB8" s="9"/>
      <c r="BC8" s="9"/>
      <c r="BD8" s="9"/>
      <c r="BE8" s="9"/>
      <c r="BF8" s="9"/>
      <c r="BG8" s="7">
        <v>3</v>
      </c>
      <c r="BH8" s="7"/>
      <c r="BI8" s="7"/>
      <c r="BJ8" s="7"/>
      <c r="BK8" s="7"/>
      <c r="BL8" s="7"/>
      <c r="BM8" s="10">
        <f>88</f>
        <v>88</v>
      </c>
      <c r="BN8" s="7"/>
      <c r="BO8" s="7">
        <v>6</v>
      </c>
      <c r="BP8" s="7">
        <v>13</v>
      </c>
    </row>
    <row r="9" spans="1:68" ht="17" x14ac:dyDescent="0.2">
      <c r="A9" s="4" t="s">
        <v>84</v>
      </c>
      <c r="B9" s="5" t="s">
        <v>67</v>
      </c>
      <c r="C9" s="1" t="s">
        <v>68</v>
      </c>
      <c r="D9" s="5" t="s">
        <v>85</v>
      </c>
      <c r="E9" s="6" t="s">
        <v>70</v>
      </c>
      <c r="F9" s="1">
        <v>12</v>
      </c>
      <c r="G9" s="1">
        <v>12</v>
      </c>
      <c r="H9" s="1"/>
      <c r="I9" s="12"/>
      <c r="J9" s="12"/>
      <c r="K9" s="12"/>
      <c r="L9" s="12"/>
      <c r="M9" s="12"/>
      <c r="N9" s="12"/>
      <c r="O9" s="12"/>
      <c r="P9" s="12"/>
      <c r="Q9" s="12"/>
      <c r="R9" s="12"/>
      <c r="S9" s="1"/>
      <c r="T9" s="1">
        <v>4</v>
      </c>
      <c r="U9" s="1"/>
      <c r="V9" s="1"/>
      <c r="W9" s="1"/>
      <c r="X9" s="1"/>
      <c r="Y9" s="1"/>
      <c r="Z9" s="1"/>
      <c r="AA9" s="1"/>
      <c r="AB9" s="1"/>
      <c r="AC9" s="7"/>
      <c r="AD9" s="7"/>
      <c r="AE9" s="7"/>
      <c r="AF9" s="7"/>
      <c r="AG9" s="7"/>
      <c r="AH9" s="7"/>
      <c r="AI9" s="7"/>
      <c r="AJ9" s="7"/>
      <c r="AK9" s="7"/>
      <c r="AL9" s="7"/>
      <c r="AM9" s="7"/>
      <c r="AN9" s="8">
        <f>2</f>
        <v>2</v>
      </c>
      <c r="AO9" s="7"/>
      <c r="AP9" s="7"/>
      <c r="AQ9" s="7"/>
      <c r="AR9" s="7"/>
      <c r="AS9" s="7"/>
      <c r="AT9" s="7"/>
      <c r="AU9" s="7"/>
      <c r="AV9" s="7"/>
      <c r="AW9" s="7"/>
      <c r="AX9" s="9"/>
      <c r="AY9" s="9"/>
      <c r="AZ9" s="9"/>
      <c r="BA9" s="9"/>
      <c r="BB9" s="8">
        <f>1</f>
        <v>1</v>
      </c>
      <c r="BC9" s="9"/>
      <c r="BD9" s="9"/>
      <c r="BE9" s="9"/>
      <c r="BF9" s="9"/>
      <c r="BG9" s="7"/>
      <c r="BH9" s="7"/>
      <c r="BI9" s="7"/>
      <c r="BJ9" s="7"/>
      <c r="BK9" s="7"/>
      <c r="BL9" s="7">
        <v>20</v>
      </c>
      <c r="BM9" s="11">
        <f>3</f>
        <v>3</v>
      </c>
      <c r="BN9" s="7">
        <v>7</v>
      </c>
      <c r="BO9" s="7"/>
      <c r="BP9" s="7"/>
    </row>
    <row r="10" spans="1:68" ht="17" x14ac:dyDescent="0.2">
      <c r="A10" s="4" t="s">
        <v>86</v>
      </c>
      <c r="B10" s="5" t="s">
        <v>67</v>
      </c>
      <c r="C10" s="1" t="s">
        <v>68</v>
      </c>
      <c r="D10" s="5" t="s">
        <v>87</v>
      </c>
      <c r="E10" s="6" t="s">
        <v>70</v>
      </c>
      <c r="F10" s="1">
        <v>16</v>
      </c>
      <c r="G10" s="1">
        <v>16</v>
      </c>
      <c r="H10" s="1"/>
      <c r="I10" s="12"/>
      <c r="J10" s="12"/>
      <c r="K10" s="12"/>
      <c r="L10" s="12"/>
      <c r="M10" s="12"/>
      <c r="N10" s="12"/>
      <c r="O10" s="12"/>
      <c r="P10" s="12"/>
      <c r="Q10" s="12"/>
      <c r="R10" s="12"/>
      <c r="S10" s="1"/>
      <c r="T10" s="1"/>
      <c r="U10" s="1"/>
      <c r="V10" s="1"/>
      <c r="W10" s="1"/>
      <c r="X10" s="1"/>
      <c r="Y10" s="1"/>
      <c r="Z10" s="1"/>
      <c r="AA10" s="1"/>
      <c r="AB10" s="1"/>
      <c r="AC10" s="7"/>
      <c r="AD10" s="7"/>
      <c r="AE10" s="7"/>
      <c r="AF10" s="7"/>
      <c r="AG10" s="7"/>
      <c r="AH10" s="7"/>
      <c r="AI10" s="7"/>
      <c r="AJ10" s="7"/>
      <c r="AK10" s="7"/>
      <c r="AL10" s="7"/>
      <c r="AM10" s="7"/>
      <c r="AN10" s="7"/>
      <c r="AO10" s="7"/>
      <c r="AP10" s="7"/>
      <c r="AQ10" s="7"/>
      <c r="AR10" s="7"/>
      <c r="AS10" s="7"/>
      <c r="AT10" s="7"/>
      <c r="AU10" s="7"/>
      <c r="AV10" s="7"/>
      <c r="AW10" s="7"/>
      <c r="AX10" s="9"/>
      <c r="AY10" s="9"/>
      <c r="AZ10" s="9"/>
      <c r="BA10" s="9"/>
      <c r="BB10" s="9"/>
      <c r="BC10" s="9"/>
      <c r="BD10" s="9"/>
      <c r="BE10" s="9"/>
      <c r="BF10" s="9"/>
      <c r="BG10" s="7"/>
      <c r="BH10" s="7"/>
      <c r="BI10" s="7"/>
      <c r="BJ10" s="7"/>
      <c r="BK10" s="7"/>
      <c r="BL10" s="7">
        <v>82</v>
      </c>
      <c r="BM10" s="7"/>
      <c r="BN10" s="7">
        <v>7</v>
      </c>
      <c r="BO10" s="7"/>
      <c r="BP10" s="7"/>
    </row>
    <row r="11" spans="1:68" ht="17" x14ac:dyDescent="0.2">
      <c r="A11" s="4" t="s">
        <v>88</v>
      </c>
      <c r="B11" s="5" t="s">
        <v>67</v>
      </c>
      <c r="C11" s="1" t="s">
        <v>68</v>
      </c>
      <c r="D11" s="5" t="s">
        <v>89</v>
      </c>
      <c r="E11" s="6" t="s">
        <v>70</v>
      </c>
      <c r="F11" s="1">
        <v>4</v>
      </c>
      <c r="G11" s="1">
        <v>10</v>
      </c>
      <c r="H11" s="1"/>
      <c r="I11" s="12"/>
      <c r="J11" s="12"/>
      <c r="K11" s="12"/>
      <c r="L11" s="12"/>
      <c r="M11" s="12"/>
      <c r="N11" s="12"/>
      <c r="O11" s="12"/>
      <c r="P11" s="12"/>
      <c r="Q11" s="12"/>
      <c r="R11" s="12"/>
      <c r="S11" s="1"/>
      <c r="T11" s="1"/>
      <c r="U11" s="1"/>
      <c r="V11" s="1"/>
      <c r="W11" s="1"/>
      <c r="X11" s="1"/>
      <c r="Y11" s="1"/>
      <c r="Z11" s="1"/>
      <c r="AA11" s="1"/>
      <c r="AB11" s="1"/>
      <c r="AC11" s="7"/>
      <c r="AD11" s="7"/>
      <c r="AE11" s="7"/>
      <c r="AF11" s="7"/>
      <c r="AG11" s="7"/>
      <c r="AH11" s="7"/>
      <c r="AI11" s="7"/>
      <c r="AJ11" s="7"/>
      <c r="AK11" s="7"/>
      <c r="AL11" s="7"/>
      <c r="AM11" s="7"/>
      <c r="AN11" s="7"/>
      <c r="AO11" s="7"/>
      <c r="AP11" s="7"/>
      <c r="AQ11" s="7"/>
      <c r="AR11" s="7"/>
      <c r="AS11" s="7"/>
      <c r="AT11" s="7"/>
      <c r="AU11" s="7"/>
      <c r="AV11" s="7"/>
      <c r="AW11" s="7"/>
      <c r="AX11" s="9"/>
      <c r="AY11" s="9"/>
      <c r="AZ11" s="9"/>
      <c r="BA11" s="9"/>
      <c r="BB11" s="9"/>
      <c r="BC11" s="9"/>
      <c r="BD11" s="9"/>
      <c r="BE11" s="9"/>
      <c r="BF11" s="9"/>
      <c r="BG11" s="7">
        <f>1+1</f>
        <v>2</v>
      </c>
      <c r="BH11" s="7"/>
      <c r="BI11" s="7"/>
      <c r="BJ11" s="7"/>
      <c r="BK11" s="7"/>
      <c r="BL11" s="7"/>
      <c r="BM11" s="7"/>
      <c r="BN11" s="7"/>
      <c r="BO11" s="7"/>
      <c r="BP11" s="7"/>
    </row>
    <row r="12" spans="1:68" ht="17" x14ac:dyDescent="0.2">
      <c r="A12" s="4" t="s">
        <v>90</v>
      </c>
      <c r="B12" s="5" t="s">
        <v>67</v>
      </c>
      <c r="C12" s="5" t="s">
        <v>91</v>
      </c>
      <c r="D12" s="5" t="s">
        <v>92</v>
      </c>
      <c r="E12" s="6" t="s">
        <v>70</v>
      </c>
      <c r="F12" s="1">
        <v>10</v>
      </c>
      <c r="G12" s="1">
        <v>10</v>
      </c>
      <c r="H12" s="1"/>
      <c r="I12" s="12"/>
      <c r="J12" s="12"/>
      <c r="K12" s="12"/>
      <c r="L12" s="12"/>
      <c r="M12" s="12"/>
      <c r="N12" s="12"/>
      <c r="O12" s="12"/>
      <c r="P12" s="12"/>
      <c r="Q12" s="12"/>
      <c r="R12" s="12"/>
      <c r="S12" s="1"/>
      <c r="T12" s="1"/>
      <c r="U12" s="1"/>
      <c r="V12" s="1"/>
      <c r="W12" s="1"/>
      <c r="X12" s="1"/>
      <c r="Y12" s="1"/>
      <c r="Z12" s="1"/>
      <c r="AA12" s="1"/>
      <c r="AB12" s="1"/>
      <c r="AC12" s="7"/>
      <c r="AD12" s="7"/>
      <c r="AE12" s="7"/>
      <c r="AF12" s="7"/>
      <c r="AG12" s="7"/>
      <c r="AH12" s="7"/>
      <c r="AI12" s="13">
        <f>1</f>
        <v>1</v>
      </c>
      <c r="AJ12" s="7"/>
      <c r="AK12" s="7"/>
      <c r="AL12" s="7"/>
      <c r="AM12" s="7"/>
      <c r="AN12" s="7"/>
      <c r="AO12" s="7"/>
      <c r="AP12" s="7"/>
      <c r="AQ12" s="7"/>
      <c r="AR12" s="7"/>
      <c r="AS12" s="13">
        <f>11</f>
        <v>11</v>
      </c>
      <c r="AT12" s="7"/>
      <c r="AU12" s="7"/>
      <c r="AV12" s="7"/>
      <c r="AW12" s="7"/>
      <c r="AX12" s="9"/>
      <c r="AY12" s="9"/>
      <c r="AZ12" s="9"/>
      <c r="BA12" s="9"/>
      <c r="BB12" s="9"/>
      <c r="BC12" s="9"/>
      <c r="BD12" s="9"/>
      <c r="BE12" s="13">
        <f>6</f>
        <v>6</v>
      </c>
      <c r="BF12" s="9"/>
      <c r="BG12" s="7"/>
      <c r="BH12" s="7"/>
      <c r="BI12" s="7"/>
      <c r="BJ12" s="7"/>
      <c r="BK12" s="7"/>
      <c r="BL12" s="7">
        <v>17</v>
      </c>
      <c r="BM12" s="7"/>
      <c r="BN12" s="7"/>
      <c r="BO12" s="7"/>
      <c r="BP12" s="7"/>
    </row>
    <row r="13" spans="1:68" ht="17" x14ac:dyDescent="0.2">
      <c r="A13" s="1" t="s">
        <v>93</v>
      </c>
      <c r="B13" s="1" t="s">
        <v>67</v>
      </c>
      <c r="C13" s="1" t="s">
        <v>94</v>
      </c>
      <c r="D13" s="1" t="s">
        <v>95</v>
      </c>
      <c r="E13" s="1" t="s">
        <v>96</v>
      </c>
      <c r="F13" s="1">
        <v>4</v>
      </c>
      <c r="G13" s="1">
        <v>4</v>
      </c>
      <c r="H13" s="1"/>
      <c r="I13" s="14">
        <v>7</v>
      </c>
      <c r="J13" s="14"/>
      <c r="K13" s="14"/>
      <c r="L13" s="14">
        <v>2</v>
      </c>
      <c r="M13" s="14"/>
      <c r="N13" s="14"/>
      <c r="O13" s="14">
        <f>2</f>
        <v>2</v>
      </c>
      <c r="P13" s="14"/>
      <c r="Q13" s="14">
        <f>4</f>
        <v>4</v>
      </c>
      <c r="R13" s="14">
        <f>4</f>
        <v>4</v>
      </c>
      <c r="S13" s="7">
        <v>9</v>
      </c>
      <c r="T13" s="7">
        <v>11</v>
      </c>
      <c r="U13" s="7"/>
      <c r="V13" s="7">
        <v>11</v>
      </c>
      <c r="W13" s="7">
        <v>6</v>
      </c>
      <c r="X13" s="7"/>
      <c r="Y13" s="7">
        <v>10</v>
      </c>
      <c r="Z13" s="7">
        <v>13</v>
      </c>
      <c r="AA13" s="7">
        <v>10</v>
      </c>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13">
        <f>3</f>
        <v>3</v>
      </c>
      <c r="BF13" s="7"/>
      <c r="BG13" s="7"/>
      <c r="BH13" s="7"/>
      <c r="BI13" s="7">
        <v>10</v>
      </c>
      <c r="BJ13" s="7"/>
      <c r="BK13" s="7"/>
      <c r="BL13" s="7"/>
      <c r="BM13" s="7">
        <v>16</v>
      </c>
      <c r="BN13" s="7"/>
      <c r="BO13" s="7"/>
      <c r="BP13" s="7"/>
    </row>
    <row r="14" spans="1:68" ht="17" x14ac:dyDescent="0.2">
      <c r="A14" s="1" t="s">
        <v>97</v>
      </c>
      <c r="B14" s="1" t="s">
        <v>67</v>
      </c>
      <c r="C14" s="1" t="s">
        <v>94</v>
      </c>
      <c r="D14" s="1" t="s">
        <v>98</v>
      </c>
      <c r="E14" s="1" t="s">
        <v>96</v>
      </c>
      <c r="F14" s="1">
        <v>4</v>
      </c>
      <c r="G14" s="1">
        <v>6</v>
      </c>
      <c r="H14" s="1"/>
      <c r="I14" s="14"/>
      <c r="J14" s="14"/>
      <c r="K14" s="14"/>
      <c r="L14" s="14"/>
      <c r="M14" s="14">
        <f>1</f>
        <v>1</v>
      </c>
      <c r="N14" s="14"/>
      <c r="O14" s="14"/>
      <c r="P14" s="14"/>
      <c r="Q14" s="14"/>
      <c r="R14" s="14"/>
      <c r="S14" s="7"/>
      <c r="T14" s="7"/>
      <c r="U14" s="7"/>
      <c r="V14" s="7"/>
      <c r="W14" s="7"/>
      <c r="X14" s="7"/>
      <c r="Y14" s="7"/>
      <c r="Z14" s="7"/>
      <c r="AA14" s="7"/>
      <c r="AB14" s="7"/>
      <c r="AC14" s="7"/>
      <c r="AD14" s="13">
        <f>3</f>
        <v>3</v>
      </c>
      <c r="AE14" s="7"/>
      <c r="AF14" s="7"/>
      <c r="AG14" s="7"/>
      <c r="AH14" s="13">
        <f>3</f>
        <v>3</v>
      </c>
      <c r="AI14" s="7"/>
      <c r="AJ14" s="7"/>
      <c r="AK14" s="7"/>
      <c r="AL14" s="7">
        <v>5</v>
      </c>
      <c r="AM14" s="13">
        <f>3</f>
        <v>3</v>
      </c>
      <c r="AN14" s="13">
        <f>3</f>
        <v>3</v>
      </c>
      <c r="AO14" s="7"/>
      <c r="AP14" s="7"/>
      <c r="AQ14" s="7"/>
      <c r="AR14" s="7"/>
      <c r="AS14" s="13">
        <f>3</f>
        <v>3</v>
      </c>
      <c r="AT14" s="7"/>
      <c r="AU14" s="13">
        <f>4</f>
        <v>4</v>
      </c>
      <c r="AV14" s="13">
        <f>7</f>
        <v>7</v>
      </c>
      <c r="AW14" s="7"/>
      <c r="AX14" s="7"/>
      <c r="AY14" s="7"/>
      <c r="AZ14" s="7"/>
      <c r="BA14" s="7"/>
      <c r="BB14" s="7"/>
      <c r="BC14" s="7"/>
      <c r="BD14" s="15"/>
      <c r="BE14" s="7"/>
      <c r="BF14" s="15"/>
      <c r="BG14" s="7"/>
      <c r="BH14" s="11">
        <v>10</v>
      </c>
      <c r="BI14" s="7"/>
      <c r="BJ14" s="11">
        <v>17</v>
      </c>
      <c r="BK14" s="7"/>
      <c r="BL14" s="7">
        <v>35</v>
      </c>
      <c r="BM14" s="7">
        <v>41</v>
      </c>
      <c r="BN14" s="7"/>
      <c r="BO14" s="15">
        <v>7</v>
      </c>
      <c r="BP14" s="11">
        <f>41</f>
        <v>41</v>
      </c>
    </row>
    <row r="15" spans="1:68" ht="17" x14ac:dyDescent="0.2">
      <c r="A15" s="1" t="s">
        <v>99</v>
      </c>
      <c r="B15" s="1" t="s">
        <v>67</v>
      </c>
      <c r="C15" s="1" t="s">
        <v>94</v>
      </c>
      <c r="D15" s="1" t="s">
        <v>100</v>
      </c>
      <c r="E15" s="1" t="s">
        <v>96</v>
      </c>
      <c r="F15" s="1">
        <v>4</v>
      </c>
      <c r="G15" s="1">
        <v>8</v>
      </c>
      <c r="H15" s="1"/>
      <c r="I15" s="14"/>
      <c r="J15" s="14">
        <v>10</v>
      </c>
      <c r="K15" s="14">
        <v>6</v>
      </c>
      <c r="L15" s="14"/>
      <c r="M15" s="14"/>
      <c r="N15" s="14"/>
      <c r="O15" s="14"/>
      <c r="P15" s="14"/>
      <c r="Q15" s="14"/>
      <c r="R15" s="14"/>
      <c r="S15" s="7"/>
      <c r="T15" s="7"/>
      <c r="U15" s="7"/>
      <c r="V15" s="7"/>
      <c r="W15" s="7"/>
      <c r="X15" s="7">
        <v>7</v>
      </c>
      <c r="Y15" s="7"/>
      <c r="Z15" s="7"/>
      <c r="AA15" s="7"/>
      <c r="AB15" s="7"/>
      <c r="AC15" s="7"/>
      <c r="AD15" s="7"/>
      <c r="AE15" s="7"/>
      <c r="AF15" s="7"/>
      <c r="AG15" s="7"/>
      <c r="AH15" s="7"/>
      <c r="AI15" s="7"/>
      <c r="AJ15" s="7"/>
      <c r="AK15" s="7"/>
      <c r="AL15" s="7"/>
      <c r="AM15" s="7"/>
      <c r="AN15" s="7"/>
      <c r="AO15" s="13">
        <f>3</f>
        <v>3</v>
      </c>
      <c r="AP15" s="7"/>
      <c r="AQ15" s="13">
        <f>7</f>
        <v>7</v>
      </c>
      <c r="AR15" s="13">
        <f>5</f>
        <v>5</v>
      </c>
      <c r="AS15" s="7"/>
      <c r="AT15" s="7"/>
      <c r="AU15" s="7"/>
      <c r="AV15" s="7"/>
      <c r="AW15" s="7"/>
      <c r="AX15" s="7"/>
      <c r="AY15" s="13">
        <f>3</f>
        <v>3</v>
      </c>
      <c r="AZ15" s="7"/>
      <c r="BA15" s="7"/>
      <c r="BB15" s="13">
        <f>3</f>
        <v>3</v>
      </c>
      <c r="BC15" s="7"/>
      <c r="BD15" s="8">
        <f>7</f>
        <v>7</v>
      </c>
      <c r="BE15" s="7"/>
      <c r="BF15" s="15"/>
      <c r="BG15" s="7"/>
      <c r="BH15" s="7"/>
      <c r="BI15" s="7"/>
      <c r="BJ15" s="7"/>
      <c r="BK15" s="11">
        <v>14</v>
      </c>
      <c r="BL15" s="7"/>
      <c r="BM15" s="7"/>
      <c r="BN15" s="7"/>
      <c r="BO15" s="15"/>
      <c r="BP15" s="7"/>
    </row>
    <row r="16" spans="1:68" ht="17" x14ac:dyDescent="0.2">
      <c r="A16" s="4" t="s">
        <v>101</v>
      </c>
      <c r="B16" s="5" t="s">
        <v>67</v>
      </c>
      <c r="C16" s="1" t="s">
        <v>94</v>
      </c>
      <c r="D16" s="5" t="s">
        <v>102</v>
      </c>
      <c r="E16" s="1" t="s">
        <v>96</v>
      </c>
      <c r="F16" s="1">
        <v>6</v>
      </c>
      <c r="G16" s="1">
        <v>14</v>
      </c>
      <c r="H16" s="1"/>
      <c r="I16" s="14"/>
      <c r="J16" s="14"/>
      <c r="K16" s="14"/>
      <c r="L16" s="14"/>
      <c r="M16" s="14"/>
      <c r="N16" s="14"/>
      <c r="O16" s="14"/>
      <c r="P16" s="14">
        <f>9</f>
        <v>9</v>
      </c>
      <c r="Q16" s="16"/>
      <c r="R16" s="14"/>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row>
    <row r="17" spans="1:68" ht="17" x14ac:dyDescent="0.2">
      <c r="A17" s="4" t="s">
        <v>103</v>
      </c>
      <c r="B17" s="5" t="s">
        <v>67</v>
      </c>
      <c r="C17" s="1" t="s">
        <v>94</v>
      </c>
      <c r="D17" s="5" t="s">
        <v>104</v>
      </c>
      <c r="E17" s="1" t="s">
        <v>96</v>
      </c>
      <c r="F17" s="1">
        <v>6</v>
      </c>
      <c r="G17" s="1">
        <v>6</v>
      </c>
      <c r="H17" s="1"/>
      <c r="I17" s="14"/>
      <c r="J17" s="14"/>
      <c r="K17" s="14"/>
      <c r="L17" s="14"/>
      <c r="M17" s="14"/>
      <c r="N17" s="14"/>
      <c r="O17" s="14"/>
      <c r="P17" s="14"/>
      <c r="Q17" s="14"/>
      <c r="R17" s="14"/>
      <c r="S17" s="7"/>
      <c r="T17" s="7"/>
      <c r="U17" s="7">
        <v>5</v>
      </c>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v>1</v>
      </c>
      <c r="BO17" s="7"/>
      <c r="BP17" s="7"/>
    </row>
    <row r="18" spans="1:68" ht="17" x14ac:dyDescent="0.2">
      <c r="A18" s="4" t="s">
        <v>105</v>
      </c>
      <c r="B18" s="5" t="s">
        <v>67</v>
      </c>
      <c r="C18" s="1" t="s">
        <v>94</v>
      </c>
      <c r="D18" s="5" t="s">
        <v>106</v>
      </c>
      <c r="E18" s="1" t="s">
        <v>96</v>
      </c>
      <c r="F18" s="1">
        <v>6</v>
      </c>
      <c r="G18" s="1">
        <v>8</v>
      </c>
      <c r="H18" s="1"/>
      <c r="I18" s="14"/>
      <c r="J18" s="14"/>
      <c r="K18" s="14"/>
      <c r="L18" s="14"/>
      <c r="M18" s="14"/>
      <c r="N18" s="14"/>
      <c r="O18" s="14"/>
      <c r="P18" s="14"/>
      <c r="Q18" s="14"/>
      <c r="R18" s="14"/>
      <c r="S18" s="7"/>
      <c r="T18" s="7"/>
      <c r="U18" s="7"/>
      <c r="V18" s="7"/>
      <c r="W18" s="7"/>
      <c r="X18" s="7"/>
      <c r="Y18" s="7"/>
      <c r="Z18" s="7"/>
      <c r="AA18" s="7"/>
      <c r="AB18" s="7"/>
      <c r="AC18" s="13">
        <f>1</f>
        <v>1</v>
      </c>
      <c r="AD18" s="7"/>
      <c r="AE18" s="7"/>
      <c r="AF18" s="7"/>
      <c r="AG18" s="7"/>
      <c r="AH18" s="7"/>
      <c r="AI18" s="7"/>
      <c r="AJ18" s="7"/>
      <c r="AK18" s="7"/>
      <c r="AL18" s="7"/>
      <c r="AM18" s="7"/>
      <c r="AN18" s="7"/>
      <c r="AO18" s="7"/>
      <c r="AP18" s="7"/>
      <c r="AQ18" s="7"/>
      <c r="AR18" s="7"/>
      <c r="AS18" s="7"/>
      <c r="AT18" s="7"/>
      <c r="AU18" s="7"/>
      <c r="AV18" s="7"/>
      <c r="AW18" s="7"/>
      <c r="AX18" s="7"/>
      <c r="AY18" s="7"/>
      <c r="AZ18" s="7"/>
      <c r="BA18" s="13">
        <v>11</v>
      </c>
      <c r="BB18" s="7"/>
      <c r="BC18" s="7"/>
      <c r="BD18" s="7"/>
      <c r="BE18" s="7"/>
      <c r="BF18" s="7"/>
      <c r="BG18" s="7"/>
      <c r="BH18" s="7"/>
      <c r="BI18" s="7">
        <v>8</v>
      </c>
      <c r="BJ18" s="7"/>
      <c r="BK18" s="7"/>
      <c r="BL18" s="7"/>
      <c r="BM18" s="7"/>
      <c r="BN18" s="7"/>
      <c r="BO18" s="7"/>
      <c r="BP18" s="7"/>
    </row>
    <row r="19" spans="1:68" ht="17" x14ac:dyDescent="0.2">
      <c r="A19" s="4" t="s">
        <v>107</v>
      </c>
      <c r="B19" s="5" t="s">
        <v>67</v>
      </c>
      <c r="C19" s="1" t="s">
        <v>94</v>
      </c>
      <c r="D19" s="5" t="s">
        <v>108</v>
      </c>
      <c r="E19" s="1" t="s">
        <v>96</v>
      </c>
      <c r="F19" s="1">
        <v>8</v>
      </c>
      <c r="G19" s="1">
        <v>10</v>
      </c>
      <c r="H19" s="1"/>
      <c r="I19" s="7"/>
      <c r="J19" s="7"/>
      <c r="K19" s="7"/>
      <c r="L19" s="7"/>
      <c r="M19" s="7"/>
      <c r="N19" s="7"/>
      <c r="O19" s="7"/>
      <c r="P19" s="7"/>
      <c r="Q19" s="7"/>
      <c r="R19" s="7"/>
      <c r="S19" s="14"/>
      <c r="T19" s="14"/>
      <c r="U19" s="14"/>
      <c r="V19" s="14"/>
      <c r="W19" s="14"/>
      <c r="X19" s="14"/>
      <c r="Y19" s="14"/>
      <c r="Z19" s="14"/>
      <c r="AA19" s="14"/>
      <c r="AB19" s="14">
        <v>3</v>
      </c>
      <c r="AC19" s="7"/>
      <c r="AD19" s="7"/>
      <c r="AE19" s="7"/>
      <c r="AF19" s="7"/>
      <c r="AG19" s="7"/>
      <c r="AH19" s="7"/>
      <c r="AI19" s="7"/>
      <c r="AJ19" s="7"/>
      <c r="AK19" s="13">
        <f>2</f>
        <v>2</v>
      </c>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row>
    <row r="20" spans="1:68" ht="17" x14ac:dyDescent="0.2">
      <c r="A20" s="1" t="s">
        <v>109</v>
      </c>
      <c r="B20" s="1" t="s">
        <v>67</v>
      </c>
      <c r="C20" s="1" t="s">
        <v>94</v>
      </c>
      <c r="D20" s="1" t="s">
        <v>110</v>
      </c>
      <c r="E20" s="1" t="s">
        <v>96</v>
      </c>
      <c r="F20" s="1">
        <v>8</v>
      </c>
      <c r="G20" s="1">
        <v>12</v>
      </c>
      <c r="H20" s="1"/>
      <c r="I20" s="7"/>
      <c r="J20" s="7"/>
      <c r="K20" s="7"/>
      <c r="L20" s="7"/>
      <c r="M20" s="7"/>
      <c r="N20" s="7"/>
      <c r="O20" s="7"/>
      <c r="P20" s="7"/>
      <c r="Q20" s="7"/>
      <c r="R20" s="7"/>
      <c r="S20" s="14"/>
      <c r="T20" s="14"/>
      <c r="U20" s="14"/>
      <c r="V20" s="14"/>
      <c r="W20" s="14"/>
      <c r="X20" s="14">
        <v>5</v>
      </c>
      <c r="Y20" s="14"/>
      <c r="Z20" s="14"/>
      <c r="AA20" s="14"/>
      <c r="AB20" s="14"/>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v>8</v>
      </c>
      <c r="BP20" s="7"/>
    </row>
    <row r="21" spans="1:68" ht="17" x14ac:dyDescent="0.2">
      <c r="A21" s="1" t="s">
        <v>111</v>
      </c>
      <c r="B21" s="1" t="s">
        <v>67</v>
      </c>
      <c r="C21" s="1" t="s">
        <v>94</v>
      </c>
      <c r="D21" s="1" t="s">
        <v>112</v>
      </c>
      <c r="E21" s="1" t="s">
        <v>96</v>
      </c>
      <c r="F21" s="1">
        <v>10</v>
      </c>
      <c r="G21" s="1">
        <v>16</v>
      </c>
      <c r="H21" s="1"/>
      <c r="I21" s="7"/>
      <c r="J21" s="7"/>
      <c r="K21" s="7"/>
      <c r="L21" s="7"/>
      <c r="M21" s="7"/>
      <c r="N21" s="7"/>
      <c r="O21" s="7"/>
      <c r="P21" s="7"/>
      <c r="Q21" s="7"/>
      <c r="R21" s="7"/>
      <c r="S21" s="14"/>
      <c r="T21" s="14"/>
      <c r="U21" s="14"/>
      <c r="V21" s="14"/>
      <c r="W21" s="14"/>
      <c r="X21" s="14"/>
      <c r="Y21" s="14"/>
      <c r="Z21" s="14"/>
      <c r="AA21" s="14"/>
      <c r="AB21" s="14"/>
      <c r="AC21" s="7"/>
      <c r="AD21" s="7"/>
      <c r="AE21" s="13">
        <f>4</f>
        <v>4</v>
      </c>
      <c r="AF21" s="7"/>
      <c r="AG21" s="7"/>
      <c r="AH21" s="7"/>
      <c r="AI21" s="7"/>
      <c r="AJ21" s="7"/>
      <c r="AK21" s="7"/>
      <c r="AL21" s="7"/>
      <c r="AM21" s="7"/>
      <c r="AN21" s="7"/>
      <c r="AO21" s="7"/>
      <c r="AP21" s="7"/>
      <c r="AQ21" s="7"/>
      <c r="AR21" s="7"/>
      <c r="AS21" s="7"/>
      <c r="AT21" s="7"/>
      <c r="AU21" s="7"/>
      <c r="AV21" s="7"/>
      <c r="AW21" s="7"/>
      <c r="AX21" s="15"/>
      <c r="AY21" s="7"/>
      <c r="AZ21" s="7"/>
      <c r="BA21" s="15"/>
      <c r="BB21" s="15"/>
      <c r="BC21" s="15"/>
      <c r="BD21" s="15"/>
      <c r="BE21" s="7"/>
      <c r="BF21" s="7"/>
      <c r="BG21" s="7"/>
      <c r="BH21" s="7"/>
      <c r="BI21" s="7"/>
      <c r="BJ21" s="7"/>
      <c r="BK21" s="7"/>
      <c r="BL21" s="15"/>
      <c r="BM21" s="7"/>
      <c r="BN21" s="7">
        <v>7</v>
      </c>
      <c r="BO21" s="7"/>
      <c r="BP21" s="15"/>
    </row>
    <row r="22" spans="1:68" ht="17" x14ac:dyDescent="0.2">
      <c r="A22" s="1" t="s">
        <v>113</v>
      </c>
      <c r="B22" s="1" t="s">
        <v>67</v>
      </c>
      <c r="C22" s="1" t="s">
        <v>94</v>
      </c>
      <c r="D22" s="1" t="s">
        <v>114</v>
      </c>
      <c r="E22" s="1" t="s">
        <v>96</v>
      </c>
      <c r="F22" s="1">
        <v>14</v>
      </c>
      <c r="G22" s="1">
        <v>20</v>
      </c>
      <c r="H22" s="1"/>
      <c r="I22" s="7"/>
      <c r="J22" s="7"/>
      <c r="K22" s="7"/>
      <c r="L22" s="7"/>
      <c r="M22" s="7"/>
      <c r="N22" s="7"/>
      <c r="O22" s="7"/>
      <c r="P22" s="7"/>
      <c r="Q22" s="7"/>
      <c r="R22" s="7"/>
      <c r="S22" s="14"/>
      <c r="T22" s="14"/>
      <c r="U22" s="14"/>
      <c r="V22" s="14"/>
      <c r="W22" s="14"/>
      <c r="X22" s="14"/>
      <c r="Y22" s="14"/>
      <c r="Z22" s="14"/>
      <c r="AA22" s="14"/>
      <c r="AB22" s="14"/>
      <c r="AC22" s="7"/>
      <c r="AD22" s="7"/>
      <c r="AE22" s="7"/>
      <c r="AF22" s="13">
        <f>3</f>
        <v>3</v>
      </c>
      <c r="AG22" s="7"/>
      <c r="AH22" s="7"/>
      <c r="AI22" s="7"/>
      <c r="AJ22" s="7"/>
      <c r="AK22" s="7"/>
      <c r="AL22" s="7"/>
      <c r="AM22" s="7"/>
      <c r="AN22" s="7"/>
      <c r="AO22" s="7"/>
      <c r="AP22" s="7"/>
      <c r="AQ22" s="7"/>
      <c r="AR22" s="7"/>
      <c r="AS22" s="7"/>
      <c r="AT22" s="7"/>
      <c r="AU22" s="7"/>
      <c r="AV22" s="7"/>
      <c r="AW22" s="7"/>
      <c r="AX22" s="15"/>
      <c r="AY22" s="7"/>
      <c r="AZ22" s="7"/>
      <c r="BA22" s="15"/>
      <c r="BB22" s="15"/>
      <c r="BC22" s="15"/>
      <c r="BD22" s="15"/>
      <c r="BE22" s="7"/>
      <c r="BF22" s="7"/>
      <c r="BG22" s="7"/>
      <c r="BH22" s="7"/>
      <c r="BI22" s="7"/>
      <c r="BJ22" s="7"/>
      <c r="BK22" s="7"/>
      <c r="BL22" s="15"/>
      <c r="BM22" s="7"/>
      <c r="BN22" s="7">
        <v>2</v>
      </c>
      <c r="BO22" s="7"/>
      <c r="BP22" s="7"/>
    </row>
    <row r="23" spans="1:68" x14ac:dyDescent="0.2">
      <c r="A23" s="17" t="s">
        <v>115</v>
      </c>
      <c r="B23" s="18" t="s">
        <v>116</v>
      </c>
      <c r="C23" s="18" t="s">
        <v>117</v>
      </c>
      <c r="D23" s="18" t="s">
        <v>118</v>
      </c>
      <c r="E23" s="18" t="s">
        <v>70</v>
      </c>
      <c r="F23" s="1">
        <v>5.5</v>
      </c>
      <c r="G23" s="1">
        <v>5.5</v>
      </c>
      <c r="H23" s="1"/>
      <c r="I23" s="12"/>
      <c r="J23" s="19">
        <v>4</v>
      </c>
      <c r="K23" s="19">
        <v>4</v>
      </c>
      <c r="L23" s="19">
        <v>4</v>
      </c>
      <c r="M23" s="12"/>
      <c r="N23" s="19">
        <v>1</v>
      </c>
      <c r="O23" s="19">
        <v>1</v>
      </c>
      <c r="P23" s="12"/>
      <c r="Q23" s="19">
        <f>1</f>
        <v>1</v>
      </c>
      <c r="R23" s="12"/>
      <c r="S23" s="1"/>
      <c r="T23" s="1">
        <v>19</v>
      </c>
      <c r="U23" s="1">
        <v>13</v>
      </c>
      <c r="V23" s="1">
        <v>15</v>
      </c>
      <c r="W23" s="1">
        <v>4</v>
      </c>
      <c r="X23" s="1">
        <v>13</v>
      </c>
      <c r="Y23" s="1">
        <v>7</v>
      </c>
      <c r="Z23" s="1">
        <v>5</v>
      </c>
      <c r="AA23" s="1">
        <v>2</v>
      </c>
      <c r="AB23" s="1">
        <v>2</v>
      </c>
      <c r="AC23" s="7"/>
      <c r="AD23" s="13">
        <f>3</f>
        <v>3</v>
      </c>
      <c r="AE23" s="13">
        <v>1</v>
      </c>
      <c r="AF23" s="7"/>
      <c r="AG23" s="7"/>
      <c r="AH23" s="13">
        <f>2</f>
        <v>2</v>
      </c>
      <c r="AI23" s="13">
        <f>2</f>
        <v>2</v>
      </c>
      <c r="AJ23" s="13">
        <f>3</f>
        <v>3</v>
      </c>
      <c r="AK23" s="13">
        <f>2</f>
        <v>2</v>
      </c>
      <c r="AL23" s="13">
        <f>2</f>
        <v>2</v>
      </c>
      <c r="AM23" s="13">
        <f>1</f>
        <v>1</v>
      </c>
      <c r="AN23" s="13">
        <f>15</f>
        <v>15</v>
      </c>
      <c r="AO23" s="13">
        <f>9</f>
        <v>9</v>
      </c>
      <c r="AP23" s="13">
        <v>24</v>
      </c>
      <c r="AQ23" s="13">
        <f>8</f>
        <v>8</v>
      </c>
      <c r="AR23" s="13">
        <f>32</f>
        <v>32</v>
      </c>
      <c r="AS23" s="13">
        <f>7</f>
        <v>7</v>
      </c>
      <c r="AT23" s="13">
        <f>2</f>
        <v>2</v>
      </c>
      <c r="AU23" s="13">
        <f>4</f>
        <v>4</v>
      </c>
      <c r="AV23" s="13">
        <f>2</f>
        <v>2</v>
      </c>
      <c r="AW23" s="7"/>
      <c r="AX23" s="13">
        <f>18</f>
        <v>18</v>
      </c>
      <c r="AY23" s="13">
        <f>1</f>
        <v>1</v>
      </c>
      <c r="AZ23" s="13">
        <f>5</f>
        <v>5</v>
      </c>
      <c r="BA23" s="13">
        <f>3</f>
        <v>3</v>
      </c>
      <c r="BB23" s="13">
        <f>89</f>
        <v>89</v>
      </c>
      <c r="BC23" s="13">
        <f>2</f>
        <v>2</v>
      </c>
      <c r="BD23" s="20">
        <v>2</v>
      </c>
      <c r="BE23" s="13">
        <f>3</f>
        <v>3</v>
      </c>
      <c r="BF23" s="20">
        <v>1</v>
      </c>
      <c r="BG23" s="7"/>
      <c r="BH23" s="7"/>
      <c r="BI23" s="7"/>
      <c r="BJ23" s="11">
        <v>1</v>
      </c>
      <c r="BK23" s="7"/>
      <c r="BL23" s="11">
        <f>3</f>
        <v>3</v>
      </c>
      <c r="BM23" s="11">
        <f>19</f>
        <v>19</v>
      </c>
      <c r="BN23" s="11">
        <v>14</v>
      </c>
      <c r="BO23" s="21">
        <v>7</v>
      </c>
      <c r="BP23" s="11">
        <f>23</f>
        <v>23</v>
      </c>
    </row>
    <row r="24" spans="1:68" x14ac:dyDescent="0.2">
      <c r="A24" s="17" t="s">
        <v>119</v>
      </c>
      <c r="B24" s="18" t="s">
        <v>116</v>
      </c>
      <c r="C24" s="18" t="s">
        <v>117</v>
      </c>
      <c r="D24" s="18" t="s">
        <v>120</v>
      </c>
      <c r="E24" s="18" t="s">
        <v>70</v>
      </c>
      <c r="F24" s="1">
        <v>9.5</v>
      </c>
      <c r="G24" s="1">
        <v>9.5</v>
      </c>
      <c r="H24" s="1"/>
      <c r="I24" s="12"/>
      <c r="J24" s="19">
        <v>19</v>
      </c>
      <c r="K24" s="19">
        <v>8</v>
      </c>
      <c r="L24" s="19">
        <v>20</v>
      </c>
      <c r="M24" s="19">
        <f>8</f>
        <v>8</v>
      </c>
      <c r="N24" s="19">
        <v>13</v>
      </c>
      <c r="O24" s="19">
        <v>7</v>
      </c>
      <c r="P24" s="19">
        <f>5</f>
        <v>5</v>
      </c>
      <c r="Q24" s="19">
        <f>9</f>
        <v>9</v>
      </c>
      <c r="R24" s="19">
        <f>11</f>
        <v>11</v>
      </c>
      <c r="S24" s="1">
        <v>4</v>
      </c>
      <c r="T24" s="1">
        <v>54</v>
      </c>
      <c r="U24" s="1">
        <v>32</v>
      </c>
      <c r="V24" s="1">
        <v>93</v>
      </c>
      <c r="W24" s="1">
        <v>43</v>
      </c>
      <c r="X24" s="1">
        <v>52</v>
      </c>
      <c r="Y24" s="1">
        <v>31</v>
      </c>
      <c r="Z24" s="1">
        <v>17</v>
      </c>
      <c r="AA24" s="1">
        <v>6</v>
      </c>
      <c r="AB24" s="1">
        <v>12</v>
      </c>
      <c r="AC24" s="7"/>
      <c r="AD24" s="13">
        <f>32</f>
        <v>32</v>
      </c>
      <c r="AE24" s="13">
        <f>9</f>
        <v>9</v>
      </c>
      <c r="AF24" s="13">
        <f>13</f>
        <v>13</v>
      </c>
      <c r="AG24" s="13">
        <f>5</f>
        <v>5</v>
      </c>
      <c r="AH24" s="13">
        <f>31</f>
        <v>31</v>
      </c>
      <c r="AI24" s="13">
        <f>11</f>
        <v>11</v>
      </c>
      <c r="AJ24" s="13">
        <f>2</f>
        <v>2</v>
      </c>
      <c r="AK24" s="13">
        <f>6</f>
        <v>6</v>
      </c>
      <c r="AL24" s="13">
        <f>7</f>
        <v>7</v>
      </c>
      <c r="AM24" s="13">
        <f>1</f>
        <v>1</v>
      </c>
      <c r="AN24" s="13">
        <f>46</f>
        <v>46</v>
      </c>
      <c r="AO24" s="13">
        <f>24</f>
        <v>24</v>
      </c>
      <c r="AP24" s="13">
        <v>46</v>
      </c>
      <c r="AQ24" s="13">
        <f>15</f>
        <v>15</v>
      </c>
      <c r="AR24" s="13">
        <f>52</f>
        <v>52</v>
      </c>
      <c r="AS24" s="13">
        <f>36</f>
        <v>36</v>
      </c>
      <c r="AT24" s="13">
        <f>24</f>
        <v>24</v>
      </c>
      <c r="AU24" s="13">
        <f>11</f>
        <v>11</v>
      </c>
      <c r="AV24" s="13">
        <f>19</f>
        <v>19</v>
      </c>
      <c r="AW24" s="7"/>
      <c r="AX24" s="13">
        <f>29</f>
        <v>29</v>
      </c>
      <c r="AY24" s="13">
        <f>6</f>
        <v>6</v>
      </c>
      <c r="AZ24" s="13">
        <f>18</f>
        <v>18</v>
      </c>
      <c r="BA24" s="13">
        <f>7</f>
        <v>7</v>
      </c>
      <c r="BB24" s="13">
        <f>24</f>
        <v>24</v>
      </c>
      <c r="BC24" s="13">
        <f>11</f>
        <v>11</v>
      </c>
      <c r="BD24" s="20">
        <v>30</v>
      </c>
      <c r="BE24" s="13">
        <f>23</f>
        <v>23</v>
      </c>
      <c r="BF24" s="20">
        <v>35</v>
      </c>
      <c r="BG24" s="7"/>
      <c r="BH24" s="11">
        <v>23</v>
      </c>
      <c r="BI24" s="7"/>
      <c r="BJ24" s="11">
        <v>25</v>
      </c>
      <c r="BK24" s="7">
        <v>3</v>
      </c>
      <c r="BL24" s="11">
        <f>98</f>
        <v>98</v>
      </c>
      <c r="BM24" s="11">
        <f>11</f>
        <v>11</v>
      </c>
      <c r="BN24" s="11">
        <v>8</v>
      </c>
      <c r="BO24" s="21">
        <v>22</v>
      </c>
      <c r="BP24" s="11">
        <f>34</f>
        <v>34</v>
      </c>
    </row>
    <row r="25" spans="1:68" x14ac:dyDescent="0.2">
      <c r="A25" s="17" t="s">
        <v>121</v>
      </c>
      <c r="B25" s="18" t="s">
        <v>116</v>
      </c>
      <c r="C25" s="18" t="s">
        <v>117</v>
      </c>
      <c r="D25" s="18" t="s">
        <v>122</v>
      </c>
      <c r="E25" s="18" t="s">
        <v>70</v>
      </c>
      <c r="F25" s="1">
        <v>14</v>
      </c>
      <c r="G25" s="1">
        <v>14</v>
      </c>
      <c r="H25" s="1"/>
      <c r="I25" s="19">
        <v>3</v>
      </c>
      <c r="J25" s="19">
        <v>22</v>
      </c>
      <c r="K25" s="19">
        <v>5</v>
      </c>
      <c r="L25" s="19">
        <v>29</v>
      </c>
      <c r="M25" s="19">
        <f>2</f>
        <v>2</v>
      </c>
      <c r="N25" s="19">
        <v>18</v>
      </c>
      <c r="O25" s="19">
        <v>1</v>
      </c>
      <c r="P25" s="19">
        <f>6</f>
        <v>6</v>
      </c>
      <c r="Q25" s="14">
        <f>14</f>
        <v>14</v>
      </c>
      <c r="R25" s="19">
        <f>8</f>
        <v>8</v>
      </c>
      <c r="S25" s="1">
        <v>24</v>
      </c>
      <c r="T25" s="1">
        <v>28</v>
      </c>
      <c r="U25" s="1">
        <v>24</v>
      </c>
      <c r="V25" s="1">
        <v>56</v>
      </c>
      <c r="W25" s="1">
        <v>10</v>
      </c>
      <c r="X25" s="1">
        <v>44</v>
      </c>
      <c r="Y25" s="1">
        <v>22</v>
      </c>
      <c r="Z25" s="1">
        <v>12</v>
      </c>
      <c r="AA25" s="1">
        <v>2</v>
      </c>
      <c r="AB25" s="1">
        <v>12</v>
      </c>
      <c r="AC25" s="13">
        <f>10</f>
        <v>10</v>
      </c>
      <c r="AD25" s="13">
        <f>18</f>
        <v>18</v>
      </c>
      <c r="AE25" s="13">
        <v>2</v>
      </c>
      <c r="AF25" s="13">
        <f>17</f>
        <v>17</v>
      </c>
      <c r="AG25" s="13">
        <f>5</f>
        <v>5</v>
      </c>
      <c r="AH25" s="13">
        <f>19</f>
        <v>19</v>
      </c>
      <c r="AI25" s="13">
        <f>10</f>
        <v>10</v>
      </c>
      <c r="AJ25" s="13">
        <f>9</f>
        <v>9</v>
      </c>
      <c r="AK25" s="13">
        <f>2</f>
        <v>2</v>
      </c>
      <c r="AL25" s="13">
        <f>6</f>
        <v>6</v>
      </c>
      <c r="AM25" s="13">
        <f>2</f>
        <v>2</v>
      </c>
      <c r="AN25" s="13">
        <f>30</f>
        <v>30</v>
      </c>
      <c r="AO25" s="13">
        <f>8</f>
        <v>8</v>
      </c>
      <c r="AP25" s="13">
        <v>19</v>
      </c>
      <c r="AQ25" s="13">
        <v>3</v>
      </c>
      <c r="AR25" s="13">
        <f>23</f>
        <v>23</v>
      </c>
      <c r="AS25" s="13">
        <f>9</f>
        <v>9</v>
      </c>
      <c r="AT25" s="13">
        <f>7</f>
        <v>7</v>
      </c>
      <c r="AU25" s="13">
        <f>15</f>
        <v>15</v>
      </c>
      <c r="AV25" s="13">
        <f>13</f>
        <v>13</v>
      </c>
      <c r="AW25" s="13">
        <v>1</v>
      </c>
      <c r="AX25" s="13">
        <f>61</f>
        <v>61</v>
      </c>
      <c r="AY25" s="13">
        <f>13</f>
        <v>13</v>
      </c>
      <c r="AZ25" s="13">
        <f>54</f>
        <v>54</v>
      </c>
      <c r="BA25" s="13">
        <f>13</f>
        <v>13</v>
      </c>
      <c r="BB25" s="13">
        <f>71</f>
        <v>71</v>
      </c>
      <c r="BC25" s="13">
        <f>15</f>
        <v>15</v>
      </c>
      <c r="BD25" s="20">
        <v>21</v>
      </c>
      <c r="BE25" s="13">
        <f>15</f>
        <v>15</v>
      </c>
      <c r="BF25" s="20">
        <v>39</v>
      </c>
      <c r="BG25" s="7">
        <f>4+1+2</f>
        <v>7</v>
      </c>
      <c r="BH25" s="11">
        <v>8</v>
      </c>
      <c r="BI25" s="7">
        <f>13+5</f>
        <v>18</v>
      </c>
      <c r="BJ25" s="11">
        <v>19</v>
      </c>
      <c r="BK25" s="7"/>
      <c r="BL25" s="11">
        <f>48+5</f>
        <v>53</v>
      </c>
      <c r="BM25" s="11">
        <f>10</f>
        <v>10</v>
      </c>
      <c r="BN25" s="11">
        <v>18</v>
      </c>
      <c r="BO25" s="21">
        <v>31</v>
      </c>
      <c r="BP25" s="11">
        <f>35</f>
        <v>35</v>
      </c>
    </row>
    <row r="26" spans="1:68" ht="17" x14ac:dyDescent="0.2">
      <c r="A26" s="4" t="s">
        <v>123</v>
      </c>
      <c r="B26" s="5" t="s">
        <v>124</v>
      </c>
      <c r="C26" s="5" t="s">
        <v>91</v>
      </c>
      <c r="D26" s="5" t="s">
        <v>125</v>
      </c>
      <c r="E26" s="5" t="s">
        <v>75</v>
      </c>
      <c r="F26" s="1">
        <v>4</v>
      </c>
      <c r="G26" s="1">
        <v>24</v>
      </c>
      <c r="H26" s="1"/>
      <c r="I26" s="14"/>
      <c r="J26" s="14"/>
      <c r="K26" s="14"/>
      <c r="L26" s="14"/>
      <c r="M26" s="14"/>
      <c r="N26" s="14"/>
      <c r="O26" s="14"/>
      <c r="P26" s="14"/>
      <c r="Q26" s="14"/>
      <c r="R26" s="14"/>
      <c r="S26" s="7"/>
      <c r="T26" s="7"/>
      <c r="U26" s="7"/>
      <c r="V26" s="7">
        <v>11</v>
      </c>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row>
    <row r="27" spans="1:68" ht="17" x14ac:dyDescent="0.2">
      <c r="A27" s="4" t="s">
        <v>126</v>
      </c>
      <c r="B27" s="5" t="s">
        <v>124</v>
      </c>
      <c r="C27" s="5" t="s">
        <v>91</v>
      </c>
      <c r="D27" s="5" t="s">
        <v>127</v>
      </c>
      <c r="E27" s="5" t="s">
        <v>75</v>
      </c>
      <c r="F27" s="1">
        <v>4</v>
      </c>
      <c r="G27" s="1">
        <v>50</v>
      </c>
      <c r="H27" s="1"/>
      <c r="I27" s="14"/>
      <c r="J27" s="14"/>
      <c r="K27" s="14"/>
      <c r="L27" s="14"/>
      <c r="M27" s="14"/>
      <c r="N27" s="14"/>
      <c r="O27" s="14"/>
      <c r="P27" s="14"/>
      <c r="Q27" s="14"/>
      <c r="R27" s="14"/>
      <c r="S27" s="7"/>
      <c r="T27" s="7"/>
      <c r="U27" s="7">
        <v>1</v>
      </c>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row>
    <row r="28" spans="1:68" ht="17" x14ac:dyDescent="0.2">
      <c r="A28" s="22" t="s">
        <v>128</v>
      </c>
      <c r="B28" s="23" t="s">
        <v>129</v>
      </c>
      <c r="C28" s="23" t="s">
        <v>130</v>
      </c>
      <c r="D28" s="23" t="s">
        <v>131</v>
      </c>
      <c r="E28" s="5" t="s">
        <v>75</v>
      </c>
      <c r="F28" s="1">
        <v>5.5</v>
      </c>
      <c r="G28" s="1">
        <v>5.5</v>
      </c>
      <c r="H28" s="1"/>
      <c r="I28" s="14">
        <v>162</v>
      </c>
      <c r="J28" s="14">
        <v>194</v>
      </c>
      <c r="K28" s="14">
        <v>78</v>
      </c>
      <c r="L28" s="2">
        <v>102</v>
      </c>
      <c r="M28" s="14">
        <v>77</v>
      </c>
      <c r="N28" s="14">
        <v>85</v>
      </c>
      <c r="O28" s="14">
        <v>46</v>
      </c>
      <c r="P28" s="14">
        <f>103</f>
        <v>103</v>
      </c>
      <c r="Q28" s="14">
        <f>136</f>
        <v>136</v>
      </c>
      <c r="R28" s="14">
        <f>188</f>
        <v>188</v>
      </c>
      <c r="S28" s="7">
        <v>26</v>
      </c>
      <c r="T28" s="7">
        <v>15</v>
      </c>
      <c r="U28" s="7">
        <v>16</v>
      </c>
      <c r="V28" s="7">
        <v>18</v>
      </c>
      <c r="W28" s="7">
        <v>15</v>
      </c>
      <c r="X28" s="7">
        <v>23</v>
      </c>
      <c r="Y28" s="7">
        <v>21</v>
      </c>
      <c r="Z28" s="7">
        <v>6</v>
      </c>
      <c r="AA28" s="7">
        <v>14</v>
      </c>
      <c r="AB28" s="7">
        <v>14</v>
      </c>
      <c r="AC28" s="7"/>
      <c r="AD28" s="13">
        <f>167</f>
        <v>167</v>
      </c>
      <c r="AE28" s="13">
        <f>49</f>
        <v>49</v>
      </c>
      <c r="AF28" s="7"/>
      <c r="AG28" s="13">
        <f>44</f>
        <v>44</v>
      </c>
      <c r="AH28" s="13">
        <f>171</f>
        <v>171</v>
      </c>
      <c r="AI28" s="13">
        <f>43</f>
        <v>43</v>
      </c>
      <c r="AJ28" s="13">
        <f>67</f>
        <v>67</v>
      </c>
      <c r="AK28" s="13">
        <f>44</f>
        <v>44</v>
      </c>
      <c r="AL28" s="13">
        <f>138</f>
        <v>138</v>
      </c>
      <c r="AM28" s="7"/>
      <c r="AN28" s="13">
        <f>7</f>
        <v>7</v>
      </c>
      <c r="AO28" s="13">
        <f>10</f>
        <v>10</v>
      </c>
      <c r="AP28" s="13">
        <f>8</f>
        <v>8</v>
      </c>
      <c r="AQ28" s="13">
        <f>6</f>
        <v>6</v>
      </c>
      <c r="AR28" s="13">
        <f>17</f>
        <v>17</v>
      </c>
      <c r="AS28" s="13">
        <f>38</f>
        <v>38</v>
      </c>
      <c r="AT28" s="13">
        <f>19</f>
        <v>19</v>
      </c>
      <c r="AU28" s="13">
        <f>14</f>
        <v>14</v>
      </c>
      <c r="AV28" s="13">
        <f>17</f>
        <v>17</v>
      </c>
      <c r="AW28" s="13">
        <v>14</v>
      </c>
      <c r="AX28" s="20">
        <v>103</v>
      </c>
      <c r="AY28" s="13">
        <f>43</f>
        <v>43</v>
      </c>
      <c r="AZ28" s="13">
        <f>82</f>
        <v>82</v>
      </c>
      <c r="BA28" s="20">
        <v>55</v>
      </c>
      <c r="BB28" s="20">
        <v>200</v>
      </c>
      <c r="BC28" s="20">
        <v>125</v>
      </c>
      <c r="BD28" s="20">
        <v>98</v>
      </c>
      <c r="BE28" s="13">
        <v>50</v>
      </c>
      <c r="BF28" s="13">
        <f>48</f>
        <v>48</v>
      </c>
      <c r="BG28" s="11">
        <f>25</f>
        <v>25</v>
      </c>
      <c r="BH28" s="11">
        <v>87</v>
      </c>
      <c r="BI28" s="11">
        <v>45</v>
      </c>
      <c r="BJ28" s="11">
        <v>90</v>
      </c>
      <c r="BK28" s="7"/>
      <c r="BL28" s="21">
        <v>142</v>
      </c>
      <c r="BM28" s="11">
        <f>62</f>
        <v>62</v>
      </c>
      <c r="BN28" s="11">
        <v>115</v>
      </c>
      <c r="BO28" s="11">
        <f>107</f>
        <v>107</v>
      </c>
      <c r="BP28" s="21">
        <v>114</v>
      </c>
    </row>
    <row r="29" spans="1:68" ht="17" x14ac:dyDescent="0.2">
      <c r="A29" s="22" t="s">
        <v>132</v>
      </c>
      <c r="B29" s="23" t="s">
        <v>129</v>
      </c>
      <c r="C29" s="23" t="s">
        <v>130</v>
      </c>
      <c r="D29" s="23" t="s">
        <v>133</v>
      </c>
      <c r="E29" s="5" t="s">
        <v>75</v>
      </c>
      <c r="F29" s="1">
        <v>9.5</v>
      </c>
      <c r="G29" s="1">
        <v>9.5</v>
      </c>
      <c r="H29" s="1"/>
      <c r="I29" s="14">
        <v>61</v>
      </c>
      <c r="J29" s="14">
        <v>73</v>
      </c>
      <c r="K29" s="14">
        <v>9</v>
      </c>
      <c r="L29" s="2">
        <v>52</v>
      </c>
      <c r="M29" s="14">
        <v>21</v>
      </c>
      <c r="N29" s="14">
        <v>47</v>
      </c>
      <c r="O29" s="14">
        <v>7</v>
      </c>
      <c r="P29" s="14">
        <f>32</f>
        <v>32</v>
      </c>
      <c r="Q29" s="14">
        <f>48</f>
        <v>48</v>
      </c>
      <c r="R29" s="14">
        <f>54</f>
        <v>54</v>
      </c>
      <c r="S29" s="7">
        <v>2</v>
      </c>
      <c r="T29" s="7">
        <v>7</v>
      </c>
      <c r="U29" s="7">
        <v>5</v>
      </c>
      <c r="V29" s="7">
        <v>1</v>
      </c>
      <c r="W29" s="7">
        <v>2</v>
      </c>
      <c r="X29" s="7">
        <v>13</v>
      </c>
      <c r="Y29" s="7">
        <v>1</v>
      </c>
      <c r="Z29" s="7">
        <v>10</v>
      </c>
      <c r="AA29" s="7">
        <v>4</v>
      </c>
      <c r="AB29" s="7">
        <v>2</v>
      </c>
      <c r="AC29" s="13">
        <f>100</f>
        <v>100</v>
      </c>
      <c r="AD29" s="13">
        <f>320</f>
        <v>320</v>
      </c>
      <c r="AE29" s="13">
        <f>64</f>
        <v>64</v>
      </c>
      <c r="AF29" s="13">
        <f>216</f>
        <v>216</v>
      </c>
      <c r="AG29" s="13">
        <f>40</f>
        <v>40</v>
      </c>
      <c r="AH29" s="13">
        <f>492</f>
        <v>492</v>
      </c>
      <c r="AI29" s="13">
        <f>99</f>
        <v>99</v>
      </c>
      <c r="AJ29" s="13">
        <v>257</v>
      </c>
      <c r="AK29" s="13">
        <f>361</f>
        <v>361</v>
      </c>
      <c r="AL29" s="13">
        <f>406</f>
        <v>406</v>
      </c>
      <c r="AM29" s="13">
        <f>3</f>
        <v>3</v>
      </c>
      <c r="AN29" s="13">
        <f>5</f>
        <v>5</v>
      </c>
      <c r="AO29" s="13">
        <f>2</f>
        <v>2</v>
      </c>
      <c r="AP29" s="7"/>
      <c r="AQ29" s="13">
        <f>8</f>
        <v>8</v>
      </c>
      <c r="AR29" s="13">
        <f>6</f>
        <v>6</v>
      </c>
      <c r="AS29" s="13">
        <f>5</f>
        <v>5</v>
      </c>
      <c r="AT29" s="13">
        <f>8</f>
        <v>8</v>
      </c>
      <c r="AU29" s="13">
        <f>9</f>
        <v>9</v>
      </c>
      <c r="AV29" s="13">
        <f>8</f>
        <v>8</v>
      </c>
      <c r="AW29" s="13">
        <v>7</v>
      </c>
      <c r="AX29" s="20">
        <v>109</v>
      </c>
      <c r="AY29" s="13">
        <f>55</f>
        <v>55</v>
      </c>
      <c r="AZ29" s="13">
        <f>119</f>
        <v>119</v>
      </c>
      <c r="BA29" s="20">
        <v>117</v>
      </c>
      <c r="BB29" s="20">
        <v>516</v>
      </c>
      <c r="BC29" s="20">
        <v>72</v>
      </c>
      <c r="BD29" s="20">
        <v>266</v>
      </c>
      <c r="BE29" s="13">
        <v>301</v>
      </c>
      <c r="BF29" s="13">
        <f>181</f>
        <v>181</v>
      </c>
      <c r="BG29" s="11">
        <f>7</f>
        <v>7</v>
      </c>
      <c r="BH29" s="11">
        <f>37+5</f>
        <v>42</v>
      </c>
      <c r="BI29" s="11">
        <v>13</v>
      </c>
      <c r="BJ29" s="11">
        <v>102</v>
      </c>
      <c r="BK29" s="11">
        <v>6</v>
      </c>
      <c r="BL29" s="21">
        <v>90</v>
      </c>
      <c r="BM29" s="11">
        <f>33</f>
        <v>33</v>
      </c>
      <c r="BN29" s="11">
        <v>104</v>
      </c>
      <c r="BO29" s="11">
        <f>127</f>
        <v>127</v>
      </c>
      <c r="BP29" s="21">
        <v>100</v>
      </c>
    </row>
    <row r="30" spans="1:68" ht="17" x14ac:dyDescent="0.2">
      <c r="A30" s="22" t="s">
        <v>134</v>
      </c>
      <c r="B30" s="23" t="s">
        <v>129</v>
      </c>
      <c r="C30" s="23" t="s">
        <v>130</v>
      </c>
      <c r="D30" s="23" t="s">
        <v>135</v>
      </c>
      <c r="E30" s="5" t="s">
        <v>75</v>
      </c>
      <c r="F30" s="1">
        <v>14</v>
      </c>
      <c r="G30" s="1">
        <v>14</v>
      </c>
      <c r="H30" s="1"/>
      <c r="I30" s="14">
        <v>46</v>
      </c>
      <c r="J30" s="14">
        <v>22</v>
      </c>
      <c r="K30" s="14">
        <v>9</v>
      </c>
      <c r="L30" s="2">
        <v>24</v>
      </c>
      <c r="M30" s="14">
        <v>6</v>
      </c>
      <c r="N30" s="14">
        <v>24</v>
      </c>
      <c r="O30" s="14">
        <v>2</v>
      </c>
      <c r="P30" s="14">
        <f>26</f>
        <v>26</v>
      </c>
      <c r="Q30" s="14">
        <f>11</f>
        <v>11</v>
      </c>
      <c r="R30" s="14">
        <f>19</f>
        <v>19</v>
      </c>
      <c r="S30" s="7">
        <v>5</v>
      </c>
      <c r="T30" s="7"/>
      <c r="U30" s="7">
        <v>4</v>
      </c>
      <c r="V30" s="7">
        <v>7</v>
      </c>
      <c r="W30" s="7">
        <v>1</v>
      </c>
      <c r="X30" s="7">
        <v>7</v>
      </c>
      <c r="Y30" s="7">
        <v>1</v>
      </c>
      <c r="Z30" s="7">
        <v>12</v>
      </c>
      <c r="AA30" s="7"/>
      <c r="AB30" s="7">
        <v>5</v>
      </c>
      <c r="AC30" s="7"/>
      <c r="AD30" s="13">
        <f>20</f>
        <v>20</v>
      </c>
      <c r="AE30" s="13">
        <f>10</f>
        <v>10</v>
      </c>
      <c r="AF30" s="13">
        <f>64</f>
        <v>64</v>
      </c>
      <c r="AG30" s="13">
        <f>30</f>
        <v>30</v>
      </c>
      <c r="AH30" s="13">
        <f>54</f>
        <v>54</v>
      </c>
      <c r="AI30" s="13">
        <f>9</f>
        <v>9</v>
      </c>
      <c r="AJ30" s="13">
        <f>28</f>
        <v>28</v>
      </c>
      <c r="AK30" s="13">
        <f>28</f>
        <v>28</v>
      </c>
      <c r="AL30" s="13">
        <f>51</f>
        <v>51</v>
      </c>
      <c r="AM30" s="7"/>
      <c r="AN30" s="13">
        <f>3</f>
        <v>3</v>
      </c>
      <c r="AO30" s="7"/>
      <c r="AP30" s="7"/>
      <c r="AQ30" s="7"/>
      <c r="AR30" s="13">
        <f>2</f>
        <v>2</v>
      </c>
      <c r="AS30" s="13">
        <f>1</f>
        <v>1</v>
      </c>
      <c r="AT30" s="7"/>
      <c r="AU30" s="13">
        <f>3</f>
        <v>3</v>
      </c>
      <c r="AV30" s="13">
        <f>7</f>
        <v>7</v>
      </c>
      <c r="AW30" s="7"/>
      <c r="AX30" s="20">
        <v>24</v>
      </c>
      <c r="AY30" s="13">
        <f>24</f>
        <v>24</v>
      </c>
      <c r="AZ30" s="13">
        <f>38</f>
        <v>38</v>
      </c>
      <c r="BA30" s="20">
        <v>6</v>
      </c>
      <c r="BB30" s="20">
        <v>31</v>
      </c>
      <c r="BC30" s="20">
        <v>3</v>
      </c>
      <c r="BD30" s="20">
        <v>3</v>
      </c>
      <c r="BE30" s="13">
        <f>10</f>
        <v>10</v>
      </c>
      <c r="BF30" s="13">
        <f>4</f>
        <v>4</v>
      </c>
      <c r="BG30" s="11">
        <f>2+5</f>
        <v>7</v>
      </c>
      <c r="BH30" s="11">
        <v>29</v>
      </c>
      <c r="BI30" s="7"/>
      <c r="BJ30" s="11">
        <v>26</v>
      </c>
      <c r="BK30" s="11">
        <v>6</v>
      </c>
      <c r="BL30" s="21">
        <v>55</v>
      </c>
      <c r="BM30" s="11">
        <v>7</v>
      </c>
      <c r="BN30" s="11">
        <v>38</v>
      </c>
      <c r="BO30" s="11">
        <f>32</f>
        <v>32</v>
      </c>
      <c r="BP30" s="7"/>
    </row>
    <row r="31" spans="1:68" ht="17" x14ac:dyDescent="0.2">
      <c r="A31" s="4" t="s">
        <v>136</v>
      </c>
      <c r="B31" s="5" t="s">
        <v>129</v>
      </c>
      <c r="C31" s="5" t="s">
        <v>137</v>
      </c>
      <c r="D31" s="5" t="s">
        <v>138</v>
      </c>
      <c r="E31" s="5" t="s">
        <v>139</v>
      </c>
      <c r="F31" s="1">
        <v>2</v>
      </c>
      <c r="G31" s="1">
        <v>8</v>
      </c>
      <c r="H31" s="1">
        <f t="shared" ref="H31:H47" si="0">F31</f>
        <v>2</v>
      </c>
      <c r="I31" s="14"/>
      <c r="J31" s="14"/>
      <c r="K31" s="14"/>
      <c r="L31" s="14"/>
      <c r="M31" s="14"/>
      <c r="N31" s="14"/>
      <c r="O31" s="14"/>
      <c r="P31" s="14">
        <f>6</f>
        <v>6</v>
      </c>
      <c r="Q31" s="14"/>
      <c r="R31" s="14"/>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row>
    <row r="32" spans="1:68" ht="17" x14ac:dyDescent="0.2">
      <c r="A32" s="4" t="s">
        <v>140</v>
      </c>
      <c r="B32" s="5" t="s">
        <v>129</v>
      </c>
      <c r="C32" s="5" t="s">
        <v>137</v>
      </c>
      <c r="D32" s="5" t="s">
        <v>141</v>
      </c>
      <c r="E32" s="5" t="s">
        <v>139</v>
      </c>
      <c r="F32" s="1">
        <v>2</v>
      </c>
      <c r="G32" s="1">
        <v>10</v>
      </c>
      <c r="H32" s="1">
        <f t="shared" si="0"/>
        <v>2</v>
      </c>
      <c r="I32" s="14"/>
      <c r="J32" s="14"/>
      <c r="K32" s="14"/>
      <c r="L32" s="14"/>
      <c r="M32" s="14"/>
      <c r="N32" s="14"/>
      <c r="O32" s="14">
        <f>6</f>
        <v>6</v>
      </c>
      <c r="P32" s="14"/>
      <c r="Q32" s="14">
        <f>12</f>
        <v>12</v>
      </c>
      <c r="R32" s="14">
        <f>17</f>
        <v>17</v>
      </c>
      <c r="S32" s="7"/>
      <c r="T32" s="7"/>
      <c r="U32" s="7"/>
      <c r="V32" s="7"/>
      <c r="W32" s="7"/>
      <c r="X32" s="7"/>
      <c r="Y32" s="7"/>
      <c r="Z32" s="7"/>
      <c r="AA32" s="7"/>
      <c r="AB32" s="7">
        <f>7</f>
        <v>7</v>
      </c>
      <c r="AC32" s="7"/>
      <c r="AD32" s="7"/>
      <c r="AE32" s="7"/>
      <c r="AF32" s="7"/>
      <c r="AG32" s="7"/>
      <c r="AH32" s="7"/>
      <c r="AI32" s="7"/>
      <c r="AJ32" s="7"/>
      <c r="AK32" s="7"/>
      <c r="AL32" s="7">
        <v>8</v>
      </c>
      <c r="AM32" s="7"/>
      <c r="AN32" s="7"/>
      <c r="AO32" s="7"/>
      <c r="AP32" s="7"/>
      <c r="AQ32" s="7"/>
      <c r="AR32" s="7"/>
      <c r="AS32" s="7"/>
      <c r="AT32" s="7"/>
      <c r="AU32" s="7"/>
      <c r="AV32" s="7"/>
      <c r="AW32" s="7"/>
      <c r="AX32" s="7"/>
      <c r="AY32" s="7"/>
      <c r="AZ32" s="7"/>
      <c r="BA32" s="7"/>
      <c r="BB32" s="7"/>
      <c r="BC32" s="7"/>
      <c r="BD32" s="7"/>
      <c r="BE32" s="7"/>
      <c r="BF32" s="7"/>
      <c r="BG32" s="7">
        <v>12</v>
      </c>
      <c r="BH32" s="7"/>
      <c r="BI32" s="7"/>
      <c r="BJ32" s="7"/>
      <c r="BK32" s="7"/>
      <c r="BL32" s="7"/>
      <c r="BM32" s="7"/>
      <c r="BN32" s="7"/>
      <c r="BO32" s="7"/>
      <c r="BP32" s="7"/>
    </row>
    <row r="33" spans="1:68" ht="17" x14ac:dyDescent="0.2">
      <c r="A33" s="4" t="s">
        <v>142</v>
      </c>
      <c r="B33" s="5" t="s">
        <v>129</v>
      </c>
      <c r="C33" s="5" t="s">
        <v>137</v>
      </c>
      <c r="D33" s="5" t="s">
        <v>143</v>
      </c>
      <c r="E33" s="5" t="s">
        <v>139</v>
      </c>
      <c r="F33" s="1">
        <v>2</v>
      </c>
      <c r="G33" s="1">
        <v>12</v>
      </c>
      <c r="H33" s="1">
        <f t="shared" si="0"/>
        <v>2</v>
      </c>
      <c r="I33" s="14"/>
      <c r="J33" s="14">
        <v>14</v>
      </c>
      <c r="K33" s="14">
        <v>11</v>
      </c>
      <c r="L33" s="14"/>
      <c r="M33" s="14"/>
      <c r="N33" s="14"/>
      <c r="O33" s="14"/>
      <c r="P33" s="14"/>
      <c r="Q33" s="14"/>
      <c r="R33" s="14"/>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row>
    <row r="34" spans="1:68" ht="17" x14ac:dyDescent="0.2">
      <c r="A34" s="4" t="s">
        <v>144</v>
      </c>
      <c r="B34" s="5" t="s">
        <v>129</v>
      </c>
      <c r="C34" s="5" t="s">
        <v>137</v>
      </c>
      <c r="D34" s="5" t="s">
        <v>145</v>
      </c>
      <c r="E34" s="5" t="s">
        <v>139</v>
      </c>
      <c r="F34" s="1">
        <v>2</v>
      </c>
      <c r="G34" s="1">
        <v>20</v>
      </c>
      <c r="H34" s="1">
        <f t="shared" si="0"/>
        <v>2</v>
      </c>
      <c r="I34" s="14">
        <v>61</v>
      </c>
      <c r="J34" s="14">
        <v>67</v>
      </c>
      <c r="K34" s="14">
        <v>13</v>
      </c>
      <c r="L34" s="2">
        <v>31</v>
      </c>
      <c r="M34" s="14">
        <f>28</f>
        <v>28</v>
      </c>
      <c r="N34" s="14">
        <v>27</v>
      </c>
      <c r="O34" s="14">
        <f>14</f>
        <v>14</v>
      </c>
      <c r="P34" s="14">
        <f>50</f>
        <v>50</v>
      </c>
      <c r="Q34" s="14">
        <f>53</f>
        <v>53</v>
      </c>
      <c r="R34" s="14"/>
      <c r="S34" s="7">
        <v>74</v>
      </c>
      <c r="T34" s="7">
        <v>25</v>
      </c>
      <c r="U34" s="7">
        <v>22</v>
      </c>
      <c r="V34" s="7">
        <v>40</v>
      </c>
      <c r="W34" s="7">
        <v>51</v>
      </c>
      <c r="X34" s="7">
        <v>22</v>
      </c>
      <c r="Y34" s="7">
        <v>23</v>
      </c>
      <c r="Z34" s="7">
        <v>51</v>
      </c>
      <c r="AA34" s="7">
        <f>28</f>
        <v>28</v>
      </c>
      <c r="AB34" s="7">
        <f>30</f>
        <v>30</v>
      </c>
      <c r="AC34" s="7"/>
      <c r="AD34" s="7">
        <v>57</v>
      </c>
      <c r="AE34" s="7">
        <v>44</v>
      </c>
      <c r="AF34" s="7"/>
      <c r="AG34" s="13">
        <f>64</f>
        <v>64</v>
      </c>
      <c r="AH34" s="13">
        <f>71</f>
        <v>71</v>
      </c>
      <c r="AI34" s="13">
        <f>51</f>
        <v>51</v>
      </c>
      <c r="AJ34" s="7">
        <v>132</v>
      </c>
      <c r="AK34" s="7"/>
      <c r="AL34" s="7">
        <v>128</v>
      </c>
      <c r="AM34" s="7"/>
      <c r="AN34" s="7"/>
      <c r="AO34" s="13">
        <f>26</f>
        <v>26</v>
      </c>
      <c r="AP34" s="7"/>
      <c r="AQ34" s="13">
        <f>23</f>
        <v>23</v>
      </c>
      <c r="AR34" s="13">
        <f>38</f>
        <v>38</v>
      </c>
      <c r="AS34" s="13">
        <f>36</f>
        <v>36</v>
      </c>
      <c r="AT34" s="13">
        <f>60</f>
        <v>60</v>
      </c>
      <c r="AU34" s="13">
        <f>33</f>
        <v>33</v>
      </c>
      <c r="AV34" s="13">
        <f>3</f>
        <v>3</v>
      </c>
      <c r="AW34" s="7"/>
      <c r="AX34" s="7"/>
      <c r="AY34" s="7"/>
      <c r="AZ34" s="13">
        <f>20</f>
        <v>20</v>
      </c>
      <c r="BA34" s="7"/>
      <c r="BB34" s="7">
        <f>4+15</f>
        <v>19</v>
      </c>
      <c r="BC34" s="7"/>
      <c r="BD34" s="13">
        <f>23</f>
        <v>23</v>
      </c>
      <c r="BE34" s="7"/>
      <c r="BF34" s="7"/>
      <c r="BG34" s="7">
        <v>8</v>
      </c>
      <c r="BH34" s="7"/>
      <c r="BI34" s="7"/>
      <c r="BJ34" s="7"/>
      <c r="BK34" s="7"/>
      <c r="BL34" s="7"/>
      <c r="BM34" s="7"/>
      <c r="BN34" s="7"/>
      <c r="BO34" s="7"/>
      <c r="BP34" s="7"/>
    </row>
    <row r="35" spans="1:68" ht="17" x14ac:dyDescent="0.2">
      <c r="A35" s="4" t="s">
        <v>146</v>
      </c>
      <c r="B35" s="5" t="s">
        <v>129</v>
      </c>
      <c r="C35" s="5" t="s">
        <v>137</v>
      </c>
      <c r="D35" s="5" t="s">
        <v>147</v>
      </c>
      <c r="E35" s="5" t="s">
        <v>139</v>
      </c>
      <c r="F35" s="1">
        <v>3</v>
      </c>
      <c r="G35" s="1">
        <v>12</v>
      </c>
      <c r="H35" s="1">
        <f t="shared" si="0"/>
        <v>3</v>
      </c>
      <c r="I35" s="1">
        <f>9</f>
        <v>9</v>
      </c>
      <c r="J35" s="14"/>
      <c r="K35" s="14"/>
      <c r="L35" s="14"/>
      <c r="M35" s="14"/>
      <c r="N35" s="14"/>
      <c r="O35" s="14"/>
      <c r="P35" s="14"/>
      <c r="Q35" s="14"/>
      <c r="R35" s="14"/>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c r="BG35" s="7"/>
      <c r="BH35" s="7"/>
      <c r="BI35" s="7"/>
      <c r="BJ35" s="7"/>
      <c r="BK35" s="7"/>
      <c r="BL35" s="7"/>
      <c r="BM35" s="7"/>
      <c r="BN35" s="7"/>
      <c r="BO35" s="7"/>
      <c r="BP35" s="7"/>
    </row>
    <row r="36" spans="1:68" ht="17" x14ac:dyDescent="0.2">
      <c r="A36" s="4" t="s">
        <v>148</v>
      </c>
      <c r="B36" s="5" t="s">
        <v>129</v>
      </c>
      <c r="C36" s="5" t="s">
        <v>137</v>
      </c>
      <c r="D36" s="5" t="s">
        <v>149</v>
      </c>
      <c r="E36" s="5" t="s">
        <v>139</v>
      </c>
      <c r="F36" s="1">
        <v>4</v>
      </c>
      <c r="G36" s="1">
        <v>10</v>
      </c>
      <c r="H36" s="1">
        <f t="shared" si="0"/>
        <v>4</v>
      </c>
      <c r="I36" s="14"/>
      <c r="J36" s="14"/>
      <c r="K36" s="14"/>
      <c r="L36" s="14"/>
      <c r="M36" s="14"/>
      <c r="N36" s="14"/>
      <c r="O36" s="14"/>
      <c r="P36" s="14"/>
      <c r="Q36" s="14"/>
      <c r="R36" s="14">
        <f>54</f>
        <v>54</v>
      </c>
      <c r="S36" s="7"/>
      <c r="T36" s="7"/>
      <c r="U36" s="7"/>
      <c r="V36" s="7"/>
      <c r="W36" s="7"/>
      <c r="X36" s="7">
        <v>3</v>
      </c>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13">
        <f>6</f>
        <v>6</v>
      </c>
      <c r="BD36" s="7"/>
      <c r="BE36" s="7"/>
      <c r="BF36" s="7"/>
      <c r="BG36" s="7"/>
      <c r="BH36" s="7"/>
      <c r="BI36" s="7"/>
      <c r="BJ36" s="7"/>
      <c r="BK36" s="7"/>
      <c r="BL36" s="7"/>
      <c r="BM36" s="7"/>
      <c r="BN36" s="7">
        <v>42</v>
      </c>
      <c r="BO36" s="7"/>
      <c r="BP36" s="7"/>
    </row>
    <row r="37" spans="1:68" ht="17" x14ac:dyDescent="0.2">
      <c r="A37" s="4" t="s">
        <v>150</v>
      </c>
      <c r="B37" s="5" t="s">
        <v>129</v>
      </c>
      <c r="C37" s="5" t="s">
        <v>137</v>
      </c>
      <c r="D37" s="5" t="s">
        <v>151</v>
      </c>
      <c r="E37" s="5" t="s">
        <v>139</v>
      </c>
      <c r="F37" s="1">
        <v>4</v>
      </c>
      <c r="G37" s="1">
        <v>24</v>
      </c>
      <c r="H37" s="1">
        <f t="shared" si="0"/>
        <v>4</v>
      </c>
      <c r="I37" s="14"/>
      <c r="J37" s="14"/>
      <c r="K37" s="14"/>
      <c r="L37" s="16"/>
      <c r="M37" s="14"/>
      <c r="N37" s="14"/>
      <c r="O37" s="14"/>
      <c r="P37" s="14"/>
      <c r="Q37" s="14"/>
      <c r="R37" s="14"/>
      <c r="S37" s="7">
        <v>2</v>
      </c>
      <c r="T37" s="7"/>
      <c r="U37" s="7"/>
      <c r="V37" s="7">
        <v>11</v>
      </c>
      <c r="W37" s="7"/>
      <c r="X37" s="7"/>
      <c r="Y37" s="7"/>
      <c r="Z37" s="7"/>
      <c r="AA37" s="14">
        <f>4</f>
        <v>4</v>
      </c>
      <c r="AB37" s="7"/>
      <c r="AC37" s="7"/>
      <c r="AD37" s="7"/>
      <c r="AE37" s="7"/>
      <c r="AF37" s="7"/>
      <c r="AG37" s="7"/>
      <c r="AH37" s="7"/>
      <c r="AI37" s="7"/>
      <c r="AJ37" s="7"/>
      <c r="AK37" s="7"/>
      <c r="AL37" s="7"/>
      <c r="AM37" s="7"/>
      <c r="AN37" s="7"/>
      <c r="AO37" s="7"/>
      <c r="AP37" s="7">
        <v>4</v>
      </c>
      <c r="AQ37" s="7"/>
      <c r="AR37" s="7"/>
      <c r="AS37" s="7"/>
      <c r="AT37" s="7"/>
      <c r="AU37" s="7"/>
      <c r="AV37" s="7"/>
      <c r="AW37" s="7"/>
      <c r="AX37" s="7"/>
      <c r="AY37" s="7"/>
      <c r="AZ37" s="7"/>
      <c r="BA37" s="7"/>
      <c r="BB37" s="7"/>
      <c r="BC37" s="7"/>
      <c r="BD37" s="7"/>
      <c r="BE37" s="7"/>
      <c r="BF37" s="7"/>
      <c r="BG37" s="7">
        <v>33</v>
      </c>
      <c r="BH37" s="11">
        <f>26</f>
        <v>26</v>
      </c>
      <c r="BI37" s="11">
        <v>5</v>
      </c>
      <c r="BJ37" s="7"/>
      <c r="BK37" s="7">
        <v>10</v>
      </c>
      <c r="BL37" s="7">
        <v>84</v>
      </c>
      <c r="BM37" s="7"/>
      <c r="BN37" s="7"/>
      <c r="BO37" s="7"/>
      <c r="BP37" s="7"/>
    </row>
    <row r="38" spans="1:68" ht="17" x14ac:dyDescent="0.2">
      <c r="A38" s="4" t="s">
        <v>152</v>
      </c>
      <c r="B38" s="5" t="s">
        <v>129</v>
      </c>
      <c r="C38" s="5" t="s">
        <v>137</v>
      </c>
      <c r="D38" s="5" t="s">
        <v>153</v>
      </c>
      <c r="E38" s="5" t="s">
        <v>139</v>
      </c>
      <c r="F38" s="1">
        <v>4</v>
      </c>
      <c r="G38" s="1">
        <v>36</v>
      </c>
      <c r="H38" s="1">
        <f t="shared" si="0"/>
        <v>4</v>
      </c>
      <c r="I38" s="14"/>
      <c r="J38" s="14"/>
      <c r="K38" s="14"/>
      <c r="L38" s="14"/>
      <c r="M38" s="14"/>
      <c r="N38" s="14"/>
      <c r="O38" s="14"/>
      <c r="P38" s="14"/>
      <c r="Q38" s="14"/>
      <c r="R38" s="14"/>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v>18</v>
      </c>
      <c r="BL38" s="7"/>
      <c r="BM38" s="7">
        <v>15</v>
      </c>
      <c r="BN38" s="7"/>
      <c r="BO38" s="7"/>
      <c r="BP38" s="7"/>
    </row>
    <row r="39" spans="1:68" ht="17" x14ac:dyDescent="0.2">
      <c r="A39" s="4" t="s">
        <v>154</v>
      </c>
      <c r="B39" s="5" t="s">
        <v>129</v>
      </c>
      <c r="C39" s="5" t="s">
        <v>137</v>
      </c>
      <c r="D39" s="5" t="s">
        <v>155</v>
      </c>
      <c r="E39" s="5" t="s">
        <v>139</v>
      </c>
      <c r="F39" s="1">
        <v>3</v>
      </c>
      <c r="G39" s="1">
        <v>20</v>
      </c>
      <c r="H39" s="1">
        <f t="shared" si="0"/>
        <v>3</v>
      </c>
      <c r="I39" s="14"/>
      <c r="J39" s="14"/>
      <c r="K39" s="14"/>
      <c r="L39" s="14"/>
      <c r="M39" s="14"/>
      <c r="N39" s="14"/>
      <c r="O39" s="14"/>
      <c r="P39" s="14"/>
      <c r="Q39" s="14"/>
      <c r="R39" s="14"/>
      <c r="S39" s="7"/>
      <c r="T39" s="7"/>
      <c r="U39" s="7"/>
      <c r="V39" s="7"/>
      <c r="W39" s="7"/>
      <c r="X39" s="7"/>
      <c r="Y39" s="7"/>
      <c r="Z39" s="7"/>
      <c r="AA39" s="7"/>
      <c r="AB39" s="7"/>
      <c r="AC39" s="7"/>
      <c r="AD39" s="7"/>
      <c r="AE39" s="7"/>
      <c r="AF39" s="7">
        <v>15</v>
      </c>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v>3</v>
      </c>
      <c r="BL39" s="7"/>
      <c r="BM39" s="7"/>
      <c r="BN39" s="7"/>
      <c r="BO39" s="7"/>
      <c r="BP39" s="7"/>
    </row>
    <row r="40" spans="1:68" ht="17" x14ac:dyDescent="0.2">
      <c r="A40" s="4" t="s">
        <v>156</v>
      </c>
      <c r="B40" s="5" t="s">
        <v>129</v>
      </c>
      <c r="C40" s="5" t="s">
        <v>137</v>
      </c>
      <c r="D40" s="5" t="s">
        <v>157</v>
      </c>
      <c r="E40" s="5" t="s">
        <v>139</v>
      </c>
      <c r="F40" s="1">
        <v>4</v>
      </c>
      <c r="G40" s="1">
        <v>12</v>
      </c>
      <c r="H40" s="1">
        <f t="shared" si="0"/>
        <v>4</v>
      </c>
      <c r="I40" s="14"/>
      <c r="J40" s="14"/>
      <c r="K40" s="14"/>
      <c r="L40" s="14"/>
      <c r="M40" s="14"/>
      <c r="N40" s="14"/>
      <c r="O40" s="14"/>
      <c r="P40" s="14"/>
      <c r="Q40" s="14"/>
      <c r="R40" s="14"/>
      <c r="S40" s="7"/>
      <c r="T40" s="7"/>
      <c r="U40" s="7"/>
      <c r="V40" s="7"/>
      <c r="W40" s="7"/>
      <c r="X40" s="7"/>
      <c r="Y40" s="7"/>
      <c r="Z40" s="7"/>
      <c r="AA40" s="7"/>
      <c r="AB40" s="7"/>
      <c r="AC40" s="13">
        <f>3</f>
        <v>3</v>
      </c>
      <c r="AD40" s="7"/>
      <c r="AE40" s="7"/>
      <c r="AF40" s="7"/>
      <c r="AG40" s="7"/>
      <c r="AH40" s="7"/>
      <c r="AI40" s="7"/>
      <c r="AJ40" s="7"/>
      <c r="AK40" s="7"/>
      <c r="AL40" s="7"/>
      <c r="AM40" s="7"/>
      <c r="AN40" s="7"/>
      <c r="AO40" s="7"/>
      <c r="AP40" s="13">
        <f>19</f>
        <v>19</v>
      </c>
      <c r="AQ40" s="7"/>
      <c r="AR40" s="7"/>
      <c r="AS40" s="7"/>
      <c r="AT40" s="7"/>
      <c r="AU40" s="7"/>
      <c r="AV40" s="7"/>
      <c r="AW40" s="7"/>
      <c r="AX40" s="13">
        <f>21</f>
        <v>21</v>
      </c>
      <c r="AY40" s="7"/>
      <c r="AZ40" s="7"/>
      <c r="BA40" s="13">
        <f>25</f>
        <v>25</v>
      </c>
      <c r="BB40" s="7"/>
      <c r="BC40" s="7"/>
      <c r="BD40" s="7"/>
      <c r="BE40" s="7"/>
      <c r="BF40" s="7"/>
      <c r="BG40" s="7"/>
      <c r="BH40" s="7"/>
      <c r="BI40" s="7"/>
      <c r="BJ40" s="7"/>
      <c r="BK40" s="7"/>
      <c r="BL40" s="7"/>
      <c r="BM40" s="7"/>
      <c r="BN40" s="7"/>
      <c r="BO40" s="7"/>
      <c r="BP40" s="11">
        <f>26</f>
        <v>26</v>
      </c>
    </row>
    <row r="41" spans="1:68" ht="17" x14ac:dyDescent="0.2">
      <c r="A41" s="1" t="s">
        <v>158</v>
      </c>
      <c r="B41" s="1" t="s">
        <v>129</v>
      </c>
      <c r="C41" s="1" t="s">
        <v>137</v>
      </c>
      <c r="D41" s="1" t="s">
        <v>159</v>
      </c>
      <c r="E41" s="5" t="s">
        <v>139</v>
      </c>
      <c r="F41" s="1">
        <v>4</v>
      </c>
      <c r="G41" s="1">
        <v>16</v>
      </c>
      <c r="H41" s="1">
        <f t="shared" si="0"/>
        <v>4</v>
      </c>
      <c r="I41" s="14"/>
      <c r="J41" s="14"/>
      <c r="K41" s="14"/>
      <c r="L41" s="14"/>
      <c r="M41" s="14"/>
      <c r="N41" s="14"/>
      <c r="O41" s="14"/>
      <c r="P41" s="14"/>
      <c r="Q41" s="14">
        <f>17</f>
        <v>17</v>
      </c>
      <c r="R41" s="14"/>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v>8</v>
      </c>
      <c r="BH41" s="7"/>
      <c r="BI41" s="7"/>
      <c r="BJ41" s="7">
        <v>11</v>
      </c>
      <c r="BK41" s="7"/>
      <c r="BL41" s="7"/>
      <c r="BM41" s="7"/>
      <c r="BN41" s="7">
        <v>10</v>
      </c>
      <c r="BO41" s="7"/>
      <c r="BP41" s="7"/>
    </row>
    <row r="42" spans="1:68" ht="17" x14ac:dyDescent="0.2">
      <c r="A42" s="1" t="s">
        <v>160</v>
      </c>
      <c r="B42" s="1" t="s">
        <v>129</v>
      </c>
      <c r="C42" s="1" t="s">
        <v>137</v>
      </c>
      <c r="D42" s="1" t="s">
        <v>161</v>
      </c>
      <c r="E42" s="5" t="s">
        <v>139</v>
      </c>
      <c r="F42" s="1">
        <v>4</v>
      </c>
      <c r="G42" s="1">
        <v>20</v>
      </c>
      <c r="H42" s="1">
        <f t="shared" si="0"/>
        <v>4</v>
      </c>
      <c r="I42" s="14"/>
      <c r="J42" s="14"/>
      <c r="K42" s="14"/>
      <c r="L42" s="14"/>
      <c r="M42" s="14"/>
      <c r="N42" s="14"/>
      <c r="O42" s="14"/>
      <c r="P42" s="14"/>
      <c r="Q42" s="14"/>
      <c r="R42" s="14">
        <v>2</v>
      </c>
      <c r="S42" s="7">
        <v>38</v>
      </c>
      <c r="T42" s="7">
        <v>8</v>
      </c>
      <c r="U42" s="7"/>
      <c r="V42" s="7"/>
      <c r="W42" s="7"/>
      <c r="X42" s="7"/>
      <c r="Y42" s="7"/>
      <c r="Z42" s="7"/>
      <c r="AA42" s="7"/>
      <c r="AB42" s="7"/>
      <c r="AC42" s="7"/>
      <c r="AD42" s="7"/>
      <c r="AE42" s="7">
        <v>9</v>
      </c>
      <c r="AF42" s="15"/>
      <c r="AG42" s="7"/>
      <c r="AH42" s="7"/>
      <c r="AI42" s="7"/>
      <c r="AJ42" s="7"/>
      <c r="AK42" s="7"/>
      <c r="AL42" s="7"/>
      <c r="AM42" s="7">
        <v>16</v>
      </c>
      <c r="AN42" s="7"/>
      <c r="AO42" s="7"/>
      <c r="AP42" s="7"/>
      <c r="AQ42" s="15"/>
      <c r="AR42" s="7"/>
      <c r="AS42" s="15"/>
      <c r="AT42" s="7"/>
      <c r="AU42" s="7"/>
      <c r="AV42" s="7"/>
      <c r="AW42" s="7"/>
      <c r="AX42" s="7"/>
      <c r="AY42" s="13">
        <f>10</f>
        <v>10</v>
      </c>
      <c r="AZ42" s="7"/>
      <c r="BA42" s="7"/>
      <c r="BB42" s="7"/>
      <c r="BC42" s="7"/>
      <c r="BD42" s="7"/>
      <c r="BE42" s="7"/>
      <c r="BF42" s="7"/>
      <c r="BG42" s="7"/>
      <c r="BH42" s="7"/>
      <c r="BI42" s="7"/>
      <c r="BJ42" s="7"/>
      <c r="BK42" s="7"/>
      <c r="BL42" s="7"/>
      <c r="BM42" s="7"/>
      <c r="BN42" s="7"/>
      <c r="BO42" s="7"/>
      <c r="BP42" s="7"/>
    </row>
    <row r="43" spans="1:68" ht="17" x14ac:dyDescent="0.2">
      <c r="A43" s="1" t="s">
        <v>162</v>
      </c>
      <c r="B43" s="1" t="s">
        <v>129</v>
      </c>
      <c r="C43" s="1" t="s">
        <v>137</v>
      </c>
      <c r="D43" s="1" t="s">
        <v>163</v>
      </c>
      <c r="E43" s="5" t="s">
        <v>139</v>
      </c>
      <c r="F43" s="1">
        <v>1</v>
      </c>
      <c r="G43" s="1">
        <v>20</v>
      </c>
      <c r="H43" s="1">
        <f t="shared" si="0"/>
        <v>1</v>
      </c>
      <c r="I43" s="14"/>
      <c r="J43" s="14"/>
      <c r="K43" s="14"/>
      <c r="L43" s="14"/>
      <c r="M43" s="14"/>
      <c r="N43" s="14"/>
      <c r="O43" s="14"/>
      <c r="P43" s="14"/>
      <c r="Q43" s="14"/>
      <c r="R43" s="14"/>
      <c r="S43" s="7"/>
      <c r="T43" s="7"/>
      <c r="U43" s="7"/>
      <c r="V43" s="24"/>
      <c r="W43" s="7"/>
      <c r="X43" s="7"/>
      <c r="Y43" s="7"/>
      <c r="Z43" s="7"/>
      <c r="AA43" s="7"/>
      <c r="AB43" s="7"/>
      <c r="AC43" s="7"/>
      <c r="AD43" s="7"/>
      <c r="AE43" s="7"/>
      <c r="AF43" s="15">
        <v>34</v>
      </c>
      <c r="AG43" s="7"/>
      <c r="AH43" s="7"/>
      <c r="AI43" s="7"/>
      <c r="AJ43" s="7"/>
      <c r="AK43" s="7"/>
      <c r="AL43" s="7"/>
      <c r="AM43" s="7"/>
      <c r="AN43" s="7"/>
      <c r="AO43" s="7"/>
      <c r="AP43" s="7"/>
      <c r="AQ43" s="7"/>
      <c r="AR43" s="7"/>
      <c r="AS43" s="15"/>
      <c r="AT43" s="7"/>
      <c r="AU43" s="7"/>
      <c r="AV43" s="7"/>
      <c r="AW43" s="7"/>
      <c r="AX43" s="7"/>
      <c r="AY43" s="7"/>
      <c r="AZ43" s="7"/>
      <c r="BA43" s="7"/>
      <c r="BB43" s="7"/>
      <c r="BC43" s="7"/>
      <c r="BD43" s="7"/>
      <c r="BE43" s="13">
        <f>11</f>
        <v>11</v>
      </c>
      <c r="BF43" s="7"/>
      <c r="BG43" s="7"/>
      <c r="BH43" s="7"/>
      <c r="BI43" s="7"/>
      <c r="BJ43" s="7"/>
      <c r="BK43" s="7"/>
      <c r="BL43" s="7"/>
      <c r="BM43" s="7"/>
      <c r="BN43" s="7">
        <v>4</v>
      </c>
      <c r="BO43" s="7"/>
      <c r="BP43" s="7"/>
    </row>
    <row r="44" spans="1:68" ht="17" x14ac:dyDescent="0.2">
      <c r="A44" s="1" t="s">
        <v>164</v>
      </c>
      <c r="B44" s="1" t="s">
        <v>129</v>
      </c>
      <c r="C44" s="1" t="s">
        <v>137</v>
      </c>
      <c r="D44" s="1" t="s">
        <v>165</v>
      </c>
      <c r="E44" s="5" t="s">
        <v>139</v>
      </c>
      <c r="F44" s="1">
        <v>2</v>
      </c>
      <c r="G44" s="1">
        <v>16</v>
      </c>
      <c r="H44" s="1">
        <f t="shared" si="0"/>
        <v>2</v>
      </c>
      <c r="I44" s="14"/>
      <c r="J44" s="14"/>
      <c r="K44" s="14"/>
      <c r="L44" s="14"/>
      <c r="M44" s="14"/>
      <c r="N44" s="14"/>
      <c r="O44" s="14"/>
      <c r="P44" s="14"/>
      <c r="Q44" s="14"/>
      <c r="R44" s="14"/>
      <c r="S44" s="7"/>
      <c r="T44" s="7"/>
      <c r="U44" s="7"/>
      <c r="V44" s="7"/>
      <c r="W44" s="7"/>
      <c r="X44" s="7"/>
      <c r="Y44" s="7"/>
      <c r="Z44" s="7"/>
      <c r="AA44" s="7"/>
      <c r="AB44" s="7"/>
      <c r="AC44" s="7"/>
      <c r="AD44" s="7"/>
      <c r="AE44" s="7"/>
      <c r="AF44" s="7"/>
      <c r="AG44" s="7"/>
      <c r="AH44" s="7"/>
      <c r="AI44" s="7"/>
      <c r="AJ44" s="24"/>
      <c r="AK44" s="7">
        <v>52</v>
      </c>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row>
    <row r="45" spans="1:68" ht="17" x14ac:dyDescent="0.2">
      <c r="A45" s="1" t="s">
        <v>166</v>
      </c>
      <c r="B45" s="1" t="s">
        <v>129</v>
      </c>
      <c r="C45" s="1" t="s">
        <v>137</v>
      </c>
      <c r="D45" s="1" t="s">
        <v>167</v>
      </c>
      <c r="E45" s="5" t="s">
        <v>139</v>
      </c>
      <c r="F45" s="1">
        <v>2</v>
      </c>
      <c r="G45" s="1">
        <v>18</v>
      </c>
      <c r="H45" s="1">
        <f t="shared" si="0"/>
        <v>2</v>
      </c>
      <c r="I45" s="14"/>
      <c r="J45" s="14"/>
      <c r="K45" s="14"/>
      <c r="L45" s="14"/>
      <c r="M45" s="14"/>
      <c r="N45" s="14"/>
      <c r="O45" s="14"/>
      <c r="P45" s="14"/>
      <c r="Q45" s="14"/>
      <c r="R45" s="14"/>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7"/>
      <c r="BB45" s="7"/>
      <c r="BC45" s="13">
        <f>35</f>
        <v>35</v>
      </c>
      <c r="BD45" s="7"/>
      <c r="BE45" s="15"/>
      <c r="BF45" s="7"/>
      <c r="BG45" s="7"/>
      <c r="BH45" s="7"/>
      <c r="BI45" s="7"/>
      <c r="BJ45" s="7"/>
      <c r="BK45" s="7"/>
      <c r="BL45" s="7"/>
      <c r="BM45" s="7"/>
      <c r="BN45" s="7"/>
      <c r="BO45" s="7"/>
      <c r="BP45" s="7"/>
    </row>
    <row r="46" spans="1:68" ht="17" x14ac:dyDescent="0.2">
      <c r="A46" s="4" t="s">
        <v>168</v>
      </c>
      <c r="B46" s="5" t="s">
        <v>129</v>
      </c>
      <c r="C46" s="5" t="s">
        <v>137</v>
      </c>
      <c r="D46" s="5" t="s">
        <v>169</v>
      </c>
      <c r="E46" s="5" t="s">
        <v>139</v>
      </c>
      <c r="F46" s="1">
        <v>2</v>
      </c>
      <c r="G46" s="1">
        <v>30</v>
      </c>
      <c r="H46" s="1">
        <f t="shared" si="0"/>
        <v>2</v>
      </c>
      <c r="I46" s="14"/>
      <c r="J46" s="14"/>
      <c r="K46" s="14"/>
      <c r="L46" s="14"/>
      <c r="M46" s="14"/>
      <c r="N46" s="14"/>
      <c r="O46" s="14"/>
      <c r="P46" s="14"/>
      <c r="Q46" s="14"/>
      <c r="R46" s="14"/>
      <c r="S46" s="7"/>
      <c r="T46" s="7"/>
      <c r="U46" s="7"/>
      <c r="V46" s="7"/>
      <c r="W46" s="7"/>
      <c r="X46" s="7"/>
      <c r="Y46" s="7"/>
      <c r="Z46" s="7"/>
      <c r="AA46" s="7"/>
      <c r="AB46" s="7"/>
      <c r="AC46" s="7"/>
      <c r="AD46" s="7"/>
      <c r="AE46" s="7"/>
      <c r="AF46" s="7"/>
      <c r="AG46" s="7"/>
      <c r="AH46" s="7"/>
      <c r="AI46" s="7"/>
      <c r="AJ46" s="7"/>
      <c r="AK46" s="7"/>
      <c r="AL46" s="7"/>
      <c r="AM46" s="7"/>
      <c r="AN46" s="13">
        <f>33</f>
        <v>33</v>
      </c>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row>
    <row r="47" spans="1:68" ht="17" x14ac:dyDescent="0.2">
      <c r="A47" s="4" t="s">
        <v>170</v>
      </c>
      <c r="B47" s="5" t="s">
        <v>129</v>
      </c>
      <c r="C47" s="5" t="s">
        <v>137</v>
      </c>
      <c r="D47" s="5" t="s">
        <v>171</v>
      </c>
      <c r="E47" s="5" t="s">
        <v>139</v>
      </c>
      <c r="F47" s="1">
        <v>4</v>
      </c>
      <c r="G47" s="1">
        <v>26</v>
      </c>
      <c r="H47" s="1">
        <f t="shared" si="0"/>
        <v>4</v>
      </c>
      <c r="I47" s="7"/>
      <c r="J47" s="7"/>
      <c r="K47" s="7"/>
      <c r="L47" s="7"/>
      <c r="M47" s="7"/>
      <c r="N47" s="7"/>
      <c r="O47" s="7"/>
      <c r="P47" s="7"/>
      <c r="Q47" s="7"/>
      <c r="R47" s="7"/>
      <c r="S47" s="14"/>
      <c r="T47" s="14"/>
      <c r="U47" s="14">
        <v>6</v>
      </c>
      <c r="V47" s="14"/>
      <c r="W47" s="14"/>
      <c r="X47" s="14"/>
      <c r="Y47" s="14"/>
      <c r="Z47" s="14"/>
      <c r="AA47" s="14"/>
      <c r="AB47" s="14"/>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v>9</v>
      </c>
      <c r="BN47" s="7"/>
      <c r="BO47" s="7">
        <v>1</v>
      </c>
      <c r="BP47" s="7"/>
    </row>
    <row r="48" spans="1:68" x14ac:dyDescent="0.2">
      <c r="A48" s="22" t="s">
        <v>172</v>
      </c>
      <c r="B48" s="23" t="s">
        <v>173</v>
      </c>
      <c r="C48" s="23" t="s">
        <v>174</v>
      </c>
      <c r="D48" s="23" t="s">
        <v>175</v>
      </c>
      <c r="E48" s="23" t="s">
        <v>96</v>
      </c>
      <c r="F48" s="25">
        <v>3.67</v>
      </c>
      <c r="G48" s="26">
        <v>5.5</v>
      </c>
      <c r="H48" s="26"/>
      <c r="I48" s="7">
        <v>332</v>
      </c>
      <c r="J48" s="7">
        <v>19</v>
      </c>
      <c r="K48" s="7">
        <v>28</v>
      </c>
      <c r="L48" s="2">
        <v>14</v>
      </c>
      <c r="M48" s="7">
        <v>8</v>
      </c>
      <c r="N48" s="7">
        <v>3</v>
      </c>
      <c r="O48" s="7"/>
      <c r="P48" s="7">
        <f>73</f>
        <v>73</v>
      </c>
      <c r="Q48" s="7">
        <f>132</f>
        <v>132</v>
      </c>
      <c r="R48" s="7">
        <f>193</f>
        <v>193</v>
      </c>
      <c r="S48" s="14">
        <v>223</v>
      </c>
      <c r="T48" s="14">
        <v>604</v>
      </c>
      <c r="U48" s="14">
        <v>564</v>
      </c>
      <c r="V48" s="14">
        <v>788</v>
      </c>
      <c r="W48" s="14">
        <v>709</v>
      </c>
      <c r="X48" s="14">
        <v>903</v>
      </c>
      <c r="Y48" s="14">
        <v>815</v>
      </c>
      <c r="Z48" s="14">
        <v>1119</v>
      </c>
      <c r="AA48" s="14">
        <v>1322</v>
      </c>
      <c r="AB48" s="14">
        <v>1212</v>
      </c>
      <c r="AC48" s="7"/>
      <c r="AD48" s="13">
        <f>581</f>
        <v>581</v>
      </c>
      <c r="AE48" s="13">
        <f>298</f>
        <v>298</v>
      </c>
      <c r="AF48" s="20">
        <v>214</v>
      </c>
      <c r="AG48" s="13">
        <f>185</f>
        <v>185</v>
      </c>
      <c r="AH48" s="13">
        <f>572</f>
        <v>572</v>
      </c>
      <c r="AI48" s="13">
        <f>373</f>
        <v>373</v>
      </c>
      <c r="AJ48" s="13">
        <f>409</f>
        <v>409</v>
      </c>
      <c r="AK48" s="13">
        <f>325</f>
        <v>325</v>
      </c>
      <c r="AL48" s="7">
        <v>633</v>
      </c>
      <c r="AM48" s="27"/>
      <c r="AN48" s="27"/>
      <c r="AO48" s="13">
        <f>124</f>
        <v>124</v>
      </c>
      <c r="AP48" s="13">
        <f>104</f>
        <v>104</v>
      </c>
      <c r="AQ48" s="20">
        <v>165</v>
      </c>
      <c r="AR48" s="13">
        <f>118</f>
        <v>118</v>
      </c>
      <c r="AS48" s="20">
        <v>146</v>
      </c>
      <c r="AT48" s="13">
        <f>134</f>
        <v>134</v>
      </c>
      <c r="AU48" s="13">
        <f>187</f>
        <v>187</v>
      </c>
      <c r="AV48" s="13">
        <f>308</f>
        <v>308</v>
      </c>
      <c r="AW48" s="7"/>
      <c r="AX48" s="7"/>
      <c r="AY48" s="7"/>
      <c r="AZ48" s="7"/>
      <c r="BA48" s="7"/>
      <c r="BB48" s="7"/>
      <c r="BC48" s="7"/>
      <c r="BD48" s="7"/>
      <c r="BE48" s="7"/>
      <c r="BF48" s="7"/>
      <c r="BG48" s="11">
        <f>7</f>
        <v>7</v>
      </c>
      <c r="BH48" s="7"/>
      <c r="BI48" s="7"/>
      <c r="BJ48" s="7"/>
      <c r="BK48" s="7"/>
      <c r="BL48" s="7"/>
      <c r="BM48" s="11">
        <f>23</f>
        <v>23</v>
      </c>
      <c r="BN48" s="7"/>
      <c r="BO48" s="7"/>
      <c r="BP48" s="7"/>
    </row>
    <row r="49" spans="1:68" x14ac:dyDescent="0.2">
      <c r="A49" s="22" t="s">
        <v>176</v>
      </c>
      <c r="B49" s="23" t="s">
        <v>173</v>
      </c>
      <c r="C49" s="23" t="s">
        <v>174</v>
      </c>
      <c r="D49" s="23" t="s">
        <v>177</v>
      </c>
      <c r="E49" s="23" t="s">
        <v>96</v>
      </c>
      <c r="F49" s="25">
        <v>6.33</v>
      </c>
      <c r="G49" s="26">
        <v>9.5</v>
      </c>
      <c r="H49" s="26"/>
      <c r="I49" s="7">
        <v>112</v>
      </c>
      <c r="J49" s="7">
        <v>90</v>
      </c>
      <c r="K49" s="7">
        <v>7</v>
      </c>
      <c r="L49" s="2">
        <v>102</v>
      </c>
      <c r="M49" s="7">
        <v>30</v>
      </c>
      <c r="N49" s="7">
        <v>21</v>
      </c>
      <c r="O49" s="7">
        <f>17</f>
        <v>17</v>
      </c>
      <c r="P49" s="7">
        <f>167</f>
        <v>167</v>
      </c>
      <c r="Q49" s="7">
        <f>169</f>
        <v>169</v>
      </c>
      <c r="R49" s="7">
        <f>147</f>
        <v>147</v>
      </c>
      <c r="S49" s="14">
        <v>94</v>
      </c>
      <c r="T49" s="14">
        <v>48</v>
      </c>
      <c r="U49" s="14">
        <v>10</v>
      </c>
      <c r="V49" s="14">
        <v>49</v>
      </c>
      <c r="W49" s="14">
        <v>5</v>
      </c>
      <c r="X49" s="14">
        <v>44</v>
      </c>
      <c r="Y49" s="14">
        <v>25</v>
      </c>
      <c r="Z49" s="14">
        <v>59</v>
      </c>
      <c r="AA49" s="14">
        <v>47</v>
      </c>
      <c r="AB49" s="14">
        <v>122</v>
      </c>
      <c r="AC49" s="13">
        <f>62</f>
        <v>62</v>
      </c>
      <c r="AD49" s="13">
        <v>129</v>
      </c>
      <c r="AE49" s="13">
        <v>79</v>
      </c>
      <c r="AF49" s="20">
        <v>173</v>
      </c>
      <c r="AG49" s="13">
        <v>80</v>
      </c>
      <c r="AH49" s="13">
        <v>85</v>
      </c>
      <c r="AI49" s="13">
        <v>31</v>
      </c>
      <c r="AJ49" s="13">
        <v>209</v>
      </c>
      <c r="AK49" s="13">
        <v>86</v>
      </c>
      <c r="AL49" s="7">
        <v>171</v>
      </c>
      <c r="AM49" s="13">
        <f>117</f>
        <v>117</v>
      </c>
      <c r="AN49" s="7"/>
      <c r="AO49" s="13">
        <v>69</v>
      </c>
      <c r="AP49" s="13">
        <v>113</v>
      </c>
      <c r="AQ49" s="20">
        <v>73</v>
      </c>
      <c r="AR49" s="13">
        <v>131</v>
      </c>
      <c r="AS49" s="20">
        <v>72</v>
      </c>
      <c r="AT49" s="13">
        <v>255</v>
      </c>
      <c r="AU49" s="13">
        <v>276</v>
      </c>
      <c r="AV49" s="13">
        <v>284</v>
      </c>
      <c r="AW49" s="7"/>
      <c r="AX49" s="7"/>
      <c r="AY49" s="7"/>
      <c r="AZ49" s="7"/>
      <c r="BA49" s="7"/>
      <c r="BB49" s="7"/>
      <c r="BC49" s="7"/>
      <c r="BD49" s="7"/>
      <c r="BE49" s="7"/>
      <c r="BF49" s="7"/>
      <c r="BG49" s="7"/>
      <c r="BH49" s="7"/>
      <c r="BI49" s="7"/>
      <c r="BJ49" s="7"/>
      <c r="BK49" s="7"/>
      <c r="BL49" s="7"/>
      <c r="BM49" s="7"/>
      <c r="BN49" s="7"/>
      <c r="BO49" s="7"/>
      <c r="BP49" s="7"/>
    </row>
    <row r="50" spans="1:68" x14ac:dyDescent="0.2">
      <c r="A50" s="22" t="s">
        <v>178</v>
      </c>
      <c r="B50" s="23" t="s">
        <v>173</v>
      </c>
      <c r="C50" s="23" t="s">
        <v>174</v>
      </c>
      <c r="D50" s="23" t="s">
        <v>179</v>
      </c>
      <c r="E50" s="23" t="s">
        <v>96</v>
      </c>
      <c r="F50" s="25">
        <v>9</v>
      </c>
      <c r="G50" s="26">
        <v>14</v>
      </c>
      <c r="H50" s="26"/>
      <c r="I50" s="7">
        <v>42</v>
      </c>
      <c r="J50" s="7">
        <v>56</v>
      </c>
      <c r="K50" s="7">
        <v>17</v>
      </c>
      <c r="L50" s="2">
        <v>36</v>
      </c>
      <c r="M50" s="7">
        <v>10</v>
      </c>
      <c r="N50" s="7">
        <v>35</v>
      </c>
      <c r="O50" s="7">
        <f>1</f>
        <v>1</v>
      </c>
      <c r="P50" s="7">
        <f>68</f>
        <v>68</v>
      </c>
      <c r="Q50" s="7">
        <f>38</f>
        <v>38</v>
      </c>
      <c r="R50" s="7">
        <f>52</f>
        <v>52</v>
      </c>
      <c r="S50" s="14">
        <v>13</v>
      </c>
      <c r="T50" s="14">
        <v>13</v>
      </c>
      <c r="U50" s="14"/>
      <c r="V50" s="2">
        <v>11</v>
      </c>
      <c r="W50" s="14"/>
      <c r="X50" s="14">
        <v>10</v>
      </c>
      <c r="Y50" s="14"/>
      <c r="Z50" s="14">
        <v>17</v>
      </c>
      <c r="AA50" s="14">
        <v>23</v>
      </c>
      <c r="AB50" s="14">
        <v>57</v>
      </c>
      <c r="AC50" s="7"/>
      <c r="AD50" s="13">
        <v>91</v>
      </c>
      <c r="AE50" s="7"/>
      <c r="AF50" s="20">
        <v>53</v>
      </c>
      <c r="AG50" s="13">
        <v>10</v>
      </c>
      <c r="AH50" s="13">
        <v>32</v>
      </c>
      <c r="AI50" s="13">
        <v>6</v>
      </c>
      <c r="AJ50" s="13">
        <v>82</v>
      </c>
      <c r="AK50" s="13">
        <v>24</v>
      </c>
      <c r="AL50" s="7">
        <v>42</v>
      </c>
      <c r="AM50" s="7"/>
      <c r="AN50" s="7"/>
      <c r="AO50" s="7"/>
      <c r="AP50" s="7"/>
      <c r="AQ50" s="7"/>
      <c r="AR50" s="13">
        <v>14</v>
      </c>
      <c r="AS50" s="20">
        <v>3</v>
      </c>
      <c r="AT50" s="13">
        <v>21</v>
      </c>
      <c r="AU50" s="13">
        <v>20</v>
      </c>
      <c r="AV50" s="13">
        <v>45</v>
      </c>
      <c r="AW50" s="7"/>
      <c r="AX50" s="7"/>
      <c r="AY50" s="7"/>
      <c r="AZ50" s="7"/>
      <c r="BA50" s="7"/>
      <c r="BB50" s="7"/>
      <c r="BC50" s="7"/>
      <c r="BD50" s="7"/>
      <c r="BE50" s="7"/>
      <c r="BF50" s="7"/>
      <c r="BG50" s="7"/>
      <c r="BH50" s="11">
        <v>10</v>
      </c>
      <c r="BI50" s="7"/>
      <c r="BJ50" s="7"/>
      <c r="BK50" s="7"/>
      <c r="BL50" s="7"/>
      <c r="BM50" s="7"/>
      <c r="BN50" s="7"/>
      <c r="BO50" s="7"/>
      <c r="BP50" s="7"/>
    </row>
    <row r="51" spans="1:68" x14ac:dyDescent="0.2">
      <c r="A51" s="22" t="s">
        <v>180</v>
      </c>
      <c r="B51" s="23" t="s">
        <v>173</v>
      </c>
      <c r="C51" s="23" t="s">
        <v>91</v>
      </c>
      <c r="D51" s="23" t="s">
        <v>181</v>
      </c>
      <c r="E51" s="23" t="s">
        <v>96</v>
      </c>
      <c r="F51" s="25">
        <v>3.67</v>
      </c>
      <c r="G51" s="26">
        <v>5.5</v>
      </c>
      <c r="H51" s="26"/>
      <c r="I51" s="7">
        <v>294</v>
      </c>
      <c r="J51" s="7">
        <v>403</v>
      </c>
      <c r="K51" s="7">
        <v>237</v>
      </c>
      <c r="L51" s="2">
        <v>267</v>
      </c>
      <c r="M51" s="7">
        <v>155</v>
      </c>
      <c r="N51" s="7">
        <f>152</f>
        <v>152</v>
      </c>
      <c r="O51" s="7">
        <f>109</f>
        <v>109</v>
      </c>
      <c r="P51" s="7">
        <f>200</f>
        <v>200</v>
      </c>
      <c r="Q51" s="7">
        <f>244</f>
        <v>244</v>
      </c>
      <c r="R51" s="7">
        <f>1</f>
        <v>1</v>
      </c>
      <c r="S51" s="14">
        <v>176</v>
      </c>
      <c r="T51" s="14">
        <v>292</v>
      </c>
      <c r="U51" s="14">
        <v>303</v>
      </c>
      <c r="V51" s="14">
        <v>203</v>
      </c>
      <c r="W51" s="14">
        <v>303</v>
      </c>
      <c r="X51" s="14">
        <v>334</v>
      </c>
      <c r="Y51" s="14">
        <v>362</v>
      </c>
      <c r="Z51" s="14">
        <v>191</v>
      </c>
      <c r="AA51" s="14">
        <v>263</v>
      </c>
      <c r="AB51" s="14">
        <v>270</v>
      </c>
      <c r="AC51" s="7"/>
      <c r="AD51" s="13">
        <f>131</f>
        <v>131</v>
      </c>
      <c r="AE51" s="13">
        <f>86</f>
        <v>86</v>
      </c>
      <c r="AF51" s="13">
        <f>98</f>
        <v>98</v>
      </c>
      <c r="AG51" s="13">
        <f>101</f>
        <v>101</v>
      </c>
      <c r="AH51" s="13">
        <f>171</f>
        <v>171</v>
      </c>
      <c r="AI51" s="7">
        <v>149</v>
      </c>
      <c r="AJ51" s="26">
        <v>138</v>
      </c>
      <c r="AK51" s="13">
        <f>91</f>
        <v>91</v>
      </c>
      <c r="AL51" s="7">
        <v>154</v>
      </c>
      <c r="AM51" s="13">
        <f>15</f>
        <v>15</v>
      </c>
      <c r="AN51" s="13">
        <f>261</f>
        <v>261</v>
      </c>
      <c r="AO51" s="13">
        <f>179</f>
        <v>179</v>
      </c>
      <c r="AP51" s="13">
        <f>125</f>
        <v>125</v>
      </c>
      <c r="AQ51" s="13">
        <f>222</f>
        <v>222</v>
      </c>
      <c r="AR51" s="13">
        <f>269</f>
        <v>269</v>
      </c>
      <c r="AS51" s="13">
        <f>179</f>
        <v>179</v>
      </c>
      <c r="AT51" s="13">
        <f>104</f>
        <v>104</v>
      </c>
      <c r="AU51" s="13">
        <f>95</f>
        <v>95</v>
      </c>
      <c r="AV51" s="13">
        <f>124</f>
        <v>124</v>
      </c>
      <c r="AW51" s="7"/>
      <c r="AX51" s="13">
        <f>63</f>
        <v>63</v>
      </c>
      <c r="AY51" s="13">
        <f>34</f>
        <v>34</v>
      </c>
      <c r="AZ51" s="13">
        <f>82</f>
        <v>82</v>
      </c>
      <c r="BA51" s="13">
        <f>104</f>
        <v>104</v>
      </c>
      <c r="BB51" s="13">
        <f>301</f>
        <v>301</v>
      </c>
      <c r="BC51" s="13">
        <f>263</f>
        <v>263</v>
      </c>
      <c r="BD51" s="13">
        <f>99</f>
        <v>99</v>
      </c>
      <c r="BE51" s="20">
        <v>46</v>
      </c>
      <c r="BF51" s="13">
        <f>94</f>
        <v>94</v>
      </c>
      <c r="BG51" s="7"/>
      <c r="BH51" s="11">
        <v>128</v>
      </c>
      <c r="BI51" s="11">
        <v>193</v>
      </c>
      <c r="BJ51" s="11">
        <f>99</f>
        <v>99</v>
      </c>
      <c r="BK51" s="11">
        <v>104</v>
      </c>
      <c r="BL51" s="11">
        <f>128</f>
        <v>128</v>
      </c>
      <c r="BM51" s="11">
        <f>336+84</f>
        <v>420</v>
      </c>
      <c r="BN51" s="11">
        <v>64</v>
      </c>
      <c r="BO51" s="11">
        <v>95</v>
      </c>
      <c r="BP51" s="11">
        <v>54</v>
      </c>
    </row>
    <row r="52" spans="1:68" x14ac:dyDescent="0.2">
      <c r="A52" s="22" t="s">
        <v>182</v>
      </c>
      <c r="B52" s="23" t="s">
        <v>173</v>
      </c>
      <c r="C52" s="23" t="s">
        <v>91</v>
      </c>
      <c r="D52" s="23" t="s">
        <v>183</v>
      </c>
      <c r="E52" s="23" t="s">
        <v>96</v>
      </c>
      <c r="F52" s="25">
        <v>6.33</v>
      </c>
      <c r="G52" s="26">
        <v>9.5</v>
      </c>
      <c r="H52" s="26"/>
      <c r="I52" s="7">
        <v>39</v>
      </c>
      <c r="J52" s="7">
        <v>27</v>
      </c>
      <c r="K52" s="7">
        <v>19</v>
      </c>
      <c r="L52" s="2">
        <v>34</v>
      </c>
      <c r="M52" s="7">
        <v>4</v>
      </c>
      <c r="N52" s="7">
        <f>16</f>
        <v>16</v>
      </c>
      <c r="O52" s="7">
        <f>5</f>
        <v>5</v>
      </c>
      <c r="P52" s="7">
        <f>48</f>
        <v>48</v>
      </c>
      <c r="Q52" s="7">
        <f>31</f>
        <v>31</v>
      </c>
      <c r="R52" s="7">
        <f>39</f>
        <v>39</v>
      </c>
      <c r="S52" s="14">
        <v>59</v>
      </c>
      <c r="T52" s="14">
        <v>3</v>
      </c>
      <c r="U52" s="14"/>
      <c r="V52" s="14">
        <v>10</v>
      </c>
      <c r="W52" s="14">
        <v>6</v>
      </c>
      <c r="X52" s="14">
        <v>1</v>
      </c>
      <c r="Y52" s="14"/>
      <c r="Z52" s="14"/>
      <c r="AA52" s="14">
        <v>6</v>
      </c>
      <c r="AB52" s="14">
        <v>1</v>
      </c>
      <c r="AC52" s="13">
        <f>10</f>
        <v>10</v>
      </c>
      <c r="AD52" s="13">
        <f>25</f>
        <v>25</v>
      </c>
      <c r="AE52" s="13">
        <f>11</f>
        <v>11</v>
      </c>
      <c r="AF52" s="13">
        <f>17</f>
        <v>17</v>
      </c>
      <c r="AG52" s="13">
        <f>6</f>
        <v>6</v>
      </c>
      <c r="AH52" s="13">
        <f>19</f>
        <v>19</v>
      </c>
      <c r="AI52" s="7"/>
      <c r="AJ52" s="13">
        <f>13</f>
        <v>13</v>
      </c>
      <c r="AK52" s="13">
        <f>7</f>
        <v>7</v>
      </c>
      <c r="AL52" s="7">
        <v>18</v>
      </c>
      <c r="AM52" s="7"/>
      <c r="AN52" s="13">
        <f>172</f>
        <v>172</v>
      </c>
      <c r="AO52" s="13">
        <f>6</f>
        <v>6</v>
      </c>
      <c r="AP52" s="13">
        <f>26</f>
        <v>26</v>
      </c>
      <c r="AQ52" s="13">
        <f>16</f>
        <v>16</v>
      </c>
      <c r="AR52" s="13">
        <f>29</f>
        <v>29</v>
      </c>
      <c r="AS52" s="13">
        <f>14</f>
        <v>14</v>
      </c>
      <c r="AT52" s="13">
        <f>4</f>
        <v>4</v>
      </c>
      <c r="AU52" s="13">
        <f>6+12</f>
        <v>18</v>
      </c>
      <c r="AV52" s="13">
        <f>9</f>
        <v>9</v>
      </c>
      <c r="AW52" s="13">
        <f>4</f>
        <v>4</v>
      </c>
      <c r="AX52" s="13">
        <f>22</f>
        <v>22</v>
      </c>
      <c r="AY52" s="13">
        <f>7</f>
        <v>7</v>
      </c>
      <c r="AZ52" s="13">
        <f>39</f>
        <v>39</v>
      </c>
      <c r="BA52" s="13">
        <f>24</f>
        <v>24</v>
      </c>
      <c r="BB52" s="13">
        <f>19</f>
        <v>19</v>
      </c>
      <c r="BC52" s="13">
        <f>115</f>
        <v>115</v>
      </c>
      <c r="BD52" s="13">
        <f>27</f>
        <v>27</v>
      </c>
      <c r="BE52" s="20">
        <v>33</v>
      </c>
      <c r="BF52" s="13">
        <f>71</f>
        <v>71</v>
      </c>
      <c r="BG52" s="11">
        <f>6</f>
        <v>6</v>
      </c>
      <c r="BH52" s="11">
        <v>50</v>
      </c>
      <c r="BI52" s="11">
        <f>10+14</f>
        <v>24</v>
      </c>
      <c r="BJ52" s="11">
        <f>99</f>
        <v>99</v>
      </c>
      <c r="BK52" s="11">
        <v>37</v>
      </c>
      <c r="BL52" s="11">
        <f>103</f>
        <v>103</v>
      </c>
      <c r="BM52" s="11">
        <f>51</f>
        <v>51</v>
      </c>
      <c r="BN52" s="11">
        <v>140</v>
      </c>
      <c r="BO52" s="11">
        <v>132</v>
      </c>
      <c r="BP52" s="11">
        <v>102</v>
      </c>
    </row>
    <row r="53" spans="1:68" x14ac:dyDescent="0.2">
      <c r="A53" s="22" t="s">
        <v>184</v>
      </c>
      <c r="B53" s="23" t="s">
        <v>173</v>
      </c>
      <c r="C53" s="23" t="s">
        <v>91</v>
      </c>
      <c r="D53" s="23" t="s">
        <v>185</v>
      </c>
      <c r="E53" s="23" t="s">
        <v>96</v>
      </c>
      <c r="F53" s="25">
        <v>9</v>
      </c>
      <c r="G53" s="26">
        <v>14</v>
      </c>
      <c r="H53" s="26"/>
      <c r="I53" s="7"/>
      <c r="J53" s="7"/>
      <c r="K53" s="7"/>
      <c r="L53" s="7"/>
      <c r="M53" s="7"/>
      <c r="N53" s="7"/>
      <c r="O53" s="7"/>
      <c r="P53" s="7"/>
      <c r="Q53" s="7"/>
      <c r="R53" s="7"/>
      <c r="S53" s="14"/>
      <c r="T53" s="14">
        <v>1</v>
      </c>
      <c r="U53" s="14"/>
      <c r="V53" s="14">
        <v>1</v>
      </c>
      <c r="W53" s="14"/>
      <c r="X53" s="14"/>
      <c r="Y53" s="14"/>
      <c r="Z53" s="14"/>
      <c r="AA53" s="14"/>
      <c r="AB53" s="14"/>
      <c r="AC53" s="7"/>
      <c r="AD53" s="13">
        <f>1</f>
        <v>1</v>
      </c>
      <c r="AE53" s="7"/>
      <c r="AF53" s="7"/>
      <c r="AG53" s="7"/>
      <c r="AH53" s="13">
        <f>1</f>
        <v>1</v>
      </c>
      <c r="AI53" s="7">
        <v>2</v>
      </c>
      <c r="AJ53" s="7"/>
      <c r="AK53" s="13">
        <f>7</f>
        <v>7</v>
      </c>
      <c r="AL53" s="7"/>
      <c r="AM53" s="7"/>
      <c r="AN53" s="13">
        <f>27</f>
        <v>27</v>
      </c>
      <c r="AO53" s="7"/>
      <c r="AP53" s="13">
        <f>4</f>
        <v>4</v>
      </c>
      <c r="AQ53" s="13">
        <f>2</f>
        <v>2</v>
      </c>
      <c r="AR53" s="7"/>
      <c r="AS53" s="7"/>
      <c r="AT53" s="7"/>
      <c r="AU53" s="13">
        <f>11</f>
        <v>11</v>
      </c>
      <c r="AV53" s="13">
        <f>3</f>
        <v>3</v>
      </c>
      <c r="AW53" s="7"/>
      <c r="AX53" s="13">
        <f>2</f>
        <v>2</v>
      </c>
      <c r="AY53" s="13">
        <f>3</f>
        <v>3</v>
      </c>
      <c r="AZ53" s="13">
        <f>54</f>
        <v>54</v>
      </c>
      <c r="BA53" s="13">
        <f>1</f>
        <v>1</v>
      </c>
      <c r="BB53" s="13">
        <f>5</f>
        <v>5</v>
      </c>
      <c r="BC53" s="13">
        <f>5</f>
        <v>5</v>
      </c>
      <c r="BD53" s="13">
        <f>2</f>
        <v>2</v>
      </c>
      <c r="BE53" s="20">
        <v>3</v>
      </c>
      <c r="BF53" s="13">
        <f>5</f>
        <v>5</v>
      </c>
      <c r="BG53" s="11">
        <f>15</f>
        <v>15</v>
      </c>
      <c r="BH53" s="7"/>
      <c r="BI53" s="11">
        <v>14</v>
      </c>
      <c r="BJ53" s="11">
        <v>26</v>
      </c>
      <c r="BK53" s="11">
        <v>7</v>
      </c>
      <c r="BL53" s="11">
        <v>30</v>
      </c>
      <c r="BM53" s="11">
        <f>13</f>
        <v>13</v>
      </c>
      <c r="BN53" s="11">
        <v>51</v>
      </c>
      <c r="BO53" s="11">
        <v>26</v>
      </c>
      <c r="BP53" s="11">
        <v>111</v>
      </c>
    </row>
    <row r="54" spans="1:68" ht="17" x14ac:dyDescent="0.2">
      <c r="A54" s="4" t="s">
        <v>186</v>
      </c>
      <c r="B54" s="5" t="s">
        <v>173</v>
      </c>
      <c r="C54" s="5" t="s">
        <v>187</v>
      </c>
      <c r="D54" s="5" t="s">
        <v>188</v>
      </c>
      <c r="E54" s="5" t="s">
        <v>70</v>
      </c>
      <c r="F54" s="1">
        <v>4</v>
      </c>
      <c r="G54" s="1">
        <v>4</v>
      </c>
      <c r="H54" s="1"/>
      <c r="I54" s="7"/>
      <c r="J54" s="7"/>
      <c r="K54" s="7"/>
      <c r="L54" s="7"/>
      <c r="M54" s="7"/>
      <c r="N54" s="7"/>
      <c r="O54" s="7"/>
      <c r="P54" s="7"/>
      <c r="Q54" s="7"/>
      <c r="R54" s="7"/>
      <c r="S54" s="7"/>
      <c r="T54" s="7"/>
      <c r="U54" s="7"/>
      <c r="V54" s="7">
        <v>20</v>
      </c>
      <c r="W54" s="7">
        <v>38</v>
      </c>
      <c r="X54" s="7">
        <v>33</v>
      </c>
      <c r="Y54" s="7">
        <v>37</v>
      </c>
      <c r="Z54" s="7">
        <v>10</v>
      </c>
      <c r="AA54" s="7">
        <v>17</v>
      </c>
      <c r="AB54" s="7">
        <f>7</f>
        <v>7</v>
      </c>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row>
    <row r="55" spans="1:68" ht="17" x14ac:dyDescent="0.2">
      <c r="A55" s="4" t="s">
        <v>189</v>
      </c>
      <c r="B55" s="5" t="s">
        <v>173</v>
      </c>
      <c r="C55" s="5" t="s">
        <v>187</v>
      </c>
      <c r="D55" s="5" t="s">
        <v>190</v>
      </c>
      <c r="E55" s="5" t="s">
        <v>70</v>
      </c>
      <c r="F55" s="1">
        <v>6</v>
      </c>
      <c r="G55" s="1">
        <v>6</v>
      </c>
      <c r="H55" s="1"/>
      <c r="I55" s="7"/>
      <c r="J55" s="7"/>
      <c r="K55" s="7"/>
      <c r="L55" s="7"/>
      <c r="M55" s="7"/>
      <c r="N55" s="7"/>
      <c r="O55" s="7"/>
      <c r="P55" s="7"/>
      <c r="Q55" s="7"/>
      <c r="R55" s="7"/>
      <c r="S55" s="7"/>
      <c r="T55" s="7">
        <v>30</v>
      </c>
      <c r="U55" s="7">
        <v>21</v>
      </c>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row>
    <row r="56" spans="1:68" ht="17" x14ac:dyDescent="0.2">
      <c r="A56" s="1" t="s">
        <v>192</v>
      </c>
      <c r="B56" s="1" t="s">
        <v>191</v>
      </c>
      <c r="C56" s="1" t="s">
        <v>91</v>
      </c>
      <c r="D56" s="1" t="s">
        <v>193</v>
      </c>
      <c r="E56" s="1" t="s">
        <v>75</v>
      </c>
      <c r="F56" s="1">
        <v>2</v>
      </c>
      <c r="G56" s="1">
        <v>10</v>
      </c>
      <c r="H56" s="1"/>
      <c r="I56" s="7"/>
      <c r="J56" s="24"/>
      <c r="K56" s="7"/>
      <c r="L56" s="7"/>
      <c r="M56" s="7">
        <f>1</f>
        <v>1</v>
      </c>
      <c r="N56" s="7"/>
      <c r="O56" s="7"/>
      <c r="P56" s="7"/>
      <c r="Q56" s="7"/>
      <c r="R56" s="7"/>
      <c r="S56" s="14"/>
      <c r="T56" s="14"/>
      <c r="U56" s="14"/>
      <c r="V56" s="14"/>
      <c r="W56" s="14"/>
      <c r="X56" s="14"/>
      <c r="Y56" s="14"/>
      <c r="Z56" s="14"/>
      <c r="AA56" s="14"/>
      <c r="AB56" s="14"/>
      <c r="AC56" s="7"/>
      <c r="AD56" s="7"/>
      <c r="AE56" s="7"/>
      <c r="AF56" s="7"/>
      <c r="AG56" s="7"/>
      <c r="AH56" s="7"/>
      <c r="AI56" s="7"/>
      <c r="AJ56" s="7"/>
      <c r="AK56" s="7"/>
      <c r="AL56" s="7"/>
      <c r="AM56" s="7"/>
      <c r="AN56" s="7"/>
      <c r="AO56" s="7"/>
      <c r="AP56" s="7"/>
      <c r="AQ56" s="7"/>
      <c r="AR56" s="7"/>
      <c r="AS56" s="7"/>
      <c r="AT56" s="7"/>
      <c r="AU56" s="7"/>
      <c r="AV56" s="7"/>
      <c r="AW56" s="7">
        <v>2</v>
      </c>
      <c r="AX56" s="7"/>
      <c r="AY56" s="7"/>
      <c r="AZ56" s="7"/>
      <c r="BA56" s="7"/>
      <c r="BB56" s="7"/>
      <c r="BC56" s="7"/>
      <c r="BD56" s="7"/>
      <c r="BE56" s="15"/>
      <c r="BF56" s="7"/>
      <c r="BG56" s="7"/>
      <c r="BH56" s="7"/>
      <c r="BI56" s="7"/>
      <c r="BJ56" s="7"/>
      <c r="BK56" s="7"/>
      <c r="BL56" s="15"/>
      <c r="BM56" s="11">
        <f>27</f>
        <v>27</v>
      </c>
      <c r="BN56" s="15"/>
      <c r="BO56" s="11">
        <f>4</f>
        <v>4</v>
      </c>
      <c r="BP56" s="7"/>
    </row>
    <row r="57" spans="1:68" ht="17" x14ac:dyDescent="0.2">
      <c r="A57" s="1" t="s">
        <v>194</v>
      </c>
      <c r="B57" s="1" t="s">
        <v>191</v>
      </c>
      <c r="C57" s="1" t="s">
        <v>91</v>
      </c>
      <c r="D57" s="1" t="s">
        <v>195</v>
      </c>
      <c r="E57" s="1" t="s">
        <v>75</v>
      </c>
      <c r="F57" s="1">
        <v>3</v>
      </c>
      <c r="G57" s="1">
        <v>8</v>
      </c>
      <c r="H57" s="1"/>
      <c r="I57" s="7"/>
      <c r="J57" s="7"/>
      <c r="K57" s="7"/>
      <c r="L57" s="7"/>
      <c r="M57" s="7">
        <f>28</f>
        <v>28</v>
      </c>
      <c r="N57" s="7"/>
      <c r="O57" s="7"/>
      <c r="P57" s="7"/>
      <c r="Q57" s="7"/>
      <c r="R57" s="7"/>
      <c r="S57" s="14"/>
      <c r="T57" s="14"/>
      <c r="U57" s="14"/>
      <c r="V57" s="14"/>
      <c r="W57" s="14"/>
      <c r="X57" s="14"/>
      <c r="Y57" s="14"/>
      <c r="Z57" s="14"/>
      <c r="AA57" s="14">
        <v>18</v>
      </c>
      <c r="AB57" s="14"/>
      <c r="AC57" s="7"/>
      <c r="AD57" s="7"/>
      <c r="AE57" s="7"/>
      <c r="AF57" s="7"/>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15"/>
      <c r="BM57" s="7"/>
      <c r="BN57" s="15"/>
      <c r="BO57" s="7"/>
      <c r="BP57" s="7"/>
    </row>
    <row r="58" spans="1:68" ht="17" x14ac:dyDescent="0.2">
      <c r="A58" s="4" t="s">
        <v>196</v>
      </c>
      <c r="B58" s="1" t="s">
        <v>191</v>
      </c>
      <c r="C58" s="1" t="s">
        <v>91</v>
      </c>
      <c r="D58" s="5" t="s">
        <v>197</v>
      </c>
      <c r="E58" s="5" t="s">
        <v>96</v>
      </c>
      <c r="F58" s="1">
        <v>4</v>
      </c>
      <c r="G58" s="1">
        <v>8</v>
      </c>
      <c r="H58" s="1"/>
      <c r="I58" s="7"/>
      <c r="J58" s="7"/>
      <c r="K58" s="7"/>
      <c r="L58" s="7"/>
      <c r="M58" s="7"/>
      <c r="N58" s="7"/>
      <c r="O58" s="7"/>
      <c r="P58" s="7"/>
      <c r="Q58" s="7"/>
      <c r="R58" s="7"/>
      <c r="S58" s="14"/>
      <c r="T58" s="14"/>
      <c r="U58" s="14"/>
      <c r="V58" s="14"/>
      <c r="W58" s="14"/>
      <c r="X58" s="14"/>
      <c r="Y58" s="14"/>
      <c r="Z58" s="14"/>
      <c r="AA58" s="14"/>
      <c r="AB58" s="14">
        <f>12</f>
        <v>12</v>
      </c>
      <c r="AC58" s="7"/>
      <c r="AD58" s="7"/>
      <c r="AE58" s="7"/>
      <c r="AF58" s="7"/>
      <c r="AG58" s="7"/>
      <c r="AH58" s="7"/>
      <c r="AI58" s="7"/>
      <c r="AJ58" s="7"/>
      <c r="AK58" s="7"/>
      <c r="AL58" s="7"/>
      <c r="AM58" s="7">
        <v>5</v>
      </c>
      <c r="AN58" s="7"/>
      <c r="AO58" s="7"/>
      <c r="AP58" s="7"/>
      <c r="AQ58" s="7"/>
      <c r="AR58" s="7"/>
      <c r="AS58" s="7"/>
      <c r="AT58" s="7"/>
      <c r="AU58" s="7"/>
      <c r="AV58" s="7"/>
      <c r="AW58" s="7"/>
      <c r="AX58" s="7"/>
      <c r="AY58" s="7"/>
      <c r="AZ58" s="7"/>
      <c r="BA58" s="7"/>
      <c r="BB58" s="7"/>
      <c r="BC58" s="7"/>
      <c r="BD58" s="7"/>
      <c r="BE58" s="7"/>
      <c r="BF58" s="7"/>
      <c r="BG58" s="7"/>
      <c r="BH58" s="7"/>
      <c r="BI58" s="7"/>
      <c r="BJ58" s="11">
        <f>11</f>
        <v>11</v>
      </c>
      <c r="BK58" s="7"/>
      <c r="BL58" s="7"/>
      <c r="BM58" s="24">
        <v>115</v>
      </c>
      <c r="BN58" s="7">
        <v>6</v>
      </c>
      <c r="BO58" s="7"/>
      <c r="BP58" s="7"/>
    </row>
    <row r="59" spans="1:68" ht="17" x14ac:dyDescent="0.2">
      <c r="A59" s="4" t="s">
        <v>198</v>
      </c>
      <c r="B59" s="1" t="s">
        <v>191</v>
      </c>
      <c r="C59" s="1" t="s">
        <v>91</v>
      </c>
      <c r="D59" s="5" t="s">
        <v>199</v>
      </c>
      <c r="E59" s="5" t="s">
        <v>96</v>
      </c>
      <c r="F59" s="1">
        <v>6</v>
      </c>
      <c r="G59" s="1">
        <v>14</v>
      </c>
      <c r="H59" s="1"/>
      <c r="I59" s="7"/>
      <c r="J59" s="7">
        <v>7</v>
      </c>
      <c r="K59" s="7"/>
      <c r="L59" s="7"/>
      <c r="M59" s="7"/>
      <c r="N59" s="7"/>
      <c r="O59" s="7"/>
      <c r="P59" s="7"/>
      <c r="Q59" s="7"/>
      <c r="R59" s="7"/>
      <c r="S59" s="14"/>
      <c r="T59" s="14"/>
      <c r="U59" s="14"/>
      <c r="V59" s="14"/>
      <c r="W59" s="14"/>
      <c r="X59" s="14"/>
      <c r="Y59" s="14"/>
      <c r="Z59" s="14"/>
      <c r="AA59" s="14"/>
      <c r="AB59" s="14">
        <v>2</v>
      </c>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11">
        <f>2</f>
        <v>2</v>
      </c>
      <c r="BL59" s="7"/>
      <c r="BM59" s="7"/>
      <c r="BN59" s="7"/>
      <c r="BO59" s="7"/>
      <c r="BP59" s="7"/>
    </row>
    <row r="60" spans="1:68" ht="17" x14ac:dyDescent="0.2">
      <c r="A60" s="4" t="s">
        <v>200</v>
      </c>
      <c r="B60" s="1" t="s">
        <v>191</v>
      </c>
      <c r="C60" s="1" t="s">
        <v>91</v>
      </c>
      <c r="D60" s="5" t="s">
        <v>201</v>
      </c>
      <c r="E60" s="5" t="s">
        <v>96</v>
      </c>
      <c r="F60" s="1">
        <v>8</v>
      </c>
      <c r="G60" s="1">
        <v>12</v>
      </c>
      <c r="H60" s="1"/>
      <c r="I60" s="7"/>
      <c r="J60" s="7"/>
      <c r="K60" s="7"/>
      <c r="L60" s="7"/>
      <c r="M60" s="7"/>
      <c r="N60" s="7"/>
      <c r="O60" s="7"/>
      <c r="P60" s="7"/>
      <c r="Q60" s="7"/>
      <c r="R60" s="7"/>
      <c r="S60" s="14"/>
      <c r="T60" s="14"/>
      <c r="U60" s="14"/>
      <c r="V60" s="14"/>
      <c r="W60" s="14"/>
      <c r="X60" s="14"/>
      <c r="Y60" s="14"/>
      <c r="Z60" s="14"/>
      <c r="AA60" s="14"/>
      <c r="AB60" s="14"/>
      <c r="AC60" s="13">
        <f>1</f>
        <v>1</v>
      </c>
      <c r="AD60" s="7"/>
      <c r="AE60" s="7"/>
      <c r="AF60" s="7"/>
      <c r="AG60" s="7"/>
      <c r="AH60" s="7"/>
      <c r="AI60" s="7"/>
      <c r="AJ60" s="7"/>
      <c r="AK60" s="7"/>
      <c r="AL60" s="7"/>
      <c r="AM60" s="7">
        <v>9</v>
      </c>
      <c r="AN60" s="7"/>
      <c r="AO60" s="7"/>
      <c r="AP60" s="7"/>
      <c r="AQ60" s="7"/>
      <c r="AR60" s="7"/>
      <c r="AS60" s="7"/>
      <c r="AT60" s="7"/>
      <c r="AU60" s="7"/>
      <c r="AV60" s="7"/>
      <c r="AW60" s="7">
        <v>1</v>
      </c>
      <c r="AX60" s="7"/>
      <c r="AY60" s="7"/>
      <c r="AZ60" s="7"/>
      <c r="BA60" s="7"/>
      <c r="BB60" s="7"/>
      <c r="BC60" s="7"/>
      <c r="BD60" s="7"/>
      <c r="BE60" s="7"/>
      <c r="BF60" s="7"/>
      <c r="BG60" s="7"/>
      <c r="BH60" s="7"/>
      <c r="BI60" s="7"/>
      <c r="BJ60" s="7"/>
      <c r="BK60" s="7"/>
      <c r="BL60" s="7"/>
      <c r="BM60" s="7"/>
      <c r="BN60" s="7"/>
      <c r="BO60" s="7"/>
      <c r="BP60" s="7"/>
    </row>
    <row r="61" spans="1:68" ht="17" x14ac:dyDescent="0.2">
      <c r="A61" s="28" t="s">
        <v>202</v>
      </c>
      <c r="B61" s="1" t="s">
        <v>191</v>
      </c>
      <c r="C61" s="1" t="s">
        <v>91</v>
      </c>
      <c r="D61" s="29" t="s">
        <v>203</v>
      </c>
      <c r="E61" s="29" t="s">
        <v>70</v>
      </c>
      <c r="F61" s="1">
        <v>10</v>
      </c>
      <c r="G61" s="1">
        <v>10</v>
      </c>
      <c r="H61" s="30"/>
      <c r="I61" s="31"/>
      <c r="J61" s="31"/>
      <c r="K61" s="31"/>
      <c r="L61" s="31"/>
      <c r="M61" s="31"/>
      <c r="N61" s="31"/>
      <c r="O61" s="31">
        <f>1</f>
        <v>1</v>
      </c>
      <c r="P61" s="31">
        <f>6</f>
        <v>6</v>
      </c>
      <c r="Q61" s="31"/>
      <c r="R61" s="31"/>
      <c r="S61" s="32"/>
      <c r="T61" s="32"/>
      <c r="U61" s="32"/>
      <c r="V61" s="32"/>
      <c r="W61" s="32"/>
      <c r="X61" s="32"/>
      <c r="Y61" s="32"/>
      <c r="Z61" s="32"/>
      <c r="AA61" s="32"/>
      <c r="AB61" s="32"/>
      <c r="AC61" s="31"/>
      <c r="AD61" s="31"/>
      <c r="AE61" s="31"/>
      <c r="AF61" s="31"/>
      <c r="AG61" s="31"/>
      <c r="AH61" s="31"/>
      <c r="AI61" s="31"/>
      <c r="AJ61" s="31"/>
      <c r="AK61" s="31"/>
      <c r="AL61" s="31"/>
      <c r="AM61" s="31"/>
      <c r="AN61" s="31"/>
      <c r="AO61" s="31"/>
      <c r="AP61" s="31"/>
      <c r="AQ61" s="31"/>
      <c r="AR61" s="31"/>
      <c r="AS61" s="31"/>
      <c r="AT61" s="31"/>
      <c r="AU61" s="31"/>
      <c r="AV61" s="31"/>
      <c r="AW61" s="31"/>
      <c r="AX61" s="31"/>
      <c r="AY61" s="31"/>
      <c r="AZ61" s="31"/>
      <c r="BA61" s="31"/>
      <c r="BB61" s="31"/>
      <c r="BC61" s="31"/>
      <c r="BD61" s="31"/>
      <c r="BE61" s="31"/>
      <c r="BF61" s="31"/>
      <c r="BG61" s="7"/>
      <c r="BH61" s="7"/>
      <c r="BI61" s="7"/>
      <c r="BJ61" s="7"/>
      <c r="BK61" s="7"/>
      <c r="BL61" s="7"/>
      <c r="BM61" s="7"/>
      <c r="BN61" s="7"/>
      <c r="BO61" s="7"/>
      <c r="BP61" s="7"/>
    </row>
    <row r="62" spans="1:68" ht="17" x14ac:dyDescent="0.2">
      <c r="A62" s="1" t="s">
        <v>204</v>
      </c>
      <c r="B62" s="1" t="s">
        <v>191</v>
      </c>
      <c r="C62" s="1" t="s">
        <v>91</v>
      </c>
      <c r="D62" s="5" t="s">
        <v>205</v>
      </c>
      <c r="E62" s="29" t="s">
        <v>70</v>
      </c>
      <c r="F62" s="1">
        <v>10</v>
      </c>
      <c r="G62" s="1">
        <v>16</v>
      </c>
      <c r="H62" s="1"/>
      <c r="I62" s="7"/>
      <c r="J62" s="7"/>
      <c r="K62" s="7"/>
      <c r="L62" s="7"/>
      <c r="M62" s="7">
        <f>6</f>
        <v>6</v>
      </c>
      <c r="N62" s="7"/>
      <c r="O62" s="7"/>
      <c r="P62" s="7"/>
      <c r="Q62" s="7"/>
      <c r="R62" s="7"/>
      <c r="S62" s="14"/>
      <c r="T62" s="14"/>
      <c r="U62" s="14"/>
      <c r="V62" s="14"/>
      <c r="W62" s="14"/>
      <c r="X62" s="14"/>
      <c r="Y62" s="14"/>
      <c r="Z62" s="14"/>
      <c r="AA62" s="14"/>
      <c r="AB62" s="14"/>
      <c r="AC62" s="7"/>
      <c r="AD62" s="7"/>
      <c r="AE62" s="7"/>
      <c r="AF62" s="7"/>
      <c r="AG62" s="7"/>
      <c r="AH62" s="7"/>
      <c r="AI62" s="7"/>
      <c r="AJ62" s="7"/>
      <c r="AK62" s="7"/>
      <c r="AL62" s="7"/>
      <c r="AM62" s="7">
        <v>4</v>
      </c>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row>
    <row r="63" spans="1:68" ht="17" x14ac:dyDescent="0.2">
      <c r="A63" s="1" t="s">
        <v>206</v>
      </c>
      <c r="B63" s="1" t="s">
        <v>191</v>
      </c>
      <c r="C63" s="1" t="s">
        <v>91</v>
      </c>
      <c r="D63" s="1" t="s">
        <v>207</v>
      </c>
      <c r="E63" s="29" t="s">
        <v>70</v>
      </c>
      <c r="F63" s="1">
        <v>12</v>
      </c>
      <c r="G63" s="1">
        <v>12</v>
      </c>
      <c r="H63" s="1"/>
      <c r="I63" s="7"/>
      <c r="J63" s="7"/>
      <c r="K63" s="7"/>
      <c r="L63" s="7">
        <f>6</f>
        <v>6</v>
      </c>
      <c r="M63" s="7"/>
      <c r="N63" s="7"/>
      <c r="O63" s="7"/>
      <c r="P63" s="7"/>
      <c r="Q63" s="7"/>
      <c r="R63" s="7"/>
      <c r="S63" s="14"/>
      <c r="T63" s="14"/>
      <c r="U63" s="14"/>
      <c r="V63" s="14"/>
      <c r="W63" s="14"/>
      <c r="X63" s="14"/>
      <c r="Y63" s="14"/>
      <c r="Z63" s="14"/>
      <c r="AA63" s="14"/>
      <c r="AB63" s="14"/>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row>
    <row r="64" spans="1:68" ht="17" x14ac:dyDescent="0.2">
      <c r="A64" s="1" t="s">
        <v>208</v>
      </c>
      <c r="B64" s="1" t="s">
        <v>191</v>
      </c>
      <c r="C64" s="1" t="s">
        <v>209</v>
      </c>
      <c r="D64" s="1" t="s">
        <v>210</v>
      </c>
      <c r="E64" s="1" t="s">
        <v>75</v>
      </c>
      <c r="F64" s="1">
        <v>3</v>
      </c>
      <c r="G64" s="1">
        <v>26</v>
      </c>
      <c r="H64" s="1"/>
      <c r="I64" s="7"/>
      <c r="J64" s="7"/>
      <c r="K64" s="7"/>
      <c r="L64" s="7"/>
      <c r="M64" s="7"/>
      <c r="N64" s="7"/>
      <c r="O64" s="7"/>
      <c r="P64" s="7"/>
      <c r="Q64" s="7"/>
      <c r="R64" s="7"/>
      <c r="S64" s="14"/>
      <c r="T64" s="14"/>
      <c r="U64" s="14"/>
      <c r="V64" s="14"/>
      <c r="W64" s="14"/>
      <c r="X64" s="14"/>
      <c r="Y64" s="14"/>
      <c r="Z64" s="14"/>
      <c r="AA64" s="14"/>
      <c r="AB64" s="14"/>
      <c r="AC64" s="7"/>
      <c r="AD64" s="7"/>
      <c r="AE64" s="7"/>
      <c r="AF64" s="7"/>
      <c r="AG64" s="13">
        <f>42</f>
        <v>42</v>
      </c>
      <c r="AH64" s="13">
        <f>25</f>
        <v>25</v>
      </c>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row>
    <row r="65" spans="1:68" ht="17" x14ac:dyDescent="0.2">
      <c r="A65" s="1" t="s">
        <v>211</v>
      </c>
      <c r="B65" s="1" t="s">
        <v>191</v>
      </c>
      <c r="C65" s="1" t="s">
        <v>209</v>
      </c>
      <c r="D65" s="1" t="s">
        <v>212</v>
      </c>
      <c r="E65" s="1" t="s">
        <v>75</v>
      </c>
      <c r="F65" s="1">
        <v>4</v>
      </c>
      <c r="G65" s="1">
        <v>8</v>
      </c>
      <c r="H65" s="1"/>
      <c r="I65" s="7"/>
      <c r="J65" s="7"/>
      <c r="K65" s="7"/>
      <c r="L65" s="7"/>
      <c r="M65" s="7"/>
      <c r="N65" s="7"/>
      <c r="O65" s="7"/>
      <c r="P65" s="7"/>
      <c r="Q65" s="7"/>
      <c r="R65" s="7"/>
      <c r="S65" s="14"/>
      <c r="T65" s="14"/>
      <c r="U65" s="14"/>
      <c r="V65" s="14"/>
      <c r="W65" s="14"/>
      <c r="X65" s="14"/>
      <c r="Y65" s="14"/>
      <c r="Z65" s="14"/>
      <c r="AA65" s="14"/>
      <c r="AB65" s="14"/>
      <c r="AC65" s="7"/>
      <c r="AD65" s="7"/>
      <c r="AE65" s="7"/>
      <c r="AF65" s="7"/>
      <c r="AG65" s="7"/>
      <c r="AH65" s="7"/>
      <c r="AI65" s="7"/>
      <c r="AJ65" s="7"/>
      <c r="AK65" s="7"/>
      <c r="AL65" s="7">
        <v>2</v>
      </c>
      <c r="AM65" s="7"/>
      <c r="AN65" s="7"/>
      <c r="AO65" s="7"/>
      <c r="AP65" s="7"/>
      <c r="AQ65" s="13">
        <f>46</f>
        <v>46</v>
      </c>
      <c r="AR65" s="7"/>
      <c r="AS65" s="7"/>
      <c r="AT65" s="7"/>
      <c r="AU65" s="7"/>
      <c r="AV65" s="7"/>
      <c r="AW65" s="7"/>
      <c r="AX65" s="7"/>
      <c r="AY65" s="7"/>
      <c r="AZ65" s="7"/>
      <c r="BA65" s="7"/>
      <c r="BB65" s="7"/>
      <c r="BC65" s="7"/>
      <c r="BD65" s="7"/>
      <c r="BE65" s="7"/>
      <c r="BF65" s="7"/>
      <c r="BG65" s="7"/>
      <c r="BH65" s="7"/>
      <c r="BI65" s="11">
        <f>31</f>
        <v>31</v>
      </c>
      <c r="BJ65" s="7"/>
      <c r="BK65" s="7"/>
      <c r="BL65" s="7"/>
      <c r="BM65" s="2"/>
      <c r="BN65" s="7"/>
      <c r="BO65" s="7"/>
      <c r="BP65" s="7"/>
    </row>
    <row r="66" spans="1:68" ht="17" x14ac:dyDescent="0.2">
      <c r="A66" s="1" t="s">
        <v>213</v>
      </c>
      <c r="B66" s="1" t="s">
        <v>191</v>
      </c>
      <c r="C66" s="1" t="s">
        <v>209</v>
      </c>
      <c r="D66" s="1" t="s">
        <v>214</v>
      </c>
      <c r="E66" s="1" t="s">
        <v>75</v>
      </c>
      <c r="F66" s="1">
        <v>4</v>
      </c>
      <c r="G66" s="1">
        <v>10</v>
      </c>
      <c r="H66" s="1"/>
      <c r="I66" s="7"/>
      <c r="J66" s="7"/>
      <c r="K66" s="7"/>
      <c r="L66" s="7"/>
      <c r="M66" s="7"/>
      <c r="N66" s="7"/>
      <c r="O66" s="7"/>
      <c r="P66" s="7"/>
      <c r="Q66" s="7"/>
      <c r="R66" s="7"/>
      <c r="S66" s="14"/>
      <c r="T66" s="14"/>
      <c r="U66" s="14"/>
      <c r="V66" s="14"/>
      <c r="W66" s="14"/>
      <c r="X66" s="14"/>
      <c r="Y66" s="14"/>
      <c r="Z66" s="14"/>
      <c r="AA66" s="14">
        <f>62</f>
        <v>62</v>
      </c>
      <c r="AB66" s="14"/>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11">
        <f>76</f>
        <v>76</v>
      </c>
      <c r="BK66" s="7"/>
      <c r="BL66" s="7"/>
      <c r="BM66" s="7"/>
      <c r="BN66" s="7"/>
      <c r="BO66" s="7"/>
      <c r="BP66" s="7"/>
    </row>
    <row r="67" spans="1:68" ht="17" x14ac:dyDescent="0.2">
      <c r="A67" s="33" t="s">
        <v>215</v>
      </c>
      <c r="B67" s="34" t="s">
        <v>191</v>
      </c>
      <c r="C67" s="1" t="s">
        <v>209</v>
      </c>
      <c r="D67" s="34" t="s">
        <v>216</v>
      </c>
      <c r="E67" s="1" t="s">
        <v>75</v>
      </c>
      <c r="F67" s="1">
        <v>4</v>
      </c>
      <c r="G67" s="1">
        <v>12</v>
      </c>
      <c r="H67" s="35"/>
      <c r="I67" s="15"/>
      <c r="J67" s="15"/>
      <c r="K67" s="15"/>
      <c r="L67" s="15"/>
      <c r="M67" s="15"/>
      <c r="N67" s="15"/>
      <c r="O67" s="15"/>
      <c r="P67" s="15"/>
      <c r="Q67" s="15"/>
      <c r="R67" s="15"/>
      <c r="S67" s="36"/>
      <c r="T67" s="36">
        <v>4</v>
      </c>
      <c r="U67" s="36"/>
      <c r="V67" s="36">
        <v>10</v>
      </c>
      <c r="W67" s="36"/>
      <c r="X67" s="36"/>
      <c r="Y67" s="36"/>
      <c r="Z67" s="36"/>
      <c r="AA67" s="36"/>
      <c r="AB67" s="36"/>
      <c r="AC67" s="8">
        <f>107</f>
        <v>107</v>
      </c>
      <c r="AD67" s="15"/>
      <c r="AE67" s="15"/>
      <c r="AF67" s="15"/>
      <c r="AG67" s="7"/>
      <c r="AH67" s="7"/>
      <c r="AI67" s="15"/>
      <c r="AJ67" s="15"/>
      <c r="AK67" s="15"/>
      <c r="AL67" s="15"/>
      <c r="AM67" s="15"/>
      <c r="AN67" s="15"/>
      <c r="AO67" s="15"/>
      <c r="AP67" s="15"/>
      <c r="AQ67" s="15"/>
      <c r="AR67" s="15"/>
      <c r="AS67" s="15"/>
      <c r="AT67" s="15"/>
      <c r="AU67" s="15"/>
      <c r="AV67" s="15"/>
      <c r="AW67" s="8">
        <f>59+26</f>
        <v>85</v>
      </c>
      <c r="AX67" s="15"/>
      <c r="AY67" s="8">
        <f>112</f>
        <v>112</v>
      </c>
      <c r="AZ67" s="15"/>
      <c r="BA67" s="8">
        <f>89</f>
        <v>89</v>
      </c>
      <c r="BB67" s="15"/>
      <c r="BC67" s="15"/>
      <c r="BD67" s="15"/>
      <c r="BE67" s="15"/>
      <c r="BF67" s="15"/>
      <c r="BG67" s="7"/>
      <c r="BH67" s="11">
        <f>116</f>
        <v>116</v>
      </c>
      <c r="BI67" s="7"/>
      <c r="BJ67" s="7">
        <v>18</v>
      </c>
      <c r="BK67" s="7"/>
      <c r="BL67" s="7"/>
      <c r="BM67" s="11">
        <f>40</f>
        <v>40</v>
      </c>
      <c r="BN67" s="7"/>
      <c r="BO67" s="7"/>
      <c r="BP67" s="7"/>
    </row>
    <row r="68" spans="1:68" ht="17" x14ac:dyDescent="0.2">
      <c r="A68" s="4" t="s">
        <v>217</v>
      </c>
      <c r="B68" s="34" t="s">
        <v>191</v>
      </c>
      <c r="C68" s="1" t="s">
        <v>209</v>
      </c>
      <c r="D68" s="34" t="s">
        <v>218</v>
      </c>
      <c r="E68" s="1" t="s">
        <v>75</v>
      </c>
      <c r="F68" s="1">
        <v>4</v>
      </c>
      <c r="G68" s="1">
        <v>20</v>
      </c>
      <c r="H68" s="1"/>
      <c r="I68" s="7"/>
      <c r="J68" s="7"/>
      <c r="K68" s="7"/>
      <c r="L68" s="7"/>
      <c r="M68" s="7"/>
      <c r="N68" s="7"/>
      <c r="O68" s="7"/>
      <c r="P68" s="7"/>
      <c r="Q68" s="7"/>
      <c r="R68" s="7"/>
      <c r="S68" s="14"/>
      <c r="T68" s="14"/>
      <c r="U68" s="14"/>
      <c r="V68" s="14"/>
      <c r="W68" s="14"/>
      <c r="X68" s="14">
        <v>22</v>
      </c>
      <c r="Y68" s="14"/>
      <c r="Z68" s="14">
        <v>38</v>
      </c>
      <c r="AA68" s="14"/>
      <c r="AB68" s="14">
        <f>22</f>
        <v>22</v>
      </c>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13">
        <f>31</f>
        <v>31</v>
      </c>
      <c r="BE68" s="7"/>
      <c r="BF68" s="7"/>
      <c r="BG68" s="11">
        <f>3</f>
        <v>3</v>
      </c>
      <c r="BH68" s="7"/>
      <c r="BI68" s="7"/>
      <c r="BJ68" s="7"/>
      <c r="BK68" s="7"/>
      <c r="BL68" s="7"/>
      <c r="BM68" s="24"/>
      <c r="BN68" s="7"/>
      <c r="BO68" s="7"/>
      <c r="BP68" s="7"/>
    </row>
    <row r="69" spans="1:68" ht="17" x14ac:dyDescent="0.2">
      <c r="A69" s="4" t="s">
        <v>219</v>
      </c>
      <c r="B69" s="34" t="s">
        <v>191</v>
      </c>
      <c r="C69" s="1" t="s">
        <v>209</v>
      </c>
      <c r="D69" s="34" t="s">
        <v>220</v>
      </c>
      <c r="E69" s="1" t="s">
        <v>75</v>
      </c>
      <c r="F69" s="1">
        <v>4</v>
      </c>
      <c r="G69" s="1">
        <v>26</v>
      </c>
      <c r="H69" s="1"/>
      <c r="I69" s="7"/>
      <c r="J69" s="7"/>
      <c r="K69" s="7"/>
      <c r="L69" s="7"/>
      <c r="M69" s="7"/>
      <c r="N69" s="7"/>
      <c r="O69" s="7"/>
      <c r="P69" s="7"/>
      <c r="Q69" s="7"/>
      <c r="R69" s="7"/>
      <c r="S69" s="14"/>
      <c r="T69" s="14"/>
      <c r="U69" s="14"/>
      <c r="V69" s="14"/>
      <c r="W69" s="14"/>
      <c r="X69" s="14"/>
      <c r="Y69" s="14"/>
      <c r="Z69" s="14"/>
      <c r="AA69" s="14"/>
      <c r="AB69" s="14"/>
      <c r="AC69" s="7"/>
      <c r="AD69" s="13">
        <f>37</f>
        <v>37</v>
      </c>
      <c r="AE69" s="13">
        <f>84</f>
        <v>84</v>
      </c>
      <c r="AF69" s="13">
        <f>20</f>
        <v>20</v>
      </c>
      <c r="AG69" s="7"/>
      <c r="AH69" s="7"/>
      <c r="AI69" s="7"/>
      <c r="AJ69" s="7"/>
      <c r="AK69" s="7"/>
      <c r="AL69" s="7"/>
      <c r="AM69" s="7"/>
      <c r="AN69" s="7"/>
      <c r="AO69" s="7"/>
      <c r="AP69" s="7"/>
      <c r="AQ69" s="7"/>
      <c r="AR69" s="7"/>
      <c r="AS69" s="7"/>
      <c r="AT69" s="7"/>
      <c r="AU69" s="7"/>
      <c r="AV69" s="7"/>
      <c r="AW69" s="7"/>
      <c r="AX69" s="7"/>
      <c r="AY69" s="7"/>
      <c r="AZ69" s="13">
        <f>39</f>
        <v>39</v>
      </c>
      <c r="BA69" s="7"/>
      <c r="BB69" s="7"/>
      <c r="BC69" s="7"/>
      <c r="BD69" s="7"/>
      <c r="BE69" s="7"/>
      <c r="BF69" s="7"/>
      <c r="BG69" s="7"/>
      <c r="BH69" s="7"/>
      <c r="BI69" s="7"/>
      <c r="BJ69" s="7"/>
      <c r="BK69" s="7"/>
      <c r="BL69" s="7"/>
      <c r="BM69" s="7"/>
      <c r="BN69" s="7"/>
      <c r="BO69" s="7"/>
      <c r="BP69" s="7"/>
    </row>
    <row r="70" spans="1:68" x14ac:dyDescent="0.2">
      <c r="A70" s="22" t="s">
        <v>221</v>
      </c>
      <c r="B70" s="37" t="s">
        <v>191</v>
      </c>
      <c r="C70" s="37" t="s">
        <v>117</v>
      </c>
      <c r="D70" s="37" t="s">
        <v>222</v>
      </c>
      <c r="E70" s="37" t="s">
        <v>70</v>
      </c>
      <c r="F70" s="1">
        <v>5.5</v>
      </c>
      <c r="G70" s="1">
        <v>5.5</v>
      </c>
      <c r="H70" s="1"/>
      <c r="I70" s="7">
        <v>142</v>
      </c>
      <c r="J70" s="7">
        <v>146</v>
      </c>
      <c r="K70" s="7">
        <v>74</v>
      </c>
      <c r="L70" s="2">
        <v>79</v>
      </c>
      <c r="M70" s="7">
        <v>38</v>
      </c>
      <c r="N70" s="7">
        <v>52</v>
      </c>
      <c r="O70" s="7">
        <f>34</f>
        <v>34</v>
      </c>
      <c r="P70" s="7">
        <f>145</f>
        <v>145</v>
      </c>
      <c r="Q70" s="7">
        <f>159</f>
        <v>159</v>
      </c>
      <c r="R70" s="7">
        <f>193</f>
        <v>193</v>
      </c>
      <c r="S70" s="14">
        <v>242</v>
      </c>
      <c r="T70" s="14">
        <v>191</v>
      </c>
      <c r="U70" s="2">
        <v>183</v>
      </c>
      <c r="V70" s="14">
        <v>200</v>
      </c>
      <c r="W70" s="14">
        <v>274</v>
      </c>
      <c r="X70" s="14">
        <v>270</v>
      </c>
      <c r="Y70" s="14">
        <v>271</v>
      </c>
      <c r="Z70" s="14">
        <v>163</v>
      </c>
      <c r="AA70" s="14">
        <v>209</v>
      </c>
      <c r="AB70" s="14">
        <v>162</v>
      </c>
      <c r="AC70" s="13">
        <v>119</v>
      </c>
      <c r="AD70" s="13">
        <f>118</f>
        <v>118</v>
      </c>
      <c r="AE70" s="13">
        <v>125</v>
      </c>
      <c r="AF70" s="13">
        <f>64</f>
        <v>64</v>
      </c>
      <c r="AG70" s="13">
        <f>123</f>
        <v>123</v>
      </c>
      <c r="AH70" s="13">
        <f>168</f>
        <v>168</v>
      </c>
      <c r="AI70" s="13">
        <f>133</f>
        <v>133</v>
      </c>
      <c r="AJ70" s="13">
        <f>106</f>
        <v>106</v>
      </c>
      <c r="AK70" s="13">
        <f>87</f>
        <v>87</v>
      </c>
      <c r="AL70" s="13">
        <v>209</v>
      </c>
      <c r="AM70" s="13">
        <f>108</f>
        <v>108</v>
      </c>
      <c r="AN70" s="13">
        <f>413</f>
        <v>413</v>
      </c>
      <c r="AO70" s="13">
        <f>271</f>
        <v>271</v>
      </c>
      <c r="AP70" s="13">
        <f>268</f>
        <v>268</v>
      </c>
      <c r="AQ70" s="13">
        <f>212</f>
        <v>212</v>
      </c>
      <c r="AR70" s="13">
        <f>260</f>
        <v>260</v>
      </c>
      <c r="AS70" s="13">
        <v>267</v>
      </c>
      <c r="AT70" s="13">
        <f>100</f>
        <v>100</v>
      </c>
      <c r="AU70" s="13">
        <f>159</f>
        <v>159</v>
      </c>
      <c r="AV70" s="13">
        <f>117</f>
        <v>117</v>
      </c>
      <c r="AW70" s="13">
        <f>72+3+8+2+69</f>
        <v>154</v>
      </c>
      <c r="AX70" s="13">
        <f>4+108</f>
        <v>112</v>
      </c>
      <c r="AY70" s="13">
        <f>102</f>
        <v>102</v>
      </c>
      <c r="AZ70" s="13">
        <f>107</f>
        <v>107</v>
      </c>
      <c r="BA70" s="13">
        <f>136</f>
        <v>136</v>
      </c>
      <c r="BB70" s="13">
        <f>204</f>
        <v>204</v>
      </c>
      <c r="BC70" s="13">
        <f>127</f>
        <v>127</v>
      </c>
      <c r="BD70" s="13">
        <f>223</f>
        <v>223</v>
      </c>
      <c r="BE70" s="20">
        <v>90</v>
      </c>
      <c r="BF70" s="13">
        <f>135</f>
        <v>135</v>
      </c>
      <c r="BG70" s="11">
        <f>32</f>
        <v>32</v>
      </c>
      <c r="BH70" s="11">
        <v>113</v>
      </c>
      <c r="BI70" s="11">
        <v>181</v>
      </c>
      <c r="BJ70" s="11">
        <v>168</v>
      </c>
      <c r="BK70" s="11">
        <f>138+14</f>
        <v>152</v>
      </c>
      <c r="BL70" s="21">
        <v>127</v>
      </c>
      <c r="BM70" s="11">
        <f>374</f>
        <v>374</v>
      </c>
      <c r="BN70" s="21">
        <v>112</v>
      </c>
      <c r="BO70" s="11">
        <f>92</f>
        <v>92</v>
      </c>
      <c r="BP70" s="11">
        <f>108</f>
        <v>108</v>
      </c>
    </row>
    <row r="71" spans="1:68" x14ac:dyDescent="0.2">
      <c r="A71" s="38" t="s">
        <v>223</v>
      </c>
      <c r="B71" s="39" t="s">
        <v>191</v>
      </c>
      <c r="C71" s="39" t="s">
        <v>117</v>
      </c>
      <c r="D71" s="39" t="s">
        <v>224</v>
      </c>
      <c r="E71" s="37" t="s">
        <v>70</v>
      </c>
      <c r="F71" s="30">
        <v>9.5</v>
      </c>
      <c r="G71" s="30">
        <v>9.5</v>
      </c>
      <c r="H71" s="30"/>
      <c r="I71" s="31">
        <v>29</v>
      </c>
      <c r="J71" s="40">
        <v>25</v>
      </c>
      <c r="K71" s="31">
        <f>1+6</f>
        <v>7</v>
      </c>
      <c r="L71" s="40">
        <v>17</v>
      </c>
      <c r="M71" s="31">
        <v>10</v>
      </c>
      <c r="N71" s="31">
        <v>11</v>
      </c>
      <c r="O71" s="31">
        <f>7</f>
        <v>7</v>
      </c>
      <c r="P71" s="31">
        <f>36</f>
        <v>36</v>
      </c>
      <c r="Q71" s="31">
        <f>33</f>
        <v>33</v>
      </c>
      <c r="R71" s="31">
        <f>29</f>
        <v>29</v>
      </c>
      <c r="S71" s="32">
        <v>62</v>
      </c>
      <c r="T71" s="32">
        <v>14</v>
      </c>
      <c r="U71" s="40">
        <v>18</v>
      </c>
      <c r="V71" s="32">
        <v>14</v>
      </c>
      <c r="W71" s="32">
        <v>11</v>
      </c>
      <c r="X71" s="32">
        <v>25</v>
      </c>
      <c r="Y71" s="32">
        <v>14</v>
      </c>
      <c r="Z71" s="32">
        <v>7</v>
      </c>
      <c r="AA71" s="32">
        <v>20</v>
      </c>
      <c r="AB71" s="32">
        <v>20</v>
      </c>
      <c r="AC71" s="41">
        <v>112</v>
      </c>
      <c r="AD71" s="41">
        <f>38</f>
        <v>38</v>
      </c>
      <c r="AE71" s="41">
        <f>13</f>
        <v>13</v>
      </c>
      <c r="AF71" s="41">
        <f>17</f>
        <v>17</v>
      </c>
      <c r="AG71" s="41">
        <f>16</f>
        <v>16</v>
      </c>
      <c r="AH71" s="41">
        <f>8</f>
        <v>8</v>
      </c>
      <c r="AI71" s="41">
        <f>4</f>
        <v>4</v>
      </c>
      <c r="AJ71" s="41">
        <f>16</f>
        <v>16</v>
      </c>
      <c r="AK71" s="41">
        <f>2</f>
        <v>2</v>
      </c>
      <c r="AL71" s="41">
        <v>15</v>
      </c>
      <c r="AM71" s="41">
        <f>70</f>
        <v>70</v>
      </c>
      <c r="AN71" s="41">
        <f>56</f>
        <v>56</v>
      </c>
      <c r="AO71" s="41">
        <f>13</f>
        <v>13</v>
      </c>
      <c r="AP71" s="41">
        <f>16</f>
        <v>16</v>
      </c>
      <c r="AQ71" s="41">
        <f>14</f>
        <v>14</v>
      </c>
      <c r="AR71" s="41">
        <f>39</f>
        <v>39</v>
      </c>
      <c r="AS71" s="41">
        <f>24+3</f>
        <v>27</v>
      </c>
      <c r="AT71" s="41">
        <f>17</f>
        <v>17</v>
      </c>
      <c r="AU71" s="41">
        <f>20</f>
        <v>20</v>
      </c>
      <c r="AV71" s="41">
        <f>27</f>
        <v>27</v>
      </c>
      <c r="AW71" s="31"/>
      <c r="AX71" s="41">
        <f>22</f>
        <v>22</v>
      </c>
      <c r="AY71" s="41">
        <f>20</f>
        <v>20</v>
      </c>
      <c r="AZ71" s="41">
        <f>44</f>
        <v>44</v>
      </c>
      <c r="BA71" s="41">
        <f>9</f>
        <v>9</v>
      </c>
      <c r="BB71" s="41">
        <f>10+2</f>
        <v>12</v>
      </c>
      <c r="BC71" s="41">
        <f>15</f>
        <v>15</v>
      </c>
      <c r="BD71" s="41">
        <f>35</f>
        <v>35</v>
      </c>
      <c r="BE71" s="42">
        <v>19</v>
      </c>
      <c r="BF71" s="41">
        <f>26</f>
        <v>26</v>
      </c>
      <c r="BG71" s="11">
        <f>16</f>
        <v>16</v>
      </c>
      <c r="BH71" s="43">
        <v>15</v>
      </c>
      <c r="BI71" s="43">
        <v>20</v>
      </c>
      <c r="BJ71" s="43">
        <v>23</v>
      </c>
      <c r="BK71" s="43">
        <v>15</v>
      </c>
      <c r="BL71" s="44">
        <v>50</v>
      </c>
      <c r="BM71" s="43">
        <f>109</f>
        <v>109</v>
      </c>
      <c r="BN71" s="44">
        <v>37</v>
      </c>
      <c r="BO71" s="43">
        <f>61</f>
        <v>61</v>
      </c>
      <c r="BP71" s="43">
        <f>103</f>
        <v>103</v>
      </c>
    </row>
    <row r="72" spans="1:68" x14ac:dyDescent="0.2">
      <c r="A72" s="22" t="s">
        <v>225</v>
      </c>
      <c r="B72" s="39" t="s">
        <v>191</v>
      </c>
      <c r="C72" s="39" t="s">
        <v>117</v>
      </c>
      <c r="D72" s="39" t="s">
        <v>226</v>
      </c>
      <c r="E72" s="37" t="s">
        <v>70</v>
      </c>
      <c r="F72" s="1">
        <v>14</v>
      </c>
      <c r="G72" s="1">
        <v>14</v>
      </c>
      <c r="H72" s="1"/>
      <c r="I72" s="7"/>
      <c r="J72" s="7"/>
      <c r="K72" s="7"/>
      <c r="L72" s="7"/>
      <c r="M72" s="7"/>
      <c r="N72" s="7"/>
      <c r="O72" s="7"/>
      <c r="P72" s="7">
        <f>4</f>
        <v>4</v>
      </c>
      <c r="Q72" s="7"/>
      <c r="R72" s="7">
        <f>4</f>
        <v>4</v>
      </c>
      <c r="S72" s="14">
        <v>25</v>
      </c>
      <c r="T72" s="14"/>
      <c r="U72" s="14"/>
      <c r="V72" s="14"/>
      <c r="W72" s="14"/>
      <c r="X72" s="14"/>
      <c r="Y72" s="14"/>
      <c r="Z72" s="14"/>
      <c r="AA72" s="14"/>
      <c r="AB72" s="14"/>
      <c r="AC72" s="13">
        <f>14</f>
        <v>14</v>
      </c>
      <c r="AD72" s="7"/>
      <c r="AE72" s="7"/>
      <c r="AF72" s="7"/>
      <c r="AG72" s="7"/>
      <c r="AH72" s="7"/>
      <c r="AI72" s="7"/>
      <c r="AJ72" s="7"/>
      <c r="AK72" s="7"/>
      <c r="AL72" s="7"/>
      <c r="AM72" s="7"/>
      <c r="AN72" s="13">
        <f>3</f>
        <v>3</v>
      </c>
      <c r="AO72" s="7"/>
      <c r="AP72" s="7"/>
      <c r="AQ72" s="13">
        <f>8</f>
        <v>8</v>
      </c>
      <c r="AR72" s="13">
        <f>7</f>
        <v>7</v>
      </c>
      <c r="AS72" s="13">
        <f>3</f>
        <v>3</v>
      </c>
      <c r="AT72" s="7"/>
      <c r="AU72" s="7"/>
      <c r="AV72" s="7"/>
      <c r="AW72" s="7"/>
      <c r="AX72" s="7"/>
      <c r="AY72" s="13">
        <f>2</f>
        <v>2</v>
      </c>
      <c r="AZ72" s="13">
        <f>11+2</f>
        <v>13</v>
      </c>
      <c r="BA72" s="13">
        <f>5</f>
        <v>5</v>
      </c>
      <c r="BB72" s="13">
        <f>2</f>
        <v>2</v>
      </c>
      <c r="BC72" s="13">
        <f>4</f>
        <v>4</v>
      </c>
      <c r="BD72" s="13">
        <f>1</f>
        <v>1</v>
      </c>
      <c r="BE72" s="7"/>
      <c r="BF72" s="7"/>
      <c r="BG72" s="7">
        <f>7+3</f>
        <v>10</v>
      </c>
      <c r="BH72" s="11">
        <v>6</v>
      </c>
      <c r="BI72" s="11">
        <v>9</v>
      </c>
      <c r="BJ72" s="11">
        <v>16</v>
      </c>
      <c r="BK72" s="11">
        <v>10</v>
      </c>
      <c r="BL72" s="21">
        <v>31</v>
      </c>
      <c r="BM72" s="11">
        <f>6</f>
        <v>6</v>
      </c>
      <c r="BN72" s="21">
        <v>12</v>
      </c>
      <c r="BO72" s="11">
        <f>10</f>
        <v>10</v>
      </c>
      <c r="BP72" s="11">
        <f>30</f>
        <v>30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CD48D-F951-E445-B1C4-C7BFA008299B}">
  <dimension ref="A1:A9"/>
  <sheetViews>
    <sheetView zoomScaleNormal="100" workbookViewId="0">
      <selection activeCell="A9" sqref="A9"/>
    </sheetView>
  </sheetViews>
  <sheetFormatPr baseColWidth="10" defaultRowHeight="16" x14ac:dyDescent="0.2"/>
  <sheetData>
    <row r="1" spans="1:1" x14ac:dyDescent="0.2">
      <c r="A1" t="s">
        <v>229</v>
      </c>
    </row>
    <row r="3" spans="1:1" x14ac:dyDescent="0.2">
      <c r="A3" t="s">
        <v>230</v>
      </c>
    </row>
    <row r="5" spans="1:1" x14ac:dyDescent="0.2">
      <c r="A5" t="s">
        <v>231</v>
      </c>
    </row>
    <row r="7" spans="1:1" x14ac:dyDescent="0.2">
      <c r="A7" t="s">
        <v>232</v>
      </c>
    </row>
    <row r="9" spans="1:1" x14ac:dyDescent="0.2">
      <c r="A9" t="s">
        <v>233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2</DocSecurity>
  <ScaleCrop>false</ScaleCrop>
  <HeadingPairs>
    <vt:vector size="2" baseType="variant">
      <vt:variant>
        <vt:lpstr>Worksheets</vt:lpstr>
      </vt:variant>
      <vt:variant>
        <vt:i4>2</vt:i4>
      </vt:variant>
    </vt:vector>
  </HeadingPairs>
  <TitlesOfParts>
    <vt:vector size="2" baseType="lpstr">
      <vt:lpstr>400x_RawCount_R</vt:lpstr>
      <vt:lpstr>Notes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Allison Adams</dc:creator>
  <cp:keywords/>
  <dc:description/>
  <cp:lastModifiedBy>Allison Adams</cp:lastModifiedBy>
  <dcterms:created xsi:type="dcterms:W3CDTF">2022-06-23T23:25:52Z</dcterms:created>
  <dcterms:modified xsi:type="dcterms:W3CDTF">2023-07-24T22:16:43Z</dcterms:modified>
  <cp:category/>
</cp:coreProperties>
</file>