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data/MasterFiles/"/>
    </mc:Choice>
  </mc:AlternateContent>
  <xr:revisionPtr revIDLastSave="0" documentId="8_{B1A57804-D98B-6D4B-AA2A-099FFFB255A4}" xr6:coauthVersionLast="47" xr6:coauthVersionMax="47" xr10:uidLastSave="{00000000-0000-0000-0000-000000000000}"/>
  <bookViews>
    <workbookView xWindow="0" yWindow="500" windowWidth="24600" windowHeight="15440" activeTab="2" xr2:uid="{468EF598-3727-CC4A-878F-EC77DD43B274}"/>
  </bookViews>
  <sheets>
    <sheet name="RawCounts100All" sheetId="1" r:id="rId1"/>
    <sheet name="100xCleaned" sheetId="3" r:id="rId2"/>
    <sheet name="100xforR" sheetId="5" r:id="rId3"/>
    <sheet name="RawCounts400All" sheetId="2" r:id="rId4"/>
    <sheet name="Not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62" i="5" l="1"/>
  <c r="BJ262" i="5"/>
  <c r="BH262" i="5"/>
  <c r="BG262" i="5"/>
  <c r="AY262" i="5"/>
  <c r="AX262" i="5"/>
  <c r="AV262" i="5"/>
  <c r="AT262" i="5"/>
  <c r="AC262" i="5"/>
  <c r="Q262" i="5"/>
  <c r="J262" i="5"/>
  <c r="BG257" i="5"/>
  <c r="AO256" i="5"/>
  <c r="AM256" i="5"/>
  <c r="AC255" i="5"/>
  <c r="BP252" i="5"/>
  <c r="AO252" i="5"/>
  <c r="AC246" i="5"/>
  <c r="AM232" i="5"/>
  <c r="I232" i="5"/>
  <c r="BH201" i="5"/>
  <c r="S150" i="5"/>
  <c r="BP142" i="5"/>
  <c r="BK138" i="5"/>
  <c r="BJ137" i="5"/>
  <c r="BI137" i="5"/>
  <c r="J135" i="5"/>
  <c r="AR134" i="5"/>
  <c r="BP133" i="5"/>
  <c r="BO116" i="5"/>
  <c r="AU114" i="5"/>
  <c r="AO114" i="5"/>
  <c r="AU83" i="5"/>
  <c r="AB83" i="5"/>
  <c r="R83" i="5"/>
  <c r="S51" i="5"/>
  <c r="BJ44" i="5"/>
  <c r="BH44" i="5"/>
  <c r="BG44" i="5"/>
  <c r="BK40" i="5"/>
  <c r="AN28" i="5"/>
  <c r="BH27" i="5"/>
  <c r="BN13" i="5"/>
  <c r="BG9" i="5"/>
  <c r="BG4" i="5"/>
  <c r="BP3" i="5"/>
  <c r="BG3" i="5"/>
  <c r="BG3" i="3"/>
  <c r="BP3" i="3"/>
  <c r="BG4" i="3"/>
  <c r="BG9" i="3"/>
  <c r="BN13" i="3"/>
  <c r="BH27" i="3"/>
  <c r="AN28" i="3"/>
  <c r="BK40" i="3"/>
  <c r="BG44" i="3"/>
  <c r="BH44" i="3"/>
  <c r="BJ44" i="3"/>
  <c r="S51" i="3"/>
  <c r="R83" i="3"/>
  <c r="AB83" i="3"/>
  <c r="AU83" i="3"/>
  <c r="AO114" i="3"/>
  <c r="AU114" i="3"/>
  <c r="BO116" i="3"/>
  <c r="BP133" i="3"/>
  <c r="AR134" i="3"/>
  <c r="J135" i="3"/>
  <c r="BI137" i="3"/>
  <c r="BJ137" i="3"/>
  <c r="BK138" i="3"/>
  <c r="BP142" i="3"/>
  <c r="S150" i="3"/>
  <c r="BH201" i="3"/>
  <c r="I232" i="3"/>
  <c r="AM232" i="3"/>
  <c r="AC246" i="3"/>
  <c r="AO252" i="3"/>
  <c r="BP252" i="3"/>
  <c r="AC255" i="3"/>
  <c r="AM256" i="3"/>
  <c r="AO256" i="3"/>
  <c r="BG257" i="3"/>
  <c r="J262" i="3"/>
  <c r="Q262" i="3"/>
  <c r="AC262" i="3"/>
  <c r="AT262" i="3"/>
  <c r="AV262" i="3"/>
  <c r="AX262" i="3"/>
  <c r="AY262" i="3"/>
  <c r="BG262" i="3"/>
  <c r="BH262" i="3"/>
  <c r="BJ262" i="3"/>
  <c r="BK262" i="3"/>
  <c r="BM264" i="3" l="1"/>
  <c r="BL264" i="3"/>
  <c r="BF264" i="3"/>
  <c r="BE264" i="3"/>
  <c r="BD264" i="3"/>
  <c r="BC264" i="3"/>
  <c r="BB264" i="3"/>
  <c r="BA264" i="3"/>
  <c r="AZ264" i="3"/>
  <c r="AW264" i="3"/>
  <c r="AS264" i="3"/>
  <c r="AQ264" i="3"/>
  <c r="AP264" i="3"/>
  <c r="AL264" i="3"/>
  <c r="AK264" i="3"/>
  <c r="AJ264" i="3"/>
  <c r="AI264" i="3"/>
  <c r="AH264" i="3"/>
  <c r="AG264" i="3"/>
  <c r="AF264" i="3"/>
  <c r="AE264" i="3"/>
  <c r="AD264" i="3"/>
  <c r="AA264" i="3"/>
  <c r="Z264" i="3"/>
  <c r="Y264" i="3"/>
  <c r="X264" i="3"/>
  <c r="W264" i="3"/>
  <c r="V264" i="3"/>
  <c r="U264" i="3"/>
  <c r="T264" i="3"/>
  <c r="P264" i="3"/>
  <c r="O264" i="3"/>
  <c r="N264" i="3"/>
  <c r="M264" i="3"/>
  <c r="L264" i="3"/>
  <c r="K264" i="3"/>
  <c r="AY264" i="3"/>
  <c r="AX264" i="3"/>
  <c r="AV264" i="3"/>
  <c r="AT264" i="3"/>
  <c r="Q264" i="3"/>
  <c r="BQ261" i="3"/>
  <c r="BQ260" i="3"/>
  <c r="BQ259" i="3"/>
  <c r="BQ258" i="3"/>
  <c r="BQ257" i="3"/>
  <c r="BQ255" i="3"/>
  <c r="BQ254" i="3"/>
  <c r="BQ253" i="3"/>
  <c r="BQ251" i="3"/>
  <c r="BQ250" i="3"/>
  <c r="BQ249" i="3"/>
  <c r="BQ248" i="3"/>
  <c r="BQ247" i="3"/>
  <c r="BQ245" i="3"/>
  <c r="BQ244" i="3"/>
  <c r="BQ243" i="3"/>
  <c r="BQ242" i="3"/>
  <c r="BQ241" i="3"/>
  <c r="BQ240" i="3"/>
  <c r="BQ239" i="3"/>
  <c r="BQ238" i="3"/>
  <c r="BQ237" i="3"/>
  <c r="BQ236" i="3"/>
  <c r="BQ235" i="3"/>
  <c r="BQ234" i="3"/>
  <c r="BQ233" i="3"/>
  <c r="I264" i="3"/>
  <c r="BQ231" i="3"/>
  <c r="BQ230" i="3"/>
  <c r="BQ229" i="3"/>
  <c r="BQ228" i="3"/>
  <c r="BQ227" i="3"/>
  <c r="BQ226" i="3"/>
  <c r="BQ225" i="3"/>
  <c r="BQ224" i="3"/>
  <c r="BQ223" i="3"/>
  <c r="BQ222" i="3"/>
  <c r="BQ221" i="3"/>
  <c r="BQ220" i="3"/>
  <c r="BQ219" i="3"/>
  <c r="BQ218" i="3"/>
  <c r="BQ217" i="3"/>
  <c r="BQ216" i="3"/>
  <c r="BQ215" i="3"/>
  <c r="BQ214" i="3"/>
  <c r="BQ213" i="3"/>
  <c r="BQ212" i="3"/>
  <c r="BQ211" i="3"/>
  <c r="BQ210" i="3"/>
  <c r="BQ209" i="3"/>
  <c r="BQ208" i="3"/>
  <c r="BQ207" i="3"/>
  <c r="BQ206" i="3"/>
  <c r="BQ205" i="3"/>
  <c r="BQ204" i="3"/>
  <c r="BQ203" i="3"/>
  <c r="BQ202" i="3"/>
  <c r="BQ201" i="3"/>
  <c r="BQ200" i="3"/>
  <c r="BQ199" i="3"/>
  <c r="BQ198" i="3"/>
  <c r="BQ197" i="3"/>
  <c r="BQ196" i="3"/>
  <c r="BQ195" i="3"/>
  <c r="BQ194" i="3"/>
  <c r="BQ193" i="3"/>
  <c r="BQ192" i="3"/>
  <c r="BQ191" i="3"/>
  <c r="BQ190" i="3"/>
  <c r="BQ189" i="3"/>
  <c r="BQ188" i="3"/>
  <c r="BQ187" i="3"/>
  <c r="BQ186" i="3"/>
  <c r="BQ185" i="3"/>
  <c r="BQ184" i="3"/>
  <c r="BQ183" i="3"/>
  <c r="BQ182" i="3"/>
  <c r="BQ181" i="3"/>
  <c r="BQ180" i="3"/>
  <c r="BQ179" i="3"/>
  <c r="BQ178" i="3"/>
  <c r="BQ177" i="3"/>
  <c r="BQ176" i="3"/>
  <c r="BQ175" i="3"/>
  <c r="BQ174" i="3"/>
  <c r="BQ173" i="3"/>
  <c r="BQ172" i="3"/>
  <c r="BQ171" i="3"/>
  <c r="BQ170" i="3"/>
  <c r="BQ169" i="3"/>
  <c r="BQ168" i="3"/>
  <c r="BQ167" i="3"/>
  <c r="BQ166" i="3"/>
  <c r="BQ165" i="3"/>
  <c r="BQ164" i="3"/>
  <c r="BQ163" i="3"/>
  <c r="BQ162" i="3"/>
  <c r="BQ161" i="3"/>
  <c r="BQ160" i="3"/>
  <c r="BQ159" i="3"/>
  <c r="BQ158" i="3"/>
  <c r="BQ157" i="3"/>
  <c r="BQ156" i="3"/>
  <c r="BQ155" i="3"/>
  <c r="BQ154" i="3"/>
  <c r="BQ153" i="3"/>
  <c r="BQ152" i="3"/>
  <c r="BQ151" i="3"/>
  <c r="BQ150" i="3"/>
  <c r="BQ149" i="3"/>
  <c r="BQ148" i="3"/>
  <c r="BQ147" i="3"/>
  <c r="BQ146" i="3"/>
  <c r="BQ145" i="3"/>
  <c r="BQ144" i="3"/>
  <c r="BQ143" i="3"/>
  <c r="BQ142" i="3"/>
  <c r="BQ141" i="3"/>
  <c r="BQ140" i="3"/>
  <c r="BQ139" i="3"/>
  <c r="BQ138" i="3"/>
  <c r="BI264" i="3"/>
  <c r="BQ136" i="3"/>
  <c r="BQ135" i="3"/>
  <c r="AR264" i="3"/>
  <c r="BQ133" i="3"/>
  <c r="BQ132" i="3"/>
  <c r="BQ131" i="3"/>
  <c r="BQ130" i="3"/>
  <c r="BQ129" i="3"/>
  <c r="BQ128" i="3"/>
  <c r="BQ127" i="3"/>
  <c r="BQ126" i="3"/>
  <c r="BQ125" i="3"/>
  <c r="BQ124" i="3"/>
  <c r="BQ123" i="3"/>
  <c r="BQ122" i="3"/>
  <c r="BQ121" i="3"/>
  <c r="BQ120" i="3"/>
  <c r="BQ119" i="3"/>
  <c r="BQ118" i="3"/>
  <c r="BQ117" i="3"/>
  <c r="BO264" i="3"/>
  <c r="BQ115" i="3"/>
  <c r="AO264" i="3"/>
  <c r="BQ113" i="3"/>
  <c r="BQ112" i="3"/>
  <c r="BQ111" i="3"/>
  <c r="BQ110" i="3"/>
  <c r="BQ109" i="3"/>
  <c r="BQ108" i="3"/>
  <c r="BQ107" i="3"/>
  <c r="BQ106" i="3"/>
  <c r="BQ105" i="3"/>
  <c r="BQ104" i="3"/>
  <c r="BQ103" i="3"/>
  <c r="BQ102" i="3"/>
  <c r="BQ101" i="3"/>
  <c r="BQ100" i="3"/>
  <c r="BQ99" i="3"/>
  <c r="BQ98" i="3"/>
  <c r="BQ97" i="3"/>
  <c r="BQ96" i="3"/>
  <c r="BQ95" i="3"/>
  <c r="BQ94" i="3"/>
  <c r="BQ93" i="3"/>
  <c r="BQ92" i="3"/>
  <c r="BQ91" i="3"/>
  <c r="BQ90" i="3"/>
  <c r="BQ89" i="3"/>
  <c r="BQ88" i="3"/>
  <c r="BQ87" i="3"/>
  <c r="BQ86" i="3"/>
  <c r="BQ85" i="3"/>
  <c r="BQ84" i="3"/>
  <c r="AU264" i="3"/>
  <c r="AB264" i="3"/>
  <c r="BQ82" i="3"/>
  <c r="BQ81" i="3"/>
  <c r="BQ80" i="3"/>
  <c r="BQ79" i="3"/>
  <c r="BQ78" i="3"/>
  <c r="BQ77" i="3"/>
  <c r="BQ76" i="3"/>
  <c r="BQ75" i="3"/>
  <c r="BQ74" i="3"/>
  <c r="BQ73" i="3"/>
  <c r="BQ72" i="3"/>
  <c r="BQ71" i="3"/>
  <c r="BQ70" i="3"/>
  <c r="BQ69" i="3"/>
  <c r="BQ68" i="3"/>
  <c r="BQ67" i="3"/>
  <c r="BQ66" i="3"/>
  <c r="BQ65" i="3"/>
  <c r="BQ64" i="3"/>
  <c r="BQ63" i="3"/>
  <c r="BQ62" i="3"/>
  <c r="BQ61" i="3"/>
  <c r="BQ60" i="3"/>
  <c r="BQ59" i="3"/>
  <c r="BQ58" i="3"/>
  <c r="BQ57" i="3"/>
  <c r="BQ56" i="3"/>
  <c r="BQ55" i="3"/>
  <c r="BQ54" i="3"/>
  <c r="BQ53" i="3"/>
  <c r="BQ52" i="3"/>
  <c r="BQ51" i="3"/>
  <c r="BQ50" i="3"/>
  <c r="BQ49" i="3"/>
  <c r="BQ48" i="3"/>
  <c r="BQ47" i="3"/>
  <c r="BQ46" i="3"/>
  <c r="BQ45" i="3"/>
  <c r="BQ43" i="3"/>
  <c r="BQ42" i="3"/>
  <c r="BQ41" i="3"/>
  <c r="BQ39" i="3"/>
  <c r="BQ38" i="3"/>
  <c r="BQ37" i="3"/>
  <c r="BQ36" i="3"/>
  <c r="BQ35" i="3"/>
  <c r="BQ34" i="3"/>
  <c r="BQ33" i="3"/>
  <c r="BQ32" i="3"/>
  <c r="BQ31" i="3"/>
  <c r="BQ30" i="3"/>
  <c r="BQ29" i="3"/>
  <c r="BQ28" i="3"/>
  <c r="BQ26" i="3"/>
  <c r="BQ25" i="3"/>
  <c r="BQ24" i="3"/>
  <c r="BQ23" i="3"/>
  <c r="BQ22" i="3"/>
  <c r="BQ21" i="3"/>
  <c r="BQ20" i="3"/>
  <c r="BQ19" i="3"/>
  <c r="BQ18" i="3"/>
  <c r="BQ17" i="3"/>
  <c r="BQ16" i="3"/>
  <c r="BQ15" i="3"/>
  <c r="BQ14" i="3"/>
  <c r="BQ13" i="3"/>
  <c r="BQ12" i="3"/>
  <c r="BQ11" i="3"/>
  <c r="BQ10" i="3"/>
  <c r="BQ9" i="3"/>
  <c r="BQ8" i="3"/>
  <c r="BQ7" i="3"/>
  <c r="BQ6" i="3"/>
  <c r="BQ5" i="3"/>
  <c r="BQ4" i="3"/>
  <c r="BQ2" i="3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Q90" i="2"/>
  <c r="AC90" i="2"/>
  <c r="AB90" i="2"/>
  <c r="AA90" i="2"/>
  <c r="Z90" i="2"/>
  <c r="Y90" i="2"/>
  <c r="X90" i="2"/>
  <c r="W90" i="2"/>
  <c r="V90" i="2"/>
  <c r="M90" i="2"/>
  <c r="BS88" i="2"/>
  <c r="BR88" i="2"/>
  <c r="BP88" i="2"/>
  <c r="BJ88" i="2"/>
  <c r="BG88" i="2"/>
  <c r="BF88" i="2"/>
  <c r="BE88" i="2"/>
  <c r="BD88" i="2"/>
  <c r="BC88" i="2"/>
  <c r="BB88" i="2"/>
  <c r="AV88" i="2"/>
  <c r="AU88" i="2"/>
  <c r="AT88" i="2"/>
  <c r="AQ88" i="2"/>
  <c r="AF88" i="2"/>
  <c r="U88" i="2"/>
  <c r="S88" i="2"/>
  <c r="BS87" i="2"/>
  <c r="BR87" i="2"/>
  <c r="BP87" i="2"/>
  <c r="BJ87" i="2"/>
  <c r="BI87" i="2"/>
  <c r="BG87" i="2"/>
  <c r="BF87" i="2"/>
  <c r="BE87" i="2"/>
  <c r="BD87" i="2"/>
  <c r="BC87" i="2"/>
  <c r="BB87" i="2"/>
  <c r="BA87" i="2"/>
  <c r="AY87" i="2"/>
  <c r="AX87" i="2"/>
  <c r="AW87" i="2"/>
  <c r="AV87" i="2"/>
  <c r="AU87" i="2"/>
  <c r="AT87" i="2"/>
  <c r="AS87" i="2"/>
  <c r="AR87" i="2"/>
  <c r="AQ87" i="2"/>
  <c r="AP87" i="2"/>
  <c r="AN87" i="2"/>
  <c r="AM87" i="2"/>
  <c r="AL87" i="2"/>
  <c r="AK87" i="2"/>
  <c r="AJ87" i="2"/>
  <c r="AI87" i="2"/>
  <c r="AH87" i="2"/>
  <c r="AG87" i="2"/>
  <c r="U87" i="2"/>
  <c r="T87" i="2"/>
  <c r="S87" i="2"/>
  <c r="R87" i="2"/>
  <c r="N87" i="2"/>
  <c r="N90" i="2" s="1"/>
  <c r="BS86" i="2"/>
  <c r="BR86" i="2"/>
  <c r="BP86" i="2"/>
  <c r="BN86" i="2"/>
  <c r="BJ86" i="2"/>
  <c r="BI86" i="2"/>
  <c r="BG86" i="2"/>
  <c r="BF86" i="2"/>
  <c r="BE86" i="2"/>
  <c r="BD86" i="2"/>
  <c r="BC86" i="2"/>
  <c r="BB86" i="2"/>
  <c r="BA86" i="2"/>
  <c r="AZ86" i="2"/>
  <c r="AY86" i="2"/>
  <c r="AX86" i="2"/>
  <c r="AW86" i="2"/>
  <c r="AU86" i="2"/>
  <c r="AT86" i="2"/>
  <c r="AS86" i="2"/>
  <c r="AR86" i="2"/>
  <c r="AQ86" i="2"/>
  <c r="AP86" i="2"/>
  <c r="AN86" i="2"/>
  <c r="AM86" i="2"/>
  <c r="AL86" i="2"/>
  <c r="AK86" i="2"/>
  <c r="AJ86" i="2"/>
  <c r="AI86" i="2"/>
  <c r="AG86" i="2"/>
  <c r="U86" i="2"/>
  <c r="T86" i="2"/>
  <c r="S86" i="2"/>
  <c r="R86" i="2"/>
  <c r="BT86" i="2" s="1"/>
  <c r="BC85" i="2"/>
  <c r="AI85" i="2"/>
  <c r="AH85" i="2"/>
  <c r="AG85" i="2"/>
  <c r="J85" i="2"/>
  <c r="I85" i="2"/>
  <c r="BJ84" i="2"/>
  <c r="BG84" i="2"/>
  <c r="BT84" i="2" s="1"/>
  <c r="AE84" i="2"/>
  <c r="J84" i="2"/>
  <c r="I84" i="2"/>
  <c r="BP83" i="2"/>
  <c r="BK83" i="2"/>
  <c r="BD83" i="2"/>
  <c r="BB83" i="2"/>
  <c r="AZ83" i="2"/>
  <c r="AF83" i="2"/>
  <c r="J83" i="2"/>
  <c r="I83" i="2"/>
  <c r="BM82" i="2"/>
  <c r="AD82" i="2"/>
  <c r="BT82" i="2" s="1"/>
  <c r="J82" i="2"/>
  <c r="I82" i="2"/>
  <c r="BL81" i="2"/>
  <c r="AT81" i="2"/>
  <c r="J81" i="2"/>
  <c r="I81" i="2"/>
  <c r="AK80" i="2"/>
  <c r="AJ80" i="2"/>
  <c r="J80" i="2"/>
  <c r="I80" i="2"/>
  <c r="BP79" i="2"/>
  <c r="BT79" i="2" s="1"/>
  <c r="J79" i="2"/>
  <c r="I79" i="2"/>
  <c r="BT78" i="2"/>
  <c r="O78" i="2"/>
  <c r="O90" i="2" s="1"/>
  <c r="J78" i="2"/>
  <c r="I78" i="2"/>
  <c r="P77" i="2"/>
  <c r="BT77" i="2" s="1"/>
  <c r="J77" i="2"/>
  <c r="I77" i="2"/>
  <c r="BT76" i="2"/>
  <c r="S76" i="2"/>
  <c r="R76" i="2"/>
  <c r="J76" i="2"/>
  <c r="I76" i="2"/>
  <c r="AF75" i="2"/>
  <c r="BT75" i="2" s="1"/>
  <c r="J75" i="2"/>
  <c r="I75" i="2"/>
  <c r="BT74" i="2"/>
  <c r="BN74" i="2"/>
  <c r="J74" i="2"/>
  <c r="I74" i="2"/>
  <c r="BM73" i="2"/>
  <c r="AE73" i="2"/>
  <c r="BT73" i="2" s="1"/>
  <c r="J73" i="2"/>
  <c r="I73" i="2"/>
  <c r="BT72" i="2"/>
  <c r="P72" i="2"/>
  <c r="J72" i="2"/>
  <c r="I72" i="2"/>
  <c r="BR71" i="2"/>
  <c r="P71" i="2"/>
  <c r="BT71" i="2" s="1"/>
  <c r="J71" i="2"/>
  <c r="I71" i="2"/>
  <c r="BT70" i="2"/>
  <c r="J70" i="2"/>
  <c r="I70" i="2"/>
  <c r="BT69" i="2"/>
  <c r="J69" i="2"/>
  <c r="I69" i="2"/>
  <c r="BT68" i="2"/>
  <c r="AE68" i="2"/>
  <c r="J68" i="2"/>
  <c r="I68" i="2"/>
  <c r="BP67" i="2"/>
  <c r="BJ67" i="2"/>
  <c r="BI67" i="2"/>
  <c r="BG67" i="2"/>
  <c r="BF67" i="2"/>
  <c r="BE67" i="2"/>
  <c r="BD67" i="2"/>
  <c r="BC67" i="2"/>
  <c r="BB67" i="2"/>
  <c r="BA67" i="2"/>
  <c r="AY67" i="2"/>
  <c r="AX67" i="2"/>
  <c r="AT67" i="2"/>
  <c r="AS67" i="2"/>
  <c r="AQ67" i="2"/>
  <c r="AN67" i="2"/>
  <c r="AK67" i="2"/>
  <c r="AG67" i="2"/>
  <c r="BP66" i="2"/>
  <c r="BO66" i="2"/>
  <c r="BM66" i="2"/>
  <c r="BL66" i="2"/>
  <c r="BJ66" i="2"/>
  <c r="BI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N66" i="2"/>
  <c r="AM66" i="2"/>
  <c r="AK66" i="2"/>
  <c r="AJ66" i="2"/>
  <c r="AI66" i="2"/>
  <c r="AH66" i="2"/>
  <c r="AG66" i="2"/>
  <c r="AF66" i="2"/>
  <c r="U66" i="2"/>
  <c r="T66" i="2"/>
  <c r="S66" i="2"/>
  <c r="R66" i="2"/>
  <c r="Q66" i="2"/>
  <c r="BP65" i="2"/>
  <c r="BO65" i="2"/>
  <c r="BM65" i="2"/>
  <c r="BI65" i="2"/>
  <c r="BG65" i="2"/>
  <c r="BF65" i="2"/>
  <c r="BE65" i="2"/>
  <c r="BD65" i="2"/>
  <c r="BC65" i="2"/>
  <c r="BB65" i="2"/>
  <c r="BA65" i="2"/>
  <c r="AY65" i="2"/>
  <c r="AX65" i="2"/>
  <c r="AW65" i="2"/>
  <c r="AV65" i="2"/>
  <c r="AU65" i="2"/>
  <c r="AT65" i="2"/>
  <c r="AS65" i="2"/>
  <c r="AR65" i="2"/>
  <c r="AQ65" i="2"/>
  <c r="AP65" i="2"/>
  <c r="AN65" i="2"/>
  <c r="AK65" i="2"/>
  <c r="AJ65" i="2"/>
  <c r="AI65" i="2"/>
  <c r="AH65" i="2"/>
  <c r="AG65" i="2"/>
  <c r="U65" i="2"/>
  <c r="T65" i="2"/>
  <c r="S65" i="2"/>
  <c r="R65" i="2"/>
  <c r="Q65" i="2"/>
  <c r="U64" i="2"/>
  <c r="T64" i="2"/>
  <c r="S64" i="2"/>
  <c r="R64" i="2"/>
  <c r="AP63" i="2"/>
  <c r="AF63" i="2"/>
  <c r="U63" i="2"/>
  <c r="T63" i="2"/>
  <c r="S63" i="2"/>
  <c r="R63" i="2"/>
  <c r="BP62" i="2"/>
  <c r="BJ62" i="2"/>
  <c r="AY62" i="2"/>
  <c r="AX62" i="2"/>
  <c r="AW62" i="2"/>
  <c r="AU62" i="2"/>
  <c r="AS62" i="2"/>
  <c r="AR62" i="2"/>
  <c r="AN62" i="2"/>
  <c r="AM62" i="2"/>
  <c r="AL62" i="2"/>
  <c r="AK62" i="2"/>
  <c r="AJ62" i="2"/>
  <c r="AH62" i="2"/>
  <c r="AG62" i="2"/>
  <c r="U62" i="2"/>
  <c r="T62" i="2"/>
  <c r="S62" i="2"/>
  <c r="BT61" i="2"/>
  <c r="J61" i="2"/>
  <c r="I61" i="2"/>
  <c r="K61" i="2" s="1"/>
  <c r="AD60" i="2"/>
  <c r="BT60" i="2" s="1"/>
  <c r="J60" i="2"/>
  <c r="I60" i="2"/>
  <c r="K60" i="2" s="1"/>
  <c r="U59" i="2"/>
  <c r="BT59" i="2" s="1"/>
  <c r="J59" i="2"/>
  <c r="I59" i="2"/>
  <c r="K59" i="2" s="1"/>
  <c r="AQ58" i="2"/>
  <c r="BT58" i="2" s="1"/>
  <c r="J58" i="2"/>
  <c r="I58" i="2"/>
  <c r="K58" i="2" s="1"/>
  <c r="AY57" i="2"/>
  <c r="AX57" i="2"/>
  <c r="AW57" i="2"/>
  <c r="AV57" i="2"/>
  <c r="AU57" i="2"/>
  <c r="AT57" i="2"/>
  <c r="AR57" i="2"/>
  <c r="AL57" i="2"/>
  <c r="AK57" i="2"/>
  <c r="AJ57" i="2"/>
  <c r="AE57" i="2"/>
  <c r="AD57" i="2"/>
  <c r="AD90" i="2" s="1"/>
  <c r="T57" i="2"/>
  <c r="S57" i="2"/>
  <c r="R57" i="2"/>
  <c r="P57" i="2"/>
  <c r="BT57" i="2" s="1"/>
  <c r="K57" i="2"/>
  <c r="J57" i="2"/>
  <c r="I57" i="2"/>
  <c r="BF56" i="2"/>
  <c r="BT56" i="2" s="1"/>
  <c r="J56" i="2"/>
  <c r="I56" i="2"/>
  <c r="K56" i="2" s="1"/>
  <c r="BT55" i="2"/>
  <c r="J55" i="2"/>
  <c r="I55" i="2"/>
  <c r="K55" i="2" s="1"/>
  <c r="BH54" i="2"/>
  <c r="BT54" i="2" s="1"/>
  <c r="J54" i="2"/>
  <c r="I54" i="2"/>
  <c r="K54" i="2" s="1"/>
  <c r="BT53" i="2"/>
  <c r="BB53" i="2"/>
  <c r="J53" i="2"/>
  <c r="I53" i="2"/>
  <c r="K53" i="2" s="1"/>
  <c r="T52" i="2"/>
  <c r="BT52" i="2" s="1"/>
  <c r="J52" i="2"/>
  <c r="I52" i="2"/>
  <c r="K52" i="2" s="1"/>
  <c r="BS51" i="2"/>
  <c r="BD51" i="2"/>
  <c r="BA51" i="2"/>
  <c r="AS51" i="2"/>
  <c r="AF51" i="2"/>
  <c r="J51" i="2"/>
  <c r="I51" i="2"/>
  <c r="K51" i="2" s="1"/>
  <c r="BT50" i="2"/>
  <c r="J50" i="2"/>
  <c r="I50" i="2"/>
  <c r="K50" i="2" s="1"/>
  <c r="BG49" i="2"/>
  <c r="BC49" i="2"/>
  <c r="BT49" i="2" s="1"/>
  <c r="J49" i="2"/>
  <c r="I49" i="2"/>
  <c r="K49" i="2" s="1"/>
  <c r="BT48" i="2"/>
  <c r="K48" i="2"/>
  <c r="J48" i="2"/>
  <c r="I48" i="2"/>
  <c r="BK47" i="2"/>
  <c r="BT47" i="2" s="1"/>
  <c r="J47" i="2"/>
  <c r="I47" i="2"/>
  <c r="K47" i="2" s="1"/>
  <c r="BT46" i="2"/>
  <c r="BF46" i="2"/>
  <c r="J46" i="2"/>
  <c r="I46" i="2"/>
  <c r="K46" i="2" s="1"/>
  <c r="L45" i="2"/>
  <c r="BT45" i="2" s="1"/>
  <c r="K45" i="2"/>
  <c r="J45" i="2"/>
  <c r="I45" i="2"/>
  <c r="BT44" i="2"/>
  <c r="J44" i="2"/>
  <c r="I44" i="2"/>
  <c r="K44" i="2" s="1"/>
  <c r="BT43" i="2"/>
  <c r="J43" i="2"/>
  <c r="I43" i="2"/>
  <c r="K43" i="2" s="1"/>
  <c r="AE42" i="2"/>
  <c r="AE90" i="2" s="1"/>
  <c r="U42" i="2"/>
  <c r="T42" i="2"/>
  <c r="R42" i="2"/>
  <c r="J42" i="2"/>
  <c r="I42" i="2"/>
  <c r="K42" i="2" s="1"/>
  <c r="BT41" i="2"/>
  <c r="S41" i="2"/>
  <c r="J41" i="2"/>
  <c r="I41" i="2"/>
  <c r="K41" i="2" s="1"/>
  <c r="BR40" i="2"/>
  <c r="BJ40" i="2"/>
  <c r="BI40" i="2"/>
  <c r="BH40" i="2"/>
  <c r="BC40" i="2"/>
  <c r="BB40" i="2"/>
  <c r="AY40" i="2"/>
  <c r="AX40" i="2"/>
  <c r="AV40" i="2"/>
  <c r="AU40" i="2"/>
  <c r="AQ40" i="2"/>
  <c r="AO40" i="2"/>
  <c r="AN40" i="2"/>
  <c r="AM40" i="2"/>
  <c r="AL40" i="2"/>
  <c r="AK40" i="2"/>
  <c r="AJ40" i="2"/>
  <c r="AI40" i="2"/>
  <c r="AH40" i="2"/>
  <c r="AG40" i="2"/>
  <c r="U40" i="2"/>
  <c r="T40" i="2"/>
  <c r="S40" i="2"/>
  <c r="BR39" i="2"/>
  <c r="BP39" i="2"/>
  <c r="BK39" i="2"/>
  <c r="BJ39" i="2"/>
  <c r="BI39" i="2"/>
  <c r="BC39" i="2"/>
  <c r="BB39" i="2"/>
  <c r="AY39" i="2"/>
  <c r="AX39" i="2"/>
  <c r="AW39" i="2"/>
  <c r="AV39" i="2"/>
  <c r="AU39" i="2"/>
  <c r="AT39" i="2"/>
  <c r="AR39" i="2"/>
  <c r="AQ39" i="2"/>
  <c r="AP39" i="2"/>
  <c r="AO39" i="2"/>
  <c r="AN39" i="2"/>
  <c r="AL39" i="2"/>
  <c r="AK39" i="2"/>
  <c r="AJ39" i="2"/>
  <c r="AI39" i="2"/>
  <c r="AH39" i="2"/>
  <c r="AG39" i="2"/>
  <c r="AF39" i="2"/>
  <c r="U39" i="2"/>
  <c r="T39" i="2"/>
  <c r="S39" i="2"/>
  <c r="BR38" i="2"/>
  <c r="BP38" i="2"/>
  <c r="BJ38" i="2"/>
  <c r="BI38" i="2"/>
  <c r="BI90" i="2" s="1"/>
  <c r="BC38" i="2"/>
  <c r="BB38" i="2"/>
  <c r="AY38" i="2"/>
  <c r="AX38" i="2"/>
  <c r="AW38" i="2"/>
  <c r="AV38" i="2"/>
  <c r="AU38" i="2"/>
  <c r="AT38" i="2"/>
  <c r="AS38" i="2"/>
  <c r="AR38" i="2"/>
  <c r="AQ38" i="2"/>
  <c r="AO38" i="2"/>
  <c r="AN38" i="2"/>
  <c r="AM38" i="2"/>
  <c r="AL38" i="2"/>
  <c r="AK38" i="2"/>
  <c r="AJ38" i="2"/>
  <c r="AH38" i="2"/>
  <c r="AG38" i="2"/>
  <c r="U38" i="2"/>
  <c r="T38" i="2"/>
  <c r="S38" i="2"/>
  <c r="BT37" i="2"/>
  <c r="J37" i="2"/>
  <c r="I37" i="2"/>
  <c r="BT36" i="2"/>
  <c r="J36" i="2"/>
  <c r="I36" i="2"/>
  <c r="BS35" i="2"/>
  <c r="BP35" i="2"/>
  <c r="BO35" i="2"/>
  <c r="BL35" i="2"/>
  <c r="BL90" i="2" s="1"/>
  <c r="BJ35" i="2"/>
  <c r="BH35" i="2"/>
  <c r="BF35" i="2"/>
  <c r="BE35" i="2"/>
  <c r="BD35" i="2"/>
  <c r="BC35" i="2"/>
  <c r="BB35" i="2"/>
  <c r="BA35" i="2"/>
  <c r="AY35" i="2"/>
  <c r="AX35" i="2"/>
  <c r="AW35" i="2"/>
  <c r="AV35" i="2"/>
  <c r="AU35" i="2"/>
  <c r="AR35" i="2"/>
  <c r="AQ35" i="2"/>
  <c r="AP35" i="2"/>
  <c r="AO35" i="2"/>
  <c r="AN35" i="2"/>
  <c r="AM35" i="2"/>
  <c r="AL35" i="2"/>
  <c r="AK35" i="2"/>
  <c r="AJ35" i="2"/>
  <c r="AI35" i="2"/>
  <c r="AG35" i="2"/>
  <c r="AF35" i="2"/>
  <c r="U35" i="2"/>
  <c r="T35" i="2"/>
  <c r="S35" i="2"/>
  <c r="P35" i="2"/>
  <c r="BS34" i="2"/>
  <c r="BP34" i="2"/>
  <c r="BO34" i="2"/>
  <c r="BH34" i="2"/>
  <c r="BF34" i="2"/>
  <c r="BE34" i="2"/>
  <c r="BD34" i="2"/>
  <c r="BC34" i="2"/>
  <c r="BB34" i="2"/>
  <c r="BA34" i="2"/>
  <c r="AY34" i="2"/>
  <c r="AX34" i="2"/>
  <c r="AW34" i="2"/>
  <c r="AV34" i="2"/>
  <c r="AU34" i="2"/>
  <c r="AT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U34" i="2"/>
  <c r="T34" i="2"/>
  <c r="S34" i="2"/>
  <c r="P34" i="2"/>
  <c r="BS33" i="2"/>
  <c r="BP33" i="2"/>
  <c r="BO33" i="2"/>
  <c r="BH33" i="2"/>
  <c r="BF33" i="2"/>
  <c r="BE33" i="2"/>
  <c r="BD33" i="2"/>
  <c r="BC33" i="2"/>
  <c r="BB33" i="2"/>
  <c r="BA33" i="2"/>
  <c r="AY33" i="2"/>
  <c r="AX33" i="2"/>
  <c r="AW33" i="2"/>
  <c r="AV33" i="2"/>
  <c r="AU33" i="2"/>
  <c r="AT33" i="2"/>
  <c r="AR33" i="2"/>
  <c r="AQ33" i="2"/>
  <c r="AP33" i="2"/>
  <c r="AO33" i="2"/>
  <c r="AN33" i="2"/>
  <c r="AM33" i="2"/>
  <c r="AL33" i="2"/>
  <c r="AK33" i="2"/>
  <c r="AG33" i="2"/>
  <c r="T33" i="2"/>
  <c r="BT33" i="2" s="1"/>
  <c r="AI32" i="2"/>
  <c r="BT32" i="2" s="1"/>
  <c r="J32" i="2"/>
  <c r="I32" i="2"/>
  <c r="AH31" i="2"/>
  <c r="BT31" i="2" s="1"/>
  <c r="J31" i="2"/>
  <c r="I31" i="2"/>
  <c r="BT30" i="2"/>
  <c r="J30" i="2"/>
  <c r="I30" i="2"/>
  <c r="AN29" i="2"/>
  <c r="AN90" i="2" s="1"/>
  <c r="J29" i="2"/>
  <c r="I29" i="2"/>
  <c r="BT28" i="2"/>
  <c r="AF28" i="2"/>
  <c r="J28" i="2"/>
  <c r="I28" i="2"/>
  <c r="BT27" i="2"/>
  <c r="J27" i="2"/>
  <c r="I27" i="2"/>
  <c r="S26" i="2"/>
  <c r="BT26" i="2" s="1"/>
  <c r="J26" i="2"/>
  <c r="I26" i="2"/>
  <c r="BG25" i="2"/>
  <c r="BG90" i="2" s="1"/>
  <c r="BE25" i="2"/>
  <c r="BB25" i="2"/>
  <c r="BB90" i="2" s="1"/>
  <c r="AU25" i="2"/>
  <c r="AT25" i="2"/>
  <c r="AR25" i="2"/>
  <c r="J25" i="2"/>
  <c r="I25" i="2"/>
  <c r="BS24" i="2"/>
  <c r="BS90" i="2" s="1"/>
  <c r="AY24" i="2"/>
  <c r="AX24" i="2"/>
  <c r="AV24" i="2"/>
  <c r="AQ24" i="2"/>
  <c r="AP24" i="2"/>
  <c r="AK24" i="2"/>
  <c r="AG24" i="2"/>
  <c r="P24" i="2"/>
  <c r="P90" i="2" s="1"/>
  <c r="J24" i="2"/>
  <c r="I24" i="2"/>
  <c r="BH23" i="2"/>
  <c r="U23" i="2"/>
  <c r="T23" i="2"/>
  <c r="R23" i="2"/>
  <c r="J23" i="2"/>
  <c r="I23" i="2"/>
  <c r="BH22" i="2"/>
  <c r="BT22" i="2" s="1"/>
  <c r="AV22" i="2"/>
  <c r="AL22" i="2"/>
  <c r="J22" i="2"/>
  <c r="I22" i="2"/>
  <c r="BJ21" i="2"/>
  <c r="J21" i="2"/>
  <c r="I21" i="2"/>
  <c r="BT20" i="2"/>
  <c r="J20" i="2"/>
  <c r="I20" i="2"/>
  <c r="BP19" i="2"/>
  <c r="BE19" i="2"/>
  <c r="AQ19" i="2"/>
  <c r="J19" i="2"/>
  <c r="I19" i="2"/>
  <c r="BP18" i="2"/>
  <c r="BP90" i="2" s="1"/>
  <c r="AU18" i="2"/>
  <c r="AG18" i="2"/>
  <c r="J18" i="2"/>
  <c r="I18" i="2"/>
  <c r="BT17" i="2"/>
  <c r="J17" i="2"/>
  <c r="I17" i="2"/>
  <c r="BC16" i="2"/>
  <c r="BC90" i="2" s="1"/>
  <c r="AV16" i="2"/>
  <c r="J16" i="2"/>
  <c r="I16" i="2"/>
  <c r="AW15" i="2"/>
  <c r="AW90" i="2" s="1"/>
  <c r="AP15" i="2"/>
  <c r="J15" i="2"/>
  <c r="I15" i="2"/>
  <c r="AY14" i="2"/>
  <c r="BT14" i="2" s="1"/>
  <c r="AF14" i="2"/>
  <c r="J14" i="2"/>
  <c r="I14" i="2"/>
  <c r="BT13" i="2"/>
  <c r="J13" i="2"/>
  <c r="I13" i="2"/>
  <c r="AL12" i="2"/>
  <c r="J12" i="2"/>
  <c r="I12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BQ304" i="1"/>
  <c r="BP304" i="1"/>
  <c r="BJ304" i="1"/>
  <c r="BI304" i="1"/>
  <c r="BH304" i="1"/>
  <c r="BG304" i="1"/>
  <c r="BF304" i="1"/>
  <c r="BE304" i="1"/>
  <c r="BD304" i="1"/>
  <c r="BA304" i="1"/>
  <c r="AW304" i="1"/>
  <c r="AU304" i="1"/>
  <c r="AT304" i="1"/>
  <c r="AP304" i="1"/>
  <c r="AO304" i="1"/>
  <c r="AN304" i="1"/>
  <c r="AM304" i="1"/>
  <c r="AL304" i="1"/>
  <c r="AK304" i="1"/>
  <c r="AJ304" i="1"/>
  <c r="AI304" i="1"/>
  <c r="AH304" i="1"/>
  <c r="AE304" i="1"/>
  <c r="AD304" i="1"/>
  <c r="AC304" i="1"/>
  <c r="AB304" i="1"/>
  <c r="AA304" i="1"/>
  <c r="Z304" i="1"/>
  <c r="Y304" i="1"/>
  <c r="X304" i="1"/>
  <c r="T304" i="1"/>
  <c r="S304" i="1"/>
  <c r="R304" i="1"/>
  <c r="Q304" i="1"/>
  <c r="P304" i="1"/>
  <c r="O304" i="1"/>
  <c r="BO302" i="1"/>
  <c r="BN302" i="1"/>
  <c r="BL302" i="1"/>
  <c r="BK302" i="1"/>
  <c r="BC302" i="1"/>
  <c r="BC304" i="1" s="1"/>
  <c r="BB302" i="1"/>
  <c r="BB304" i="1" s="1"/>
  <c r="AZ302" i="1"/>
  <c r="AZ304" i="1" s="1"/>
  <c r="AX302" i="1"/>
  <c r="AX304" i="1" s="1"/>
  <c r="AG302" i="1"/>
  <c r="U302" i="1"/>
  <c r="U304" i="1" s="1"/>
  <c r="N302" i="1"/>
  <c r="BU301" i="1"/>
  <c r="K301" i="1"/>
  <c r="J301" i="1"/>
  <c r="BU300" i="1"/>
  <c r="K300" i="1"/>
  <c r="J300" i="1"/>
  <c r="BU299" i="1"/>
  <c r="K299" i="1"/>
  <c r="J299" i="1"/>
  <c r="BU298" i="1"/>
  <c r="K298" i="1"/>
  <c r="J298" i="1"/>
  <c r="BK297" i="1"/>
  <c r="BU297" i="1" s="1"/>
  <c r="K297" i="1"/>
  <c r="J297" i="1"/>
  <c r="AS296" i="1"/>
  <c r="AQ296" i="1"/>
  <c r="K296" i="1"/>
  <c r="J296" i="1"/>
  <c r="AG295" i="1"/>
  <c r="BU295" i="1" s="1"/>
  <c r="K295" i="1"/>
  <c r="J295" i="1"/>
  <c r="BU294" i="1"/>
  <c r="K294" i="1"/>
  <c r="J294" i="1"/>
  <c r="BU293" i="1"/>
  <c r="K293" i="1"/>
  <c r="J293" i="1"/>
  <c r="BT292" i="1"/>
  <c r="AS292" i="1"/>
  <c r="K292" i="1"/>
  <c r="J292" i="1"/>
  <c r="BU291" i="1"/>
  <c r="K291" i="1"/>
  <c r="J291" i="1"/>
  <c r="BU290" i="1"/>
  <c r="K290" i="1"/>
  <c r="J290" i="1"/>
  <c r="BU289" i="1"/>
  <c r="K289" i="1"/>
  <c r="J289" i="1"/>
  <c r="BU288" i="1"/>
  <c r="K288" i="1"/>
  <c r="J288" i="1"/>
  <c r="BU287" i="1"/>
  <c r="K287" i="1"/>
  <c r="J287" i="1"/>
  <c r="AG286" i="1"/>
  <c r="BU286" i="1" s="1"/>
  <c r="K286" i="1"/>
  <c r="J286" i="1"/>
  <c r="BU285" i="1"/>
  <c r="K285" i="1"/>
  <c r="J285" i="1"/>
  <c r="BU284" i="1"/>
  <c r="K284" i="1"/>
  <c r="J284" i="1"/>
  <c r="BU283" i="1"/>
  <c r="K283" i="1"/>
  <c r="J283" i="1"/>
  <c r="BU282" i="1"/>
  <c r="K282" i="1"/>
  <c r="J282" i="1"/>
  <c r="BU281" i="1"/>
  <c r="K281" i="1"/>
  <c r="J281" i="1"/>
  <c r="BU280" i="1"/>
  <c r="K280" i="1"/>
  <c r="J280" i="1"/>
  <c r="BU279" i="1"/>
  <c r="K279" i="1"/>
  <c r="J279" i="1"/>
  <c r="BU278" i="1"/>
  <c r="K278" i="1"/>
  <c r="J278" i="1"/>
  <c r="BU277" i="1"/>
  <c r="K277" i="1"/>
  <c r="J277" i="1"/>
  <c r="BU276" i="1"/>
  <c r="K276" i="1"/>
  <c r="J276" i="1"/>
  <c r="BU275" i="1"/>
  <c r="K275" i="1"/>
  <c r="J275" i="1"/>
  <c r="BU274" i="1"/>
  <c r="K274" i="1"/>
  <c r="J274" i="1"/>
  <c r="BU273" i="1"/>
  <c r="K273" i="1"/>
  <c r="J273" i="1"/>
  <c r="AQ272" i="1"/>
  <c r="M272" i="1"/>
  <c r="M304" i="1" s="1"/>
  <c r="K272" i="1"/>
  <c r="J272" i="1"/>
  <c r="BU271" i="1"/>
  <c r="K271" i="1"/>
  <c r="J271" i="1"/>
  <c r="BU270" i="1"/>
  <c r="K270" i="1"/>
  <c r="J270" i="1"/>
  <c r="BU269" i="1"/>
  <c r="K269" i="1"/>
  <c r="J269" i="1"/>
  <c r="BU268" i="1"/>
  <c r="K268" i="1"/>
  <c r="J268" i="1"/>
  <c r="BU267" i="1"/>
  <c r="K267" i="1"/>
  <c r="J267" i="1"/>
  <c r="BU266" i="1"/>
  <c r="K266" i="1"/>
  <c r="J266" i="1"/>
  <c r="BU265" i="1"/>
  <c r="K265" i="1"/>
  <c r="J265" i="1"/>
  <c r="BU264" i="1"/>
  <c r="K264" i="1"/>
  <c r="J264" i="1"/>
  <c r="BU263" i="1"/>
  <c r="K263" i="1"/>
  <c r="J263" i="1"/>
  <c r="BU262" i="1"/>
  <c r="K262" i="1"/>
  <c r="J262" i="1"/>
  <c r="BU261" i="1"/>
  <c r="K261" i="1"/>
  <c r="J261" i="1"/>
  <c r="BU260" i="1"/>
  <c r="K260" i="1"/>
  <c r="J260" i="1"/>
  <c r="BU259" i="1"/>
  <c r="K259" i="1"/>
  <c r="J259" i="1"/>
  <c r="BU258" i="1"/>
  <c r="K258" i="1"/>
  <c r="J258" i="1"/>
  <c r="BU257" i="1"/>
  <c r="K257" i="1"/>
  <c r="J257" i="1"/>
  <c r="BU256" i="1"/>
  <c r="K256" i="1"/>
  <c r="J256" i="1"/>
  <c r="BU255" i="1"/>
  <c r="K255" i="1"/>
  <c r="J255" i="1"/>
  <c r="BU254" i="1"/>
  <c r="K254" i="1"/>
  <c r="J254" i="1"/>
  <c r="BU253" i="1"/>
  <c r="K253" i="1"/>
  <c r="J253" i="1"/>
  <c r="BU252" i="1"/>
  <c r="K252" i="1"/>
  <c r="J252" i="1"/>
  <c r="BU251" i="1"/>
  <c r="K251" i="1"/>
  <c r="J251" i="1"/>
  <c r="BU250" i="1"/>
  <c r="K250" i="1"/>
  <c r="J250" i="1"/>
  <c r="BU249" i="1"/>
  <c r="K249" i="1"/>
  <c r="J249" i="1"/>
  <c r="BU248" i="1"/>
  <c r="K248" i="1"/>
  <c r="J248" i="1"/>
  <c r="BU247" i="1"/>
  <c r="K247" i="1"/>
  <c r="J247" i="1"/>
  <c r="BU246" i="1"/>
  <c r="K246" i="1"/>
  <c r="J246" i="1"/>
  <c r="BU245" i="1"/>
  <c r="K245" i="1"/>
  <c r="J245" i="1"/>
  <c r="BU244" i="1"/>
  <c r="K244" i="1"/>
  <c r="J244" i="1"/>
  <c r="BU243" i="1"/>
  <c r="K243" i="1"/>
  <c r="J243" i="1"/>
  <c r="BU242" i="1"/>
  <c r="K242" i="1"/>
  <c r="J242" i="1"/>
  <c r="BU241" i="1"/>
  <c r="K241" i="1"/>
  <c r="J241" i="1"/>
  <c r="BU240" i="1"/>
  <c r="K240" i="1"/>
  <c r="J240" i="1"/>
  <c r="BU239" i="1"/>
  <c r="K239" i="1"/>
  <c r="J239" i="1"/>
  <c r="BU238" i="1"/>
  <c r="K238" i="1"/>
  <c r="J238" i="1"/>
  <c r="BU237" i="1"/>
  <c r="K237" i="1"/>
  <c r="J237" i="1"/>
  <c r="BU236" i="1"/>
  <c r="K236" i="1"/>
  <c r="J236" i="1"/>
  <c r="BU235" i="1"/>
  <c r="K235" i="1"/>
  <c r="J235" i="1"/>
  <c r="BU234" i="1"/>
  <c r="K234" i="1"/>
  <c r="J234" i="1"/>
  <c r="BU233" i="1"/>
  <c r="K233" i="1"/>
  <c r="J233" i="1"/>
  <c r="BU232" i="1"/>
  <c r="K232" i="1"/>
  <c r="J232" i="1"/>
  <c r="BU231" i="1"/>
  <c r="K231" i="1"/>
  <c r="J231" i="1"/>
  <c r="BU230" i="1"/>
  <c r="K230" i="1"/>
  <c r="J230" i="1"/>
  <c r="BU229" i="1"/>
  <c r="K229" i="1"/>
  <c r="J229" i="1"/>
  <c r="BU228" i="1"/>
  <c r="K228" i="1"/>
  <c r="J228" i="1"/>
  <c r="BU227" i="1"/>
  <c r="K227" i="1"/>
  <c r="J227" i="1"/>
  <c r="BU226" i="1"/>
  <c r="K226" i="1"/>
  <c r="J226" i="1"/>
  <c r="BU225" i="1"/>
  <c r="K225" i="1"/>
  <c r="J225" i="1"/>
  <c r="BU224" i="1"/>
  <c r="K224" i="1"/>
  <c r="J224" i="1"/>
  <c r="BU223" i="1"/>
  <c r="K223" i="1"/>
  <c r="J223" i="1"/>
  <c r="BU222" i="1"/>
  <c r="K222" i="1"/>
  <c r="J222" i="1"/>
  <c r="BL221" i="1"/>
  <c r="BU221" i="1" s="1"/>
  <c r="K221" i="1"/>
  <c r="J221" i="1"/>
  <c r="BU220" i="1"/>
  <c r="K220" i="1"/>
  <c r="J220" i="1"/>
  <c r="BU219" i="1"/>
  <c r="K219" i="1"/>
  <c r="J219" i="1"/>
  <c r="BU218" i="1"/>
  <c r="K218" i="1"/>
  <c r="J218" i="1"/>
  <c r="BU217" i="1"/>
  <c r="K217" i="1"/>
  <c r="J217" i="1"/>
  <c r="BU216" i="1"/>
  <c r="K216" i="1"/>
  <c r="J216" i="1"/>
  <c r="BU215" i="1"/>
  <c r="K215" i="1"/>
  <c r="J215" i="1"/>
  <c r="BU214" i="1"/>
  <c r="K214" i="1"/>
  <c r="J214" i="1"/>
  <c r="BU213" i="1"/>
  <c r="K213" i="1"/>
  <c r="J213" i="1"/>
  <c r="BU212" i="1"/>
  <c r="K212" i="1"/>
  <c r="J212" i="1"/>
  <c r="BU211" i="1"/>
  <c r="K211" i="1"/>
  <c r="J211" i="1"/>
  <c r="BU210" i="1"/>
  <c r="K210" i="1"/>
  <c r="J210" i="1"/>
  <c r="BU209" i="1"/>
  <c r="K209" i="1"/>
  <c r="J209" i="1"/>
  <c r="BU208" i="1"/>
  <c r="K208" i="1"/>
  <c r="J208" i="1"/>
  <c r="BU207" i="1"/>
  <c r="K207" i="1"/>
  <c r="J207" i="1"/>
  <c r="BU206" i="1"/>
  <c r="K206" i="1"/>
  <c r="J206" i="1"/>
  <c r="BU205" i="1"/>
  <c r="K205" i="1"/>
  <c r="J205" i="1"/>
  <c r="BU204" i="1"/>
  <c r="K204" i="1"/>
  <c r="J204" i="1"/>
  <c r="BU203" i="1"/>
  <c r="K203" i="1"/>
  <c r="J203" i="1"/>
  <c r="BU202" i="1"/>
  <c r="K202" i="1"/>
  <c r="J202" i="1"/>
  <c r="BU201" i="1"/>
  <c r="K201" i="1"/>
  <c r="J201" i="1"/>
  <c r="BU200" i="1"/>
  <c r="K200" i="1"/>
  <c r="J200" i="1"/>
  <c r="BU199" i="1"/>
  <c r="K199" i="1"/>
  <c r="J199" i="1"/>
  <c r="BU198" i="1"/>
  <c r="K198" i="1"/>
  <c r="J198" i="1"/>
  <c r="BU197" i="1"/>
  <c r="K197" i="1"/>
  <c r="J197" i="1"/>
  <c r="BU196" i="1"/>
  <c r="K196" i="1"/>
  <c r="J196" i="1"/>
  <c r="BU195" i="1"/>
  <c r="K195" i="1"/>
  <c r="J195" i="1"/>
  <c r="BU194" i="1"/>
  <c r="K194" i="1"/>
  <c r="J194" i="1"/>
  <c r="BU193" i="1"/>
  <c r="K193" i="1"/>
  <c r="J193" i="1"/>
  <c r="BU192" i="1"/>
  <c r="K192" i="1"/>
  <c r="J192" i="1"/>
  <c r="BU191" i="1"/>
  <c r="K191" i="1"/>
  <c r="J191" i="1"/>
  <c r="BU190" i="1"/>
  <c r="K190" i="1"/>
  <c r="J190" i="1"/>
  <c r="BU189" i="1"/>
  <c r="K189" i="1"/>
  <c r="J189" i="1"/>
  <c r="BU188" i="1"/>
  <c r="K188" i="1"/>
  <c r="J188" i="1"/>
  <c r="BU187" i="1"/>
  <c r="K187" i="1"/>
  <c r="J187" i="1"/>
  <c r="BU186" i="1"/>
  <c r="K186" i="1"/>
  <c r="J186" i="1"/>
  <c r="BU185" i="1"/>
  <c r="K185" i="1"/>
  <c r="J185" i="1"/>
  <c r="BU184" i="1"/>
  <c r="K184" i="1"/>
  <c r="J184" i="1"/>
  <c r="BU183" i="1"/>
  <c r="K183" i="1"/>
  <c r="J183" i="1"/>
  <c r="BU182" i="1"/>
  <c r="K182" i="1"/>
  <c r="J182" i="1"/>
  <c r="BU181" i="1"/>
  <c r="K181" i="1"/>
  <c r="J181" i="1"/>
  <c r="BU180" i="1"/>
  <c r="K180" i="1"/>
  <c r="J180" i="1"/>
  <c r="BU179" i="1"/>
  <c r="K179" i="1"/>
  <c r="J179" i="1"/>
  <c r="BU178" i="1"/>
  <c r="K178" i="1"/>
  <c r="J178" i="1"/>
  <c r="BU177" i="1"/>
  <c r="K177" i="1"/>
  <c r="J177" i="1"/>
  <c r="BU176" i="1"/>
  <c r="K176" i="1"/>
  <c r="J176" i="1"/>
  <c r="BU175" i="1"/>
  <c r="K175" i="1"/>
  <c r="J175" i="1"/>
  <c r="BU174" i="1"/>
  <c r="K174" i="1"/>
  <c r="J174" i="1"/>
  <c r="BU173" i="1"/>
  <c r="K173" i="1"/>
  <c r="J173" i="1"/>
  <c r="BU172" i="1"/>
  <c r="K172" i="1"/>
  <c r="J172" i="1"/>
  <c r="BU171" i="1"/>
  <c r="K171" i="1"/>
  <c r="J171" i="1"/>
  <c r="BU170" i="1"/>
  <c r="K170" i="1"/>
  <c r="J170" i="1"/>
  <c r="W169" i="1"/>
  <c r="BU169" i="1" s="1"/>
  <c r="K169" i="1"/>
  <c r="J169" i="1"/>
  <c r="BU168" i="1"/>
  <c r="K168" i="1"/>
  <c r="J168" i="1"/>
  <c r="BU167" i="1"/>
  <c r="K167" i="1"/>
  <c r="J167" i="1"/>
  <c r="BU166" i="1"/>
  <c r="K166" i="1"/>
  <c r="J166" i="1"/>
  <c r="BU165" i="1"/>
  <c r="K165" i="1"/>
  <c r="J165" i="1"/>
  <c r="BU164" i="1"/>
  <c r="K164" i="1"/>
  <c r="J164" i="1"/>
  <c r="BU163" i="1"/>
  <c r="K163" i="1"/>
  <c r="J163" i="1"/>
  <c r="BU162" i="1"/>
  <c r="K162" i="1"/>
  <c r="J162" i="1"/>
  <c r="BT161" i="1"/>
  <c r="BU161" i="1" s="1"/>
  <c r="K161" i="1"/>
  <c r="J161" i="1"/>
  <c r="BU160" i="1"/>
  <c r="K160" i="1"/>
  <c r="J160" i="1"/>
  <c r="BU159" i="1"/>
  <c r="K159" i="1"/>
  <c r="J159" i="1"/>
  <c r="BU158" i="1"/>
  <c r="K158" i="1"/>
  <c r="J158" i="1"/>
  <c r="BO157" i="1"/>
  <c r="BU157" i="1" s="1"/>
  <c r="K157" i="1"/>
  <c r="J157" i="1"/>
  <c r="BN156" i="1"/>
  <c r="BM156" i="1"/>
  <c r="K156" i="1"/>
  <c r="J156" i="1"/>
  <c r="BU155" i="1"/>
  <c r="K155" i="1"/>
  <c r="J155" i="1"/>
  <c r="N154" i="1"/>
  <c r="BU154" i="1" s="1"/>
  <c r="K154" i="1"/>
  <c r="J154" i="1"/>
  <c r="AV153" i="1"/>
  <c r="AV304" i="1" s="1"/>
  <c r="K153" i="1"/>
  <c r="J153" i="1"/>
  <c r="BT152" i="1"/>
  <c r="BU152" i="1" s="1"/>
  <c r="K152" i="1"/>
  <c r="J152" i="1"/>
  <c r="BU151" i="1"/>
  <c r="K151" i="1"/>
  <c r="J151" i="1"/>
  <c r="BU150" i="1"/>
  <c r="K150" i="1"/>
  <c r="J150" i="1"/>
  <c r="BU149" i="1"/>
  <c r="K149" i="1"/>
  <c r="J149" i="1"/>
  <c r="BU148" i="1"/>
  <c r="K148" i="1"/>
  <c r="J148" i="1"/>
  <c r="BU147" i="1"/>
  <c r="K147" i="1"/>
  <c r="J147" i="1"/>
  <c r="BU146" i="1"/>
  <c r="K146" i="1"/>
  <c r="J146" i="1"/>
  <c r="BU145" i="1"/>
  <c r="K145" i="1"/>
  <c r="J145" i="1"/>
  <c r="BU144" i="1"/>
  <c r="K144" i="1"/>
  <c r="J144" i="1"/>
  <c r="BU143" i="1"/>
  <c r="K143" i="1"/>
  <c r="J143" i="1"/>
  <c r="BU142" i="1"/>
  <c r="K142" i="1"/>
  <c r="J142" i="1"/>
  <c r="BU141" i="1"/>
  <c r="K141" i="1"/>
  <c r="J141" i="1"/>
  <c r="BU140" i="1"/>
  <c r="K140" i="1"/>
  <c r="J140" i="1"/>
  <c r="BU139" i="1"/>
  <c r="K139" i="1"/>
  <c r="J139" i="1"/>
  <c r="BU138" i="1"/>
  <c r="K138" i="1"/>
  <c r="J138" i="1"/>
  <c r="BU137" i="1"/>
  <c r="K137" i="1"/>
  <c r="J137" i="1"/>
  <c r="BU136" i="1"/>
  <c r="K136" i="1"/>
  <c r="J136" i="1"/>
  <c r="BS135" i="1"/>
  <c r="BS304" i="1" s="1"/>
  <c r="K135" i="1"/>
  <c r="J135" i="1"/>
  <c r="BU134" i="1"/>
  <c r="K134" i="1"/>
  <c r="J134" i="1"/>
  <c r="AY133" i="1"/>
  <c r="AS133" i="1"/>
  <c r="K133" i="1"/>
  <c r="J133" i="1"/>
  <c r="BU132" i="1"/>
  <c r="K132" i="1"/>
  <c r="J132" i="1"/>
  <c r="BU131" i="1"/>
  <c r="K131" i="1"/>
  <c r="J131" i="1"/>
  <c r="BU130" i="1"/>
  <c r="K130" i="1"/>
  <c r="J130" i="1"/>
  <c r="BU129" i="1"/>
  <c r="K129" i="1"/>
  <c r="J129" i="1"/>
  <c r="BU128" i="1"/>
  <c r="K128" i="1"/>
  <c r="J128" i="1"/>
  <c r="BU127" i="1"/>
  <c r="K127" i="1"/>
  <c r="J127" i="1"/>
  <c r="BU126" i="1"/>
  <c r="K126" i="1"/>
  <c r="J126" i="1"/>
  <c r="BU125" i="1"/>
  <c r="K125" i="1"/>
  <c r="J125" i="1"/>
  <c r="BU124" i="1"/>
  <c r="K124" i="1"/>
  <c r="J124" i="1"/>
  <c r="BU123" i="1"/>
  <c r="K123" i="1"/>
  <c r="J123" i="1"/>
  <c r="BU122" i="1"/>
  <c r="K122" i="1"/>
  <c r="J122" i="1"/>
  <c r="BU121" i="1"/>
  <c r="K121" i="1"/>
  <c r="J121" i="1"/>
  <c r="BU120" i="1"/>
  <c r="K120" i="1"/>
  <c r="J120" i="1"/>
  <c r="BU119" i="1"/>
  <c r="K119" i="1"/>
  <c r="J119" i="1"/>
  <c r="BU118" i="1"/>
  <c r="K118" i="1"/>
  <c r="J118" i="1"/>
  <c r="BU117" i="1"/>
  <c r="K117" i="1"/>
  <c r="J117" i="1"/>
  <c r="BU116" i="1"/>
  <c r="K116" i="1"/>
  <c r="J116" i="1"/>
  <c r="BU115" i="1"/>
  <c r="K115" i="1"/>
  <c r="J115" i="1"/>
  <c r="BU114" i="1"/>
  <c r="K114" i="1"/>
  <c r="J114" i="1"/>
  <c r="BU113" i="1"/>
  <c r="K113" i="1"/>
  <c r="J113" i="1"/>
  <c r="BU112" i="1"/>
  <c r="K112" i="1"/>
  <c r="J112" i="1"/>
  <c r="BU111" i="1"/>
  <c r="K111" i="1"/>
  <c r="J111" i="1"/>
  <c r="BU110" i="1"/>
  <c r="K110" i="1"/>
  <c r="J110" i="1"/>
  <c r="BU109" i="1"/>
  <c r="K109" i="1"/>
  <c r="J109" i="1"/>
  <c r="BU108" i="1"/>
  <c r="K108" i="1"/>
  <c r="J108" i="1"/>
  <c r="BU107" i="1"/>
  <c r="K107" i="1"/>
  <c r="J107" i="1"/>
  <c r="BU106" i="1"/>
  <c r="K106" i="1"/>
  <c r="J106" i="1"/>
  <c r="BU105" i="1"/>
  <c r="K105" i="1"/>
  <c r="J105" i="1"/>
  <c r="BU104" i="1"/>
  <c r="K104" i="1"/>
  <c r="J104" i="1"/>
  <c r="BU103" i="1"/>
  <c r="K103" i="1"/>
  <c r="J103" i="1"/>
  <c r="BU102" i="1"/>
  <c r="K102" i="1"/>
  <c r="J102" i="1"/>
  <c r="BU101" i="1"/>
  <c r="K101" i="1"/>
  <c r="J101" i="1"/>
  <c r="AY100" i="1"/>
  <c r="AF100" i="1"/>
  <c r="AF304" i="1" s="1"/>
  <c r="V100" i="1"/>
  <c r="V304" i="1" s="1"/>
  <c r="BU99" i="1"/>
  <c r="K99" i="1"/>
  <c r="J99" i="1"/>
  <c r="BU98" i="1"/>
  <c r="K98" i="1"/>
  <c r="J98" i="1"/>
  <c r="BU97" i="1"/>
  <c r="K97" i="1"/>
  <c r="J97" i="1"/>
  <c r="BU96" i="1"/>
  <c r="K96" i="1"/>
  <c r="J96" i="1"/>
  <c r="BU95" i="1"/>
  <c r="K95" i="1"/>
  <c r="J95" i="1"/>
  <c r="BU94" i="1"/>
  <c r="K94" i="1"/>
  <c r="J94" i="1"/>
  <c r="BU93" i="1"/>
  <c r="K93" i="1"/>
  <c r="J93" i="1"/>
  <c r="BU92" i="1"/>
  <c r="K92" i="1"/>
  <c r="J92" i="1"/>
  <c r="BU91" i="1"/>
  <c r="K91" i="1"/>
  <c r="J91" i="1"/>
  <c r="BU90" i="1"/>
  <c r="K90" i="1"/>
  <c r="J90" i="1"/>
  <c r="BU89" i="1"/>
  <c r="K89" i="1"/>
  <c r="J89" i="1"/>
  <c r="BU88" i="1"/>
  <c r="K88" i="1"/>
  <c r="J88" i="1"/>
  <c r="BU87" i="1"/>
  <c r="K87" i="1"/>
  <c r="J87" i="1"/>
  <c r="BU86" i="1"/>
  <c r="K86" i="1"/>
  <c r="J86" i="1"/>
  <c r="BU85" i="1"/>
  <c r="K85" i="1"/>
  <c r="J85" i="1"/>
  <c r="BU84" i="1"/>
  <c r="K84" i="1"/>
  <c r="J84" i="1"/>
  <c r="BU83" i="1"/>
  <c r="K83" i="1"/>
  <c r="J83" i="1"/>
  <c r="BU82" i="1"/>
  <c r="K82" i="1"/>
  <c r="J82" i="1"/>
  <c r="BU81" i="1"/>
  <c r="K81" i="1"/>
  <c r="J81" i="1"/>
  <c r="BU80" i="1"/>
  <c r="K80" i="1"/>
  <c r="J80" i="1"/>
  <c r="BU79" i="1"/>
  <c r="K79" i="1"/>
  <c r="J79" i="1"/>
  <c r="BU78" i="1"/>
  <c r="K78" i="1"/>
  <c r="J78" i="1"/>
  <c r="BU77" i="1"/>
  <c r="K77" i="1"/>
  <c r="J77" i="1"/>
  <c r="BU76" i="1"/>
  <c r="K76" i="1"/>
  <c r="J76" i="1"/>
  <c r="BU75" i="1"/>
  <c r="K75" i="1"/>
  <c r="J75" i="1"/>
  <c r="BU74" i="1"/>
  <c r="K74" i="1"/>
  <c r="J74" i="1"/>
  <c r="BU73" i="1"/>
  <c r="K73" i="1"/>
  <c r="J73" i="1"/>
  <c r="BU72" i="1"/>
  <c r="K72" i="1"/>
  <c r="J72" i="1"/>
  <c r="BU71" i="1"/>
  <c r="K71" i="1"/>
  <c r="J71" i="1"/>
  <c r="BU70" i="1"/>
  <c r="K70" i="1"/>
  <c r="J70" i="1"/>
  <c r="BU69" i="1"/>
  <c r="K69" i="1"/>
  <c r="J69" i="1"/>
  <c r="W68" i="1"/>
  <c r="W304" i="1" s="1"/>
  <c r="K68" i="1"/>
  <c r="J68" i="1"/>
  <c r="BU67" i="1"/>
  <c r="K67" i="1"/>
  <c r="J67" i="1"/>
  <c r="BU66" i="1"/>
  <c r="K66" i="1"/>
  <c r="J66" i="1"/>
  <c r="BU65" i="1"/>
  <c r="K65" i="1"/>
  <c r="J65" i="1"/>
  <c r="BU64" i="1"/>
  <c r="K64" i="1"/>
  <c r="J64" i="1"/>
  <c r="BU63" i="1"/>
  <c r="K63" i="1"/>
  <c r="J63" i="1"/>
  <c r="BU62" i="1"/>
  <c r="K62" i="1"/>
  <c r="J62" i="1"/>
  <c r="BU61" i="1"/>
  <c r="K61" i="1"/>
  <c r="J61" i="1"/>
  <c r="BU60" i="1"/>
  <c r="K60" i="1"/>
  <c r="J60" i="1"/>
  <c r="BU59" i="1"/>
  <c r="K59" i="1"/>
  <c r="J59" i="1"/>
  <c r="BU58" i="1"/>
  <c r="K58" i="1"/>
  <c r="J58" i="1"/>
  <c r="BU57" i="1"/>
  <c r="K57" i="1"/>
  <c r="J57" i="1"/>
  <c r="BU56" i="1"/>
  <c r="K56" i="1"/>
  <c r="J56" i="1"/>
  <c r="BU55" i="1"/>
  <c r="K55" i="1"/>
  <c r="J55" i="1"/>
  <c r="BN54" i="1"/>
  <c r="BL54" i="1"/>
  <c r="BK54" i="1"/>
  <c r="K54" i="1"/>
  <c r="J54" i="1"/>
  <c r="BU53" i="1"/>
  <c r="K53" i="1"/>
  <c r="J53" i="1"/>
  <c r="BU52" i="1"/>
  <c r="K52" i="1"/>
  <c r="J52" i="1"/>
  <c r="BU51" i="1"/>
  <c r="K51" i="1"/>
  <c r="J51" i="1"/>
  <c r="BO50" i="1"/>
  <c r="BO304" i="1" s="1"/>
  <c r="K50" i="1"/>
  <c r="J50" i="1"/>
  <c r="BU49" i="1"/>
  <c r="K49" i="1"/>
  <c r="J49" i="1"/>
  <c r="BU48" i="1"/>
  <c r="K48" i="1"/>
  <c r="J48" i="1"/>
  <c r="BU47" i="1"/>
  <c r="K47" i="1"/>
  <c r="J47" i="1"/>
  <c r="BU46" i="1"/>
  <c r="K46" i="1"/>
  <c r="J46" i="1"/>
  <c r="BU45" i="1"/>
  <c r="K45" i="1"/>
  <c r="J45" i="1"/>
  <c r="BU44" i="1"/>
  <c r="K44" i="1"/>
  <c r="J44" i="1"/>
  <c r="BU43" i="1"/>
  <c r="K43" i="1"/>
  <c r="J43" i="1"/>
  <c r="BU42" i="1"/>
  <c r="K42" i="1"/>
  <c r="J42" i="1"/>
  <c r="BU41" i="1"/>
  <c r="K41" i="1"/>
  <c r="J41" i="1"/>
  <c r="BU40" i="1"/>
  <c r="K40" i="1"/>
  <c r="J40" i="1"/>
  <c r="BU39" i="1"/>
  <c r="K39" i="1"/>
  <c r="J39" i="1"/>
  <c r="AR38" i="1"/>
  <c r="AR304" i="1" s="1"/>
  <c r="K38" i="1"/>
  <c r="J38" i="1"/>
  <c r="BL37" i="1"/>
  <c r="K37" i="1"/>
  <c r="J37" i="1"/>
  <c r="BU36" i="1"/>
  <c r="K36" i="1"/>
  <c r="J36" i="1"/>
  <c r="BU35" i="1"/>
  <c r="K35" i="1"/>
  <c r="J35" i="1"/>
  <c r="BU34" i="1"/>
  <c r="K34" i="1"/>
  <c r="J34" i="1"/>
  <c r="BU33" i="1"/>
  <c r="K33" i="1"/>
  <c r="J33" i="1"/>
  <c r="BU32" i="1"/>
  <c r="K32" i="1"/>
  <c r="J32" i="1"/>
  <c r="BU31" i="1"/>
  <c r="K31" i="1"/>
  <c r="J31" i="1"/>
  <c r="BU30" i="1"/>
  <c r="K30" i="1"/>
  <c r="J30" i="1"/>
  <c r="BU29" i="1"/>
  <c r="K29" i="1"/>
  <c r="J29" i="1"/>
  <c r="BU28" i="1"/>
  <c r="K28" i="1"/>
  <c r="J28" i="1"/>
  <c r="BU27" i="1"/>
  <c r="K27" i="1"/>
  <c r="J27" i="1"/>
  <c r="BU26" i="1"/>
  <c r="K26" i="1"/>
  <c r="J26" i="1"/>
  <c r="BU25" i="1"/>
  <c r="K25" i="1"/>
  <c r="J25" i="1"/>
  <c r="BU24" i="1"/>
  <c r="K24" i="1"/>
  <c r="J24" i="1"/>
  <c r="BR23" i="1"/>
  <c r="BR304" i="1" s="1"/>
  <c r="K23" i="1"/>
  <c r="J23" i="1"/>
  <c r="BU22" i="1"/>
  <c r="K22" i="1"/>
  <c r="J22" i="1"/>
  <c r="BU21" i="1"/>
  <c r="K21" i="1"/>
  <c r="J21" i="1"/>
  <c r="BU20" i="1"/>
  <c r="K20" i="1"/>
  <c r="J20" i="1"/>
  <c r="BK19" i="1"/>
  <c r="BU19" i="1" s="1"/>
  <c r="K19" i="1"/>
  <c r="J19" i="1"/>
  <c r="BU18" i="1"/>
  <c r="K18" i="1"/>
  <c r="J18" i="1"/>
  <c r="BU17" i="1"/>
  <c r="K17" i="1"/>
  <c r="J17" i="1"/>
  <c r="BU16" i="1"/>
  <c r="K16" i="1"/>
  <c r="J16" i="1"/>
  <c r="BU15" i="1"/>
  <c r="K15" i="1"/>
  <c r="J15" i="1"/>
  <c r="BK14" i="1"/>
  <c r="BU14" i="1" s="1"/>
  <c r="K14" i="1"/>
  <c r="J14" i="1"/>
  <c r="BT13" i="1"/>
  <c r="BT304" i="1" s="1"/>
  <c r="BK13" i="1"/>
  <c r="K13" i="1"/>
  <c r="J13" i="1"/>
  <c r="BU12" i="1"/>
  <c r="K12" i="1"/>
  <c r="J12" i="1"/>
  <c r="AF90" i="2" l="1"/>
  <c r="AV90" i="2"/>
  <c r="AU90" i="2"/>
  <c r="BK90" i="2"/>
  <c r="R90" i="2"/>
  <c r="BT63" i="2"/>
  <c r="BT64" i="2"/>
  <c r="AZ90" i="2"/>
  <c r="BT87" i="2"/>
  <c r="BT88" i="2"/>
  <c r="BH90" i="2"/>
  <c r="BT40" i="2"/>
  <c r="BT42" i="2"/>
  <c r="BN90" i="2"/>
  <c r="AL90" i="2"/>
  <c r="AS90" i="2"/>
  <c r="BT39" i="2"/>
  <c r="AO90" i="2"/>
  <c r="AX90" i="2"/>
  <c r="BT65" i="2"/>
  <c r="BT81" i="2"/>
  <c r="BT85" i="2"/>
  <c r="Q90" i="2"/>
  <c r="AP90" i="2"/>
  <c r="BT15" i="2"/>
  <c r="BJ90" i="2"/>
  <c r="AR90" i="2"/>
  <c r="BA90" i="2"/>
  <c r="AI90" i="2"/>
  <c r="AQ90" i="2"/>
  <c r="BO90" i="2"/>
  <c r="BT83" i="2"/>
  <c r="BT19" i="2"/>
  <c r="BT23" i="2"/>
  <c r="AK90" i="2"/>
  <c r="AJ90" i="2"/>
  <c r="BT38" i="2"/>
  <c r="BT51" i="2"/>
  <c r="T90" i="2"/>
  <c r="BD90" i="2"/>
  <c r="BT34" i="2"/>
  <c r="BT35" i="2"/>
  <c r="BR90" i="2"/>
  <c r="BT62" i="2"/>
  <c r="BT66" i="2"/>
  <c r="BF90" i="2"/>
  <c r="BT67" i="2"/>
  <c r="BT18" i="2"/>
  <c r="U90" i="2"/>
  <c r="AT90" i="2"/>
  <c r="AM90" i="2"/>
  <c r="S90" i="2"/>
  <c r="AG90" i="2"/>
  <c r="BM90" i="2"/>
  <c r="BT80" i="2"/>
  <c r="AM264" i="3"/>
  <c r="BQ256" i="3"/>
  <c r="BK264" i="3"/>
  <c r="BP264" i="3"/>
  <c r="BQ3" i="3"/>
  <c r="BH264" i="3"/>
  <c r="BQ83" i="3"/>
  <c r="BQ40" i="3"/>
  <c r="S264" i="3"/>
  <c r="BQ252" i="3"/>
  <c r="BQ232" i="3"/>
  <c r="BQ44" i="3"/>
  <c r="BJ264" i="3"/>
  <c r="AC264" i="3"/>
  <c r="BQ27" i="3"/>
  <c r="BQ116" i="3"/>
  <c r="BQ134" i="3"/>
  <c r="BQ262" i="3"/>
  <c r="AN264" i="3"/>
  <c r="BQ114" i="3"/>
  <c r="BQ246" i="3"/>
  <c r="J264" i="3"/>
  <c r="R264" i="3"/>
  <c r="BN264" i="3"/>
  <c r="BG264" i="3"/>
  <c r="BQ137" i="3"/>
  <c r="BU133" i="1"/>
  <c r="BK304" i="1"/>
  <c r="BN304" i="1"/>
  <c r="BL304" i="1"/>
  <c r="BU68" i="1"/>
  <c r="BU156" i="1"/>
  <c r="BU302" i="1"/>
  <c r="BU38" i="1"/>
  <c r="BU272" i="1"/>
  <c r="AQ304" i="1"/>
  <c r="BU54" i="1"/>
  <c r="AS304" i="1"/>
  <c r="BU296" i="1"/>
  <c r="BU13" i="1"/>
  <c r="BU50" i="1"/>
  <c r="BU292" i="1"/>
  <c r="AY304" i="1"/>
  <c r="AG304" i="1"/>
  <c r="BT21" i="2"/>
  <c r="AH90" i="2"/>
  <c r="BT29" i="2"/>
  <c r="AY90" i="2"/>
  <c r="BE90" i="2"/>
  <c r="BT16" i="2"/>
  <c r="L90" i="2"/>
  <c r="BT12" i="2"/>
  <c r="BT25" i="2"/>
  <c r="BT24" i="2"/>
  <c r="BU100" i="1"/>
  <c r="BU23" i="1"/>
  <c r="BM304" i="1"/>
  <c r="BU37" i="1"/>
  <c r="BU135" i="1"/>
  <c r="BU153" i="1"/>
  <c r="N304" i="1"/>
  <c r="BT90" i="2" l="1"/>
  <c r="BQ264" i="3"/>
  <c r="BU304" i="1"/>
</calcChain>
</file>

<file path=xl/sharedStrings.xml><?xml version="1.0" encoding="utf-8"?>
<sst xmlns="http://schemas.openxmlformats.org/spreadsheetml/2006/main" count="5142" uniqueCount="904">
  <si>
    <r>
      <t xml:space="preserve">Hunger Games Microzooplankton Abundance 100x </t>
    </r>
    <r>
      <rPr>
        <b/>
        <sz val="12"/>
        <color theme="1"/>
        <rFont val="Trebuchet MS"/>
        <family val="2"/>
      </rPr>
      <t>RAW COUNTS</t>
    </r>
  </si>
  <si>
    <t>preserved in Acid Lugols</t>
  </si>
  <si>
    <t>Sampling Date</t>
  </si>
  <si>
    <t>Day of Year (yyddd)</t>
  </si>
  <si>
    <t>Sample ID</t>
  </si>
  <si>
    <t>SJR2 site</t>
  </si>
  <si>
    <t>SJR2 FC-1</t>
  </si>
  <si>
    <t>SJR2 T24-1</t>
  </si>
  <si>
    <t>SJR2 FC-2</t>
  </si>
  <si>
    <t>SJR2 T24-2</t>
  </si>
  <si>
    <t>SJR2 FC-3</t>
  </si>
  <si>
    <t>SJR2 T24-3</t>
  </si>
  <si>
    <t>SJR2 IC-1</t>
  </si>
  <si>
    <t>SJR2 IC-2</t>
  </si>
  <si>
    <t>SJR2 IC-3</t>
  </si>
  <si>
    <t>YBP1 site</t>
  </si>
  <si>
    <t>YBP1 FC-1</t>
  </si>
  <si>
    <t>YBP1 T24-1</t>
  </si>
  <si>
    <t>YBP1 FC-2</t>
  </si>
  <si>
    <t>YBP1 T24-2</t>
  </si>
  <si>
    <t>YBP1 FC-3</t>
  </si>
  <si>
    <t>YBP1 T24-3</t>
  </si>
  <si>
    <t>YBP1 IC-1</t>
  </si>
  <si>
    <t>YBP1 IC-2</t>
  </si>
  <si>
    <t>YBP1 IC-3</t>
  </si>
  <si>
    <t>LSZ2 site</t>
  </si>
  <si>
    <t>LSZ2 FC-1</t>
  </si>
  <si>
    <t>LSZ2 T24-1</t>
  </si>
  <si>
    <t>LSZ2 FC-2</t>
  </si>
  <si>
    <t>LSZ2 T24-2</t>
  </si>
  <si>
    <t>LSZ2 FC-3</t>
  </si>
  <si>
    <t>LSZ2 T24-3</t>
  </si>
  <si>
    <t>LSZ2 IC-1</t>
  </si>
  <si>
    <t>LSZ2 IC-2</t>
  </si>
  <si>
    <t>LSZ2 IC-3</t>
  </si>
  <si>
    <t>WLD2 site</t>
  </si>
  <si>
    <t>WLD2 FC-1</t>
  </si>
  <si>
    <t>WLD2 T24-1</t>
  </si>
  <si>
    <t>WLD2 FC-2</t>
  </si>
  <si>
    <t>WLD2 T24-2</t>
  </si>
  <si>
    <t>WLD2 FC-3</t>
  </si>
  <si>
    <t>WLD2 T24-3</t>
  </si>
  <si>
    <t>WLD2 IC-1</t>
  </si>
  <si>
    <t>WLD2 IC-2</t>
  </si>
  <si>
    <t>WLD2 IC-3</t>
  </si>
  <si>
    <t>SJR1-site</t>
  </si>
  <si>
    <t>SJR1 FC-1</t>
  </si>
  <si>
    <t>SJR1 T24-1</t>
  </si>
  <si>
    <t>SJR1 FC-2</t>
  </si>
  <si>
    <t>SJR1 T24-2</t>
  </si>
  <si>
    <t>SJR1 FC-3</t>
  </si>
  <si>
    <t>SJR1 T24-3</t>
  </si>
  <si>
    <t>SJR1 IC-1</t>
  </si>
  <si>
    <t>SJR1 IC-2</t>
  </si>
  <si>
    <t>SJR1 IC-3</t>
  </si>
  <si>
    <t>YBP2 site</t>
  </si>
  <si>
    <t>YBP2 FC-1</t>
  </si>
  <si>
    <t>YBP2-T24-1</t>
  </si>
  <si>
    <t>YBP2 FC-2</t>
  </si>
  <si>
    <t>YBP2 T24-2</t>
  </si>
  <si>
    <t>YBP2 FC-3</t>
  </si>
  <si>
    <t>YBP2 T24-3</t>
  </si>
  <si>
    <t>YBP2 IC-1</t>
  </si>
  <si>
    <t>YBP2 IC-2</t>
  </si>
  <si>
    <t>YBP2 IC-3</t>
  </si>
  <si>
    <t xml:space="preserve"> Preservative factor</t>
  </si>
  <si>
    <t>Vol of sample settled (mL)</t>
  </si>
  <si>
    <t>Date Counted</t>
  </si>
  <si>
    <t>Organism</t>
  </si>
  <si>
    <t>Group</t>
  </si>
  <si>
    <t>Type</t>
  </si>
  <si>
    <t>Short name</t>
  </si>
  <si>
    <t>Shape</t>
  </si>
  <si>
    <t>Extra id</t>
  </si>
  <si>
    <t>Dimensions</t>
  </si>
  <si>
    <t>Shape short name</t>
  </si>
  <si>
    <t>mu</t>
  </si>
  <si>
    <t>µm</t>
  </si>
  <si>
    <t>height equivalent mu</t>
  </si>
  <si>
    <t>short axis</t>
  </si>
  <si>
    <t>long axis</t>
  </si>
  <si>
    <t>Chlorophyte Y: Actinastrum</t>
  </si>
  <si>
    <t>chlorophyte</t>
  </si>
  <si>
    <t>actinastrum</t>
  </si>
  <si>
    <t>chlory</t>
  </si>
  <si>
    <t>two cones</t>
  </si>
  <si>
    <t>cones2</t>
  </si>
  <si>
    <t>Chlorophyte X: Colonial</t>
  </si>
  <si>
    <t>colonial</t>
  </si>
  <si>
    <t>chlorx</t>
  </si>
  <si>
    <t>sphere</t>
  </si>
  <si>
    <t>sph</t>
  </si>
  <si>
    <t>Chlorophyte Z: Colonial</t>
  </si>
  <si>
    <t>chlorz</t>
  </si>
  <si>
    <t>Chlorophyte AA: Colonial</t>
  </si>
  <si>
    <t>chloraa</t>
  </si>
  <si>
    <t>Chlorophyte AB: Colonial</t>
  </si>
  <si>
    <t>chlorab</t>
  </si>
  <si>
    <t>Chlorophyte AC: Colonial</t>
  </si>
  <si>
    <t>chlorac</t>
  </si>
  <si>
    <t>Chlorophyte AD: Colonial</t>
  </si>
  <si>
    <t>chlorad</t>
  </si>
  <si>
    <t>Chlorophyte AE: Other</t>
  </si>
  <si>
    <t>other</t>
  </si>
  <si>
    <t>chlorae</t>
  </si>
  <si>
    <t>Chlorophyte AF: Pediastrum</t>
  </si>
  <si>
    <t>pediastrum</t>
  </si>
  <si>
    <t>chloraf</t>
  </si>
  <si>
    <t>prism on elliptic base</t>
  </si>
  <si>
    <t>prisell</t>
  </si>
  <si>
    <t>Chlorophyte AG: Pediastrum</t>
  </si>
  <si>
    <t>chlorag</t>
  </si>
  <si>
    <t>Chlorophyte AH:  Scenedesmus</t>
  </si>
  <si>
    <t>scenedesmus</t>
  </si>
  <si>
    <t>chlorah</t>
  </si>
  <si>
    <t>prolate spheroid</t>
  </si>
  <si>
    <t>prosph</t>
  </si>
  <si>
    <t>Chlorophyte AI: Scenedesmus</t>
  </si>
  <si>
    <t>chlorai</t>
  </si>
  <si>
    <t>Chlorophyte AJ: Scenedesmus</t>
  </si>
  <si>
    <t>chloraj</t>
  </si>
  <si>
    <t>Ciliate E: cone</t>
  </si>
  <si>
    <t>ciliate</t>
  </si>
  <si>
    <t>cone</t>
  </si>
  <si>
    <t>cile</t>
  </si>
  <si>
    <t>Ciliate F: cone</t>
  </si>
  <si>
    <t>cilf</t>
  </si>
  <si>
    <t>Ciliate G: cone</t>
  </si>
  <si>
    <t>cilg</t>
  </si>
  <si>
    <t>Ciliate H:cone</t>
  </si>
  <si>
    <t>cilh</t>
  </si>
  <si>
    <t>Ciliate I: cone</t>
  </si>
  <si>
    <t>cili</t>
  </si>
  <si>
    <t>Ciliate J: cone</t>
  </si>
  <si>
    <t>cilj</t>
  </si>
  <si>
    <t>Ciliate K: cone</t>
  </si>
  <si>
    <t>cilk</t>
  </si>
  <si>
    <t>Ciliate L: oblong</t>
  </si>
  <si>
    <t>oblong</t>
  </si>
  <si>
    <t>cill</t>
  </si>
  <si>
    <t>Ciliate M: oblong</t>
  </si>
  <si>
    <t>cilm</t>
  </si>
  <si>
    <t>Ciliate N: oblong</t>
  </si>
  <si>
    <t>ciln</t>
  </si>
  <si>
    <t>Ciliate O: oblong</t>
  </si>
  <si>
    <t>cilo</t>
  </si>
  <si>
    <t>Ciliate P: oblong</t>
  </si>
  <si>
    <t>cilp</t>
  </si>
  <si>
    <t>Ciliate Q: oblong</t>
  </si>
  <si>
    <t>cilq</t>
  </si>
  <si>
    <t>Ciliate R: oblong</t>
  </si>
  <si>
    <t>cilr</t>
  </si>
  <si>
    <t>Ciliate S: oblong</t>
  </si>
  <si>
    <t>cils</t>
  </si>
  <si>
    <t>Ciliate T: oblong</t>
  </si>
  <si>
    <t>cilt</t>
  </si>
  <si>
    <t>Ciliate U: oblong</t>
  </si>
  <si>
    <t>cilu</t>
  </si>
  <si>
    <t>Ciliate V: oblong</t>
  </si>
  <si>
    <t>cilv</t>
  </si>
  <si>
    <t>Ciliate W: oblong</t>
  </si>
  <si>
    <t>cilw</t>
  </si>
  <si>
    <t>Ciliate X: oblong</t>
  </si>
  <si>
    <t>cilx</t>
  </si>
  <si>
    <t>Ciliate Z: other</t>
  </si>
  <si>
    <t>cilz</t>
  </si>
  <si>
    <t>Ciliate AA: other</t>
  </si>
  <si>
    <t>cilaa</t>
  </si>
  <si>
    <t>Ciliate AC: other</t>
  </si>
  <si>
    <t>cilac</t>
  </si>
  <si>
    <t>Ciliate AD: other odd shape</t>
  </si>
  <si>
    <t>other odd shape</t>
  </si>
  <si>
    <t>cilad</t>
  </si>
  <si>
    <t>Ciliate AE: round</t>
  </si>
  <si>
    <t>round</t>
  </si>
  <si>
    <t>cilae</t>
  </si>
  <si>
    <t>Ciliate AF: round</t>
  </si>
  <si>
    <t>cilaf</t>
  </si>
  <si>
    <t>Ciliate AG: round</t>
  </si>
  <si>
    <t>cilag</t>
  </si>
  <si>
    <t>Ciliate AH:round</t>
  </si>
  <si>
    <t>cilah</t>
  </si>
  <si>
    <t>Ciliate AI: round</t>
  </si>
  <si>
    <t>cilai</t>
  </si>
  <si>
    <t>Ciliate AJ: round 17 to 32 µm (0.2 to 0.4 mu)</t>
  </si>
  <si>
    <t>cilaj</t>
  </si>
  <si>
    <t>Crustacean larva A</t>
  </si>
  <si>
    <t>crustacean  larva</t>
  </si>
  <si>
    <t>cruslara</t>
  </si>
  <si>
    <t>Crustacean larva C</t>
  </si>
  <si>
    <t>cruslarc</t>
  </si>
  <si>
    <t>Crustacean larva D</t>
  </si>
  <si>
    <t>cruscard</t>
  </si>
  <si>
    <t>Crustacean larva E</t>
  </si>
  <si>
    <t>cruslare</t>
  </si>
  <si>
    <t>Crustacean larva F</t>
  </si>
  <si>
    <t>cruslarf</t>
  </si>
  <si>
    <t>Crustacean larva G</t>
  </si>
  <si>
    <t>cruslarg</t>
  </si>
  <si>
    <t>Cyanobacteria D: aphanizomenon</t>
  </si>
  <si>
    <t>cyanobacteria</t>
  </si>
  <si>
    <t>aphanizomenon</t>
  </si>
  <si>
    <t>cyand</t>
  </si>
  <si>
    <t>cylinder</t>
  </si>
  <si>
    <t>cyl</t>
  </si>
  <si>
    <t>Cyanobacteria E: aphanizomenon</t>
  </si>
  <si>
    <t>cyane</t>
  </si>
  <si>
    <t>Cyanobacteria F: aphanizomenon</t>
  </si>
  <si>
    <t>cyanf</t>
  </si>
  <si>
    <t>Cyanobacteria G: aphanizomenon</t>
  </si>
  <si>
    <t>cyang</t>
  </si>
  <si>
    <t>Cyanobacteria H: aphanizomenon</t>
  </si>
  <si>
    <t>cyanh</t>
  </si>
  <si>
    <t>Cyanobacteria I: aphanizomenon</t>
  </si>
  <si>
    <t>cyani</t>
  </si>
  <si>
    <t>Cyanobacteria J: aphanizomenon</t>
  </si>
  <si>
    <t>cyanj</t>
  </si>
  <si>
    <t>Cyanobacteria K: aphanizomenon</t>
  </si>
  <si>
    <t>cyank</t>
  </si>
  <si>
    <t>Cyanobacteria L: aphanizomenon</t>
  </si>
  <si>
    <t>cyanl</t>
  </si>
  <si>
    <t>Cyanobacteria M: aphanizomenon</t>
  </si>
  <si>
    <t>cyanm</t>
  </si>
  <si>
    <t>Cyanobacteria P: aphanizomenon</t>
  </si>
  <si>
    <t>cyanp</t>
  </si>
  <si>
    <t>Cyanobacteria R: dolichospermum</t>
  </si>
  <si>
    <t>dolichospermum</t>
  </si>
  <si>
    <t>cyanr</t>
  </si>
  <si>
    <t>Cyanobacteria S: dolichospermum</t>
  </si>
  <si>
    <t>cyans</t>
  </si>
  <si>
    <t>Cyanobacteria T: dolichospermum</t>
  </si>
  <si>
    <t>cyant</t>
  </si>
  <si>
    <t>Cyanobacteria U: dolichospermum</t>
  </si>
  <si>
    <t>cyanu</t>
  </si>
  <si>
    <t>Cyanobacteria V: dolichospermum</t>
  </si>
  <si>
    <t>cyanv</t>
  </si>
  <si>
    <t>Cyanobacteria W: dolichospermum</t>
  </si>
  <si>
    <t>cyanw</t>
  </si>
  <si>
    <t>Cyanobacteria X: dolichospermum</t>
  </si>
  <si>
    <t>cyanx</t>
  </si>
  <si>
    <t>Cyanobacteria Y: dolichospermum</t>
  </si>
  <si>
    <t>cyany</t>
  </si>
  <si>
    <t>Cyanobacteria Z: dolichospermum</t>
  </si>
  <si>
    <t>cyanz</t>
  </si>
  <si>
    <t>Cyanobacteria AA:dolichospermum</t>
  </si>
  <si>
    <t>cyanaa</t>
  </si>
  <si>
    <t>Cyanobacteria AB: dolichospermum</t>
  </si>
  <si>
    <t>cyanab</t>
  </si>
  <si>
    <t>Cyanobacteria AC: dolichospermum</t>
  </si>
  <si>
    <t>cyanac</t>
  </si>
  <si>
    <t>Cyanobacteria AD: dolichospermum</t>
  </si>
  <si>
    <t>cyanad</t>
  </si>
  <si>
    <t>Cyanobacteria AE: dolichospermum</t>
  </si>
  <si>
    <t>cyanae</t>
  </si>
  <si>
    <t>Cyanobacteria AF: dolichospermum</t>
  </si>
  <si>
    <t>cyanaf</t>
  </si>
  <si>
    <t>Cyanobacteria AG: dolichospermum</t>
  </si>
  <si>
    <t>cyanag</t>
  </si>
  <si>
    <t>Cyanobacteria AH: other</t>
  </si>
  <si>
    <t>cyanah</t>
  </si>
  <si>
    <t>Cyanobacteria AJ: other</t>
  </si>
  <si>
    <t>cyanaj</t>
  </si>
  <si>
    <t>Cyanobacteria AK: other</t>
  </si>
  <si>
    <t>cyanak</t>
  </si>
  <si>
    <t>Cyanobacteria AL: other</t>
  </si>
  <si>
    <t>cyanal</t>
  </si>
  <si>
    <t>Cyanobacteria AM: other</t>
  </si>
  <si>
    <t>cyanam</t>
  </si>
  <si>
    <t>Cyanobacteria AN: other</t>
  </si>
  <si>
    <t>cyanan</t>
  </si>
  <si>
    <t>Cyanobacteria AO: other</t>
  </si>
  <si>
    <t>cyanao</t>
  </si>
  <si>
    <t>Cyanobacteria AP: other</t>
  </si>
  <si>
    <t>cyanap</t>
  </si>
  <si>
    <t>Cyanobacteria AQ: other</t>
  </si>
  <si>
    <t>cyanaq</t>
  </si>
  <si>
    <t>Diatom Z: centric</t>
  </si>
  <si>
    <t>diatom</t>
  </si>
  <si>
    <t>centric</t>
  </si>
  <si>
    <t>diaz</t>
  </si>
  <si>
    <t>Diatom AA: centric</t>
  </si>
  <si>
    <t>diaaa</t>
  </si>
  <si>
    <t>Diatom AB: centric</t>
  </si>
  <si>
    <t>diaab</t>
  </si>
  <si>
    <t>Diatom AC: centric 17-32 µm</t>
  </si>
  <si>
    <t>diaac</t>
  </si>
  <si>
    <t>Diatom AD: chain</t>
  </si>
  <si>
    <t>chain</t>
  </si>
  <si>
    <t>diaad</t>
  </si>
  <si>
    <t>Diatom AE: chain</t>
  </si>
  <si>
    <t>diaae</t>
  </si>
  <si>
    <t>Diatom AF: chain</t>
  </si>
  <si>
    <t>diaaf</t>
  </si>
  <si>
    <t>Diatom AG: chain</t>
  </si>
  <si>
    <t>diaag</t>
  </si>
  <si>
    <t>Diatom AH: chain</t>
  </si>
  <si>
    <t>diaah</t>
  </si>
  <si>
    <t>Diatom AI: chain</t>
  </si>
  <si>
    <t>diaai</t>
  </si>
  <si>
    <t>Diatom AJ: chain</t>
  </si>
  <si>
    <t>diaaj</t>
  </si>
  <si>
    <t>Diatom AK: chain</t>
  </si>
  <si>
    <t>diaak</t>
  </si>
  <si>
    <t>Diatom AL: chain</t>
  </si>
  <si>
    <t>diaal</t>
  </si>
  <si>
    <t>Diatom AM: chain</t>
  </si>
  <si>
    <t>diaam</t>
  </si>
  <si>
    <t>recbox</t>
  </si>
  <si>
    <t>Diatom AN: chain</t>
  </si>
  <si>
    <t>diaan</t>
  </si>
  <si>
    <t>Diatom AO: chain</t>
  </si>
  <si>
    <t>diaao</t>
  </si>
  <si>
    <t>rectangular box</t>
  </si>
  <si>
    <t>Diatom AP: chain</t>
  </si>
  <si>
    <t>diaap</t>
  </si>
  <si>
    <t>Diatom AQ: chain</t>
  </si>
  <si>
    <t>diaaq</t>
  </si>
  <si>
    <t>Diatom AR: chain</t>
  </si>
  <si>
    <t>diaar</t>
  </si>
  <si>
    <t>Diatom AS: chain</t>
  </si>
  <si>
    <t>diaas</t>
  </si>
  <si>
    <t>Diatom AU: chain</t>
  </si>
  <si>
    <t>diaau</t>
  </si>
  <si>
    <t>Diatom AV: chain</t>
  </si>
  <si>
    <t>diaav</t>
  </si>
  <si>
    <t>Diatom AW: chain</t>
  </si>
  <si>
    <t>diaaw</t>
  </si>
  <si>
    <t>Diatom AX: chain</t>
  </si>
  <si>
    <t>diaax</t>
  </si>
  <si>
    <t>Diatom AY: egg shaped</t>
  </si>
  <si>
    <t>egg shaped</t>
  </si>
  <si>
    <t>diaay</t>
  </si>
  <si>
    <t>Diatom AZ: egg shaped</t>
  </si>
  <si>
    <t>diaaz</t>
  </si>
  <si>
    <t>Diatom BA: egg shaped</t>
  </si>
  <si>
    <t>diaba</t>
  </si>
  <si>
    <t>Diatom BB: egg shaped</t>
  </si>
  <si>
    <t>diabb</t>
  </si>
  <si>
    <t>Diatom BE: other</t>
  </si>
  <si>
    <t>diabe</t>
  </si>
  <si>
    <t>Diatom BF: other</t>
  </si>
  <si>
    <t>diabf</t>
  </si>
  <si>
    <t>Diatom BG: other</t>
  </si>
  <si>
    <t>diabg</t>
  </si>
  <si>
    <t>Diatom BH: other bear shaped</t>
  </si>
  <si>
    <t>other bear shaped</t>
  </si>
  <si>
    <t>diabh</t>
  </si>
  <si>
    <t>prism on triangle</t>
  </si>
  <si>
    <t>Diatom BI: pennate</t>
  </si>
  <si>
    <t>pennate</t>
  </si>
  <si>
    <t>diabi</t>
  </si>
  <si>
    <t>Diatom BJ: pennate</t>
  </si>
  <si>
    <t>diabj</t>
  </si>
  <si>
    <t>Diatom BK: pennate</t>
  </si>
  <si>
    <t>diabk</t>
  </si>
  <si>
    <t>Diatom BL: pennate</t>
  </si>
  <si>
    <t>diabl</t>
  </si>
  <si>
    <t>Diatom BM: pennate</t>
  </si>
  <si>
    <t>diabm</t>
  </si>
  <si>
    <t>Diatom BN: pennate</t>
  </si>
  <si>
    <t>diabn</t>
  </si>
  <si>
    <t>Diatom BO: pennate</t>
  </si>
  <si>
    <t>diabo</t>
  </si>
  <si>
    <t>Diatom BP: pennate</t>
  </si>
  <si>
    <t>diabp</t>
  </si>
  <si>
    <t>Diatom BQ: pennate</t>
  </si>
  <si>
    <t>diabq</t>
  </si>
  <si>
    <t>Diatom BR: pennate</t>
  </si>
  <si>
    <t>diabr</t>
  </si>
  <si>
    <t>Diatom BS: pennate</t>
  </si>
  <si>
    <t>diabs</t>
  </si>
  <si>
    <t>Diatom BT: pennate</t>
  </si>
  <si>
    <t>diabt</t>
  </si>
  <si>
    <t>Diatom BU: pennate</t>
  </si>
  <si>
    <t>diabu</t>
  </si>
  <si>
    <t>Diatom BV: pennate</t>
  </si>
  <si>
    <t>diabv</t>
  </si>
  <si>
    <t>Diatom BW: pennate</t>
  </si>
  <si>
    <t>diabw</t>
  </si>
  <si>
    <t>Diatom BX: pennate</t>
  </si>
  <si>
    <t>diabx</t>
  </si>
  <si>
    <t>Diatom BY: pennate</t>
  </si>
  <si>
    <t>diaby</t>
  </si>
  <si>
    <t>Diatom BZ: pennate</t>
  </si>
  <si>
    <t>diabz</t>
  </si>
  <si>
    <t>Diatom CA: pennate</t>
  </si>
  <si>
    <t>diaca</t>
  </si>
  <si>
    <t>Diatom CB: pennate</t>
  </si>
  <si>
    <t>diacb</t>
  </si>
  <si>
    <t>Diatom CC: pennate</t>
  </si>
  <si>
    <t>diacc</t>
  </si>
  <si>
    <t>Diatom CD: pennate</t>
  </si>
  <si>
    <t>diacd</t>
  </si>
  <si>
    <t>Diatom CE: pennate</t>
  </si>
  <si>
    <t>diace</t>
  </si>
  <si>
    <t>Diatom CF: pennate</t>
  </si>
  <si>
    <t>diacf</t>
  </si>
  <si>
    <t>Diatom CG: pennate</t>
  </si>
  <si>
    <t>diacg</t>
  </si>
  <si>
    <t>Diatom CH: pennate</t>
  </si>
  <si>
    <t>diach</t>
  </si>
  <si>
    <t>Diatom CI: pennate</t>
  </si>
  <si>
    <t>diaci</t>
  </si>
  <si>
    <t>Diatom CJ: pennate</t>
  </si>
  <si>
    <t>diatom cylindrotheca</t>
  </si>
  <si>
    <t>diacj</t>
  </si>
  <si>
    <t>cylindrotheca</t>
  </si>
  <si>
    <t>Diatom CK: pennate</t>
  </si>
  <si>
    <t>diack</t>
  </si>
  <si>
    <t>Diatom CL: pennate</t>
  </si>
  <si>
    <t>diacl</t>
  </si>
  <si>
    <t>prism on parallelogram</t>
  </si>
  <si>
    <t>prispar</t>
  </si>
  <si>
    <t>Diatom CM: pennate</t>
  </si>
  <si>
    <t>diacm</t>
  </si>
  <si>
    <t>Diatom CN: pennate</t>
  </si>
  <si>
    <t>diacn</t>
  </si>
  <si>
    <t>Diatom CO: pennate</t>
  </si>
  <si>
    <t>diaco</t>
  </si>
  <si>
    <t>Diatom CP: pennate</t>
  </si>
  <si>
    <t>diacp</t>
  </si>
  <si>
    <t>Diatom CQ: pennate</t>
  </si>
  <si>
    <t>diacq</t>
  </si>
  <si>
    <t>Diatom CS: pennate</t>
  </si>
  <si>
    <t>diacs</t>
  </si>
  <si>
    <t>Diatom CT: pennate</t>
  </si>
  <si>
    <t>diact</t>
  </si>
  <si>
    <t>Diatom CU: pennate</t>
  </si>
  <si>
    <t>diacu</t>
  </si>
  <si>
    <t>Diatom CV: pennate</t>
  </si>
  <si>
    <t>diacv</t>
  </si>
  <si>
    <t>Diatom CW: pennate</t>
  </si>
  <si>
    <t>diacw</t>
  </si>
  <si>
    <t>Diatom CX: pennate</t>
  </si>
  <si>
    <t>diacx</t>
  </si>
  <si>
    <t>Diatom CY: pennate</t>
  </si>
  <si>
    <t>diacy</t>
  </si>
  <si>
    <t>Diatom CZ: pennate</t>
  </si>
  <si>
    <t>diacz</t>
  </si>
  <si>
    <t>Diatom DA: pennate</t>
  </si>
  <si>
    <t>diada</t>
  </si>
  <si>
    <t>Diatom DB: pennate</t>
  </si>
  <si>
    <t>diadb</t>
  </si>
  <si>
    <t>Diatom DC: pennate</t>
  </si>
  <si>
    <t>diadc</t>
  </si>
  <si>
    <t>Diatom DE: pennate</t>
  </si>
  <si>
    <t>diade</t>
  </si>
  <si>
    <t>Diatom DF: pennate</t>
  </si>
  <si>
    <t>diadf</t>
  </si>
  <si>
    <t>Diatom DG: pennate</t>
  </si>
  <si>
    <t>diadg</t>
  </si>
  <si>
    <t>Diatom DH: pennate</t>
  </si>
  <si>
    <t>diadh</t>
  </si>
  <si>
    <t>Diatom DI: pennate fragilaria</t>
  </si>
  <si>
    <t>pennate fragillaria</t>
  </si>
  <si>
    <t>diadi</t>
  </si>
  <si>
    <t>Diatom DJ: pennate fragilaria</t>
  </si>
  <si>
    <t>diadj</t>
  </si>
  <si>
    <t>Diatom DK: pennate fragilaria</t>
  </si>
  <si>
    <t>diadk</t>
  </si>
  <si>
    <t>Diatom DL: pennate fragilaria</t>
  </si>
  <si>
    <t>diadl</t>
  </si>
  <si>
    <t>Diatom DM: pennate fragilaria</t>
  </si>
  <si>
    <t>diadm</t>
  </si>
  <si>
    <t>Diatom DN: pennate pleurosigma</t>
  </si>
  <si>
    <t>pennate pleurosigma</t>
  </si>
  <si>
    <t>diadn</t>
  </si>
  <si>
    <t>Diatom DO: pennate pleurosigma</t>
  </si>
  <si>
    <t>diado</t>
  </si>
  <si>
    <t>Diatom DQ: pennate pleurosigma</t>
  </si>
  <si>
    <t>diadq</t>
  </si>
  <si>
    <t>Diatom DR: pennate pleurosigma</t>
  </si>
  <si>
    <t>diadr</t>
  </si>
  <si>
    <t>Diatom DS: pennate pleurosigma</t>
  </si>
  <si>
    <t>diads</t>
  </si>
  <si>
    <t>Diatom DT: pennate pleurosigma</t>
  </si>
  <si>
    <t>diadt</t>
  </si>
  <si>
    <t>Diatom DU: pennate pleurosigma</t>
  </si>
  <si>
    <t>diadu</t>
  </si>
  <si>
    <t>Diatom DV: pennate pleurosigma</t>
  </si>
  <si>
    <t>diadv</t>
  </si>
  <si>
    <t>Diatom DW: pennate pleurosigma</t>
  </si>
  <si>
    <t>diadw</t>
  </si>
  <si>
    <t>Diatom DY: pennate pleurosigma</t>
  </si>
  <si>
    <t>diady</t>
  </si>
  <si>
    <t>Diatom DZ: pennate pleurosigma</t>
  </si>
  <si>
    <t>diadz</t>
  </si>
  <si>
    <t>Diatom EA: pennate pleurosigma</t>
  </si>
  <si>
    <t>diaea</t>
  </si>
  <si>
    <t>Diatom EB: pennate pleurosigma</t>
  </si>
  <si>
    <t>diaeb</t>
  </si>
  <si>
    <t>Diatom EC: pennate pleurosigma</t>
  </si>
  <si>
    <t>diaec</t>
  </si>
  <si>
    <t>Dinoflagellate A: ceratium</t>
  </si>
  <si>
    <t>dinoflagellate</t>
  </si>
  <si>
    <t>ceratium</t>
  </si>
  <si>
    <t>dinoa</t>
  </si>
  <si>
    <t>ellipsoid + 2 cones + cylinder</t>
  </si>
  <si>
    <t>Dinoflagellate C: Peridinium</t>
  </si>
  <si>
    <t>peridinium</t>
  </si>
  <si>
    <t>dinoc</t>
  </si>
  <si>
    <t>ellipsoid</t>
  </si>
  <si>
    <t>ellips</t>
  </si>
  <si>
    <t>Dinoflagellate D: Peridinium</t>
  </si>
  <si>
    <t>dinod</t>
  </si>
  <si>
    <t>Dinoflagellate E: Peridinium</t>
  </si>
  <si>
    <t>dinoe</t>
  </si>
  <si>
    <t>Dinoflagellate F: Peridinium</t>
  </si>
  <si>
    <t>dinof</t>
  </si>
  <si>
    <t>Dinoflagellate G: prorocentrum</t>
  </si>
  <si>
    <t>prorocentrum</t>
  </si>
  <si>
    <t>dinog</t>
  </si>
  <si>
    <t>Diatom: Entemoneis</t>
  </si>
  <si>
    <t>entem</t>
  </si>
  <si>
    <t>Flagellate I</t>
  </si>
  <si>
    <t>flagellate</t>
  </si>
  <si>
    <t>flagi</t>
  </si>
  <si>
    <t>Flagellate  J</t>
  </si>
  <si>
    <t>flagj</t>
  </si>
  <si>
    <t>Flagellate K</t>
  </si>
  <si>
    <t>flagk</t>
  </si>
  <si>
    <t>Flagellate L</t>
  </si>
  <si>
    <t>flagl</t>
  </si>
  <si>
    <t>Flagellate M: Colonial</t>
  </si>
  <si>
    <t>flagm</t>
  </si>
  <si>
    <t>Flagellate N: Cryptomonas</t>
  </si>
  <si>
    <t>cryptomonas</t>
  </si>
  <si>
    <t>flagn</t>
  </si>
  <si>
    <t>Flagellate O: Cryptomonas</t>
  </si>
  <si>
    <t>flago</t>
  </si>
  <si>
    <t>Flagellate P: Cryptomonas</t>
  </si>
  <si>
    <t>flagp</t>
  </si>
  <si>
    <t>Flagellate Q: Cryptomonas</t>
  </si>
  <si>
    <t>flagq</t>
  </si>
  <si>
    <t>Flagellate R: Cryptomonas</t>
  </si>
  <si>
    <t>flagr</t>
  </si>
  <si>
    <t>Flagellate S:Cryptomonas</t>
  </si>
  <si>
    <t>flags</t>
  </si>
  <si>
    <t>Flagellate T:Euglenid</t>
  </si>
  <si>
    <t>euglenid</t>
  </si>
  <si>
    <t>flagt</t>
  </si>
  <si>
    <t>Flagellate U: Euglenid</t>
  </si>
  <si>
    <t>flagu</t>
  </si>
  <si>
    <t>Flagellate V: Euglenid</t>
  </si>
  <si>
    <t>flagv</t>
  </si>
  <si>
    <t>Flagellate W: Euglenid</t>
  </si>
  <si>
    <t>flagw</t>
  </si>
  <si>
    <t>Flagellate X: Euglenid</t>
  </si>
  <si>
    <t>flagx</t>
  </si>
  <si>
    <t>Flagellate Y: Euglenid</t>
  </si>
  <si>
    <t>flagy</t>
  </si>
  <si>
    <t>Flagellate Z: Euglenid</t>
  </si>
  <si>
    <t>flagz</t>
  </si>
  <si>
    <t>Flagellate AA: Euglenid</t>
  </si>
  <si>
    <t>flagaa</t>
  </si>
  <si>
    <t>Fungus A</t>
  </si>
  <si>
    <t>fungus</t>
  </si>
  <si>
    <t>funga</t>
  </si>
  <si>
    <t>Fungus B</t>
  </si>
  <si>
    <t>fungb</t>
  </si>
  <si>
    <t>Fungus C</t>
  </si>
  <si>
    <t>fungc</t>
  </si>
  <si>
    <t>Fungus E</t>
  </si>
  <si>
    <t>funge</t>
  </si>
  <si>
    <t>Fungus F</t>
  </si>
  <si>
    <t>fungf</t>
  </si>
  <si>
    <t>Fungus H</t>
  </si>
  <si>
    <t>fungh</t>
  </si>
  <si>
    <t>Fungus I</t>
  </si>
  <si>
    <t>fungi</t>
  </si>
  <si>
    <t>Fungus J</t>
  </si>
  <si>
    <t>fungj</t>
  </si>
  <si>
    <t>Fungus K</t>
  </si>
  <si>
    <t>fungk</t>
  </si>
  <si>
    <t>Fungus L</t>
  </si>
  <si>
    <t>fungl</t>
  </si>
  <si>
    <t>Fungus M</t>
  </si>
  <si>
    <t>fungm</t>
  </si>
  <si>
    <t>Fungus N</t>
  </si>
  <si>
    <t>fungn</t>
  </si>
  <si>
    <t>Fungus O</t>
  </si>
  <si>
    <t>fungo</t>
  </si>
  <si>
    <t>Fungus Q</t>
  </si>
  <si>
    <t>fungq</t>
  </si>
  <si>
    <t>Fungus R</t>
  </si>
  <si>
    <t>fungr</t>
  </si>
  <si>
    <t>Fungus S</t>
  </si>
  <si>
    <t>fungs</t>
  </si>
  <si>
    <t>Ochrophyte A: Synura</t>
  </si>
  <si>
    <t>ochrophyte</t>
  </si>
  <si>
    <t>synura</t>
  </si>
  <si>
    <t>ochra</t>
  </si>
  <si>
    <t>Ochrophyte B: Synura</t>
  </si>
  <si>
    <t>ochrb</t>
  </si>
  <si>
    <t>Polychaete larva A</t>
  </si>
  <si>
    <t>polychaete larva</t>
  </si>
  <si>
    <t>polya</t>
  </si>
  <si>
    <t>Polychaete larva B</t>
  </si>
  <si>
    <t>polyb</t>
  </si>
  <si>
    <t>Polychaete larva C</t>
  </si>
  <si>
    <t>polyc</t>
  </si>
  <si>
    <t>Polychaete larva D</t>
  </si>
  <si>
    <t>polyd</t>
  </si>
  <si>
    <t>Tintinnid A: agglutinated</t>
  </si>
  <si>
    <t>tintinnid</t>
  </si>
  <si>
    <t>agglutinated</t>
  </si>
  <si>
    <t>tina</t>
  </si>
  <si>
    <t>Tintinnid B: agglutinated</t>
  </si>
  <si>
    <t>tinb</t>
  </si>
  <si>
    <t>Tintinnid C: agglutinated</t>
  </si>
  <si>
    <t>tinc</t>
  </si>
  <si>
    <t>Tintinnid D: agglutinated</t>
  </si>
  <si>
    <t>tind</t>
  </si>
  <si>
    <t>Tintinnid E: agglutinated</t>
  </si>
  <si>
    <t>tine</t>
  </si>
  <si>
    <t>Tintinnid F: agglutinated</t>
  </si>
  <si>
    <t>tinf</t>
  </si>
  <si>
    <t>Tintinnid G: agglutinated</t>
  </si>
  <si>
    <t>ting</t>
  </si>
  <si>
    <t>Tintinnid H: agglutinated</t>
  </si>
  <si>
    <t>tinh</t>
  </si>
  <si>
    <t>Tintinnid I: agglutinated</t>
  </si>
  <si>
    <t>tini</t>
  </si>
  <si>
    <t>Tintinnid J: agglutinated</t>
  </si>
  <si>
    <t>tinj</t>
  </si>
  <si>
    <t>Tintinnid K: agglutinated</t>
  </si>
  <si>
    <t>tink</t>
  </si>
  <si>
    <t>Tintinnid L: agglutinated</t>
  </si>
  <si>
    <t>tinl</t>
  </si>
  <si>
    <t>Tintinnid M: agglutinated</t>
  </si>
  <si>
    <t>tinm</t>
  </si>
  <si>
    <t>Tintinnid N: agglutinated</t>
  </si>
  <si>
    <t>tinn</t>
  </si>
  <si>
    <t>Tintinnid O: agglutinated</t>
  </si>
  <si>
    <t>tino</t>
  </si>
  <si>
    <t>Tintinnid P: agglutinated</t>
  </si>
  <si>
    <t>tinp</t>
  </si>
  <si>
    <t>Tintinnid Q: hyaline</t>
  </si>
  <si>
    <t>hyaline</t>
  </si>
  <si>
    <t>tinq</t>
  </si>
  <si>
    <t>Tintinnid R: hyaline</t>
  </si>
  <si>
    <t>tinr</t>
  </si>
  <si>
    <t>Tintinnid S: hyaline</t>
  </si>
  <si>
    <t>tins</t>
  </si>
  <si>
    <t>Tintinnid T: hyaline</t>
  </si>
  <si>
    <t>tint</t>
  </si>
  <si>
    <t>Tintinnid U: hyaline</t>
  </si>
  <si>
    <t>tinu</t>
  </si>
  <si>
    <t>Unidentified C1 ≥ 40µm</t>
  </si>
  <si>
    <t>unidentified</t>
  </si>
  <si>
    <t>unc1</t>
  </si>
  <si>
    <t>Unidentified C2 ≥ 40µm</t>
  </si>
  <si>
    <t>unc2</t>
  </si>
  <si>
    <t>Unidentified C3 ≥ 40µm</t>
  </si>
  <si>
    <t>unc3</t>
  </si>
  <si>
    <t>Unidentified C5 ≥ 40µm</t>
  </si>
  <si>
    <t>unc5</t>
  </si>
  <si>
    <t>Unidentified C ≥ 40µm</t>
  </si>
  <si>
    <t>unc</t>
  </si>
  <si>
    <t>Unidentified C6 ≥ 40µm</t>
  </si>
  <si>
    <t>unc6</t>
  </si>
  <si>
    <t>Unidentified C7 ≥ 40µm</t>
  </si>
  <si>
    <t>unc7</t>
  </si>
  <si>
    <t>Unidentified C8 ≥ 40µm</t>
  </si>
  <si>
    <t>unc8</t>
  </si>
  <si>
    <t>Unidentified C10 ≥ 40µm rotifer</t>
  </si>
  <si>
    <t>rotifer</t>
  </si>
  <si>
    <t>unc10</t>
  </si>
  <si>
    <t>Unidentified C11 ≥ 40µm rotifer</t>
  </si>
  <si>
    <t>unc11</t>
  </si>
  <si>
    <t>Unidentified C12 ≥ 40µm rotifer</t>
  </si>
  <si>
    <t>unc12</t>
  </si>
  <si>
    <t>Unidentified C13 ≥ 40µm rotifer</t>
  </si>
  <si>
    <t>unc13</t>
  </si>
  <si>
    <t>Unidentified C14 ≥ 40µm rotifer</t>
  </si>
  <si>
    <t>unc14</t>
  </si>
  <si>
    <t>Unidentified C15 ≥ 40µm rotifer</t>
  </si>
  <si>
    <t>unc15</t>
  </si>
  <si>
    <t>Unidentified D1 &lt; 40µm</t>
  </si>
  <si>
    <t>und1</t>
  </si>
  <si>
    <t>Unidentified D2 &lt; 40µm</t>
  </si>
  <si>
    <t>und2</t>
  </si>
  <si>
    <t>Unidentified D3 &lt; 40µm</t>
  </si>
  <si>
    <t>und3</t>
  </si>
  <si>
    <t>Unidentified D4 &lt; 40µm</t>
  </si>
  <si>
    <t>und4</t>
  </si>
  <si>
    <t>Unidentified D5 &lt; 40µm</t>
  </si>
  <si>
    <t>und5</t>
  </si>
  <si>
    <t>Unidentified D6 &lt; 40µm</t>
  </si>
  <si>
    <t>und6</t>
  </si>
  <si>
    <t>Unidentified D7 &lt; 40µm</t>
  </si>
  <si>
    <t>und7</t>
  </si>
  <si>
    <t>Unidentified D8 &lt; 40µm</t>
  </si>
  <si>
    <t>und8</t>
  </si>
  <si>
    <t>Unidentified D9 &lt; 40µm</t>
  </si>
  <si>
    <t>und9</t>
  </si>
  <si>
    <t>Unidentified D10 &lt; 40µm</t>
  </si>
  <si>
    <t>und10</t>
  </si>
  <si>
    <t>Unidentified D11 &lt; 40µm</t>
  </si>
  <si>
    <t>und11</t>
  </si>
  <si>
    <t>Unidentified D12 &lt; 40µm</t>
  </si>
  <si>
    <t>und12</t>
  </si>
  <si>
    <t>Unidentified D13 &lt; 40µm</t>
  </si>
  <si>
    <t>und13</t>
  </si>
  <si>
    <t>Unidentified D14 &lt; 40µm</t>
  </si>
  <si>
    <t>und14</t>
  </si>
  <si>
    <t>Unidentified Round D</t>
  </si>
  <si>
    <t>unrnd</t>
  </si>
  <si>
    <t>Unidentified Round E</t>
  </si>
  <si>
    <t>unrne</t>
  </si>
  <si>
    <t>Unidentified Round F</t>
  </si>
  <si>
    <t>unrnf</t>
  </si>
  <si>
    <t>Unidentified Round G</t>
  </si>
  <si>
    <t>unrng</t>
  </si>
  <si>
    <t>Unidentified Round H</t>
  </si>
  <si>
    <t>unrnh</t>
  </si>
  <si>
    <t>Unidentified Round I</t>
  </si>
  <si>
    <t>unrni</t>
  </si>
  <si>
    <t>Unidentified Round J</t>
  </si>
  <si>
    <t>unrnj</t>
  </si>
  <si>
    <t>Unidentified Round K 17 to 32 µm (0.2-0.4 mu)</t>
  </si>
  <si>
    <t>unrnk</t>
  </si>
  <si>
    <t>Total individuals counted</t>
  </si>
  <si>
    <t>QC - Total individuals counted</t>
  </si>
  <si>
    <r>
      <t xml:space="preserve">Hunger Games Microzooplankton Abundance  400x </t>
    </r>
    <r>
      <rPr>
        <b/>
        <sz val="12"/>
        <color theme="1"/>
        <rFont val="Trebuchet MS"/>
        <family val="2"/>
      </rPr>
      <t>RAW COUNTS</t>
    </r>
  </si>
  <si>
    <t>Preservative factor is (sample water ml - preservative ml)/ sample water ml</t>
  </si>
  <si>
    <t>YBP2 T24-1</t>
  </si>
  <si>
    <t>height equivalent µm</t>
  </si>
  <si>
    <t>Chlorophyte B: colonial 4x4</t>
  </si>
  <si>
    <t>chlorb</t>
  </si>
  <si>
    <t>Chlorophyte C: colonial 4x16</t>
  </si>
  <si>
    <t>chlorc</t>
  </si>
  <si>
    <t>Chlorophyte D: colonial 6x6</t>
  </si>
  <si>
    <t>chlord</t>
  </si>
  <si>
    <t>Chlorophyte E: colonial 6x12</t>
  </si>
  <si>
    <t>chlore</t>
  </si>
  <si>
    <t>Chlorophyte F: colonial 8x8</t>
  </si>
  <si>
    <t>chlorf</t>
  </si>
  <si>
    <t>Chlorophyte G: colonial 8x16</t>
  </si>
  <si>
    <t>chlorg</t>
  </si>
  <si>
    <t>Chlorophyte H: colonial 10x10</t>
  </si>
  <si>
    <t>chlorh</t>
  </si>
  <si>
    <t>Chlorophyte I: colonial 12x12</t>
  </si>
  <si>
    <t>chlori</t>
  </si>
  <si>
    <t>Chlorophyte J: colonial 16x16</t>
  </si>
  <si>
    <t>chlorj</t>
  </si>
  <si>
    <t>Chlorophyte L: colonial 4x10</t>
  </si>
  <si>
    <t>chlorl</t>
  </si>
  <si>
    <t>Chlorophyte M: other 10x10</t>
  </si>
  <si>
    <t>chlorm</t>
  </si>
  <si>
    <t>Chlorophyte N: scendesmus</t>
  </si>
  <si>
    <t>chlorn</t>
  </si>
  <si>
    <t>Chlorophyte O: scendesmus</t>
  </si>
  <si>
    <t>chloro</t>
  </si>
  <si>
    <t>Chlorophyte P: scendesmus</t>
  </si>
  <si>
    <t>chlorp</t>
  </si>
  <si>
    <t>Chlorophyte Q: scendesmus</t>
  </si>
  <si>
    <t>chlorq</t>
  </si>
  <si>
    <t>Chlorophyte R: scendesmus</t>
  </si>
  <si>
    <t>chlorr</t>
  </si>
  <si>
    <t>Chlorophyte S: scendesmus</t>
  </si>
  <si>
    <t>chlors</t>
  </si>
  <si>
    <t>Chlorophyte T: scendesmus</t>
  </si>
  <si>
    <t>chlort</t>
  </si>
  <si>
    <t>Chlorophyte U: scendesmus</t>
  </si>
  <si>
    <t>chloru</t>
  </si>
  <si>
    <t>Chlorophyte V: scendesmus</t>
  </si>
  <si>
    <t>chlorv</t>
  </si>
  <si>
    <t>Chlorophyte W: scendesmus</t>
  </si>
  <si>
    <t>chlorw</t>
  </si>
  <si>
    <t>Ciliate A: Round 4 to 7 µm</t>
  </si>
  <si>
    <t>cila</t>
  </si>
  <si>
    <t>Ciliate B: Round 8 to 11 µm</t>
  </si>
  <si>
    <t>cilb</t>
  </si>
  <si>
    <t>Ciliate C: Round 12 to 16 µm</t>
  </si>
  <si>
    <t>cilc</t>
  </si>
  <si>
    <t>Cyanobacteria A: 4x24</t>
  </si>
  <si>
    <t>cyana</t>
  </si>
  <si>
    <t>Cyanobacteria B: 4x50</t>
  </si>
  <si>
    <t>cyanb</t>
  </si>
  <si>
    <t>Diatom A: Centric 4 to 7 µm</t>
  </si>
  <si>
    <t>diaa</t>
  </si>
  <si>
    <t>Diatom B: Centric 8 to 11 µm</t>
  </si>
  <si>
    <t>diab</t>
  </si>
  <si>
    <t>Diatom C: Centric 12 to 16 µm</t>
  </si>
  <si>
    <t>diac</t>
  </si>
  <si>
    <t>Diatom D: pennate A 2x8</t>
  </si>
  <si>
    <t>diad</t>
  </si>
  <si>
    <t>Diatom E: pennate A 2x10</t>
  </si>
  <si>
    <t>diae</t>
  </si>
  <si>
    <t>Diatom F: pennate A 2x12</t>
  </si>
  <si>
    <t>diaf</t>
  </si>
  <si>
    <t>Diatom G: pennate A 2x20</t>
  </si>
  <si>
    <t>diag</t>
  </si>
  <si>
    <t>Diatom H: pennate A 3x12</t>
  </si>
  <si>
    <t>diah</t>
  </si>
  <si>
    <t>Diatom I: pennate A 4x10</t>
  </si>
  <si>
    <t>diai</t>
  </si>
  <si>
    <t>Diatom J: pennate A 4x24</t>
  </si>
  <si>
    <t>diaj</t>
  </si>
  <si>
    <t>Diatom K: pennate A 4x36</t>
  </si>
  <si>
    <t>diak</t>
  </si>
  <si>
    <t>Diatom L: pennate B 2x20</t>
  </si>
  <si>
    <t>dial</t>
  </si>
  <si>
    <t>Diatom M: pennate B 3x20</t>
  </si>
  <si>
    <t>diam</t>
  </si>
  <si>
    <t>Diatom N: pennate B4x12</t>
  </si>
  <si>
    <t>dian</t>
  </si>
  <si>
    <t>Diatom O: pennate B 4x16</t>
  </si>
  <si>
    <t>diao</t>
  </si>
  <si>
    <t>Diatom P: pennate B 4x20</t>
  </si>
  <si>
    <t>diap</t>
  </si>
  <si>
    <t>Diatom Q: pennate C 1x20</t>
  </si>
  <si>
    <t>diaq</t>
  </si>
  <si>
    <t>Diatom R: pennate C 2x16</t>
  </si>
  <si>
    <t>diar</t>
  </si>
  <si>
    <t>Diatom S: pennate C 2x18</t>
  </si>
  <si>
    <t>dias</t>
  </si>
  <si>
    <t>Diatom T: pennate C 2x20</t>
  </si>
  <si>
    <t>diat</t>
  </si>
  <si>
    <t>Diatom U: pennate C 2x30</t>
  </si>
  <si>
    <t>diau</t>
  </si>
  <si>
    <t>Diatom V:pennate C 4x10</t>
  </si>
  <si>
    <t>diav</t>
  </si>
  <si>
    <t>Diatom W: pennate C 4x24</t>
  </si>
  <si>
    <t>diaw</t>
  </si>
  <si>
    <t>Diatom X: pennate C 4x26</t>
  </si>
  <si>
    <t>diax</t>
  </si>
  <si>
    <t>Flagellate A: Cryptomonas 4 to 7 µm</t>
  </si>
  <si>
    <t>flaga</t>
  </si>
  <si>
    <t>Flagellate B: Cryptomonas 8 to 11 µm</t>
  </si>
  <si>
    <t>flagb</t>
  </si>
  <si>
    <t>Flagellate C: Cryptomonas 12 to 16 µm</t>
  </si>
  <si>
    <t>flagc</t>
  </si>
  <si>
    <t>Flagellate D: Other 4 to 7 µm</t>
  </si>
  <si>
    <t>flagd</t>
  </si>
  <si>
    <t>Flagellate E: Other 8 to 11 µm</t>
  </si>
  <si>
    <t>flage</t>
  </si>
  <si>
    <t>Flagellate F: Other 12 to 16 µm</t>
  </si>
  <si>
    <t>flagf</t>
  </si>
  <si>
    <t>Flagellate G: in a cone</t>
  </si>
  <si>
    <t>in a cone</t>
  </si>
  <si>
    <t>flagg</t>
  </si>
  <si>
    <t>Flagellate H: in a cone</t>
  </si>
  <si>
    <t>flagh</t>
  </si>
  <si>
    <t>Unidentified A triangle</t>
  </si>
  <si>
    <t>triangle</t>
  </si>
  <si>
    <t>una</t>
  </si>
  <si>
    <t>Unidentified A1</t>
  </si>
  <si>
    <t>una1</t>
  </si>
  <si>
    <t>Unidentified A2</t>
  </si>
  <si>
    <t>una2</t>
  </si>
  <si>
    <t>Unidentified A3</t>
  </si>
  <si>
    <t>una3</t>
  </si>
  <si>
    <t>Unidentified A4</t>
  </si>
  <si>
    <t>una4</t>
  </si>
  <si>
    <t>Unidentified A5</t>
  </si>
  <si>
    <t>una5</t>
  </si>
  <si>
    <t>Unidentified A6</t>
  </si>
  <si>
    <t>una6</t>
  </si>
  <si>
    <t>Unidentified A7</t>
  </si>
  <si>
    <t>una7</t>
  </si>
  <si>
    <t>Unidentified A8</t>
  </si>
  <si>
    <t>una8</t>
  </si>
  <si>
    <t>Unidentified A9</t>
  </si>
  <si>
    <t>una9</t>
  </si>
  <si>
    <t>Unidentified B1 flag/chloro</t>
  </si>
  <si>
    <t>flagchloro</t>
  </si>
  <si>
    <t>unb1</t>
  </si>
  <si>
    <t>Unidentified B2 flag/chloro</t>
  </si>
  <si>
    <t>unb2</t>
  </si>
  <si>
    <t>Unidentified B3 flag/chloro</t>
  </si>
  <si>
    <t>unb3</t>
  </si>
  <si>
    <t>Unidentified B4 flag/chloro</t>
  </si>
  <si>
    <t>unb4</t>
  </si>
  <si>
    <t>Unidentified B5 flag/chloro</t>
  </si>
  <si>
    <t>unb5</t>
  </si>
  <si>
    <t>Unidentified B6 flag/chloro</t>
  </si>
  <si>
    <t>unb6</t>
  </si>
  <si>
    <t>Unidentified Round A: 4 to 7 µm</t>
  </si>
  <si>
    <t>unrna</t>
  </si>
  <si>
    <t>Unidentified Round B: 8 to 11 µm</t>
  </si>
  <si>
    <t>unrnb</t>
  </si>
  <si>
    <t>Unidentified Round C: 12 to 16 µm</t>
  </si>
  <si>
    <t>unrnc</t>
  </si>
  <si>
    <t>sa</t>
  </si>
  <si>
    <t>la</t>
  </si>
  <si>
    <t>wi</t>
  </si>
  <si>
    <t>type</t>
  </si>
  <si>
    <t>name</t>
  </si>
  <si>
    <t>shp</t>
  </si>
  <si>
    <t>Note:</t>
  </si>
  <si>
    <t>Previousl elimiated most entries for which there were zero occurrences</t>
  </si>
  <si>
    <t>6/17/22,in 100xforR, I eliminated the following entries:</t>
  </si>
  <si>
    <t>Other zero occurrences</t>
  </si>
  <si>
    <t>Crustacean larvae, since I'm only concerned with protists, and there weren't enough of them anyway</t>
  </si>
  <si>
    <t>Diatom other bear-shaped, since there were only two, and its shape was unusual and not worth making a shape code and equation for</t>
  </si>
  <si>
    <t>Dinoflagellate ceratium for the above reason</t>
  </si>
  <si>
    <t>Fungus, not a food item</t>
  </si>
  <si>
    <t>Polychaete Larvae since I'm only concerned with protists, and there weren't enough of them anyway</t>
  </si>
  <si>
    <t>Extra ID column, since the only entry was for two cylindrothecas, and I put "cylindrotheca" in the diatom name</t>
  </si>
  <si>
    <t>Changed the "cone" shape id, to "cone1"</t>
  </si>
  <si>
    <t>cone1</t>
  </si>
  <si>
    <t>Eliminated the shape column and changed the shape short name column to "shp" as will be used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</si>
</sst>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0"/>
      <name val="Arial"/>
    </font>
    <font>
      <b/>
      <sz val="12"/>
      <name val="Trebuchet MS"/>
      <family val="2"/>
    </font>
    <font>
      <b/>
      <sz val="12"/>
      <color theme="1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sz val="10"/>
      <color rgb="FFFF42F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C24615"/>
      <name val="Arial"/>
      <family val="2"/>
    </font>
    <font>
      <sz val="10"/>
      <name val="Calibri"/>
      <family val="2"/>
      <scheme val="minor"/>
    </font>
    <font>
      <b/>
      <sz val="10"/>
      <color theme="5" tint="-0.249977111117893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55BC18"/>
      <name val="Calibri (Body)"/>
    </font>
    <font>
      <b/>
      <sz val="10"/>
      <color rgb="FF55BC18"/>
      <name val="Arial"/>
      <family val="2"/>
    </font>
    <font>
      <sz val="10"/>
      <color rgb="FF0432FF"/>
      <name val="Calibri"/>
      <family val="2"/>
      <scheme val="minor"/>
    </font>
    <font>
      <sz val="10"/>
      <color rgb="FF0432FF"/>
      <name val="Arial"/>
      <family val="2"/>
    </font>
    <font>
      <sz val="10"/>
      <color rgb="FF000000"/>
      <name val="Arial"/>
      <family val="2"/>
    </font>
    <font>
      <sz val="8"/>
      <name val="Arial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6FFF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0DE"/>
        <bgColor indexed="64"/>
      </patternFill>
    </fill>
    <fill>
      <patternFill patternType="solid">
        <fgColor rgb="FFE8EDFF"/>
        <bgColor indexed="64"/>
      </patternFill>
    </fill>
    <fill>
      <patternFill patternType="solid">
        <fgColor rgb="FFFFEFFC"/>
        <bgColor indexed="64"/>
      </patternFill>
    </fill>
    <fill>
      <patternFill patternType="solid">
        <fgColor rgb="FFE4DE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EFB"/>
        <bgColor indexed="64"/>
      </patternFill>
    </fill>
  </fills>
  <borders count="32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slantDashDot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slantDashDot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slantDashDot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07">
    <xf numFmtId="0" fontId="0" fillId="0" borderId="0" xfId="0"/>
    <xf numFmtId="0" fontId="1" fillId="0" borderId="0" xfId="0" applyFont="1"/>
    <xf numFmtId="0" fontId="3" fillId="0" borderId="0" xfId="1"/>
    <xf numFmtId="0" fontId="3" fillId="0" borderId="1" xfId="1" applyBorder="1"/>
    <xf numFmtId="0" fontId="4" fillId="0" borderId="0" xfId="1" applyFont="1"/>
    <xf numFmtId="0" fontId="5" fillId="0" borderId="2" xfId="1" applyFont="1" applyBorder="1"/>
    <xf numFmtId="0" fontId="6" fillId="0" borderId="3" xfId="1" applyFont="1" applyBorder="1"/>
    <xf numFmtId="0" fontId="6" fillId="0" borderId="0" xfId="1" applyFont="1"/>
    <xf numFmtId="0" fontId="6" fillId="0" borderId="1" xfId="1" applyFont="1" applyBorder="1"/>
    <xf numFmtId="0" fontId="3" fillId="0" borderId="4" xfId="1" applyBorder="1" applyAlignment="1">
      <alignment horizontal="right"/>
    </xf>
    <xf numFmtId="14" fontId="7" fillId="0" borderId="5" xfId="0" applyNumberFormat="1" applyFont="1" applyBorder="1"/>
    <xf numFmtId="14" fontId="7" fillId="0" borderId="6" xfId="0" applyNumberFormat="1" applyFont="1" applyBorder="1"/>
    <xf numFmtId="14" fontId="7" fillId="0" borderId="4" xfId="0" applyNumberFormat="1" applyFont="1" applyBorder="1"/>
    <xf numFmtId="14" fontId="7" fillId="0" borderId="7" xfId="0" applyNumberFormat="1" applyFont="1" applyBorder="1"/>
    <xf numFmtId="0" fontId="3" fillId="0" borderId="8" xfId="1" applyBorder="1" applyAlignment="1">
      <alignment horizontal="right"/>
    </xf>
    <xf numFmtId="0" fontId="7" fillId="0" borderId="5" xfId="0" applyFont="1" applyBorder="1"/>
    <xf numFmtId="0" fontId="7" fillId="0" borderId="6" xfId="0" applyFont="1" applyBorder="1"/>
    <xf numFmtId="0" fontId="7" fillId="0" borderId="8" xfId="0" applyFont="1" applyBorder="1"/>
    <xf numFmtId="164" fontId="7" fillId="0" borderId="5" xfId="0" applyNumberFormat="1" applyFont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65" fontId="7" fillId="0" borderId="5" xfId="0" applyNumberFormat="1" applyFont="1" applyBorder="1"/>
    <xf numFmtId="165" fontId="7" fillId="0" borderId="6" xfId="0" applyNumberFormat="1" applyFont="1" applyBorder="1"/>
    <xf numFmtId="165" fontId="7" fillId="0" borderId="8" xfId="0" applyNumberFormat="1" applyFont="1" applyBorder="1"/>
    <xf numFmtId="164" fontId="7" fillId="0" borderId="9" xfId="1" applyNumberFormat="1" applyFont="1" applyBorder="1" applyAlignment="1">
      <alignment horizontal="right"/>
    </xf>
    <xf numFmtId="164" fontId="7" fillId="0" borderId="10" xfId="1" applyNumberFormat="1" applyFont="1" applyBorder="1"/>
    <xf numFmtId="164" fontId="7" fillId="0" borderId="11" xfId="1" applyNumberFormat="1" applyFont="1" applyBorder="1"/>
    <xf numFmtId="164" fontId="3" fillId="0" borderId="0" xfId="1" applyNumberFormat="1"/>
    <xf numFmtId="164" fontId="3" fillId="0" borderId="1" xfId="1" applyNumberFormat="1" applyBorder="1"/>
    <xf numFmtId="164" fontId="7" fillId="0" borderId="9" xfId="1" applyNumberFormat="1" applyFont="1" applyBorder="1"/>
    <xf numFmtId="14" fontId="7" fillId="0" borderId="0" xfId="1" applyNumberFormat="1" applyFont="1" applyAlignment="1">
      <alignment horizontal="right"/>
    </xf>
    <xf numFmtId="14" fontId="7" fillId="0" borderId="1" xfId="1" applyNumberFormat="1" applyFont="1" applyBorder="1"/>
    <xf numFmtId="14" fontId="7" fillId="0" borderId="12" xfId="1" applyNumberFormat="1" applyFont="1" applyBorder="1"/>
    <xf numFmtId="14" fontId="7" fillId="0" borderId="0" xfId="1" applyNumberFormat="1" applyFont="1"/>
    <xf numFmtId="14" fontId="7" fillId="0" borderId="13" xfId="1" applyNumberFormat="1" applyFont="1" applyBorder="1"/>
    <xf numFmtId="14" fontId="7" fillId="0" borderId="14" xfId="1" applyNumberFormat="1" applyFont="1" applyBorder="1"/>
    <xf numFmtId="0" fontId="3" fillId="0" borderId="6" xfId="0" applyFont="1" applyBorder="1" applyAlignment="1">
      <alignment vertical="center" wrapText="1"/>
    </xf>
    <xf numFmtId="2" fontId="3" fillId="0" borderId="6" xfId="0" applyNumberFormat="1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164" fontId="7" fillId="0" borderId="16" xfId="0" applyNumberFormat="1" applyFont="1" applyBorder="1" applyAlignment="1">
      <alignment horizontal="right"/>
    </xf>
    <xf numFmtId="0" fontId="8" fillId="0" borderId="6" xfId="0" applyFont="1" applyBorder="1" applyAlignment="1">
      <alignment wrapText="1"/>
    </xf>
    <xf numFmtId="2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0" fontId="3" fillId="0" borderId="17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8" fillId="0" borderId="6" xfId="0" applyFont="1" applyBorder="1" applyAlignment="1">
      <alignment horizontal="right" wrapText="1"/>
    </xf>
    <xf numFmtId="0" fontId="9" fillId="2" borderId="18" xfId="0" applyFont="1" applyFill="1" applyBorder="1" applyAlignment="1">
      <alignment vertical="center" wrapText="1"/>
    </xf>
    <xf numFmtId="0" fontId="9" fillId="2" borderId="16" xfId="0" applyFont="1" applyFill="1" applyBorder="1" applyAlignment="1">
      <alignment vertical="center" wrapText="1"/>
    </xf>
    <xf numFmtId="165" fontId="9" fillId="2" borderId="6" xfId="0" applyNumberFormat="1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0" borderId="17" xfId="0" applyFont="1" applyBorder="1" applyAlignment="1">
      <alignment vertical="center" wrapText="1"/>
    </xf>
    <xf numFmtId="0" fontId="0" fillId="0" borderId="16" xfId="0" applyBorder="1"/>
    <xf numFmtId="0" fontId="0" fillId="0" borderId="6" xfId="0" applyBorder="1"/>
    <xf numFmtId="0" fontId="10" fillId="0" borderId="6" xfId="0" applyFont="1" applyBorder="1"/>
    <xf numFmtId="2" fontId="9" fillId="2" borderId="6" xfId="0" applyNumberFormat="1" applyFont="1" applyFill="1" applyBorder="1" applyAlignment="1">
      <alignment vertical="center" wrapText="1"/>
    </xf>
    <xf numFmtId="0" fontId="9" fillId="3" borderId="18" xfId="0" applyFont="1" applyFill="1" applyBorder="1" applyAlignment="1">
      <alignment vertical="center" wrapText="1"/>
    </xf>
    <xf numFmtId="0" fontId="9" fillId="3" borderId="16" xfId="0" applyFont="1" applyFill="1" applyBorder="1" applyAlignment="1">
      <alignment vertical="center" wrapText="1"/>
    </xf>
    <xf numFmtId="165" fontId="9" fillId="3" borderId="6" xfId="0" applyNumberFormat="1" applyFont="1" applyFill="1" applyBorder="1" applyAlignment="1">
      <alignment vertical="center" wrapText="1"/>
    </xf>
    <xf numFmtId="2" fontId="9" fillId="3" borderId="6" xfId="0" applyNumberFormat="1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0" fillId="0" borderId="12" xfId="0" applyBorder="1"/>
    <xf numFmtId="0" fontId="9" fillId="3" borderId="19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/>
    </xf>
    <xf numFmtId="0" fontId="9" fillId="4" borderId="18" xfId="0" applyFont="1" applyFill="1" applyBorder="1" applyAlignment="1">
      <alignment vertical="center" wrapText="1"/>
    </xf>
    <xf numFmtId="0" fontId="9" fillId="4" borderId="16" xfId="0" applyFont="1" applyFill="1" applyBorder="1" applyAlignment="1">
      <alignment vertical="center" wrapText="1"/>
    </xf>
    <xf numFmtId="165" fontId="9" fillId="4" borderId="6" xfId="0" applyNumberFormat="1" applyFont="1" applyFill="1" applyBorder="1" applyAlignment="1">
      <alignment vertical="center" wrapText="1"/>
    </xf>
    <xf numFmtId="2" fontId="9" fillId="4" borderId="6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vertical="center" wrapText="1"/>
    </xf>
    <xf numFmtId="1" fontId="9" fillId="4" borderId="6" xfId="0" applyNumberFormat="1" applyFont="1" applyFill="1" applyBorder="1" applyAlignment="1">
      <alignment vertical="center" wrapText="1"/>
    </xf>
    <xf numFmtId="1" fontId="9" fillId="0" borderId="17" xfId="0" applyNumberFormat="1" applyFont="1" applyBorder="1" applyAlignment="1">
      <alignment vertical="center" wrapText="1"/>
    </xf>
    <xf numFmtId="0" fontId="9" fillId="5" borderId="18" xfId="0" applyFont="1" applyFill="1" applyBorder="1" applyAlignment="1">
      <alignment vertical="center" wrapText="1"/>
    </xf>
    <xf numFmtId="0" fontId="9" fillId="5" borderId="16" xfId="0" applyFont="1" applyFill="1" applyBorder="1" applyAlignment="1">
      <alignment vertical="center" wrapText="1"/>
    </xf>
    <xf numFmtId="165" fontId="9" fillId="5" borderId="6" xfId="0" applyNumberFormat="1" applyFont="1" applyFill="1" applyBorder="1" applyAlignment="1">
      <alignment vertical="center" wrapText="1"/>
    </xf>
    <xf numFmtId="2" fontId="9" fillId="5" borderId="6" xfId="0" applyNumberFormat="1" applyFont="1" applyFill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12" fillId="5" borderId="18" xfId="0" applyFont="1" applyFill="1" applyBorder="1" applyAlignment="1">
      <alignment vertical="center" wrapText="1"/>
    </xf>
    <xf numFmtId="0" fontId="12" fillId="5" borderId="16" xfId="0" applyFont="1" applyFill="1" applyBorder="1" applyAlignment="1">
      <alignment vertical="center" wrapText="1"/>
    </xf>
    <xf numFmtId="165" fontId="12" fillId="5" borderId="6" xfId="0" applyNumberFormat="1" applyFont="1" applyFill="1" applyBorder="1" applyAlignment="1">
      <alignment vertical="center" wrapText="1"/>
    </xf>
    <xf numFmtId="2" fontId="12" fillId="5" borderId="6" xfId="0" applyNumberFormat="1" applyFont="1" applyFill="1" applyBorder="1" applyAlignment="1">
      <alignment vertical="center" wrapText="1"/>
    </xf>
    <xf numFmtId="0" fontId="12" fillId="5" borderId="6" xfId="0" applyFont="1" applyFill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9" fillId="5" borderId="2" xfId="0" applyFont="1" applyFill="1" applyBorder="1" applyAlignment="1">
      <alignment vertical="center" wrapText="1"/>
    </xf>
    <xf numFmtId="165" fontId="9" fillId="5" borderId="3" xfId="0" applyNumberFormat="1" applyFont="1" applyFill="1" applyBorder="1" applyAlignment="1">
      <alignment vertical="center" wrapText="1"/>
    </xf>
    <xf numFmtId="2" fontId="9" fillId="5" borderId="3" xfId="0" applyNumberFormat="1" applyFont="1" applyFill="1" applyBorder="1" applyAlignment="1">
      <alignment vertical="center" wrapText="1"/>
    </xf>
    <xf numFmtId="0" fontId="9" fillId="5" borderId="3" xfId="0" applyFont="1" applyFill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9" fillId="6" borderId="18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 wrapText="1"/>
    </xf>
    <xf numFmtId="165" fontId="9" fillId="6" borderId="6" xfId="0" applyNumberFormat="1" applyFont="1" applyFill="1" applyBorder="1" applyAlignment="1">
      <alignment vertical="center"/>
    </xf>
    <xf numFmtId="2" fontId="9" fillId="6" borderId="6" xfId="0" applyNumberFormat="1" applyFont="1" applyFill="1" applyBorder="1" applyAlignment="1">
      <alignment vertical="center"/>
    </xf>
    <xf numFmtId="0" fontId="9" fillId="6" borderId="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0" fontId="9" fillId="6" borderId="18" xfId="0" applyFont="1" applyFill="1" applyBorder="1" applyAlignment="1">
      <alignment vertical="center" wrapText="1"/>
    </xf>
    <xf numFmtId="165" fontId="9" fillId="6" borderId="6" xfId="0" applyNumberFormat="1" applyFont="1" applyFill="1" applyBorder="1" applyAlignment="1">
      <alignment vertical="center" wrapText="1"/>
    </xf>
    <xf numFmtId="2" fontId="9" fillId="6" borderId="6" xfId="0" applyNumberFormat="1" applyFont="1" applyFill="1" applyBorder="1" applyAlignment="1">
      <alignment vertical="center" wrapText="1"/>
    </xf>
    <xf numFmtId="0" fontId="9" fillId="6" borderId="6" xfId="0" applyFont="1" applyFill="1" applyBorder="1" applyAlignment="1">
      <alignment vertical="center" wrapText="1"/>
    </xf>
    <xf numFmtId="0" fontId="9" fillId="6" borderId="17" xfId="0" applyFont="1" applyFill="1" applyBorder="1" applyAlignment="1">
      <alignment vertical="center" wrapText="1"/>
    </xf>
    <xf numFmtId="1" fontId="9" fillId="6" borderId="17" xfId="0" applyNumberFormat="1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165" fontId="9" fillId="7" borderId="6" xfId="0" applyNumberFormat="1" applyFont="1" applyFill="1" applyBorder="1" applyAlignment="1">
      <alignment vertical="center"/>
    </xf>
    <xf numFmtId="2" fontId="9" fillId="7" borderId="6" xfId="0" applyNumberFormat="1" applyFont="1" applyFill="1" applyBorder="1" applyAlignment="1">
      <alignment vertical="center"/>
    </xf>
    <xf numFmtId="0" fontId="9" fillId="7" borderId="6" xfId="0" applyFont="1" applyFill="1" applyBorder="1" applyAlignment="1">
      <alignment vertical="center"/>
    </xf>
    <xf numFmtId="0" fontId="9" fillId="7" borderId="17" xfId="0" applyFont="1" applyFill="1" applyBorder="1" applyAlignment="1">
      <alignment vertical="center"/>
    </xf>
    <xf numFmtId="0" fontId="0" fillId="7" borderId="16" xfId="0" applyFill="1" applyBorder="1"/>
    <xf numFmtId="0" fontId="0" fillId="7" borderId="6" xfId="0" applyFill="1" applyBorder="1"/>
    <xf numFmtId="0" fontId="10" fillId="7" borderId="6" xfId="0" applyFont="1" applyFill="1" applyBorder="1"/>
    <xf numFmtId="0" fontId="0" fillId="7" borderId="0" xfId="0" applyFill="1"/>
    <xf numFmtId="165" fontId="9" fillId="6" borderId="17" xfId="0" applyNumberFormat="1" applyFont="1" applyFill="1" applyBorder="1" applyAlignment="1">
      <alignment vertical="center"/>
    </xf>
    <xf numFmtId="1" fontId="9" fillId="6" borderId="16" xfId="0" applyNumberFormat="1" applyFont="1" applyFill="1" applyBorder="1" applyAlignment="1">
      <alignment vertical="center"/>
    </xf>
    <xf numFmtId="1" fontId="13" fillId="6" borderId="16" xfId="0" applyNumberFormat="1" applyFont="1" applyFill="1" applyBorder="1" applyAlignment="1">
      <alignment vertical="center"/>
    </xf>
    <xf numFmtId="0" fontId="9" fillId="6" borderId="21" xfId="0" applyFont="1" applyFill="1" applyBorder="1" applyAlignment="1">
      <alignment vertical="center"/>
    </xf>
    <xf numFmtId="0" fontId="9" fillId="6" borderId="22" xfId="0" applyFont="1" applyFill="1" applyBorder="1" applyAlignment="1">
      <alignment vertical="center"/>
    </xf>
    <xf numFmtId="165" fontId="9" fillId="6" borderId="23" xfId="0" applyNumberFormat="1" applyFont="1" applyFill="1" applyBorder="1" applyAlignment="1">
      <alignment vertical="center"/>
    </xf>
    <xf numFmtId="2" fontId="9" fillId="6" borderId="23" xfId="0" applyNumberFormat="1" applyFont="1" applyFill="1" applyBorder="1" applyAlignment="1">
      <alignment vertical="center"/>
    </xf>
    <xf numFmtId="0" fontId="9" fillId="6" borderId="23" xfId="0" applyFont="1" applyFill="1" applyBorder="1" applyAlignment="1">
      <alignment vertical="center"/>
    </xf>
    <xf numFmtId="165" fontId="9" fillId="6" borderId="6" xfId="0" applyNumberFormat="1" applyFont="1" applyFill="1" applyBorder="1"/>
    <xf numFmtId="2" fontId="9" fillId="6" borderId="6" xfId="0" applyNumberFormat="1" applyFont="1" applyFill="1" applyBorder="1"/>
    <xf numFmtId="0" fontId="9" fillId="6" borderId="6" xfId="0" applyFont="1" applyFill="1" applyBorder="1"/>
    <xf numFmtId="0" fontId="9" fillId="6" borderId="17" xfId="0" applyFont="1" applyFill="1" applyBorder="1"/>
    <xf numFmtId="0" fontId="9" fillId="7" borderId="18" xfId="0" applyFont="1" applyFill="1" applyBorder="1" applyAlignment="1">
      <alignment vertical="center" wrapText="1"/>
    </xf>
    <xf numFmtId="0" fontId="9" fillId="7" borderId="16" xfId="0" applyFont="1" applyFill="1" applyBorder="1" applyAlignment="1">
      <alignment vertical="center" wrapText="1"/>
    </xf>
    <xf numFmtId="165" fontId="9" fillId="7" borderId="6" xfId="0" applyNumberFormat="1" applyFont="1" applyFill="1" applyBorder="1" applyAlignment="1">
      <alignment vertical="center" wrapText="1"/>
    </xf>
    <xf numFmtId="2" fontId="9" fillId="7" borderId="6" xfId="0" applyNumberFormat="1" applyFont="1" applyFill="1" applyBorder="1" applyAlignment="1">
      <alignment vertical="center" wrapText="1"/>
    </xf>
    <xf numFmtId="0" fontId="9" fillId="7" borderId="6" xfId="0" applyFont="1" applyFill="1" applyBorder="1" applyAlignment="1">
      <alignment vertical="center" wrapText="1"/>
    </xf>
    <xf numFmtId="0" fontId="9" fillId="7" borderId="17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vertical="center" wrapText="1"/>
    </xf>
    <xf numFmtId="0" fontId="9" fillId="8" borderId="16" xfId="0" applyFont="1" applyFill="1" applyBorder="1" applyAlignment="1">
      <alignment vertical="center" wrapText="1"/>
    </xf>
    <xf numFmtId="165" fontId="9" fillId="8" borderId="6" xfId="0" applyNumberFormat="1" applyFont="1" applyFill="1" applyBorder="1" applyAlignment="1">
      <alignment vertical="center" wrapText="1"/>
    </xf>
    <xf numFmtId="2" fontId="9" fillId="8" borderId="6" xfId="0" applyNumberFormat="1" applyFont="1" applyFill="1" applyBorder="1" applyAlignment="1">
      <alignment vertical="center" wrapText="1"/>
    </xf>
    <xf numFmtId="0" fontId="9" fillId="8" borderId="6" xfId="0" applyFont="1" applyFill="1" applyBorder="1" applyAlignment="1">
      <alignment vertical="center" wrapText="1"/>
    </xf>
    <xf numFmtId="0" fontId="9" fillId="8" borderId="17" xfId="0" applyFont="1" applyFill="1" applyBorder="1" applyAlignment="1">
      <alignment vertical="center" wrapText="1"/>
    </xf>
    <xf numFmtId="0" fontId="9" fillId="9" borderId="18" xfId="0" applyFont="1" applyFill="1" applyBorder="1" applyAlignment="1">
      <alignment vertical="center" wrapText="1"/>
    </xf>
    <xf numFmtId="0" fontId="9" fillId="9" borderId="16" xfId="0" applyFont="1" applyFill="1" applyBorder="1" applyAlignment="1">
      <alignment vertical="center" wrapText="1"/>
    </xf>
    <xf numFmtId="165" fontId="9" fillId="9" borderId="6" xfId="0" applyNumberFormat="1" applyFont="1" applyFill="1" applyBorder="1" applyAlignment="1">
      <alignment vertical="center" wrapText="1"/>
    </xf>
    <xf numFmtId="2" fontId="9" fillId="9" borderId="6" xfId="0" applyNumberFormat="1" applyFont="1" applyFill="1" applyBorder="1" applyAlignment="1">
      <alignment vertical="center" wrapText="1"/>
    </xf>
    <xf numFmtId="0" fontId="9" fillId="9" borderId="6" xfId="0" applyFont="1" applyFill="1" applyBorder="1" applyAlignment="1">
      <alignment vertical="center" wrapText="1"/>
    </xf>
    <xf numFmtId="0" fontId="9" fillId="9" borderId="17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9" fillId="10" borderId="18" xfId="0" applyFont="1" applyFill="1" applyBorder="1" applyAlignment="1">
      <alignment vertical="center" wrapText="1"/>
    </xf>
    <xf numFmtId="0" fontId="9" fillId="10" borderId="16" xfId="0" applyFont="1" applyFill="1" applyBorder="1" applyAlignment="1">
      <alignment vertical="center" wrapText="1"/>
    </xf>
    <xf numFmtId="165" fontId="9" fillId="10" borderId="6" xfId="0" applyNumberFormat="1" applyFont="1" applyFill="1" applyBorder="1" applyAlignment="1">
      <alignment vertical="center" wrapText="1"/>
    </xf>
    <xf numFmtId="2" fontId="9" fillId="10" borderId="6" xfId="0" applyNumberFormat="1" applyFont="1" applyFill="1" applyBorder="1" applyAlignment="1">
      <alignment vertical="center" wrapText="1"/>
    </xf>
    <xf numFmtId="0" fontId="9" fillId="10" borderId="6" xfId="0" applyFont="1" applyFill="1" applyBorder="1" applyAlignment="1">
      <alignment vertical="center" wrapText="1"/>
    </xf>
    <xf numFmtId="0" fontId="9" fillId="10" borderId="17" xfId="0" applyFont="1" applyFill="1" applyBorder="1" applyAlignment="1">
      <alignment vertical="center" wrapText="1"/>
    </xf>
    <xf numFmtId="0" fontId="9" fillId="11" borderId="18" xfId="0" applyFont="1" applyFill="1" applyBorder="1" applyAlignment="1">
      <alignment vertical="center" wrapText="1"/>
    </xf>
    <xf numFmtId="0" fontId="9" fillId="11" borderId="16" xfId="0" applyFont="1" applyFill="1" applyBorder="1" applyAlignment="1">
      <alignment vertical="center" wrapText="1"/>
    </xf>
    <xf numFmtId="165" fontId="9" fillId="11" borderId="6" xfId="0" applyNumberFormat="1" applyFont="1" applyFill="1" applyBorder="1" applyAlignment="1">
      <alignment vertical="center" wrapText="1"/>
    </xf>
    <xf numFmtId="2" fontId="9" fillId="11" borderId="6" xfId="0" applyNumberFormat="1" applyFont="1" applyFill="1" applyBorder="1" applyAlignment="1">
      <alignment vertical="center" wrapText="1"/>
    </xf>
    <xf numFmtId="0" fontId="9" fillId="11" borderId="6" xfId="0" applyFont="1" applyFill="1" applyBorder="1" applyAlignment="1">
      <alignment vertical="center" wrapText="1"/>
    </xf>
    <xf numFmtId="0" fontId="9" fillId="11" borderId="17" xfId="0" applyFont="1" applyFill="1" applyBorder="1" applyAlignment="1">
      <alignment vertical="center" wrapText="1"/>
    </xf>
    <xf numFmtId="0" fontId="9" fillId="12" borderId="18" xfId="0" applyFont="1" applyFill="1" applyBorder="1" applyAlignment="1">
      <alignment vertical="top" wrapText="1"/>
    </xf>
    <xf numFmtId="0" fontId="9" fillId="12" borderId="16" xfId="0" applyFont="1" applyFill="1" applyBorder="1" applyAlignment="1">
      <alignment vertical="top" wrapText="1"/>
    </xf>
    <xf numFmtId="0" fontId="9" fillId="12" borderId="16" xfId="0" applyFont="1" applyFill="1" applyBorder="1" applyAlignment="1">
      <alignment vertical="center" wrapText="1"/>
    </xf>
    <xf numFmtId="165" fontId="9" fillId="12" borderId="6" xfId="0" applyNumberFormat="1" applyFont="1" applyFill="1" applyBorder="1" applyAlignment="1">
      <alignment vertical="center" wrapText="1"/>
    </xf>
    <xf numFmtId="2" fontId="9" fillId="12" borderId="6" xfId="0" applyNumberFormat="1" applyFont="1" applyFill="1" applyBorder="1" applyAlignment="1">
      <alignment vertical="center" wrapText="1"/>
    </xf>
    <xf numFmtId="0" fontId="9" fillId="12" borderId="6" xfId="0" applyFont="1" applyFill="1" applyBorder="1" applyAlignment="1">
      <alignment vertical="center" wrapText="1"/>
    </xf>
    <xf numFmtId="0" fontId="9" fillId="12" borderId="17" xfId="0" applyFont="1" applyFill="1" applyBorder="1" applyAlignment="1">
      <alignment vertical="center" wrapText="1"/>
    </xf>
    <xf numFmtId="0" fontId="9" fillId="12" borderId="18" xfId="0" applyFont="1" applyFill="1" applyBorder="1" applyAlignment="1">
      <alignment vertical="center" wrapText="1"/>
    </xf>
    <xf numFmtId="0" fontId="9" fillId="12" borderId="1" xfId="0" applyFont="1" applyFill="1" applyBorder="1" applyAlignment="1">
      <alignment vertical="center" wrapText="1"/>
    </xf>
    <xf numFmtId="0" fontId="11" fillId="12" borderId="18" xfId="0" applyFont="1" applyFill="1" applyBorder="1" applyAlignment="1">
      <alignment horizontal="left"/>
    </xf>
    <xf numFmtId="0" fontId="9" fillId="12" borderId="24" xfId="0" applyFont="1" applyFill="1" applyBorder="1" applyAlignment="1">
      <alignment vertical="center" wrapText="1"/>
    </xf>
    <xf numFmtId="0" fontId="0" fillId="0" borderId="1" xfId="0" applyBorder="1"/>
    <xf numFmtId="0" fontId="0" fillId="0" borderId="25" xfId="0" applyBorder="1"/>
    <xf numFmtId="0" fontId="14" fillId="0" borderId="0" xfId="0" applyFont="1" applyAlignment="1">
      <alignment vertical="center" wrapText="1"/>
    </xf>
    <xf numFmtId="0" fontId="15" fillId="0" borderId="0" xfId="0" applyFont="1"/>
    <xf numFmtId="0" fontId="16" fillId="0" borderId="26" xfId="0" applyFont="1" applyBorder="1" applyAlignment="1">
      <alignment vertic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7" fillId="0" borderId="26" xfId="0" applyFont="1" applyBorder="1"/>
    <xf numFmtId="0" fontId="17" fillId="0" borderId="29" xfId="0" applyFont="1" applyBorder="1"/>
    <xf numFmtId="0" fontId="5" fillId="0" borderId="0" xfId="1" applyFont="1"/>
    <xf numFmtId="0" fontId="3" fillId="13" borderId="18" xfId="0" applyFont="1" applyFill="1" applyBorder="1" applyAlignment="1">
      <alignment vertical="center" wrapText="1"/>
    </xf>
    <xf numFmtId="0" fontId="3" fillId="13" borderId="16" xfId="0" applyFont="1" applyFill="1" applyBorder="1" applyAlignment="1">
      <alignment vertical="center" wrapText="1"/>
    </xf>
    <xf numFmtId="0" fontId="3" fillId="13" borderId="6" xfId="0" applyFont="1" applyFill="1" applyBorder="1" applyAlignment="1">
      <alignment vertical="center" wrapText="1"/>
    </xf>
    <xf numFmtId="0" fontId="3" fillId="0" borderId="0" xfId="0" applyFont="1"/>
    <xf numFmtId="0" fontId="3" fillId="13" borderId="0" xfId="0" applyFont="1" applyFill="1" applyAlignment="1">
      <alignment vertical="center" wrapText="1"/>
    </xf>
    <xf numFmtId="2" fontId="3" fillId="13" borderId="6" xfId="0" applyNumberFormat="1" applyFont="1" applyFill="1" applyBorder="1" applyAlignment="1">
      <alignment vertical="center" wrapText="1"/>
    </xf>
    <xf numFmtId="1" fontId="7" fillId="4" borderId="23" xfId="1" applyNumberFormat="1" applyFont="1" applyFill="1" applyBorder="1"/>
    <xf numFmtId="0" fontId="3" fillId="0" borderId="30" xfId="0" applyFont="1" applyBorder="1" applyAlignment="1">
      <alignment horizontal="right" wrapText="1"/>
    </xf>
    <xf numFmtId="0" fontId="3" fillId="4" borderId="6" xfId="0" applyFont="1" applyFill="1" applyBorder="1" applyAlignment="1">
      <alignment horizontal="right" wrapText="1"/>
    </xf>
    <xf numFmtId="1" fontId="7" fillId="4" borderId="23" xfId="1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" fontId="7" fillId="4" borderId="6" xfId="1" applyNumberFormat="1" applyFont="1" applyFill="1" applyBorder="1" applyAlignment="1">
      <alignment horizontal="right"/>
    </xf>
    <xf numFmtId="0" fontId="3" fillId="4" borderId="6" xfId="0" applyFont="1" applyFill="1" applyBorder="1" applyAlignment="1">
      <alignment vertical="center" wrapText="1"/>
    </xf>
    <xf numFmtId="1" fontId="7" fillId="4" borderId="6" xfId="1" applyNumberFormat="1" applyFont="1" applyFill="1" applyBorder="1"/>
    <xf numFmtId="0" fontId="3" fillId="14" borderId="6" xfId="0" applyFont="1" applyFill="1" applyBorder="1" applyAlignment="1">
      <alignment vertical="center" wrapText="1"/>
    </xf>
    <xf numFmtId="2" fontId="3" fillId="14" borderId="6" xfId="0" applyNumberFormat="1" applyFont="1" applyFill="1" applyBorder="1" applyAlignment="1">
      <alignment vertical="center" wrapText="1"/>
    </xf>
    <xf numFmtId="0" fontId="3" fillId="4" borderId="6" xfId="0" applyFont="1" applyFill="1" applyBorder="1" applyAlignment="1">
      <alignment horizontal="right" vertical="center" wrapText="1"/>
    </xf>
    <xf numFmtId="0" fontId="3" fillId="0" borderId="23" xfId="0" applyFont="1" applyBorder="1" applyAlignment="1">
      <alignment horizontal="right" wrapText="1"/>
    </xf>
    <xf numFmtId="0" fontId="3" fillId="4" borderId="23" xfId="0" applyFont="1" applyFill="1" applyBorder="1" applyAlignment="1">
      <alignment horizontal="right" wrapText="1"/>
    </xf>
    <xf numFmtId="0" fontId="3" fillId="14" borderId="18" xfId="0" applyFont="1" applyFill="1" applyBorder="1" applyAlignment="1">
      <alignment vertical="center" wrapText="1"/>
    </xf>
    <xf numFmtId="0" fontId="3" fillId="14" borderId="16" xfId="0" applyFont="1" applyFill="1" applyBorder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11" borderId="18" xfId="0" applyFont="1" applyFill="1" applyBorder="1"/>
    <xf numFmtId="0" fontId="3" fillId="11" borderId="16" xfId="0" applyFont="1" applyFill="1" applyBorder="1"/>
    <xf numFmtId="0" fontId="3" fillId="0" borderId="16" xfId="0" applyFont="1" applyBorder="1"/>
    <xf numFmtId="2" fontId="3" fillId="11" borderId="6" xfId="0" applyNumberFormat="1" applyFont="1" applyFill="1" applyBorder="1" applyAlignment="1">
      <alignment vertical="center" wrapText="1"/>
    </xf>
    <xf numFmtId="0" fontId="3" fillId="11" borderId="6" xfId="0" applyFont="1" applyFill="1" applyBorder="1" applyAlignment="1">
      <alignment vertical="center" wrapText="1"/>
    </xf>
    <xf numFmtId="1" fontId="3" fillId="4" borderId="6" xfId="0" applyNumberFormat="1" applyFont="1" applyFill="1" applyBorder="1" applyAlignment="1">
      <alignment vertical="center" wrapText="1"/>
    </xf>
    <xf numFmtId="1" fontId="18" fillId="15" borderId="6" xfId="0" applyNumberFormat="1" applyFont="1" applyFill="1" applyBorder="1"/>
    <xf numFmtId="1" fontId="18" fillId="15" borderId="6" xfId="0" applyNumberFormat="1" applyFont="1" applyFill="1" applyBorder="1" applyAlignment="1">
      <alignment horizontal="right"/>
    </xf>
    <xf numFmtId="0" fontId="3" fillId="16" borderId="18" xfId="0" applyFont="1" applyFill="1" applyBorder="1" applyAlignment="1">
      <alignment vertical="center" wrapText="1"/>
    </xf>
    <xf numFmtId="0" fontId="3" fillId="16" borderId="16" xfId="0" applyFont="1" applyFill="1" applyBorder="1" applyAlignment="1">
      <alignment vertical="center" wrapText="1"/>
    </xf>
    <xf numFmtId="2" fontId="3" fillId="16" borderId="6" xfId="0" applyNumberFormat="1" applyFont="1" applyFill="1" applyBorder="1" applyAlignment="1">
      <alignment vertical="center" wrapText="1"/>
    </xf>
    <xf numFmtId="0" fontId="3" fillId="16" borderId="6" xfId="0" applyFont="1" applyFill="1" applyBorder="1" applyAlignment="1">
      <alignment vertical="center" wrapText="1"/>
    </xf>
    <xf numFmtId="0" fontId="3" fillId="17" borderId="6" xfId="0" applyFont="1" applyFill="1" applyBorder="1" applyAlignment="1">
      <alignment horizontal="right" wrapText="1"/>
    </xf>
    <xf numFmtId="0" fontId="7" fillId="0" borderId="18" xfId="1" applyFont="1" applyBorder="1" applyAlignment="1">
      <alignment horizontal="left"/>
    </xf>
    <xf numFmtId="0" fontId="7" fillId="0" borderId="16" xfId="1" applyFont="1" applyBorder="1" applyAlignment="1">
      <alignment horizontal="left"/>
    </xf>
    <xf numFmtId="0" fontId="3" fillId="4" borderId="6" xfId="0" applyFont="1" applyFill="1" applyBorder="1" applyAlignment="1">
      <alignment wrapText="1"/>
    </xf>
    <xf numFmtId="0" fontId="3" fillId="4" borderId="18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2" fontId="3" fillId="4" borderId="6" xfId="0" applyNumberFormat="1" applyFont="1" applyFill="1" applyBorder="1" applyAlignment="1">
      <alignment vertical="center" wrapText="1"/>
    </xf>
    <xf numFmtId="0" fontId="3" fillId="18" borderId="0" xfId="0" applyFont="1" applyFill="1" applyAlignment="1">
      <alignment wrapText="1"/>
    </xf>
    <xf numFmtId="0" fontId="3" fillId="3" borderId="6" xfId="0" applyFont="1" applyFill="1" applyBorder="1" applyAlignment="1">
      <alignment vertical="center" wrapText="1"/>
    </xf>
    <xf numFmtId="2" fontId="3" fillId="3" borderId="6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right" wrapText="1"/>
    </xf>
    <xf numFmtId="0" fontId="3" fillId="3" borderId="18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7" fillId="18" borderId="18" xfId="1" applyFont="1" applyFill="1" applyBorder="1" applyAlignment="1">
      <alignment horizontal="left"/>
    </xf>
    <xf numFmtId="0" fontId="7" fillId="18" borderId="16" xfId="1" applyFont="1" applyFill="1" applyBorder="1" applyAlignment="1">
      <alignment horizontal="left"/>
    </xf>
    <xf numFmtId="2" fontId="3" fillId="18" borderId="6" xfId="0" applyNumberFormat="1" applyFont="1" applyFill="1" applyBorder="1" applyAlignment="1">
      <alignment vertical="center" wrapText="1"/>
    </xf>
    <xf numFmtId="2" fontId="3" fillId="18" borderId="6" xfId="1" applyNumberFormat="1" applyFill="1" applyBorder="1"/>
    <xf numFmtId="0" fontId="3" fillId="18" borderId="6" xfId="1" applyFill="1" applyBorder="1"/>
    <xf numFmtId="0" fontId="3" fillId="18" borderId="6" xfId="0" applyFont="1" applyFill="1" applyBorder="1" applyAlignment="1">
      <alignment horizontal="right" wrapText="1"/>
    </xf>
    <xf numFmtId="0" fontId="3" fillId="4" borderId="6" xfId="1" applyFill="1" applyBorder="1"/>
    <xf numFmtId="2" fontId="3" fillId="13" borderId="6" xfId="0" applyNumberFormat="1" applyFont="1" applyFill="1" applyBorder="1" applyAlignment="1">
      <alignment wrapText="1"/>
    </xf>
    <xf numFmtId="0" fontId="3" fillId="8" borderId="6" xfId="0" applyFont="1" applyFill="1" applyBorder="1" applyAlignment="1">
      <alignment vertical="center" wrapText="1"/>
    </xf>
    <xf numFmtId="2" fontId="3" fillId="8" borderId="6" xfId="0" applyNumberFormat="1" applyFont="1" applyFill="1" applyBorder="1" applyAlignment="1">
      <alignment vertical="center" wrapText="1"/>
    </xf>
    <xf numFmtId="0" fontId="3" fillId="8" borderId="18" xfId="0" applyFont="1" applyFill="1" applyBorder="1" applyAlignment="1">
      <alignment vertical="center" wrapText="1"/>
    </xf>
    <xf numFmtId="0" fontId="3" fillId="8" borderId="16" xfId="0" applyFont="1" applyFill="1" applyBorder="1" applyAlignment="1">
      <alignment vertical="center" wrapText="1"/>
    </xf>
    <xf numFmtId="0" fontId="3" fillId="4" borderId="0" xfId="0" applyFont="1" applyFill="1" applyAlignment="1">
      <alignment horizontal="right" wrapText="1"/>
    </xf>
    <xf numFmtId="0" fontId="3" fillId="8" borderId="31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2" fontId="3" fillId="8" borderId="3" xfId="0" applyNumberFormat="1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 vertical="center" wrapText="1"/>
    </xf>
    <xf numFmtId="0" fontId="3" fillId="0" borderId="16" xfId="0" applyFont="1" applyBorder="1" applyAlignment="1">
      <alignment wrapText="1"/>
    </xf>
    <xf numFmtId="0" fontId="3" fillId="4" borderId="22" xfId="0" applyFont="1" applyFill="1" applyBorder="1" applyAlignment="1">
      <alignment vertical="center" wrapText="1"/>
    </xf>
    <xf numFmtId="0" fontId="3" fillId="4" borderId="21" xfId="0" applyFont="1" applyFill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2" fontId="3" fillId="4" borderId="23" xfId="0" applyNumberFormat="1" applyFont="1" applyFill="1" applyBorder="1" applyAlignment="1">
      <alignment vertical="center" wrapText="1"/>
    </xf>
    <xf numFmtId="0" fontId="3" fillId="4" borderId="23" xfId="0" applyFont="1" applyFill="1" applyBorder="1" applyAlignment="1">
      <alignment vertical="center" wrapText="1"/>
    </xf>
    <xf numFmtId="0" fontId="3" fillId="0" borderId="23" xfId="0" applyFont="1" applyBorder="1" applyAlignment="1">
      <alignment horizontal="right" vertical="center" wrapText="1"/>
    </xf>
    <xf numFmtId="0" fontId="3" fillId="4" borderId="23" xfId="0" applyFont="1" applyFill="1" applyBorder="1" applyAlignment="1">
      <alignment horizontal="right" vertical="center" wrapText="1"/>
    </xf>
    <xf numFmtId="0" fontId="7" fillId="11" borderId="18" xfId="1" applyFont="1" applyFill="1" applyBorder="1" applyAlignment="1">
      <alignment horizontal="left"/>
    </xf>
    <xf numFmtId="0" fontId="7" fillId="11" borderId="21" xfId="1" applyFont="1" applyFill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11" borderId="31" xfId="1" applyFont="1" applyFill="1" applyBorder="1" applyAlignment="1">
      <alignment horizontal="left"/>
    </xf>
    <xf numFmtId="0" fontId="7" fillId="11" borderId="6" xfId="1" applyFont="1" applyFill="1" applyBorder="1" applyAlignment="1">
      <alignment horizontal="left"/>
    </xf>
    <xf numFmtId="2" fontId="3" fillId="11" borderId="3" xfId="0" applyNumberFormat="1" applyFont="1" applyFill="1" applyBorder="1" applyAlignment="1">
      <alignment vertical="center" wrapText="1"/>
    </xf>
    <xf numFmtId="0" fontId="3" fillId="11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horizontal="right" vertical="center" wrapText="1"/>
    </xf>
    <xf numFmtId="1" fontId="7" fillId="4" borderId="3" xfId="1" applyNumberFormat="1" applyFont="1" applyFill="1" applyBorder="1"/>
    <xf numFmtId="1" fontId="18" fillId="15" borderId="3" xfId="0" applyNumberFormat="1" applyFont="1" applyFill="1" applyBorder="1"/>
    <xf numFmtId="1" fontId="7" fillId="4" borderId="3" xfId="1" applyNumberFormat="1" applyFont="1" applyFill="1" applyBorder="1" applyAlignment="1">
      <alignment horizontal="right"/>
    </xf>
    <xf numFmtId="1" fontId="18" fillId="15" borderId="3" xfId="0" applyNumberFormat="1" applyFont="1" applyFill="1" applyBorder="1" applyAlignment="1">
      <alignment horizontal="right"/>
    </xf>
    <xf numFmtId="2" fontId="3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9" fillId="0" borderId="18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11" fillId="0" borderId="18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2" fillId="0" borderId="18" xfId="0" applyFont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9" fillId="0" borderId="6" xfId="0" applyFont="1" applyBorder="1"/>
    <xf numFmtId="0" fontId="9" fillId="0" borderId="1" xfId="0" applyFont="1" applyBorder="1" applyAlignment="1">
      <alignment vertical="center" wrapText="1"/>
    </xf>
    <xf numFmtId="0" fontId="9" fillId="0" borderId="18" xfId="0" applyFont="1" applyBorder="1" applyAlignment="1">
      <alignment vertical="top" wrapText="1"/>
    </xf>
    <xf numFmtId="0" fontId="9" fillId="0" borderId="16" xfId="0" applyFont="1" applyBorder="1" applyAlignment="1">
      <alignment vertical="top" wrapText="1"/>
    </xf>
    <xf numFmtId="0" fontId="9" fillId="0" borderId="0" xfId="0" applyFont="1" applyAlignment="1">
      <alignment vertical="center" wrapText="1"/>
    </xf>
    <xf numFmtId="0" fontId="3" fillId="0" borderId="30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0" fontId="9" fillId="0" borderId="30" xfId="0" applyFont="1" applyBorder="1" applyAlignment="1">
      <alignment vertical="center"/>
    </xf>
    <xf numFmtId="0" fontId="9" fillId="0" borderId="30" xfId="0" applyFont="1" applyBorder="1"/>
    <xf numFmtId="0" fontId="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1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1" fontId="13" fillId="0" borderId="0" xfId="0" applyNumberFormat="1" applyFont="1" applyAlignment="1">
      <alignment vertical="center"/>
    </xf>
    <xf numFmtId="0" fontId="9" fillId="0" borderId="0" xfId="0" applyFont="1"/>
  </cellXfs>
  <cellStyles count="2">
    <cellStyle name="Normal" xfId="0" builtinId="0"/>
    <cellStyle name="Normal 2" xfId="1" xr:uid="{639B7185-5102-A24D-9410-00A81037E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F1B5-50E8-3F42-A56B-EAC7DBA51B67}">
  <dimension ref="A1:BU305"/>
  <sheetViews>
    <sheetView zoomScale="110" zoomScaleNormal="110" workbookViewId="0">
      <pane xSplit="12" ySplit="11" topLeftCell="BU106" activePane="bottomRight" state="frozen"/>
      <selection pane="topRight" activeCell="M1" sqref="M1"/>
      <selection pane="bottomLeft" activeCell="A12" sqref="A12"/>
      <selection pane="bottomRight" activeCell="M12" sqref="M12"/>
    </sheetView>
  </sheetViews>
  <sheetFormatPr baseColWidth="10" defaultRowHeight="13" x14ac:dyDescent="0.15"/>
  <cols>
    <col min="1" max="1" width="32.33203125" bestFit="1" customWidth="1"/>
    <col min="2" max="2" width="12.83203125" customWidth="1"/>
    <col min="3" max="3" width="15.83203125" customWidth="1"/>
    <col min="4" max="4" width="10.33203125" customWidth="1"/>
    <col min="5" max="5" width="17.83203125" customWidth="1"/>
    <col min="6" max="6" width="9.6640625" customWidth="1"/>
    <col min="7" max="8" width="10.83203125" customWidth="1"/>
    <col min="9" max="9" width="17.6640625" customWidth="1"/>
    <col min="11" max="11" width="12.1640625" style="170" customWidth="1"/>
    <col min="12" max="12" width="17.6640625" customWidth="1"/>
  </cols>
  <sheetData>
    <row r="1" spans="1:73" s="2" customFormat="1" ht="16" customHeight="1" x14ac:dyDescent="0.2">
      <c r="A1" s="1" t="s">
        <v>0</v>
      </c>
      <c r="K1" s="3"/>
    </row>
    <row r="2" spans="1:73" s="2" customFormat="1" ht="16" customHeight="1" x14ac:dyDescent="0.15">
      <c r="A2" s="4" t="s">
        <v>1</v>
      </c>
      <c r="B2" s="5"/>
      <c r="C2" s="6"/>
      <c r="D2" s="7"/>
      <c r="E2" s="7"/>
      <c r="F2" s="7"/>
      <c r="G2" s="7"/>
      <c r="H2" s="7"/>
      <c r="I2" s="7"/>
      <c r="J2" s="7"/>
      <c r="K2" s="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73" s="2" customFormat="1" ht="16" customHeight="1" x14ac:dyDescent="0.15">
      <c r="A3" s="9" t="s">
        <v>2</v>
      </c>
      <c r="B3" s="10"/>
      <c r="C3" s="11"/>
      <c r="K3" s="3"/>
      <c r="M3" s="12">
        <v>43711</v>
      </c>
      <c r="N3" s="12">
        <v>44444</v>
      </c>
      <c r="O3" s="12">
        <v>44444</v>
      </c>
      <c r="P3" s="12">
        <v>44444</v>
      </c>
      <c r="Q3" s="12">
        <v>44444</v>
      </c>
      <c r="R3" s="12">
        <v>44444</v>
      </c>
      <c r="S3" s="12">
        <v>44444</v>
      </c>
      <c r="T3" s="12">
        <v>44443</v>
      </c>
      <c r="U3" s="12">
        <v>44443</v>
      </c>
      <c r="V3" s="12">
        <v>44443</v>
      </c>
      <c r="W3" s="12">
        <v>43676</v>
      </c>
      <c r="X3" s="12">
        <v>43678</v>
      </c>
      <c r="Y3" s="12">
        <v>43678</v>
      </c>
      <c r="Z3" s="12">
        <v>43678</v>
      </c>
      <c r="AA3" s="12">
        <v>43678</v>
      </c>
      <c r="AB3" s="12">
        <v>43678</v>
      </c>
      <c r="AC3" s="12">
        <v>43678</v>
      </c>
      <c r="AD3" s="12">
        <v>43677</v>
      </c>
      <c r="AE3" s="12">
        <v>43677</v>
      </c>
      <c r="AF3" s="12">
        <v>43677</v>
      </c>
      <c r="AG3" s="13">
        <v>43695</v>
      </c>
      <c r="AH3" s="13">
        <v>43697</v>
      </c>
      <c r="AI3" s="13">
        <v>43697</v>
      </c>
      <c r="AJ3" s="13">
        <v>43697</v>
      </c>
      <c r="AK3" s="13">
        <v>43697</v>
      </c>
      <c r="AL3" s="13">
        <v>43697</v>
      </c>
      <c r="AM3" s="13">
        <v>43697</v>
      </c>
      <c r="AN3" s="13">
        <v>43696</v>
      </c>
      <c r="AO3" s="13">
        <v>43696</v>
      </c>
      <c r="AP3" s="13">
        <v>43696</v>
      </c>
      <c r="AQ3" s="13">
        <v>43690</v>
      </c>
      <c r="AR3" s="13">
        <v>43692</v>
      </c>
      <c r="AS3" s="13">
        <v>43692</v>
      </c>
      <c r="AT3" s="13">
        <v>43692</v>
      </c>
      <c r="AU3" s="13">
        <v>43692</v>
      </c>
      <c r="AV3" s="13">
        <v>43692</v>
      </c>
      <c r="AW3" s="13">
        <v>43692</v>
      </c>
      <c r="AX3" s="13">
        <v>43692</v>
      </c>
      <c r="AY3" s="13">
        <v>43692</v>
      </c>
      <c r="AZ3" s="13">
        <v>43692</v>
      </c>
      <c r="BA3" s="13">
        <v>43669</v>
      </c>
      <c r="BB3" s="13">
        <v>43671</v>
      </c>
      <c r="BC3" s="13">
        <v>43671</v>
      </c>
      <c r="BD3" s="13">
        <v>43671</v>
      </c>
      <c r="BE3" s="13">
        <v>43671</v>
      </c>
      <c r="BF3" s="13">
        <v>43671</v>
      </c>
      <c r="BG3" s="13">
        <v>43671</v>
      </c>
      <c r="BH3" s="13">
        <v>43670</v>
      </c>
      <c r="BI3" s="13">
        <v>43670</v>
      </c>
      <c r="BJ3" s="13">
        <v>43670</v>
      </c>
      <c r="BK3" s="13">
        <v>43725</v>
      </c>
      <c r="BL3" s="13">
        <v>43727</v>
      </c>
      <c r="BM3" s="13">
        <v>43727</v>
      </c>
      <c r="BN3" s="13">
        <v>43727</v>
      </c>
      <c r="BO3" s="13">
        <v>43727</v>
      </c>
      <c r="BP3" s="13">
        <v>43727</v>
      </c>
      <c r="BQ3" s="13">
        <v>43727</v>
      </c>
      <c r="BR3" s="13">
        <v>43726</v>
      </c>
      <c r="BS3" s="13">
        <v>43726</v>
      </c>
      <c r="BT3" s="13">
        <v>43726</v>
      </c>
    </row>
    <row r="4" spans="1:73" s="2" customFormat="1" ht="16" customHeight="1" x14ac:dyDescent="0.15">
      <c r="A4" s="14" t="s">
        <v>3</v>
      </c>
      <c r="B4" s="15"/>
      <c r="C4" s="16"/>
      <c r="K4" s="3"/>
      <c r="M4" s="17">
        <v>19246</v>
      </c>
      <c r="N4" s="17">
        <v>19248</v>
      </c>
      <c r="O4" s="17">
        <v>19248</v>
      </c>
      <c r="P4" s="17">
        <v>19248</v>
      </c>
      <c r="Q4" s="17">
        <v>19248</v>
      </c>
      <c r="R4" s="17">
        <v>19248</v>
      </c>
      <c r="S4" s="17">
        <v>19248</v>
      </c>
      <c r="T4" s="17">
        <v>19247</v>
      </c>
      <c r="U4" s="17">
        <v>19247</v>
      </c>
      <c r="V4" s="17">
        <v>19247</v>
      </c>
      <c r="W4" s="17">
        <v>19211</v>
      </c>
      <c r="X4" s="17">
        <v>19213</v>
      </c>
      <c r="Y4" s="17">
        <v>19213</v>
      </c>
      <c r="Z4" s="17">
        <v>19213</v>
      </c>
      <c r="AA4" s="17">
        <v>19213</v>
      </c>
      <c r="AB4" s="17">
        <v>19213</v>
      </c>
      <c r="AC4" s="17">
        <v>19213</v>
      </c>
      <c r="AD4" s="17">
        <v>19212</v>
      </c>
      <c r="AE4" s="17">
        <v>19212</v>
      </c>
      <c r="AF4" s="17">
        <v>19212</v>
      </c>
      <c r="AG4" s="15">
        <v>19230</v>
      </c>
      <c r="AH4" s="15">
        <v>19232</v>
      </c>
      <c r="AI4" s="15">
        <v>19232</v>
      </c>
      <c r="AJ4" s="15">
        <v>19232</v>
      </c>
      <c r="AK4" s="15">
        <v>19232</v>
      </c>
      <c r="AL4" s="15">
        <v>19232</v>
      </c>
      <c r="AM4" s="15">
        <v>19232</v>
      </c>
      <c r="AN4" s="15">
        <v>19231</v>
      </c>
      <c r="AO4" s="15">
        <v>19231</v>
      </c>
      <c r="AP4" s="15">
        <v>19231</v>
      </c>
      <c r="AQ4" s="15">
        <v>19225</v>
      </c>
      <c r="AR4" s="15">
        <v>19227</v>
      </c>
      <c r="AS4" s="15">
        <v>19227</v>
      </c>
      <c r="AT4" s="15">
        <v>19227</v>
      </c>
      <c r="AU4" s="15">
        <v>19227</v>
      </c>
      <c r="AV4" s="15">
        <v>19227</v>
      </c>
      <c r="AW4" s="15">
        <v>19227</v>
      </c>
      <c r="AX4" s="15">
        <v>19226</v>
      </c>
      <c r="AY4" s="15">
        <v>19226</v>
      </c>
      <c r="AZ4" s="15">
        <v>19226</v>
      </c>
      <c r="BA4" s="15">
        <v>19204</v>
      </c>
      <c r="BB4" s="15">
        <v>19206</v>
      </c>
      <c r="BC4" s="15">
        <v>19206</v>
      </c>
      <c r="BD4" s="15">
        <v>19206</v>
      </c>
      <c r="BE4" s="15">
        <v>19206</v>
      </c>
      <c r="BF4" s="15">
        <v>19206</v>
      </c>
      <c r="BG4" s="15">
        <v>19206</v>
      </c>
      <c r="BH4" s="15">
        <v>19205</v>
      </c>
      <c r="BI4" s="15">
        <v>19205</v>
      </c>
      <c r="BJ4" s="15">
        <v>19205</v>
      </c>
      <c r="BK4" s="15">
        <v>19260</v>
      </c>
      <c r="BL4" s="15">
        <v>19262</v>
      </c>
      <c r="BM4" s="15">
        <v>19262</v>
      </c>
      <c r="BN4" s="15">
        <v>19262</v>
      </c>
      <c r="BO4" s="15">
        <v>19262</v>
      </c>
      <c r="BP4" s="15">
        <v>19262</v>
      </c>
      <c r="BQ4" s="15">
        <v>19262</v>
      </c>
      <c r="BR4" s="15">
        <v>19261</v>
      </c>
      <c r="BS4" s="15">
        <v>19261</v>
      </c>
      <c r="BT4" s="15">
        <v>19261</v>
      </c>
    </row>
    <row r="5" spans="1:73" s="2" customFormat="1" ht="16" customHeight="1" x14ac:dyDescent="0.15">
      <c r="A5" s="14" t="s">
        <v>4</v>
      </c>
      <c r="B5" s="18"/>
      <c r="C5" s="19"/>
      <c r="K5" s="3"/>
      <c r="M5" s="20" t="s">
        <v>5</v>
      </c>
      <c r="N5" s="20" t="s">
        <v>6</v>
      </c>
      <c r="O5" s="20" t="s">
        <v>7</v>
      </c>
      <c r="P5" s="20" t="s">
        <v>8</v>
      </c>
      <c r="Q5" s="20" t="s">
        <v>9</v>
      </c>
      <c r="R5" s="20" t="s">
        <v>10</v>
      </c>
      <c r="S5" s="20" t="s">
        <v>11</v>
      </c>
      <c r="T5" s="20" t="s">
        <v>12</v>
      </c>
      <c r="U5" s="20" t="s">
        <v>13</v>
      </c>
      <c r="V5" s="20" t="s">
        <v>14</v>
      </c>
      <c r="W5" s="20" t="s">
        <v>15</v>
      </c>
      <c r="X5" s="20" t="s">
        <v>16</v>
      </c>
      <c r="Y5" s="20" t="s">
        <v>17</v>
      </c>
      <c r="Z5" s="20" t="s">
        <v>18</v>
      </c>
      <c r="AA5" s="20" t="s">
        <v>19</v>
      </c>
      <c r="AB5" s="20" t="s">
        <v>20</v>
      </c>
      <c r="AC5" s="20" t="s">
        <v>21</v>
      </c>
      <c r="AD5" s="20" t="s">
        <v>22</v>
      </c>
      <c r="AE5" s="20" t="s">
        <v>23</v>
      </c>
      <c r="AF5" s="20" t="s">
        <v>24</v>
      </c>
      <c r="AG5" s="18" t="s">
        <v>25</v>
      </c>
      <c r="AH5" s="18" t="s">
        <v>26</v>
      </c>
      <c r="AI5" s="18" t="s">
        <v>27</v>
      </c>
      <c r="AJ5" s="18" t="s">
        <v>28</v>
      </c>
      <c r="AK5" s="18" t="s">
        <v>29</v>
      </c>
      <c r="AL5" s="18" t="s">
        <v>30</v>
      </c>
      <c r="AM5" s="18" t="s">
        <v>31</v>
      </c>
      <c r="AN5" s="18" t="s">
        <v>32</v>
      </c>
      <c r="AO5" s="18" t="s">
        <v>33</v>
      </c>
      <c r="AP5" s="18" t="s">
        <v>34</v>
      </c>
      <c r="AQ5" s="18" t="s">
        <v>35</v>
      </c>
      <c r="AR5" s="18" t="s">
        <v>36</v>
      </c>
      <c r="AS5" s="18" t="s">
        <v>37</v>
      </c>
      <c r="AT5" s="18" t="s">
        <v>38</v>
      </c>
      <c r="AU5" s="18" t="s">
        <v>39</v>
      </c>
      <c r="AV5" s="18" t="s">
        <v>40</v>
      </c>
      <c r="AW5" s="18" t="s">
        <v>41</v>
      </c>
      <c r="AX5" s="18" t="s">
        <v>42</v>
      </c>
      <c r="AY5" s="18" t="s">
        <v>43</v>
      </c>
      <c r="AZ5" s="18" t="s">
        <v>44</v>
      </c>
      <c r="BA5" s="18" t="s">
        <v>45</v>
      </c>
      <c r="BB5" s="18" t="s">
        <v>46</v>
      </c>
      <c r="BC5" s="18" t="s">
        <v>47</v>
      </c>
      <c r="BD5" s="18" t="s">
        <v>48</v>
      </c>
      <c r="BE5" s="18" t="s">
        <v>49</v>
      </c>
      <c r="BF5" s="18" t="s">
        <v>50</v>
      </c>
      <c r="BG5" s="18" t="s">
        <v>51</v>
      </c>
      <c r="BH5" s="18" t="s">
        <v>52</v>
      </c>
      <c r="BI5" s="18" t="s">
        <v>53</v>
      </c>
      <c r="BJ5" s="18" t="s">
        <v>54</v>
      </c>
      <c r="BK5" s="18" t="s">
        <v>55</v>
      </c>
      <c r="BL5" s="18" t="s">
        <v>56</v>
      </c>
      <c r="BM5" s="18" t="s">
        <v>57</v>
      </c>
      <c r="BN5" s="18" t="s">
        <v>58</v>
      </c>
      <c r="BO5" s="18" t="s">
        <v>59</v>
      </c>
      <c r="BP5" s="18" t="s">
        <v>60</v>
      </c>
      <c r="BQ5" s="18" t="s">
        <v>61</v>
      </c>
      <c r="BR5" s="18" t="s">
        <v>62</v>
      </c>
      <c r="BS5" s="18" t="s">
        <v>63</v>
      </c>
      <c r="BT5" s="18" t="s">
        <v>64</v>
      </c>
    </row>
    <row r="6" spans="1:73" s="2" customFormat="1" ht="16" customHeight="1" x14ac:dyDescent="0.15">
      <c r="A6" s="14" t="s">
        <v>65</v>
      </c>
      <c r="B6" s="21"/>
      <c r="C6" s="22"/>
      <c r="K6" s="3"/>
      <c r="M6" s="23">
        <f>(226-25)/226</f>
        <v>0.88938053097345138</v>
      </c>
      <c r="N6" s="23">
        <f>(59-5)/59</f>
        <v>0.9152542372881356</v>
      </c>
      <c r="O6" s="23">
        <f>(59-5)/59</f>
        <v>0.9152542372881356</v>
      </c>
      <c r="P6" s="23">
        <f>(58-5)/58</f>
        <v>0.91379310344827591</v>
      </c>
      <c r="Q6" s="23">
        <f>(62-5)/62</f>
        <v>0.91935483870967738</v>
      </c>
      <c r="R6" s="23">
        <f>(61-5)/61</f>
        <v>0.91803278688524592</v>
      </c>
      <c r="S6" s="23">
        <f>(60-5)/60</f>
        <v>0.91666666666666663</v>
      </c>
      <c r="T6" s="23">
        <f>(59-5)/59</f>
        <v>0.9152542372881356</v>
      </c>
      <c r="U6" s="23">
        <f>(62-5)/62</f>
        <v>0.91935483870967738</v>
      </c>
      <c r="V6" s="23">
        <f>(60-5)/60</f>
        <v>0.91666666666666663</v>
      </c>
      <c r="W6" s="21">
        <f>(246-25)/246</f>
        <v>0.89837398373983735</v>
      </c>
      <c r="X6" s="21">
        <f>(54-5)/54</f>
        <v>0.90740740740740744</v>
      </c>
      <c r="Y6" s="23">
        <f>(62-5)/62</f>
        <v>0.91935483870967738</v>
      </c>
      <c r="Z6" s="23">
        <f>(56-5)/56</f>
        <v>0.9107142857142857</v>
      </c>
      <c r="AA6" s="23">
        <f>(56-5)/56</f>
        <v>0.9107142857142857</v>
      </c>
      <c r="AB6" s="23">
        <f>(61-5)/61</f>
        <v>0.91803278688524592</v>
      </c>
      <c r="AC6" s="23">
        <f>(61-5)/61</f>
        <v>0.91803278688524592</v>
      </c>
      <c r="AD6" s="23">
        <f>(51-5)/51</f>
        <v>0.90196078431372551</v>
      </c>
      <c r="AE6" s="23">
        <f>(54-5)/54</f>
        <v>0.90740740740740744</v>
      </c>
      <c r="AF6" s="23">
        <f>(52-5)/52</f>
        <v>0.90384615384615385</v>
      </c>
      <c r="AG6" s="21">
        <f>(256-25)/256</f>
        <v>0.90234375</v>
      </c>
      <c r="AH6" s="21">
        <f>(60-5)/60</f>
        <v>0.91666666666666663</v>
      </c>
      <c r="AI6" s="21">
        <f>(64-5)/64</f>
        <v>0.921875</v>
      </c>
      <c r="AJ6" s="21">
        <f>(57-5)/57</f>
        <v>0.91228070175438591</v>
      </c>
      <c r="AK6" s="21">
        <f>(58-5)/58</f>
        <v>0.91379310344827591</v>
      </c>
      <c r="AL6" s="21">
        <f>(58-5)/58</f>
        <v>0.91379310344827591</v>
      </c>
      <c r="AM6" s="21">
        <f>(59-5)/59</f>
        <v>0.9152542372881356</v>
      </c>
      <c r="AN6" s="21">
        <f>(61-5)/61</f>
        <v>0.91803278688524592</v>
      </c>
      <c r="AO6" s="21">
        <f>(61-5)/61</f>
        <v>0.91803278688524592</v>
      </c>
      <c r="AP6" s="21">
        <f>(64-5)/64</f>
        <v>0.921875</v>
      </c>
      <c r="AQ6" s="21">
        <f>(254-25)/254</f>
        <v>0.90157480314960625</v>
      </c>
      <c r="AR6" s="21">
        <f>(52-5)/52</f>
        <v>0.90384615384615385</v>
      </c>
      <c r="AS6" s="21">
        <f>(53-5)/53</f>
        <v>0.90566037735849059</v>
      </c>
      <c r="AT6" s="21">
        <f>(53-5)/53</f>
        <v>0.90566037735849059</v>
      </c>
      <c r="AU6" s="21">
        <f>(53-5)/53</f>
        <v>0.90566037735849059</v>
      </c>
      <c r="AV6" s="21">
        <f>(55-5)/55</f>
        <v>0.90909090909090906</v>
      </c>
      <c r="AW6" s="21">
        <f>(54-5)/54</f>
        <v>0.90740740740740744</v>
      </c>
      <c r="AX6" s="21">
        <f>(60-5)/60</f>
        <v>0.91666666666666663</v>
      </c>
      <c r="AY6" s="21">
        <f>(54-5)/54</f>
        <v>0.90740740740740744</v>
      </c>
      <c r="AZ6" s="21">
        <f>(59-5)/59</f>
        <v>0.9152542372881356</v>
      </c>
      <c r="BA6" s="21">
        <f>(253-25)/253</f>
        <v>0.90118577075098816</v>
      </c>
      <c r="BB6" s="21">
        <f>(62-5)/62</f>
        <v>0.91935483870967738</v>
      </c>
      <c r="BC6" s="21">
        <f>(61-5)/61</f>
        <v>0.91803278688524592</v>
      </c>
      <c r="BD6" s="21">
        <f>(60-5)/60</f>
        <v>0.91666666666666663</v>
      </c>
      <c r="BE6" s="21">
        <f>(60-5)/60</f>
        <v>0.91666666666666663</v>
      </c>
      <c r="BF6" s="21">
        <f>(60-5)/60</f>
        <v>0.91666666666666663</v>
      </c>
      <c r="BG6" s="21">
        <f>(53-5)/53</f>
        <v>0.90566037735849059</v>
      </c>
      <c r="BH6" s="21">
        <f>(55-5)/55</f>
        <v>0.90909090909090906</v>
      </c>
      <c r="BI6" s="21">
        <f>(56-5)/56</f>
        <v>0.9107142857142857</v>
      </c>
      <c r="BJ6" s="21">
        <f>(55-5)/55</f>
        <v>0.90909090909090906</v>
      </c>
      <c r="BK6" s="21">
        <f>(239-25)/239</f>
        <v>0.89539748953974896</v>
      </c>
      <c r="BL6" s="21">
        <f>(58-5)/58</f>
        <v>0.91379310344827591</v>
      </c>
      <c r="BM6" s="21">
        <f>(56-5)/56</f>
        <v>0.9107142857142857</v>
      </c>
      <c r="BN6" s="21">
        <f>(59-5)/59</f>
        <v>0.9152542372881356</v>
      </c>
      <c r="BO6" s="21">
        <f>(60-5)/60</f>
        <v>0.91666666666666663</v>
      </c>
      <c r="BP6" s="21">
        <f>(66-5)/66</f>
        <v>0.9242424242424242</v>
      </c>
      <c r="BQ6" s="21">
        <f>(64-5)/64</f>
        <v>0.921875</v>
      </c>
      <c r="BR6" s="21">
        <f>(58-5)/58</f>
        <v>0.91379310344827591</v>
      </c>
      <c r="BS6" s="21">
        <f>(57-5)/57</f>
        <v>0.91228070175438591</v>
      </c>
      <c r="BT6" s="21">
        <f>(62-5)/62</f>
        <v>0.91935483870967738</v>
      </c>
    </row>
    <row r="7" spans="1:73" s="27" customFormat="1" ht="16" customHeight="1" x14ac:dyDescent="0.15">
      <c r="A7" s="24" t="s">
        <v>66</v>
      </c>
      <c r="B7" s="25"/>
      <c r="C7" s="26"/>
      <c r="K7" s="28"/>
      <c r="M7" s="29">
        <v>18</v>
      </c>
      <c r="N7" s="29">
        <v>25</v>
      </c>
      <c r="O7" s="29">
        <v>25</v>
      </c>
      <c r="P7" s="29">
        <v>25</v>
      </c>
      <c r="Q7" s="29">
        <v>25</v>
      </c>
      <c r="R7" s="29">
        <v>25</v>
      </c>
      <c r="S7" s="29">
        <v>25</v>
      </c>
      <c r="T7" s="29">
        <v>25</v>
      </c>
      <c r="U7" s="29">
        <v>25</v>
      </c>
      <c r="V7" s="29">
        <v>25</v>
      </c>
      <c r="W7" s="29">
        <v>16</v>
      </c>
      <c r="X7" s="29">
        <v>25</v>
      </c>
      <c r="Y7" s="29">
        <v>26</v>
      </c>
      <c r="Z7" s="29">
        <v>26</v>
      </c>
      <c r="AA7" s="29">
        <v>25</v>
      </c>
      <c r="AB7" s="29">
        <v>27</v>
      </c>
      <c r="AC7" s="29">
        <v>25</v>
      </c>
      <c r="AD7" s="29">
        <v>26</v>
      </c>
      <c r="AE7" s="29">
        <v>25</v>
      </c>
      <c r="AF7" s="29">
        <v>25</v>
      </c>
      <c r="AG7" s="29">
        <v>18</v>
      </c>
      <c r="AH7" s="29">
        <v>25</v>
      </c>
      <c r="AI7" s="29">
        <v>24</v>
      </c>
      <c r="AJ7" s="29">
        <v>25</v>
      </c>
      <c r="AK7" s="29">
        <v>25</v>
      </c>
      <c r="AL7" s="29">
        <v>25</v>
      </c>
      <c r="AM7" s="29">
        <v>25</v>
      </c>
      <c r="AN7" s="29">
        <v>25</v>
      </c>
      <c r="AO7" s="29">
        <v>25</v>
      </c>
      <c r="AP7" s="29">
        <v>27</v>
      </c>
      <c r="AQ7" s="29">
        <v>17</v>
      </c>
      <c r="AR7" s="29">
        <v>24</v>
      </c>
      <c r="AS7" s="29">
        <v>26</v>
      </c>
      <c r="AT7" s="29">
        <v>25</v>
      </c>
      <c r="AU7" s="29">
        <v>25</v>
      </c>
      <c r="AV7" s="29">
        <v>25</v>
      </c>
      <c r="AW7" s="29">
        <v>27</v>
      </c>
      <c r="AX7" s="29">
        <v>26</v>
      </c>
      <c r="AY7" s="29">
        <v>25</v>
      </c>
      <c r="AZ7" s="29">
        <v>25</v>
      </c>
      <c r="BA7" s="29">
        <v>21</v>
      </c>
      <c r="BB7" s="29">
        <v>18</v>
      </c>
      <c r="BC7" s="29">
        <v>22</v>
      </c>
      <c r="BD7" s="29">
        <v>22.5</v>
      </c>
      <c r="BE7" s="29">
        <v>22</v>
      </c>
      <c r="BF7" s="29">
        <v>25</v>
      </c>
      <c r="BG7" s="29">
        <v>25</v>
      </c>
      <c r="BH7" s="29">
        <v>25</v>
      </c>
      <c r="BI7" s="29">
        <v>25</v>
      </c>
      <c r="BJ7" s="29">
        <v>28</v>
      </c>
      <c r="BK7" s="29">
        <v>15</v>
      </c>
      <c r="BL7" s="29">
        <v>5</v>
      </c>
      <c r="BM7" s="29">
        <v>8.5</v>
      </c>
      <c r="BN7" s="29">
        <v>9</v>
      </c>
      <c r="BO7" s="29">
        <v>8</v>
      </c>
      <c r="BP7" s="29">
        <v>15</v>
      </c>
      <c r="BQ7" s="29">
        <v>15</v>
      </c>
      <c r="BR7" s="29">
        <v>20</v>
      </c>
      <c r="BS7" s="29">
        <v>17</v>
      </c>
      <c r="BT7" s="29">
        <v>20</v>
      </c>
    </row>
    <row r="8" spans="1:73" s="33" customFormat="1" ht="16" customHeight="1" thickBot="1" x14ac:dyDescent="0.2">
      <c r="A8" s="30" t="s">
        <v>67</v>
      </c>
      <c r="B8" s="31"/>
      <c r="C8" s="32"/>
      <c r="K8" s="31"/>
      <c r="M8" s="34">
        <v>44340</v>
      </c>
      <c r="N8" s="34">
        <v>44511</v>
      </c>
      <c r="O8" s="34">
        <v>44512</v>
      </c>
      <c r="P8" s="34">
        <v>44514</v>
      </c>
      <c r="Q8" s="34">
        <v>44515</v>
      </c>
      <c r="R8" s="34">
        <v>44516</v>
      </c>
      <c r="S8" s="34">
        <v>44517</v>
      </c>
      <c r="T8" s="34">
        <v>44518</v>
      </c>
      <c r="U8" s="34">
        <v>44519</v>
      </c>
      <c r="V8" s="34">
        <v>44521</v>
      </c>
      <c r="W8" s="34">
        <v>44337</v>
      </c>
      <c r="X8" s="34">
        <v>44496</v>
      </c>
      <c r="Y8" s="34">
        <v>44497</v>
      </c>
      <c r="Z8" s="34">
        <v>44498</v>
      </c>
      <c r="AA8" s="34">
        <v>44502</v>
      </c>
      <c r="AB8" s="34">
        <v>44503</v>
      </c>
      <c r="AC8" s="34">
        <v>44504</v>
      </c>
      <c r="AD8" s="34">
        <v>44505</v>
      </c>
      <c r="AE8" s="34">
        <v>44509</v>
      </c>
      <c r="AF8" s="34">
        <v>44510</v>
      </c>
      <c r="AG8" s="34">
        <v>44335</v>
      </c>
      <c r="AH8" s="34">
        <v>44481</v>
      </c>
      <c r="AI8" s="34">
        <v>44482</v>
      </c>
      <c r="AJ8" s="34">
        <v>44483</v>
      </c>
      <c r="AK8" s="34">
        <v>44484</v>
      </c>
      <c r="AL8" s="34">
        <v>44488</v>
      </c>
      <c r="AM8" s="34">
        <v>44489</v>
      </c>
      <c r="AN8" s="34">
        <v>44490</v>
      </c>
      <c r="AO8" s="34">
        <v>44491</v>
      </c>
      <c r="AP8" s="34">
        <v>44495</v>
      </c>
      <c r="AQ8" s="34">
        <v>44328</v>
      </c>
      <c r="AR8" s="34">
        <v>44461</v>
      </c>
      <c r="AS8" s="34">
        <v>44462</v>
      </c>
      <c r="AT8" s="34">
        <v>44463</v>
      </c>
      <c r="AU8" s="34">
        <v>44467</v>
      </c>
      <c r="AV8" s="34">
        <v>44468</v>
      </c>
      <c r="AW8" s="34">
        <v>44469</v>
      </c>
      <c r="AX8" s="34">
        <v>44470</v>
      </c>
      <c r="AY8" s="34">
        <v>44474</v>
      </c>
      <c r="AZ8" s="34">
        <v>44475</v>
      </c>
      <c r="BA8" s="34">
        <v>44307</v>
      </c>
      <c r="BB8" s="34">
        <v>44441</v>
      </c>
      <c r="BC8" s="34">
        <v>44446</v>
      </c>
      <c r="BD8" s="34">
        <v>44447</v>
      </c>
      <c r="BE8" s="34">
        <v>44449</v>
      </c>
      <c r="BF8" s="34">
        <v>44452</v>
      </c>
      <c r="BG8" s="34">
        <v>44454</v>
      </c>
      <c r="BH8" s="34">
        <v>44455</v>
      </c>
      <c r="BI8" s="34">
        <v>44456</v>
      </c>
      <c r="BJ8" s="34">
        <v>44459</v>
      </c>
      <c r="BK8" s="35">
        <v>44327</v>
      </c>
      <c r="BL8" s="35">
        <v>44413</v>
      </c>
      <c r="BM8" s="35">
        <v>44415</v>
      </c>
      <c r="BN8" s="35">
        <v>44417</v>
      </c>
      <c r="BO8" s="35">
        <v>44419</v>
      </c>
      <c r="BP8" s="35">
        <v>44420</v>
      </c>
      <c r="BQ8" s="35">
        <v>44424</v>
      </c>
      <c r="BR8" s="35">
        <v>44432</v>
      </c>
      <c r="BS8" s="35">
        <v>44434</v>
      </c>
      <c r="BT8" s="35">
        <v>44438</v>
      </c>
    </row>
    <row r="9" spans="1:73" ht="14" x14ac:dyDescent="0.15">
      <c r="A9" s="36" t="s">
        <v>68</v>
      </c>
      <c r="B9" s="36" t="s">
        <v>69</v>
      </c>
      <c r="C9" s="36" t="s">
        <v>70</v>
      </c>
      <c r="D9" s="36" t="s">
        <v>71</v>
      </c>
      <c r="E9" s="36" t="s">
        <v>72</v>
      </c>
      <c r="F9" s="36" t="s">
        <v>73</v>
      </c>
      <c r="G9" s="37" t="s">
        <v>74</v>
      </c>
      <c r="H9" s="37"/>
      <c r="I9" s="36" t="s">
        <v>75</v>
      </c>
      <c r="J9" s="36"/>
      <c r="K9" s="36"/>
      <c r="L9" s="38"/>
      <c r="M9" s="39" t="s">
        <v>5</v>
      </c>
      <c r="N9" s="19" t="s">
        <v>6</v>
      </c>
      <c r="O9" s="19" t="s">
        <v>7</v>
      </c>
      <c r="P9" s="19" t="s">
        <v>8</v>
      </c>
      <c r="Q9" s="19" t="s">
        <v>9</v>
      </c>
      <c r="R9" s="19" t="s">
        <v>10</v>
      </c>
      <c r="S9" s="19" t="s">
        <v>11</v>
      </c>
      <c r="T9" s="19" t="s">
        <v>12</v>
      </c>
      <c r="U9" s="19" t="s">
        <v>13</v>
      </c>
      <c r="V9" s="19" t="s">
        <v>14</v>
      </c>
      <c r="W9" s="19" t="s">
        <v>15</v>
      </c>
      <c r="X9" s="19" t="s">
        <v>16</v>
      </c>
      <c r="Y9" s="19" t="s">
        <v>17</v>
      </c>
      <c r="Z9" s="19" t="s">
        <v>18</v>
      </c>
      <c r="AA9" s="19" t="s">
        <v>19</v>
      </c>
      <c r="AB9" s="19" t="s">
        <v>20</v>
      </c>
      <c r="AC9" s="19" t="s">
        <v>21</v>
      </c>
      <c r="AD9" s="19" t="s">
        <v>22</v>
      </c>
      <c r="AE9" s="19" t="s">
        <v>23</v>
      </c>
      <c r="AF9" s="19" t="s">
        <v>24</v>
      </c>
      <c r="AG9" s="19" t="s">
        <v>25</v>
      </c>
      <c r="AH9" s="19" t="s">
        <v>26</v>
      </c>
      <c r="AI9" s="19" t="s">
        <v>27</v>
      </c>
      <c r="AJ9" s="19" t="s">
        <v>28</v>
      </c>
      <c r="AK9" s="19" t="s">
        <v>29</v>
      </c>
      <c r="AL9" s="19" t="s">
        <v>30</v>
      </c>
      <c r="AM9" s="19" t="s">
        <v>31</v>
      </c>
      <c r="AN9" s="19" t="s">
        <v>32</v>
      </c>
      <c r="AO9" s="19" t="s">
        <v>33</v>
      </c>
      <c r="AP9" s="19" t="s">
        <v>34</v>
      </c>
      <c r="AQ9" s="19" t="s">
        <v>35</v>
      </c>
      <c r="AR9" s="19" t="s">
        <v>36</v>
      </c>
      <c r="AS9" s="19" t="s">
        <v>37</v>
      </c>
      <c r="AT9" s="19" t="s">
        <v>38</v>
      </c>
      <c r="AU9" s="19" t="s">
        <v>39</v>
      </c>
      <c r="AV9" s="19" t="s">
        <v>40</v>
      </c>
      <c r="AW9" s="19" t="s">
        <v>41</v>
      </c>
      <c r="AX9" s="19" t="s">
        <v>42</v>
      </c>
      <c r="AY9" s="19" t="s">
        <v>43</v>
      </c>
      <c r="AZ9" s="19" t="s">
        <v>44</v>
      </c>
      <c r="BA9" s="19" t="s">
        <v>45</v>
      </c>
      <c r="BB9" s="19" t="s">
        <v>46</v>
      </c>
      <c r="BC9" s="19" t="s">
        <v>47</v>
      </c>
      <c r="BD9" s="19" t="s">
        <v>48</v>
      </c>
      <c r="BE9" s="19" t="s">
        <v>49</v>
      </c>
      <c r="BF9" s="19" t="s">
        <v>50</v>
      </c>
      <c r="BG9" s="19" t="s">
        <v>51</v>
      </c>
      <c r="BH9" s="19" t="s">
        <v>52</v>
      </c>
      <c r="BI9" s="19" t="s">
        <v>53</v>
      </c>
      <c r="BJ9" s="19" t="s">
        <v>54</v>
      </c>
      <c r="BK9" s="19" t="s">
        <v>55</v>
      </c>
      <c r="BL9" s="19" t="s">
        <v>56</v>
      </c>
      <c r="BM9" s="19" t="s">
        <v>57</v>
      </c>
      <c r="BN9" s="19" t="s">
        <v>58</v>
      </c>
      <c r="BO9" s="19" t="s">
        <v>59</v>
      </c>
      <c r="BP9" s="19" t="s">
        <v>60</v>
      </c>
      <c r="BQ9" s="19" t="s">
        <v>61</v>
      </c>
      <c r="BR9" s="19" t="s">
        <v>62</v>
      </c>
      <c r="BS9" s="19" t="s">
        <v>63</v>
      </c>
      <c r="BT9" s="19" t="s">
        <v>64</v>
      </c>
      <c r="BU9" s="40"/>
    </row>
    <row r="10" spans="1:73" ht="13" customHeight="1" x14ac:dyDescent="0.15">
      <c r="A10" s="36"/>
      <c r="B10" s="36"/>
      <c r="C10" s="36"/>
      <c r="D10" s="36"/>
      <c r="E10" s="36"/>
      <c r="F10" s="36"/>
      <c r="G10" s="41" t="s">
        <v>76</v>
      </c>
      <c r="H10" s="41"/>
      <c r="I10" s="36"/>
      <c r="J10" s="42" t="s">
        <v>77</v>
      </c>
      <c r="K10" s="42"/>
      <c r="L10" s="43" t="s">
        <v>78</v>
      </c>
      <c r="M10" s="44"/>
      <c r="N10" s="45"/>
      <c r="O10" s="45"/>
      <c r="P10" s="45"/>
      <c r="Q10" s="45"/>
      <c r="R10" s="45"/>
      <c r="S10" s="45"/>
      <c r="T10" s="45"/>
      <c r="U10" s="45"/>
      <c r="V10" s="45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0"/>
    </row>
    <row r="11" spans="1:73" ht="14" x14ac:dyDescent="0.15">
      <c r="A11" s="47"/>
      <c r="B11" s="47"/>
      <c r="C11" s="47"/>
      <c r="D11" s="47"/>
      <c r="E11" s="47"/>
      <c r="F11" s="47"/>
      <c r="G11" s="37" t="s">
        <v>79</v>
      </c>
      <c r="H11" s="37" t="s">
        <v>80</v>
      </c>
      <c r="I11" s="47"/>
      <c r="J11" s="36" t="s">
        <v>79</v>
      </c>
      <c r="K11" s="36" t="s">
        <v>80</v>
      </c>
      <c r="L11" s="48"/>
      <c r="M11" s="49"/>
      <c r="N11" s="36"/>
      <c r="O11" s="36"/>
      <c r="P11" s="36"/>
      <c r="Q11" s="36"/>
      <c r="R11" s="36"/>
      <c r="S11" s="36"/>
      <c r="T11" s="36"/>
      <c r="U11" s="36"/>
      <c r="V11" s="3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U11" s="50"/>
    </row>
    <row r="12" spans="1:73" ht="15" x14ac:dyDescent="0.15">
      <c r="A12" s="51" t="s">
        <v>81</v>
      </c>
      <c r="B12" s="52" t="s">
        <v>82</v>
      </c>
      <c r="C12" s="52" t="s">
        <v>83</v>
      </c>
      <c r="D12" s="52" t="s">
        <v>84</v>
      </c>
      <c r="E12" s="52" t="s">
        <v>85</v>
      </c>
      <c r="F12" s="52"/>
      <c r="G12" s="53">
        <v>0.3</v>
      </c>
      <c r="H12" s="53">
        <v>0.3</v>
      </c>
      <c r="I12" s="52" t="s">
        <v>86</v>
      </c>
      <c r="J12" s="54">
        <f t="shared" ref="J12:K42" si="0">G12*80</f>
        <v>24</v>
      </c>
      <c r="K12" s="54">
        <f t="shared" si="0"/>
        <v>24</v>
      </c>
      <c r="L12" s="55"/>
      <c r="M12" s="56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E12" s="57">
        <v>5</v>
      </c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>
        <v>50</v>
      </c>
      <c r="BL12" s="57">
        <v>5</v>
      </c>
      <c r="BM12" s="57">
        <v>5</v>
      </c>
      <c r="BN12" s="57"/>
      <c r="BO12" s="57"/>
      <c r="BP12" s="46">
        <v>45</v>
      </c>
      <c r="BQ12" s="46">
        <v>5</v>
      </c>
      <c r="BR12" s="46">
        <v>40</v>
      </c>
      <c r="BS12" s="46">
        <v>20</v>
      </c>
      <c r="BT12" s="46">
        <v>20</v>
      </c>
      <c r="BU12" s="58">
        <f>SUM(M12:BT12)</f>
        <v>195</v>
      </c>
    </row>
    <row r="13" spans="1:73" ht="15" x14ac:dyDescent="0.15">
      <c r="A13" s="51" t="s">
        <v>87</v>
      </c>
      <c r="B13" s="52" t="s">
        <v>82</v>
      </c>
      <c r="C13" s="52" t="s">
        <v>88</v>
      </c>
      <c r="D13" s="52" t="s">
        <v>89</v>
      </c>
      <c r="E13" s="52" t="s">
        <v>90</v>
      </c>
      <c r="F13" s="52"/>
      <c r="G13" s="53">
        <v>0.2</v>
      </c>
      <c r="H13" s="59">
        <v>0.2</v>
      </c>
      <c r="I13" s="52" t="s">
        <v>91</v>
      </c>
      <c r="J13" s="54">
        <f t="shared" si="0"/>
        <v>16</v>
      </c>
      <c r="K13" s="54">
        <f t="shared" si="0"/>
        <v>16</v>
      </c>
      <c r="L13" s="55"/>
      <c r="M13" s="56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>
        <v>1</v>
      </c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>
        <f>12+6</f>
        <v>18</v>
      </c>
      <c r="BL13" s="57"/>
      <c r="BM13" s="57"/>
      <c r="BN13" s="57"/>
      <c r="BO13" s="57"/>
      <c r="BP13" s="57"/>
      <c r="BQ13" s="57"/>
      <c r="BR13" s="57">
        <v>4</v>
      </c>
      <c r="BS13" s="57">
        <v>4</v>
      </c>
      <c r="BT13" s="57">
        <f>3+2</f>
        <v>5</v>
      </c>
      <c r="BU13" s="58">
        <f t="shared" ref="BU13:BU76" si="1">SUM(M13:BT13)</f>
        <v>32</v>
      </c>
    </row>
    <row r="14" spans="1:73" ht="15" x14ac:dyDescent="0.15">
      <c r="A14" s="51" t="s">
        <v>92</v>
      </c>
      <c r="B14" s="52" t="s">
        <v>82</v>
      </c>
      <c r="C14" s="52" t="s">
        <v>88</v>
      </c>
      <c r="D14" s="52" t="s">
        <v>93</v>
      </c>
      <c r="E14" s="52" t="s">
        <v>90</v>
      </c>
      <c r="F14" s="52"/>
      <c r="G14" s="53">
        <v>0.3</v>
      </c>
      <c r="H14" s="59">
        <v>0.3</v>
      </c>
      <c r="I14" s="52" t="s">
        <v>91</v>
      </c>
      <c r="J14" s="54">
        <f t="shared" si="0"/>
        <v>24</v>
      </c>
      <c r="K14" s="54">
        <f t="shared" si="0"/>
        <v>24</v>
      </c>
      <c r="L14" s="55"/>
      <c r="M14" s="56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>
        <v>2</v>
      </c>
      <c r="BG14" s="57"/>
      <c r="BH14" s="57"/>
      <c r="BI14" s="57"/>
      <c r="BJ14" s="57"/>
      <c r="BK14" s="57">
        <f>2+4</f>
        <v>6</v>
      </c>
      <c r="BL14" s="57"/>
      <c r="BM14" s="57"/>
      <c r="BN14" s="57"/>
      <c r="BO14" s="57"/>
      <c r="BP14" s="57">
        <v>3</v>
      </c>
      <c r="BQ14" s="57"/>
      <c r="BR14" s="57">
        <v>4</v>
      </c>
      <c r="BS14" s="57"/>
      <c r="BT14" s="57"/>
      <c r="BU14" s="58">
        <f t="shared" si="1"/>
        <v>15</v>
      </c>
    </row>
    <row r="15" spans="1:73" ht="15" x14ac:dyDescent="0.15">
      <c r="A15" s="51" t="s">
        <v>94</v>
      </c>
      <c r="B15" s="52" t="s">
        <v>82</v>
      </c>
      <c r="C15" s="52" t="s">
        <v>88</v>
      </c>
      <c r="D15" s="52" t="s">
        <v>95</v>
      </c>
      <c r="E15" s="52" t="s">
        <v>90</v>
      </c>
      <c r="F15" s="52"/>
      <c r="G15" s="53">
        <v>0.4</v>
      </c>
      <c r="H15" s="59">
        <v>0.4</v>
      </c>
      <c r="I15" s="52" t="s">
        <v>91</v>
      </c>
      <c r="J15" s="54">
        <f t="shared" si="0"/>
        <v>32</v>
      </c>
      <c r="K15" s="54">
        <f t="shared" si="0"/>
        <v>32</v>
      </c>
      <c r="L15" s="55"/>
      <c r="M15" s="56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>
        <v>1</v>
      </c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>
        <v>1</v>
      </c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>
        <v>13</v>
      </c>
      <c r="BQ15" s="57"/>
      <c r="BR15" s="57">
        <v>2</v>
      </c>
      <c r="BS15" s="57"/>
      <c r="BT15" s="57"/>
      <c r="BU15" s="58">
        <f t="shared" si="1"/>
        <v>17</v>
      </c>
    </row>
    <row r="16" spans="1:73" ht="15" x14ac:dyDescent="0.15">
      <c r="A16" s="51" t="s">
        <v>96</v>
      </c>
      <c r="B16" s="52" t="s">
        <v>82</v>
      </c>
      <c r="C16" s="52" t="s">
        <v>88</v>
      </c>
      <c r="D16" s="52" t="s">
        <v>97</v>
      </c>
      <c r="E16" s="52" t="s">
        <v>90</v>
      </c>
      <c r="F16" s="52"/>
      <c r="G16" s="53">
        <v>0.4</v>
      </c>
      <c r="H16" s="59">
        <v>1.3</v>
      </c>
      <c r="I16" s="52" t="s">
        <v>91</v>
      </c>
      <c r="J16" s="54">
        <f t="shared" si="0"/>
        <v>32</v>
      </c>
      <c r="K16" s="54">
        <f t="shared" si="0"/>
        <v>104</v>
      </c>
      <c r="L16" s="55"/>
      <c r="M16" s="56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>
        <v>1</v>
      </c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7">
        <v>2</v>
      </c>
      <c r="BU16" s="58">
        <f t="shared" si="1"/>
        <v>3</v>
      </c>
    </row>
    <row r="17" spans="1:73" ht="15" x14ac:dyDescent="0.15">
      <c r="A17" s="51" t="s">
        <v>98</v>
      </c>
      <c r="B17" s="52" t="s">
        <v>82</v>
      </c>
      <c r="C17" s="52" t="s">
        <v>88</v>
      </c>
      <c r="D17" s="52" t="s">
        <v>99</v>
      </c>
      <c r="E17" s="52" t="s">
        <v>90</v>
      </c>
      <c r="F17" s="52"/>
      <c r="G17" s="53">
        <v>0.5</v>
      </c>
      <c r="H17" s="59">
        <v>0.5</v>
      </c>
      <c r="I17" s="52" t="s">
        <v>91</v>
      </c>
      <c r="J17" s="54">
        <f t="shared" si="0"/>
        <v>40</v>
      </c>
      <c r="K17" s="54">
        <f t="shared" si="0"/>
        <v>40</v>
      </c>
      <c r="L17" s="55"/>
      <c r="M17" s="56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>
        <v>1</v>
      </c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>
        <v>1</v>
      </c>
      <c r="BT17" s="57"/>
      <c r="BU17" s="58">
        <f t="shared" si="1"/>
        <v>2</v>
      </c>
    </row>
    <row r="18" spans="1:73" ht="15" x14ac:dyDescent="0.15">
      <c r="A18" s="51" t="s">
        <v>100</v>
      </c>
      <c r="B18" s="52" t="s">
        <v>82</v>
      </c>
      <c r="C18" s="52" t="s">
        <v>88</v>
      </c>
      <c r="D18" s="52" t="s">
        <v>101</v>
      </c>
      <c r="E18" s="52" t="s">
        <v>90</v>
      </c>
      <c r="F18" s="52"/>
      <c r="G18" s="53">
        <v>0.8</v>
      </c>
      <c r="H18" s="59">
        <v>0.8</v>
      </c>
      <c r="I18" s="52" t="s">
        <v>91</v>
      </c>
      <c r="J18" s="54">
        <f t="shared" si="0"/>
        <v>64</v>
      </c>
      <c r="K18" s="54">
        <f t="shared" si="0"/>
        <v>64</v>
      </c>
      <c r="L18" s="55"/>
      <c r="M18" s="56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>
        <v>1</v>
      </c>
      <c r="BS18" s="57"/>
      <c r="BT18" s="57"/>
      <c r="BU18" s="58">
        <f t="shared" si="1"/>
        <v>1</v>
      </c>
    </row>
    <row r="19" spans="1:73" ht="15" x14ac:dyDescent="0.15">
      <c r="A19" s="51" t="s">
        <v>102</v>
      </c>
      <c r="B19" s="52" t="s">
        <v>82</v>
      </c>
      <c r="C19" s="52" t="s">
        <v>103</v>
      </c>
      <c r="D19" s="52" t="s">
        <v>104</v>
      </c>
      <c r="E19" s="52" t="s">
        <v>90</v>
      </c>
      <c r="F19" s="52"/>
      <c r="G19" s="53">
        <v>0.2</v>
      </c>
      <c r="H19" s="59">
        <v>0.2</v>
      </c>
      <c r="I19" s="52" t="s">
        <v>91</v>
      </c>
      <c r="J19" s="54">
        <f t="shared" si="0"/>
        <v>16</v>
      </c>
      <c r="K19" s="54">
        <f t="shared" si="0"/>
        <v>16</v>
      </c>
      <c r="L19" s="55"/>
      <c r="M19" s="56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>
        <v>1</v>
      </c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>
        <f>1+7+2+27</f>
        <v>37</v>
      </c>
      <c r="BL19" s="57"/>
      <c r="BM19" s="57"/>
      <c r="BN19" s="57"/>
      <c r="BO19" s="57"/>
      <c r="BP19" s="57"/>
      <c r="BQ19" s="57"/>
      <c r="BR19" s="57"/>
      <c r="BS19" s="57"/>
      <c r="BT19" s="57"/>
      <c r="BU19" s="58">
        <f t="shared" si="1"/>
        <v>38</v>
      </c>
    </row>
    <row r="20" spans="1:73" ht="15" x14ac:dyDescent="0.15">
      <c r="A20" s="51" t="s">
        <v>105</v>
      </c>
      <c r="B20" s="52" t="s">
        <v>82</v>
      </c>
      <c r="C20" s="52" t="s">
        <v>106</v>
      </c>
      <c r="D20" s="52" t="s">
        <v>107</v>
      </c>
      <c r="E20" s="52" t="s">
        <v>108</v>
      </c>
      <c r="F20" s="52"/>
      <c r="G20" s="53">
        <v>0.2</v>
      </c>
      <c r="H20" s="59">
        <v>0.2</v>
      </c>
      <c r="I20" s="52" t="s">
        <v>109</v>
      </c>
      <c r="J20" s="54">
        <f t="shared" si="0"/>
        <v>16</v>
      </c>
      <c r="K20" s="54">
        <f t="shared" si="0"/>
        <v>16</v>
      </c>
      <c r="L20" s="55">
        <v>16</v>
      </c>
      <c r="M20" s="56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>
        <v>1</v>
      </c>
      <c r="BL20" s="57">
        <v>6</v>
      </c>
      <c r="BM20" s="57"/>
      <c r="BN20" s="57"/>
      <c r="BO20" s="57"/>
      <c r="BP20" s="57">
        <v>1</v>
      </c>
      <c r="BQ20" s="57"/>
      <c r="BR20" s="57"/>
      <c r="BS20" s="57"/>
      <c r="BT20" s="57"/>
      <c r="BU20" s="58">
        <f t="shared" si="1"/>
        <v>8</v>
      </c>
    </row>
    <row r="21" spans="1:73" ht="15" x14ac:dyDescent="0.15">
      <c r="A21" s="51" t="s">
        <v>110</v>
      </c>
      <c r="B21" s="52" t="s">
        <v>82</v>
      </c>
      <c r="C21" s="52" t="s">
        <v>106</v>
      </c>
      <c r="D21" s="52" t="s">
        <v>111</v>
      </c>
      <c r="E21" s="52" t="s">
        <v>108</v>
      </c>
      <c r="F21" s="52"/>
      <c r="G21" s="53">
        <v>0.5</v>
      </c>
      <c r="H21" s="59">
        <v>0.5</v>
      </c>
      <c r="I21" s="52" t="s">
        <v>109</v>
      </c>
      <c r="J21" s="54">
        <f t="shared" si="0"/>
        <v>40</v>
      </c>
      <c r="K21" s="54">
        <f t="shared" si="0"/>
        <v>40</v>
      </c>
      <c r="L21" s="55">
        <v>40</v>
      </c>
      <c r="M21" s="56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>
        <v>1</v>
      </c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>
        <v>3</v>
      </c>
      <c r="BT21" s="57"/>
      <c r="BU21" s="58">
        <f t="shared" si="1"/>
        <v>4</v>
      </c>
    </row>
    <row r="22" spans="1:73" ht="15" x14ac:dyDescent="0.15">
      <c r="A22" s="51" t="s">
        <v>112</v>
      </c>
      <c r="B22" s="52" t="s">
        <v>82</v>
      </c>
      <c r="C22" s="52" t="s">
        <v>113</v>
      </c>
      <c r="D22" s="52" t="s">
        <v>114</v>
      </c>
      <c r="E22" s="52" t="s">
        <v>115</v>
      </c>
      <c r="F22" s="52"/>
      <c r="G22" s="53">
        <v>0.15</v>
      </c>
      <c r="H22" s="59">
        <v>0.2</v>
      </c>
      <c r="I22" s="52" t="s">
        <v>116</v>
      </c>
      <c r="J22" s="54">
        <f t="shared" si="0"/>
        <v>12</v>
      </c>
      <c r="K22" s="54">
        <f t="shared" si="0"/>
        <v>16</v>
      </c>
      <c r="L22" s="55"/>
      <c r="M22" s="56"/>
      <c r="N22" s="57"/>
      <c r="O22" s="57"/>
      <c r="P22" s="57"/>
      <c r="Q22" s="57"/>
      <c r="R22" s="57">
        <v>1</v>
      </c>
      <c r="S22" s="57"/>
      <c r="T22" s="57"/>
      <c r="U22" s="57"/>
      <c r="V22" s="57"/>
      <c r="W22" s="57">
        <v>1</v>
      </c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>
        <v>1</v>
      </c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>
        <v>11</v>
      </c>
      <c r="BL22" s="57"/>
      <c r="BM22" s="57"/>
      <c r="BN22" s="57"/>
      <c r="BO22" s="57"/>
      <c r="BP22" s="57">
        <v>3</v>
      </c>
      <c r="BQ22" s="57"/>
      <c r="BR22" s="57"/>
      <c r="BS22" s="57"/>
      <c r="BT22" s="57"/>
      <c r="BU22" s="58">
        <f t="shared" si="1"/>
        <v>17</v>
      </c>
    </row>
    <row r="23" spans="1:73" ht="15" x14ac:dyDescent="0.15">
      <c r="A23" s="51" t="s">
        <v>117</v>
      </c>
      <c r="B23" s="52" t="s">
        <v>82</v>
      </c>
      <c r="C23" s="52" t="s">
        <v>113</v>
      </c>
      <c r="D23" s="52" t="s">
        <v>118</v>
      </c>
      <c r="E23" s="52" t="s">
        <v>115</v>
      </c>
      <c r="F23" s="52"/>
      <c r="G23" s="53">
        <v>0.2</v>
      </c>
      <c r="H23" s="59">
        <v>0.3</v>
      </c>
      <c r="I23" s="52" t="s">
        <v>116</v>
      </c>
      <c r="J23" s="54">
        <f t="shared" si="0"/>
        <v>16</v>
      </c>
      <c r="K23" s="54">
        <f t="shared" si="0"/>
        <v>24</v>
      </c>
      <c r="L23" s="55"/>
      <c r="M23" s="56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>
        <v>3</v>
      </c>
      <c r="AH23" s="57"/>
      <c r="AI23" s="57"/>
      <c r="AJ23" s="57"/>
      <c r="AK23" s="57"/>
      <c r="AL23" s="57"/>
      <c r="AM23" s="57">
        <v>1</v>
      </c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>
        <v>2</v>
      </c>
      <c r="BO23" s="57"/>
      <c r="BP23" s="57"/>
      <c r="BQ23" s="57"/>
      <c r="BR23" s="57">
        <f>1+2</f>
        <v>3</v>
      </c>
      <c r="BS23" s="57"/>
      <c r="BT23" s="57"/>
      <c r="BU23" s="58">
        <f t="shared" si="1"/>
        <v>9</v>
      </c>
    </row>
    <row r="24" spans="1:73" ht="15" x14ac:dyDescent="0.15">
      <c r="A24" s="51" t="s">
        <v>119</v>
      </c>
      <c r="B24" s="52" t="s">
        <v>82</v>
      </c>
      <c r="C24" s="52" t="s">
        <v>113</v>
      </c>
      <c r="D24" s="52" t="s">
        <v>120</v>
      </c>
      <c r="E24" s="52" t="s">
        <v>115</v>
      </c>
      <c r="F24" s="52"/>
      <c r="G24" s="53">
        <v>0.2</v>
      </c>
      <c r="H24" s="59">
        <v>0.4</v>
      </c>
      <c r="I24" s="52" t="s">
        <v>116</v>
      </c>
      <c r="J24" s="54">
        <f t="shared" si="0"/>
        <v>16</v>
      </c>
      <c r="K24" s="54">
        <f t="shared" si="0"/>
        <v>32</v>
      </c>
      <c r="L24" s="55"/>
      <c r="M24" s="56"/>
      <c r="N24" s="57">
        <v>1</v>
      </c>
      <c r="O24" s="57"/>
      <c r="P24" s="57"/>
      <c r="Q24" s="57"/>
      <c r="R24" s="57"/>
      <c r="S24" s="57"/>
      <c r="T24" s="57">
        <v>1</v>
      </c>
      <c r="U24" s="57">
        <v>1</v>
      </c>
      <c r="V24" s="57"/>
      <c r="W24" s="57"/>
      <c r="X24" s="57">
        <v>1</v>
      </c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>
        <v>1</v>
      </c>
      <c r="BO24" s="57"/>
      <c r="BP24" s="57"/>
      <c r="BQ24" s="57"/>
      <c r="BR24" s="57"/>
      <c r="BS24" s="57"/>
      <c r="BT24" s="57">
        <v>4</v>
      </c>
      <c r="BU24" s="58">
        <f t="shared" si="1"/>
        <v>9</v>
      </c>
    </row>
    <row r="25" spans="1:73" ht="15" x14ac:dyDescent="0.15">
      <c r="A25" s="60" t="s">
        <v>121</v>
      </c>
      <c r="B25" s="61" t="s">
        <v>122</v>
      </c>
      <c r="C25" s="61" t="s">
        <v>123</v>
      </c>
      <c r="D25" s="61" t="s">
        <v>124</v>
      </c>
      <c r="E25" s="61" t="s">
        <v>123</v>
      </c>
      <c r="F25" s="61"/>
      <c r="G25" s="62">
        <v>0.15</v>
      </c>
      <c r="H25" s="63">
        <v>0.25</v>
      </c>
      <c r="I25" s="61" t="s">
        <v>123</v>
      </c>
      <c r="J25" s="64">
        <f t="shared" si="0"/>
        <v>12</v>
      </c>
      <c r="K25" s="64">
        <f t="shared" si="0"/>
        <v>20</v>
      </c>
      <c r="L25" s="55"/>
      <c r="M25" s="56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>
        <v>11</v>
      </c>
      <c r="BN25" s="57"/>
      <c r="BO25" s="57"/>
      <c r="BP25" s="57"/>
      <c r="BQ25" s="57"/>
      <c r="BR25" s="57"/>
      <c r="BS25" s="57"/>
      <c r="BT25" s="57"/>
      <c r="BU25" s="58">
        <f t="shared" si="1"/>
        <v>11</v>
      </c>
    </row>
    <row r="26" spans="1:73" ht="15" x14ac:dyDescent="0.15">
      <c r="A26" s="60" t="s">
        <v>125</v>
      </c>
      <c r="B26" s="61" t="s">
        <v>122</v>
      </c>
      <c r="C26" s="61" t="s">
        <v>123</v>
      </c>
      <c r="D26" s="61" t="s">
        <v>126</v>
      </c>
      <c r="E26" s="61" t="s">
        <v>123</v>
      </c>
      <c r="F26" s="61"/>
      <c r="G26" s="62">
        <v>0.2</v>
      </c>
      <c r="H26" s="63">
        <v>0.3</v>
      </c>
      <c r="I26" s="61" t="s">
        <v>123</v>
      </c>
      <c r="J26" s="64">
        <f t="shared" si="0"/>
        <v>16</v>
      </c>
      <c r="K26" s="64">
        <f t="shared" si="0"/>
        <v>24</v>
      </c>
      <c r="L26" s="55"/>
      <c r="M26" s="56">
        <v>20</v>
      </c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>
        <v>1</v>
      </c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>
        <v>13</v>
      </c>
      <c r="BM26" s="57"/>
      <c r="BN26" s="57"/>
      <c r="BO26" s="57">
        <v>4</v>
      </c>
      <c r="BP26" s="57">
        <v>29</v>
      </c>
      <c r="BQ26" s="57">
        <v>19</v>
      </c>
      <c r="BR26" s="57"/>
      <c r="BS26" s="57"/>
      <c r="BT26" s="57"/>
      <c r="BU26" s="58">
        <f t="shared" si="1"/>
        <v>86</v>
      </c>
    </row>
    <row r="27" spans="1:73" ht="15" x14ac:dyDescent="0.15">
      <c r="A27" s="60" t="s">
        <v>127</v>
      </c>
      <c r="B27" s="61" t="s">
        <v>122</v>
      </c>
      <c r="C27" s="61" t="s">
        <v>123</v>
      </c>
      <c r="D27" s="61" t="s">
        <v>128</v>
      </c>
      <c r="E27" s="61" t="s">
        <v>123</v>
      </c>
      <c r="F27" s="61"/>
      <c r="G27" s="62">
        <v>0.3</v>
      </c>
      <c r="H27" s="63">
        <v>0.3</v>
      </c>
      <c r="I27" s="61" t="s">
        <v>123</v>
      </c>
      <c r="J27" s="64">
        <f t="shared" si="0"/>
        <v>24</v>
      </c>
      <c r="K27" s="64">
        <f t="shared" si="0"/>
        <v>24</v>
      </c>
      <c r="L27" s="55"/>
      <c r="M27" s="56"/>
      <c r="N27" s="57"/>
      <c r="O27" s="57"/>
      <c r="P27" s="57"/>
      <c r="Q27" s="57"/>
      <c r="R27" s="57">
        <v>151</v>
      </c>
      <c r="S27" s="57">
        <v>47</v>
      </c>
      <c r="T27" s="57">
        <v>38</v>
      </c>
      <c r="U27" s="57">
        <v>59</v>
      </c>
      <c r="V27" s="57">
        <v>36</v>
      </c>
      <c r="W27" s="57"/>
      <c r="X27" s="57">
        <v>129</v>
      </c>
      <c r="Y27" s="57"/>
      <c r="Z27" s="57">
        <v>169</v>
      </c>
      <c r="AA27" s="57">
        <v>71</v>
      </c>
      <c r="AB27" s="57">
        <v>131</v>
      </c>
      <c r="AC27" s="57">
        <v>34</v>
      </c>
      <c r="AD27" s="57">
        <v>30</v>
      </c>
      <c r="AE27" s="57">
        <v>29</v>
      </c>
      <c r="AF27" s="57">
        <v>26</v>
      </c>
      <c r="AG27" s="57"/>
      <c r="AH27" s="57">
        <v>207</v>
      </c>
      <c r="AI27" s="57">
        <v>17</v>
      </c>
      <c r="AJ27" s="57">
        <v>156</v>
      </c>
      <c r="AK27" s="65">
        <v>20</v>
      </c>
      <c r="AL27" s="57">
        <v>212</v>
      </c>
      <c r="AM27" s="57">
        <v>65</v>
      </c>
      <c r="AN27" s="57">
        <v>41</v>
      </c>
      <c r="AO27" s="57">
        <v>64</v>
      </c>
      <c r="AP27" s="57">
        <v>55</v>
      </c>
      <c r="AQ27" s="57"/>
      <c r="AR27" s="57">
        <v>126</v>
      </c>
      <c r="AS27" s="57">
        <v>33</v>
      </c>
      <c r="AT27" s="57">
        <v>126</v>
      </c>
      <c r="AU27" s="57">
        <v>16</v>
      </c>
      <c r="AV27" s="57">
        <v>99</v>
      </c>
      <c r="AW27" s="57">
        <v>27</v>
      </c>
      <c r="AX27" s="57">
        <v>27</v>
      </c>
      <c r="AY27" s="57">
        <v>26</v>
      </c>
      <c r="AZ27" s="57">
        <v>10</v>
      </c>
      <c r="BA27" s="57"/>
      <c r="BB27" s="57">
        <v>116</v>
      </c>
      <c r="BC27" s="57">
        <v>22</v>
      </c>
      <c r="BD27" s="57">
        <v>3</v>
      </c>
      <c r="BE27" s="57">
        <v>8</v>
      </c>
      <c r="BF27" s="57">
        <v>156</v>
      </c>
      <c r="BG27" s="57">
        <v>47</v>
      </c>
      <c r="BH27" s="57">
        <v>77</v>
      </c>
      <c r="BI27" s="57">
        <v>70</v>
      </c>
      <c r="BJ27" s="57">
        <v>114</v>
      </c>
      <c r="BK27" s="57"/>
      <c r="BL27" s="57"/>
      <c r="BM27" s="57"/>
      <c r="BN27" s="57"/>
      <c r="BO27" s="57"/>
      <c r="BP27" s="57"/>
      <c r="BR27" s="57">
        <v>110</v>
      </c>
      <c r="BS27" s="57"/>
      <c r="BT27" s="57">
        <v>100</v>
      </c>
      <c r="BU27" s="58">
        <f t="shared" si="1"/>
        <v>3100</v>
      </c>
    </row>
    <row r="28" spans="1:73" ht="15" x14ac:dyDescent="0.15">
      <c r="A28" s="60" t="s">
        <v>129</v>
      </c>
      <c r="B28" s="61" t="s">
        <v>122</v>
      </c>
      <c r="C28" s="61" t="s">
        <v>123</v>
      </c>
      <c r="D28" s="61" t="s">
        <v>130</v>
      </c>
      <c r="E28" s="61" t="s">
        <v>123</v>
      </c>
      <c r="F28" s="61"/>
      <c r="G28" s="62">
        <v>0.3</v>
      </c>
      <c r="H28" s="63">
        <v>0.5</v>
      </c>
      <c r="I28" s="61" t="s">
        <v>123</v>
      </c>
      <c r="J28" s="64">
        <f t="shared" si="0"/>
        <v>24</v>
      </c>
      <c r="K28" s="64">
        <f t="shared" si="0"/>
        <v>40</v>
      </c>
      <c r="L28" s="55"/>
      <c r="M28" s="56"/>
      <c r="N28" s="57"/>
      <c r="O28" s="57"/>
      <c r="P28" s="57"/>
      <c r="Q28" s="57"/>
      <c r="R28" s="57">
        <v>1</v>
      </c>
      <c r="S28" s="57"/>
      <c r="T28" s="57">
        <v>4</v>
      </c>
      <c r="U28" s="57"/>
      <c r="V28" s="57"/>
      <c r="W28" s="57">
        <v>4</v>
      </c>
      <c r="X28" s="57"/>
      <c r="Y28" s="57"/>
      <c r="Z28" s="57"/>
      <c r="AA28" s="57"/>
      <c r="AB28" s="57">
        <v>131</v>
      </c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>
        <v>7</v>
      </c>
      <c r="AS28" s="57">
        <v>1</v>
      </c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8">
        <f t="shared" si="1"/>
        <v>148</v>
      </c>
    </row>
    <row r="29" spans="1:73" ht="15" x14ac:dyDescent="0.15">
      <c r="A29" s="60" t="s">
        <v>131</v>
      </c>
      <c r="B29" s="61" t="s">
        <v>122</v>
      </c>
      <c r="C29" s="61" t="s">
        <v>123</v>
      </c>
      <c r="D29" s="61" t="s">
        <v>132</v>
      </c>
      <c r="E29" s="61" t="s">
        <v>123</v>
      </c>
      <c r="F29" s="61"/>
      <c r="G29" s="62">
        <v>0.4</v>
      </c>
      <c r="H29" s="63">
        <v>0.45</v>
      </c>
      <c r="I29" s="61" t="s">
        <v>123</v>
      </c>
      <c r="J29" s="64">
        <f t="shared" si="0"/>
        <v>32</v>
      </c>
      <c r="K29" s="64">
        <f t="shared" si="0"/>
        <v>36</v>
      </c>
      <c r="L29" s="55"/>
      <c r="M29" s="56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>
        <v>2</v>
      </c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>
        <v>2</v>
      </c>
      <c r="AU29" s="57"/>
      <c r="AV29" s="57"/>
      <c r="AW29" s="57"/>
      <c r="AX29" s="57"/>
      <c r="AY29" s="57"/>
      <c r="AZ29" s="57"/>
      <c r="BA29" s="57">
        <v>2</v>
      </c>
      <c r="BB29" s="57"/>
      <c r="BC29" s="57"/>
      <c r="BD29" s="57">
        <v>5</v>
      </c>
      <c r="BE29" s="57"/>
      <c r="BF29" s="57"/>
      <c r="BG29" s="57"/>
      <c r="BH29" s="57"/>
      <c r="BI29" s="57"/>
      <c r="BJ29" s="57">
        <v>3</v>
      </c>
      <c r="BK29" s="57"/>
      <c r="BL29" s="57"/>
      <c r="BM29" s="57">
        <v>4</v>
      </c>
      <c r="BN29" s="57"/>
      <c r="BO29" s="57"/>
      <c r="BP29" s="57"/>
      <c r="BQ29" s="57"/>
      <c r="BR29" s="57"/>
      <c r="BS29" s="57"/>
      <c r="BT29" s="57"/>
      <c r="BU29" s="58">
        <f t="shared" si="1"/>
        <v>18</v>
      </c>
    </row>
    <row r="30" spans="1:73" ht="15" x14ac:dyDescent="0.15">
      <c r="A30" s="60" t="s">
        <v>133</v>
      </c>
      <c r="B30" s="61" t="s">
        <v>122</v>
      </c>
      <c r="C30" s="61" t="s">
        <v>123</v>
      </c>
      <c r="D30" s="61" t="s">
        <v>134</v>
      </c>
      <c r="E30" s="61" t="s">
        <v>123</v>
      </c>
      <c r="F30" s="61"/>
      <c r="G30" s="62">
        <v>0.4</v>
      </c>
      <c r="H30" s="63">
        <v>0.7</v>
      </c>
      <c r="I30" s="61" t="s">
        <v>123</v>
      </c>
      <c r="J30" s="64">
        <f t="shared" si="0"/>
        <v>32</v>
      </c>
      <c r="K30" s="64">
        <f t="shared" si="0"/>
        <v>56</v>
      </c>
      <c r="L30" s="55"/>
      <c r="M30" s="56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>
        <v>1</v>
      </c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>
        <v>1</v>
      </c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>
        <v>1</v>
      </c>
      <c r="BO30" s="57"/>
      <c r="BP30" s="57"/>
      <c r="BQ30" s="57"/>
      <c r="BR30" s="57"/>
      <c r="BS30" s="57"/>
      <c r="BT30" s="57"/>
      <c r="BU30" s="58">
        <f t="shared" si="1"/>
        <v>3</v>
      </c>
    </row>
    <row r="31" spans="1:73" ht="15" x14ac:dyDescent="0.15">
      <c r="A31" s="60" t="s">
        <v>135</v>
      </c>
      <c r="B31" s="61" t="s">
        <v>122</v>
      </c>
      <c r="C31" s="61" t="s">
        <v>123</v>
      </c>
      <c r="D31" s="61" t="s">
        <v>136</v>
      </c>
      <c r="E31" s="61" t="s">
        <v>123</v>
      </c>
      <c r="F31" s="61"/>
      <c r="G31" s="62">
        <v>0.5</v>
      </c>
      <c r="H31" s="63">
        <v>0.6</v>
      </c>
      <c r="I31" s="61" t="s">
        <v>123</v>
      </c>
      <c r="J31" s="64">
        <f t="shared" si="0"/>
        <v>40</v>
      </c>
      <c r="K31" s="64">
        <f t="shared" si="0"/>
        <v>48</v>
      </c>
      <c r="L31" s="55"/>
      <c r="M31" s="56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>
        <v>1</v>
      </c>
      <c r="AK31" s="57"/>
      <c r="AL31" s="57">
        <v>4</v>
      </c>
      <c r="AM31" s="57"/>
      <c r="AN31" s="57"/>
      <c r="AO31" s="57"/>
      <c r="AP31" s="57"/>
      <c r="AQ31" s="57">
        <v>1</v>
      </c>
      <c r="AR31" s="57"/>
      <c r="AS31" s="57"/>
      <c r="AT31" s="57"/>
      <c r="AU31" s="57"/>
      <c r="AV31" s="57"/>
      <c r="AW31" s="57">
        <v>1</v>
      </c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>
        <v>1</v>
      </c>
      <c r="BM31" s="57"/>
      <c r="BN31" s="57"/>
      <c r="BO31" s="57"/>
      <c r="BP31" s="57">
        <v>1</v>
      </c>
      <c r="BQ31" s="57">
        <v>3</v>
      </c>
      <c r="BR31" s="57"/>
      <c r="BS31" s="57"/>
      <c r="BT31" s="57"/>
      <c r="BU31" s="58">
        <f t="shared" si="1"/>
        <v>12</v>
      </c>
    </row>
    <row r="32" spans="1:73" ht="15" x14ac:dyDescent="0.15">
      <c r="A32" s="60" t="s">
        <v>137</v>
      </c>
      <c r="B32" s="61" t="s">
        <v>122</v>
      </c>
      <c r="C32" s="61" t="s">
        <v>138</v>
      </c>
      <c r="D32" s="61" t="s">
        <v>139</v>
      </c>
      <c r="E32" s="61" t="s">
        <v>115</v>
      </c>
      <c r="F32" s="61"/>
      <c r="G32" s="62">
        <v>0.1</v>
      </c>
      <c r="H32" s="63">
        <v>0.25</v>
      </c>
      <c r="I32" s="61" t="s">
        <v>116</v>
      </c>
      <c r="J32" s="64">
        <f t="shared" si="0"/>
        <v>8</v>
      </c>
      <c r="K32" s="64">
        <f t="shared" si="0"/>
        <v>20</v>
      </c>
      <c r="L32" s="55"/>
      <c r="M32" s="56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>
        <v>6</v>
      </c>
      <c r="AW32" s="57">
        <v>1</v>
      </c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8">
        <f t="shared" si="1"/>
        <v>7</v>
      </c>
    </row>
    <row r="33" spans="1:73" ht="15" x14ac:dyDescent="0.15">
      <c r="A33" s="60" t="s">
        <v>140</v>
      </c>
      <c r="B33" s="61" t="s">
        <v>122</v>
      </c>
      <c r="C33" s="61" t="s">
        <v>138</v>
      </c>
      <c r="D33" s="61" t="s">
        <v>141</v>
      </c>
      <c r="E33" s="61" t="s">
        <v>115</v>
      </c>
      <c r="F33" s="61"/>
      <c r="G33" s="62">
        <v>0.1</v>
      </c>
      <c r="H33" s="63">
        <v>0.5</v>
      </c>
      <c r="I33" s="61" t="s">
        <v>116</v>
      </c>
      <c r="J33" s="64">
        <f t="shared" si="0"/>
        <v>8</v>
      </c>
      <c r="K33" s="64">
        <f t="shared" si="0"/>
        <v>40</v>
      </c>
      <c r="L33" s="55"/>
      <c r="M33" s="56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>
        <v>1</v>
      </c>
      <c r="AY33" s="57">
        <v>2</v>
      </c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>
        <v>1</v>
      </c>
      <c r="BL33" s="57"/>
      <c r="BM33" s="57"/>
      <c r="BN33" s="57"/>
      <c r="BO33" s="57"/>
      <c r="BP33" s="57"/>
      <c r="BQ33" s="57"/>
      <c r="BR33" s="57"/>
      <c r="BS33" s="57"/>
      <c r="BT33" s="57"/>
      <c r="BU33" s="58">
        <f t="shared" si="1"/>
        <v>4</v>
      </c>
    </row>
    <row r="34" spans="1:73" ht="15" x14ac:dyDescent="0.15">
      <c r="A34" s="60" t="s">
        <v>142</v>
      </c>
      <c r="B34" s="61" t="s">
        <v>122</v>
      </c>
      <c r="C34" s="61" t="s">
        <v>138</v>
      </c>
      <c r="D34" s="61" t="s">
        <v>143</v>
      </c>
      <c r="E34" s="61" t="s">
        <v>115</v>
      </c>
      <c r="F34" s="61"/>
      <c r="G34" s="62">
        <v>0.1</v>
      </c>
      <c r="H34" s="63">
        <v>0.9</v>
      </c>
      <c r="I34" s="61" t="s">
        <v>116</v>
      </c>
      <c r="J34" s="64">
        <f t="shared" si="0"/>
        <v>8</v>
      </c>
      <c r="K34" s="64">
        <f t="shared" si="0"/>
        <v>72</v>
      </c>
      <c r="L34" s="55"/>
      <c r="M34" s="56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>
        <v>2</v>
      </c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8">
        <f t="shared" si="1"/>
        <v>2</v>
      </c>
    </row>
    <row r="35" spans="1:73" ht="15" x14ac:dyDescent="0.15">
      <c r="A35" s="60" t="s">
        <v>144</v>
      </c>
      <c r="B35" s="61" t="s">
        <v>122</v>
      </c>
      <c r="C35" s="61" t="s">
        <v>138</v>
      </c>
      <c r="D35" s="61" t="s">
        <v>145</v>
      </c>
      <c r="E35" s="61" t="s">
        <v>115</v>
      </c>
      <c r="F35" s="61"/>
      <c r="G35" s="62">
        <v>0.15</v>
      </c>
      <c r="H35" s="63">
        <v>0.4</v>
      </c>
      <c r="I35" s="61" t="s">
        <v>116</v>
      </c>
      <c r="J35" s="64">
        <f t="shared" si="0"/>
        <v>12</v>
      </c>
      <c r="K35" s="64">
        <f t="shared" si="0"/>
        <v>32</v>
      </c>
      <c r="L35" s="55"/>
      <c r="M35" s="56"/>
      <c r="N35" s="57"/>
      <c r="O35" s="57"/>
      <c r="P35" s="57"/>
      <c r="Q35" s="57"/>
      <c r="R35" s="57"/>
      <c r="S35" s="57"/>
      <c r="T35" s="57">
        <v>1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>
        <v>1</v>
      </c>
      <c r="AV35" s="57">
        <v>3</v>
      </c>
      <c r="AW35" s="57">
        <v>1</v>
      </c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8">
        <f t="shared" si="1"/>
        <v>6</v>
      </c>
    </row>
    <row r="36" spans="1:73" ht="15" x14ac:dyDescent="0.15">
      <c r="A36" s="60" t="s">
        <v>146</v>
      </c>
      <c r="B36" s="61" t="s">
        <v>122</v>
      </c>
      <c r="C36" s="61" t="s">
        <v>138</v>
      </c>
      <c r="D36" s="61" t="s">
        <v>147</v>
      </c>
      <c r="E36" s="61" t="s">
        <v>115</v>
      </c>
      <c r="F36" s="61"/>
      <c r="G36" s="62">
        <v>0.15</v>
      </c>
      <c r="H36" s="63">
        <v>0.7</v>
      </c>
      <c r="I36" s="61" t="s">
        <v>116</v>
      </c>
      <c r="J36" s="64">
        <f t="shared" si="0"/>
        <v>12</v>
      </c>
      <c r="K36" s="64">
        <f t="shared" si="0"/>
        <v>56</v>
      </c>
      <c r="L36" s="55"/>
      <c r="M36" s="56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>
        <v>1</v>
      </c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8">
        <f t="shared" si="1"/>
        <v>1</v>
      </c>
    </row>
    <row r="37" spans="1:73" ht="15" x14ac:dyDescent="0.15">
      <c r="A37" s="66" t="s">
        <v>148</v>
      </c>
      <c r="B37" s="61" t="s">
        <v>122</v>
      </c>
      <c r="C37" s="61" t="s">
        <v>138</v>
      </c>
      <c r="D37" s="66" t="s">
        <v>149</v>
      </c>
      <c r="E37" s="61" t="s">
        <v>115</v>
      </c>
      <c r="F37" s="61"/>
      <c r="G37" s="62">
        <v>0.2</v>
      </c>
      <c r="H37" s="63">
        <v>0.3</v>
      </c>
      <c r="I37" s="61" t="s">
        <v>116</v>
      </c>
      <c r="J37" s="64">
        <f t="shared" si="0"/>
        <v>16</v>
      </c>
      <c r="K37" s="64">
        <f t="shared" si="0"/>
        <v>24</v>
      </c>
      <c r="L37" s="55"/>
      <c r="M37" s="56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>
        <v>1</v>
      </c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>
        <v>11</v>
      </c>
      <c r="BL37" s="57">
        <f>2</f>
        <v>2</v>
      </c>
      <c r="BM37" s="57"/>
      <c r="BN37" s="57"/>
      <c r="BO37" s="57">
        <v>1</v>
      </c>
      <c r="BP37" s="57">
        <v>4</v>
      </c>
      <c r="BQ37" s="57"/>
      <c r="BR37" s="57"/>
      <c r="BS37" s="57"/>
      <c r="BT37" s="57"/>
      <c r="BU37" s="58">
        <f t="shared" si="1"/>
        <v>19</v>
      </c>
    </row>
    <row r="38" spans="1:73" ht="15" x14ac:dyDescent="0.15">
      <c r="A38" s="60" t="s">
        <v>150</v>
      </c>
      <c r="B38" s="61" t="s">
        <v>122</v>
      </c>
      <c r="C38" s="61" t="s">
        <v>138</v>
      </c>
      <c r="D38" s="61" t="s">
        <v>151</v>
      </c>
      <c r="E38" s="61" t="s">
        <v>115</v>
      </c>
      <c r="F38" s="61"/>
      <c r="G38" s="62">
        <v>0.2</v>
      </c>
      <c r="H38" s="63">
        <v>0.4</v>
      </c>
      <c r="I38" s="61" t="s">
        <v>116</v>
      </c>
      <c r="J38" s="64">
        <f t="shared" si="0"/>
        <v>16</v>
      </c>
      <c r="K38" s="64">
        <f t="shared" si="0"/>
        <v>32</v>
      </c>
      <c r="L38" s="55"/>
      <c r="M38" s="56"/>
      <c r="N38" s="57"/>
      <c r="O38" s="57"/>
      <c r="P38" s="57"/>
      <c r="Q38" s="57"/>
      <c r="R38" s="57"/>
      <c r="S38" s="57"/>
      <c r="T38" s="57"/>
      <c r="U38" s="57"/>
      <c r="V38" s="57"/>
      <c r="W38" s="57">
        <v>1</v>
      </c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>
        <f>1+3</f>
        <v>4</v>
      </c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8">
        <f t="shared" si="1"/>
        <v>5</v>
      </c>
    </row>
    <row r="39" spans="1:73" ht="15" x14ac:dyDescent="0.15">
      <c r="A39" s="60" t="s">
        <v>152</v>
      </c>
      <c r="B39" s="61" t="s">
        <v>122</v>
      </c>
      <c r="C39" s="61" t="s">
        <v>138</v>
      </c>
      <c r="D39" s="61" t="s">
        <v>153</v>
      </c>
      <c r="E39" s="61" t="s">
        <v>115</v>
      </c>
      <c r="F39" s="61"/>
      <c r="G39" s="62">
        <v>0.2</v>
      </c>
      <c r="H39" s="63">
        <v>0.6</v>
      </c>
      <c r="I39" s="61" t="s">
        <v>116</v>
      </c>
      <c r="J39" s="64">
        <f t="shared" si="0"/>
        <v>16</v>
      </c>
      <c r="K39" s="64">
        <f t="shared" si="0"/>
        <v>48</v>
      </c>
      <c r="L39" s="55"/>
      <c r="M39" s="56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>
        <v>1</v>
      </c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>
        <v>4</v>
      </c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>
        <v>1</v>
      </c>
      <c r="BS39" s="57"/>
      <c r="BT39" s="57"/>
      <c r="BU39" s="58">
        <f t="shared" si="1"/>
        <v>6</v>
      </c>
    </row>
    <row r="40" spans="1:73" ht="15" x14ac:dyDescent="0.15">
      <c r="A40" s="60" t="s">
        <v>154</v>
      </c>
      <c r="B40" s="61" t="s">
        <v>122</v>
      </c>
      <c r="C40" s="61" t="s">
        <v>138</v>
      </c>
      <c r="D40" s="61" t="s">
        <v>155</v>
      </c>
      <c r="E40" s="61" t="s">
        <v>115</v>
      </c>
      <c r="F40" s="61"/>
      <c r="G40" s="62">
        <v>0.25</v>
      </c>
      <c r="H40" s="63">
        <v>0.8</v>
      </c>
      <c r="I40" s="61" t="s">
        <v>116</v>
      </c>
      <c r="J40" s="64">
        <f t="shared" si="0"/>
        <v>20</v>
      </c>
      <c r="K40" s="64">
        <f t="shared" si="0"/>
        <v>64</v>
      </c>
      <c r="L40" s="55"/>
      <c r="M40" s="56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>
        <v>1</v>
      </c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>
        <v>1</v>
      </c>
      <c r="BQ40" s="57"/>
      <c r="BR40" s="57">
        <v>1</v>
      </c>
      <c r="BS40" s="57"/>
      <c r="BT40" s="57"/>
      <c r="BU40" s="58">
        <f t="shared" si="1"/>
        <v>3</v>
      </c>
    </row>
    <row r="41" spans="1:73" ht="15" x14ac:dyDescent="0.15">
      <c r="A41" s="60" t="s">
        <v>156</v>
      </c>
      <c r="B41" s="61" t="s">
        <v>122</v>
      </c>
      <c r="C41" s="61" t="s">
        <v>138</v>
      </c>
      <c r="D41" s="61" t="s">
        <v>157</v>
      </c>
      <c r="E41" s="61" t="s">
        <v>115</v>
      </c>
      <c r="F41" s="61"/>
      <c r="G41" s="62">
        <v>0.5</v>
      </c>
      <c r="H41" s="63">
        <v>0.7</v>
      </c>
      <c r="I41" s="61" t="s">
        <v>116</v>
      </c>
      <c r="J41" s="64">
        <f t="shared" si="0"/>
        <v>40</v>
      </c>
      <c r="K41" s="64">
        <f t="shared" si="0"/>
        <v>56</v>
      </c>
      <c r="L41" s="55"/>
      <c r="M41" s="56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>
        <v>1</v>
      </c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>
        <v>2</v>
      </c>
      <c r="BO41" s="57"/>
      <c r="BP41" s="57"/>
      <c r="BQ41" s="57"/>
      <c r="BR41" s="57"/>
      <c r="BS41" s="57"/>
      <c r="BT41" s="57"/>
      <c r="BU41" s="58">
        <f t="shared" si="1"/>
        <v>3</v>
      </c>
    </row>
    <row r="42" spans="1:73" ht="15" x14ac:dyDescent="0.15">
      <c r="A42" s="60" t="s">
        <v>158</v>
      </c>
      <c r="B42" s="61" t="s">
        <v>122</v>
      </c>
      <c r="C42" s="61" t="s">
        <v>138</v>
      </c>
      <c r="D42" s="61" t="s">
        <v>159</v>
      </c>
      <c r="E42" s="61" t="s">
        <v>115</v>
      </c>
      <c r="F42" s="61"/>
      <c r="G42" s="62">
        <v>0.5</v>
      </c>
      <c r="H42" s="63">
        <v>0.9</v>
      </c>
      <c r="I42" s="61" t="s">
        <v>116</v>
      </c>
      <c r="J42" s="64">
        <f t="shared" si="0"/>
        <v>40</v>
      </c>
      <c r="K42" s="64">
        <f t="shared" si="0"/>
        <v>72</v>
      </c>
      <c r="L42" s="55"/>
      <c r="M42" s="56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>
        <v>1</v>
      </c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>
        <v>1</v>
      </c>
      <c r="BQ42" s="57"/>
      <c r="BR42" s="57"/>
      <c r="BS42" s="57"/>
      <c r="BT42" s="57"/>
      <c r="BU42" s="58">
        <f t="shared" si="1"/>
        <v>2</v>
      </c>
    </row>
    <row r="43" spans="1:73" ht="15" x14ac:dyDescent="0.15">
      <c r="A43" s="60" t="s">
        <v>160</v>
      </c>
      <c r="B43" s="61" t="s">
        <v>122</v>
      </c>
      <c r="C43" s="61" t="s">
        <v>138</v>
      </c>
      <c r="D43" s="61" t="s">
        <v>161</v>
      </c>
      <c r="E43" s="61" t="s">
        <v>115</v>
      </c>
      <c r="F43" s="61"/>
      <c r="G43" s="62">
        <v>0.9</v>
      </c>
      <c r="H43" s="63">
        <v>1</v>
      </c>
      <c r="I43" s="61" t="s">
        <v>116</v>
      </c>
      <c r="J43" s="64">
        <f t="shared" ref="J43:K70" si="2">G43*80</f>
        <v>72</v>
      </c>
      <c r="K43" s="64">
        <f t="shared" si="2"/>
        <v>80</v>
      </c>
      <c r="L43" s="55"/>
      <c r="M43" s="56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>
        <v>1</v>
      </c>
      <c r="BT43" s="57"/>
      <c r="BU43" s="58">
        <f t="shared" si="1"/>
        <v>1</v>
      </c>
    </row>
    <row r="44" spans="1:73" ht="15" x14ac:dyDescent="0.15">
      <c r="A44" s="60" t="s">
        <v>162</v>
      </c>
      <c r="B44" s="61" t="s">
        <v>122</v>
      </c>
      <c r="C44" s="61" t="s">
        <v>138</v>
      </c>
      <c r="D44" s="61" t="s">
        <v>163</v>
      </c>
      <c r="E44" s="61" t="s">
        <v>115</v>
      </c>
      <c r="F44" s="61"/>
      <c r="G44" s="62">
        <v>1</v>
      </c>
      <c r="H44" s="63">
        <v>1.5</v>
      </c>
      <c r="I44" s="61" t="s">
        <v>116</v>
      </c>
      <c r="J44" s="64">
        <f t="shared" si="2"/>
        <v>80</v>
      </c>
      <c r="K44" s="64">
        <f t="shared" si="2"/>
        <v>120</v>
      </c>
      <c r="L44" s="55"/>
      <c r="M44" s="56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>
        <v>1</v>
      </c>
      <c r="BS44" s="57"/>
      <c r="BT44" s="57"/>
      <c r="BU44" s="58">
        <f t="shared" si="1"/>
        <v>1</v>
      </c>
    </row>
    <row r="45" spans="1:73" ht="15" x14ac:dyDescent="0.15">
      <c r="A45" s="60" t="s">
        <v>164</v>
      </c>
      <c r="B45" s="61" t="s">
        <v>122</v>
      </c>
      <c r="C45" s="61" t="s">
        <v>103</v>
      </c>
      <c r="D45" s="61" t="s">
        <v>165</v>
      </c>
      <c r="E45" s="61" t="s">
        <v>115</v>
      </c>
      <c r="F45" s="61"/>
      <c r="G45" s="62">
        <v>0.2</v>
      </c>
      <c r="H45" s="63">
        <v>0.3</v>
      </c>
      <c r="I45" s="61" t="s">
        <v>116</v>
      </c>
      <c r="J45" s="64">
        <f t="shared" si="2"/>
        <v>16</v>
      </c>
      <c r="K45" s="64">
        <f t="shared" si="2"/>
        <v>24</v>
      </c>
      <c r="L45" s="55"/>
      <c r="M45" s="56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>
        <v>2</v>
      </c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8">
        <f t="shared" si="1"/>
        <v>2</v>
      </c>
    </row>
    <row r="46" spans="1:73" ht="15" x14ac:dyDescent="0.15">
      <c r="A46" s="60" t="s">
        <v>166</v>
      </c>
      <c r="B46" s="61" t="s">
        <v>122</v>
      </c>
      <c r="C46" s="61" t="s">
        <v>103</v>
      </c>
      <c r="D46" s="61" t="s">
        <v>167</v>
      </c>
      <c r="E46" s="61" t="s">
        <v>115</v>
      </c>
      <c r="F46" s="61"/>
      <c r="G46" s="62">
        <v>0.24</v>
      </c>
      <c r="H46" s="63">
        <v>0.4</v>
      </c>
      <c r="I46" s="61" t="s">
        <v>116</v>
      </c>
      <c r="J46" s="64">
        <f t="shared" si="2"/>
        <v>19.2</v>
      </c>
      <c r="K46" s="64">
        <f t="shared" si="2"/>
        <v>32</v>
      </c>
      <c r="L46" s="55"/>
      <c r="M46" s="56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>
        <v>2</v>
      </c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8">
        <f t="shared" si="1"/>
        <v>2</v>
      </c>
    </row>
    <row r="47" spans="1:73" ht="15" x14ac:dyDescent="0.15">
      <c r="A47" s="60" t="s">
        <v>168</v>
      </c>
      <c r="B47" s="61" t="s">
        <v>122</v>
      </c>
      <c r="C47" s="61" t="s">
        <v>103</v>
      </c>
      <c r="D47" s="61" t="s">
        <v>169</v>
      </c>
      <c r="E47" s="61" t="s">
        <v>115</v>
      </c>
      <c r="F47" s="61"/>
      <c r="G47" s="62">
        <v>0.4</v>
      </c>
      <c r="H47" s="63">
        <v>0.5</v>
      </c>
      <c r="I47" s="61" t="s">
        <v>116</v>
      </c>
      <c r="J47" s="64">
        <f t="shared" si="2"/>
        <v>32</v>
      </c>
      <c r="K47" s="64">
        <f t="shared" si="2"/>
        <v>40</v>
      </c>
      <c r="L47" s="55"/>
      <c r="M47" s="56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>
        <v>1</v>
      </c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8">
        <f t="shared" si="1"/>
        <v>1</v>
      </c>
    </row>
    <row r="48" spans="1:73" ht="15" x14ac:dyDescent="0.15">
      <c r="A48" s="60" t="s">
        <v>170</v>
      </c>
      <c r="B48" s="61" t="s">
        <v>122</v>
      </c>
      <c r="C48" s="61" t="s">
        <v>171</v>
      </c>
      <c r="D48" s="61" t="s">
        <v>172</v>
      </c>
      <c r="E48" s="61" t="s">
        <v>115</v>
      </c>
      <c r="F48" s="61"/>
      <c r="G48" s="62">
        <v>0.4</v>
      </c>
      <c r="H48" s="63">
        <v>1.7</v>
      </c>
      <c r="I48" s="61" t="s">
        <v>116</v>
      </c>
      <c r="J48" s="64">
        <f t="shared" si="2"/>
        <v>32</v>
      </c>
      <c r="K48" s="64">
        <f t="shared" si="2"/>
        <v>136</v>
      </c>
      <c r="L48" s="55"/>
      <c r="M48" s="56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>
        <v>1</v>
      </c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>
        <v>1</v>
      </c>
      <c r="BJ48" s="57"/>
      <c r="BK48" s="57"/>
      <c r="BL48" s="57"/>
      <c r="BM48" s="57"/>
      <c r="BN48" s="57"/>
      <c r="BO48" s="57"/>
      <c r="BP48" s="57">
        <v>1</v>
      </c>
      <c r="BQ48" s="57"/>
      <c r="BR48" s="57"/>
      <c r="BS48" s="57"/>
      <c r="BT48" s="57"/>
      <c r="BU48" s="58">
        <f t="shared" si="1"/>
        <v>3</v>
      </c>
    </row>
    <row r="49" spans="1:73" ht="15" x14ac:dyDescent="0.15">
      <c r="A49" s="60" t="s">
        <v>173</v>
      </c>
      <c r="B49" s="61" t="s">
        <v>122</v>
      </c>
      <c r="C49" s="61" t="s">
        <v>174</v>
      </c>
      <c r="D49" s="61" t="s">
        <v>175</v>
      </c>
      <c r="E49" s="61" t="s">
        <v>90</v>
      </c>
      <c r="F49" s="61"/>
      <c r="G49" s="62">
        <v>0.45</v>
      </c>
      <c r="H49" s="63">
        <v>0.45</v>
      </c>
      <c r="I49" s="61" t="s">
        <v>91</v>
      </c>
      <c r="J49" s="64">
        <f t="shared" si="2"/>
        <v>36</v>
      </c>
      <c r="K49" s="64">
        <f t="shared" si="2"/>
        <v>36</v>
      </c>
      <c r="L49" s="55"/>
      <c r="M49" s="56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>
        <v>2</v>
      </c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>
        <v>1</v>
      </c>
      <c r="AY49" s="57"/>
      <c r="AZ49" s="57"/>
      <c r="BA49" s="57">
        <v>3</v>
      </c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>
        <v>1</v>
      </c>
      <c r="BQ49" s="57"/>
      <c r="BR49" s="57"/>
      <c r="BS49" s="57"/>
      <c r="BT49" s="57"/>
      <c r="BU49" s="58">
        <f t="shared" si="1"/>
        <v>7</v>
      </c>
    </row>
    <row r="50" spans="1:73" ht="15" x14ac:dyDescent="0.15">
      <c r="A50" s="60" t="s">
        <v>176</v>
      </c>
      <c r="B50" s="61" t="s">
        <v>122</v>
      </c>
      <c r="C50" s="61" t="s">
        <v>174</v>
      </c>
      <c r="D50" s="61" t="s">
        <v>177</v>
      </c>
      <c r="E50" s="61" t="s">
        <v>90</v>
      </c>
      <c r="F50" s="61"/>
      <c r="G50" s="62">
        <v>0.5</v>
      </c>
      <c r="H50" s="63">
        <v>0.5</v>
      </c>
      <c r="I50" s="61" t="s">
        <v>91</v>
      </c>
      <c r="J50" s="64">
        <f t="shared" si="2"/>
        <v>40</v>
      </c>
      <c r="K50" s="64">
        <f t="shared" si="2"/>
        <v>40</v>
      </c>
      <c r="L50" s="55"/>
      <c r="M50" s="56"/>
      <c r="O50" s="57">
        <v>1</v>
      </c>
      <c r="P50" s="57">
        <v>3</v>
      </c>
      <c r="Q50" s="57"/>
      <c r="R50" s="57"/>
      <c r="S50" s="57">
        <v>1</v>
      </c>
      <c r="T50" s="57"/>
      <c r="U50" s="57">
        <v>1</v>
      </c>
      <c r="V50" s="57">
        <v>4</v>
      </c>
      <c r="W50" s="57"/>
      <c r="X50" s="57"/>
      <c r="Y50" s="57"/>
      <c r="Z50" s="57">
        <v>1</v>
      </c>
      <c r="AA50" s="57">
        <v>2</v>
      </c>
      <c r="AB50" s="57"/>
      <c r="AC50" s="57">
        <v>4</v>
      </c>
      <c r="AD50" s="57">
        <v>1</v>
      </c>
      <c r="AE50" s="57"/>
      <c r="AF50" s="57">
        <v>3</v>
      </c>
      <c r="AG50" s="57"/>
      <c r="AH50" s="57"/>
      <c r="AI50" s="57">
        <v>4</v>
      </c>
      <c r="AJ50" s="57"/>
      <c r="AK50" s="57"/>
      <c r="AL50" s="57"/>
      <c r="AM50" s="57"/>
      <c r="AN50" s="57"/>
      <c r="AO50" s="57"/>
      <c r="AP50" s="57"/>
      <c r="AQ50" s="57"/>
      <c r="AR50" s="57">
        <v>2</v>
      </c>
      <c r="AS50" s="57"/>
      <c r="AT50" s="57">
        <v>1</v>
      </c>
      <c r="AU50" s="57"/>
      <c r="AV50" s="57"/>
      <c r="AW50" s="57">
        <v>1</v>
      </c>
      <c r="AX50" s="57"/>
      <c r="AY50" s="57">
        <v>1</v>
      </c>
      <c r="AZ50" s="57">
        <v>2</v>
      </c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>
        <v>6</v>
      </c>
      <c r="BM50" s="57"/>
      <c r="BN50" s="57"/>
      <c r="BO50" s="57">
        <f>21</f>
        <v>21</v>
      </c>
      <c r="BP50" s="57">
        <v>3</v>
      </c>
      <c r="BQ50" s="57"/>
      <c r="BR50" s="57">
        <v>1</v>
      </c>
      <c r="BS50" s="57">
        <v>1</v>
      </c>
      <c r="BT50" s="57"/>
      <c r="BU50" s="58">
        <f t="shared" si="1"/>
        <v>64</v>
      </c>
    </row>
    <row r="51" spans="1:73" ht="15" x14ac:dyDescent="0.15">
      <c r="A51" s="60" t="s">
        <v>178</v>
      </c>
      <c r="B51" s="61" t="s">
        <v>122</v>
      </c>
      <c r="C51" s="61" t="s">
        <v>174</v>
      </c>
      <c r="D51" s="61" t="s">
        <v>179</v>
      </c>
      <c r="E51" s="61" t="s">
        <v>90</v>
      </c>
      <c r="F51" s="61"/>
      <c r="G51" s="62">
        <v>0.6</v>
      </c>
      <c r="H51" s="63">
        <v>0.6</v>
      </c>
      <c r="I51" s="61" t="s">
        <v>91</v>
      </c>
      <c r="J51" s="64">
        <f t="shared" si="2"/>
        <v>48</v>
      </c>
      <c r="K51" s="64">
        <f t="shared" si="2"/>
        <v>48</v>
      </c>
      <c r="L51" s="55"/>
      <c r="M51" s="56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>
        <v>1</v>
      </c>
      <c r="AA51" s="57"/>
      <c r="AB51" s="57"/>
      <c r="AC51" s="57"/>
      <c r="AD51" s="57"/>
      <c r="AE51" s="57">
        <v>1</v>
      </c>
      <c r="AG51" s="57"/>
      <c r="AH51" s="57"/>
      <c r="AI51" s="57"/>
      <c r="AJ51" s="57"/>
      <c r="AK51" s="57">
        <v>3</v>
      </c>
      <c r="AL51" s="57"/>
      <c r="AM51" s="57"/>
      <c r="AN51" s="57"/>
      <c r="AO51" s="57"/>
      <c r="AP51" s="57"/>
      <c r="AQ51" s="57">
        <v>1</v>
      </c>
      <c r="AR51" s="57">
        <v>1</v>
      </c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>
        <v>1</v>
      </c>
      <c r="BG51" s="57"/>
      <c r="BH51" s="57"/>
      <c r="BI51" s="57"/>
      <c r="BJ51" s="57">
        <v>1</v>
      </c>
      <c r="BK51" s="57"/>
      <c r="BL51" s="57"/>
      <c r="BM51" s="57">
        <v>1</v>
      </c>
      <c r="BN51" s="57"/>
      <c r="BO51" s="57"/>
      <c r="BP51" s="57"/>
      <c r="BQ51" s="57"/>
      <c r="BR51" s="57"/>
      <c r="BS51" s="57"/>
      <c r="BT51" s="57">
        <v>3</v>
      </c>
      <c r="BU51" s="58">
        <f t="shared" si="1"/>
        <v>13</v>
      </c>
    </row>
    <row r="52" spans="1:73" ht="15" x14ac:dyDescent="0.15">
      <c r="A52" s="60" t="s">
        <v>180</v>
      </c>
      <c r="B52" s="61" t="s">
        <v>122</v>
      </c>
      <c r="C52" s="61" t="s">
        <v>174</v>
      </c>
      <c r="D52" s="61" t="s">
        <v>181</v>
      </c>
      <c r="E52" s="61" t="s">
        <v>90</v>
      </c>
      <c r="F52" s="61"/>
      <c r="G52" s="62">
        <v>0.7</v>
      </c>
      <c r="H52" s="63">
        <v>0.7</v>
      </c>
      <c r="I52" s="61" t="s">
        <v>91</v>
      </c>
      <c r="J52" s="64">
        <f t="shared" si="2"/>
        <v>56</v>
      </c>
      <c r="K52" s="64">
        <f t="shared" si="2"/>
        <v>56</v>
      </c>
      <c r="L52" s="55"/>
      <c r="M52" s="56"/>
      <c r="N52" s="57"/>
      <c r="O52" s="57"/>
      <c r="P52" s="57"/>
      <c r="Q52" s="57"/>
      <c r="R52" s="57"/>
      <c r="S52" s="57"/>
      <c r="T52" s="57"/>
      <c r="U52" s="57"/>
      <c r="V52" s="57"/>
      <c r="W52" s="57">
        <v>3</v>
      </c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>
        <v>2</v>
      </c>
      <c r="BJ52" s="57"/>
      <c r="BK52" s="57"/>
      <c r="BL52" s="57"/>
      <c r="BM52" s="57"/>
      <c r="BN52" s="57"/>
      <c r="BO52" s="57"/>
      <c r="BP52" s="57"/>
      <c r="BQ52" s="57"/>
      <c r="BR52" s="57"/>
      <c r="BS52" s="57"/>
      <c r="BT52" s="57"/>
      <c r="BU52" s="58">
        <f t="shared" si="1"/>
        <v>5</v>
      </c>
    </row>
    <row r="53" spans="1:73" ht="15" x14ac:dyDescent="0.15">
      <c r="A53" s="60" t="s">
        <v>182</v>
      </c>
      <c r="B53" s="61" t="s">
        <v>122</v>
      </c>
      <c r="C53" s="61" t="s">
        <v>174</v>
      </c>
      <c r="D53" s="61" t="s">
        <v>183</v>
      </c>
      <c r="E53" s="61" t="s">
        <v>90</v>
      </c>
      <c r="F53" s="61"/>
      <c r="G53" s="62">
        <v>1.5</v>
      </c>
      <c r="H53" s="63">
        <v>1.5</v>
      </c>
      <c r="I53" s="61" t="s">
        <v>91</v>
      </c>
      <c r="J53" s="64">
        <f t="shared" si="2"/>
        <v>120</v>
      </c>
      <c r="K53" s="64">
        <f t="shared" si="2"/>
        <v>120</v>
      </c>
      <c r="L53" s="55"/>
      <c r="M53" s="56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>
        <v>6</v>
      </c>
      <c r="BO53" s="57"/>
      <c r="BP53" s="57">
        <v>3</v>
      </c>
      <c r="BQ53" s="57"/>
      <c r="BR53" s="57"/>
      <c r="BS53" s="57"/>
      <c r="BT53" s="57">
        <v>2</v>
      </c>
      <c r="BU53" s="58">
        <f t="shared" si="1"/>
        <v>11</v>
      </c>
    </row>
    <row r="54" spans="1:73" ht="15" x14ac:dyDescent="0.2">
      <c r="A54" s="67" t="s">
        <v>184</v>
      </c>
      <c r="B54" s="61" t="s">
        <v>122</v>
      </c>
      <c r="C54" s="61" t="s">
        <v>174</v>
      </c>
      <c r="D54" s="68" t="s">
        <v>185</v>
      </c>
      <c r="E54" s="61" t="s">
        <v>90</v>
      </c>
      <c r="F54" s="61"/>
      <c r="G54" s="62">
        <v>0.3</v>
      </c>
      <c r="H54" s="63">
        <v>0.3</v>
      </c>
      <c r="I54" s="61" t="s">
        <v>91</v>
      </c>
      <c r="J54" s="64">
        <f t="shared" si="2"/>
        <v>24</v>
      </c>
      <c r="K54" s="64">
        <f t="shared" si="2"/>
        <v>24</v>
      </c>
      <c r="L54" s="55"/>
      <c r="M54" s="56">
        <v>4</v>
      </c>
      <c r="N54" s="57">
        <v>137</v>
      </c>
      <c r="O54" s="57">
        <v>22</v>
      </c>
      <c r="P54" s="57">
        <v>172</v>
      </c>
      <c r="Q54" s="57">
        <v>47</v>
      </c>
      <c r="R54" s="57"/>
      <c r="S54" s="57"/>
      <c r="T54" s="57"/>
      <c r="U54" s="57"/>
      <c r="V54" s="57"/>
      <c r="W54" s="57">
        <v>46</v>
      </c>
      <c r="X54" s="57">
        <v>8</v>
      </c>
      <c r="Y54" s="57">
        <v>49</v>
      </c>
      <c r="Z54" s="57"/>
      <c r="AA54" s="57"/>
      <c r="AB54" s="57">
        <v>7</v>
      </c>
      <c r="AC54" s="57"/>
      <c r="AD54" s="57"/>
      <c r="AE54" s="57">
        <v>7</v>
      </c>
      <c r="AF54">
        <v>8</v>
      </c>
      <c r="AG54" s="57">
        <v>12</v>
      </c>
      <c r="AH54" s="57">
        <v>13</v>
      </c>
      <c r="AI54" s="57">
        <v>3</v>
      </c>
      <c r="AJ54" s="57"/>
      <c r="AK54" s="57"/>
      <c r="AL54" s="57">
        <v>5</v>
      </c>
      <c r="AM54" s="57"/>
      <c r="AN54" s="57">
        <v>2</v>
      </c>
      <c r="AO54" s="57"/>
      <c r="AP54" s="57"/>
      <c r="AQ54" s="57">
        <v>18</v>
      </c>
      <c r="AR54">
        <v>16</v>
      </c>
      <c r="AS54" s="57"/>
      <c r="AT54" s="57"/>
      <c r="AU54" s="57"/>
      <c r="AV54" s="57">
        <v>9</v>
      </c>
      <c r="AW54" s="57"/>
      <c r="AX54" s="57">
        <v>2</v>
      </c>
      <c r="AY54" s="57">
        <v>11</v>
      </c>
      <c r="AZ54" s="57">
        <v>2</v>
      </c>
      <c r="BA54" s="65">
        <v>40</v>
      </c>
      <c r="BB54" s="57"/>
      <c r="BC54" s="57">
        <v>1</v>
      </c>
      <c r="BD54" s="57">
        <v>3</v>
      </c>
      <c r="BE54" s="57">
        <v>4</v>
      </c>
      <c r="BF54" s="57">
        <v>9</v>
      </c>
      <c r="BG54" s="57">
        <v>5</v>
      </c>
      <c r="BH54" s="57">
        <v>4</v>
      </c>
      <c r="BI54" s="57">
        <v>9</v>
      </c>
      <c r="BJ54" s="57"/>
      <c r="BK54" s="57">
        <f>50+29</f>
        <v>79</v>
      </c>
      <c r="BL54" s="57">
        <f>38+10</f>
        <v>48</v>
      </c>
      <c r="BM54" s="57">
        <v>7</v>
      </c>
      <c r="BN54" s="57">
        <f>1+16</f>
        <v>17</v>
      </c>
      <c r="BO54" s="57">
        <v>5</v>
      </c>
      <c r="BP54" s="57">
        <v>69</v>
      </c>
      <c r="BQ54" s="57"/>
      <c r="BR54" s="57"/>
      <c r="BS54" s="57">
        <v>109</v>
      </c>
      <c r="BT54" s="57"/>
      <c r="BU54" s="58">
        <f t="shared" si="1"/>
        <v>1009</v>
      </c>
    </row>
    <row r="55" spans="1:73" ht="15" x14ac:dyDescent="0.15">
      <c r="A55" s="69" t="s">
        <v>186</v>
      </c>
      <c r="B55" s="70" t="s">
        <v>187</v>
      </c>
      <c r="C55" s="70"/>
      <c r="D55" s="70" t="s">
        <v>188</v>
      </c>
      <c r="E55" s="70" t="s">
        <v>115</v>
      </c>
      <c r="F55" s="70"/>
      <c r="G55" s="71">
        <v>0.4</v>
      </c>
      <c r="H55" s="72">
        <v>0.7</v>
      </c>
      <c r="I55" s="70" t="s">
        <v>116</v>
      </c>
      <c r="J55" s="73">
        <f t="shared" si="2"/>
        <v>32</v>
      </c>
      <c r="K55" s="73">
        <f t="shared" si="2"/>
        <v>56</v>
      </c>
      <c r="L55" s="55"/>
      <c r="M55" s="56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>
        <v>1</v>
      </c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>
        <v>1</v>
      </c>
      <c r="BL55" s="57"/>
      <c r="BM55" s="57"/>
      <c r="BN55" s="57">
        <v>2</v>
      </c>
      <c r="BO55" s="57"/>
      <c r="BP55" s="57">
        <v>2</v>
      </c>
      <c r="BQ55" s="57">
        <v>1</v>
      </c>
      <c r="BR55" s="57">
        <v>3</v>
      </c>
      <c r="BS55" s="57"/>
      <c r="BT55" s="57"/>
      <c r="BU55" s="58">
        <f t="shared" si="1"/>
        <v>10</v>
      </c>
    </row>
    <row r="56" spans="1:73" ht="15" x14ac:dyDescent="0.15">
      <c r="A56" s="69" t="s">
        <v>189</v>
      </c>
      <c r="B56" s="70" t="s">
        <v>187</v>
      </c>
      <c r="C56" s="70"/>
      <c r="D56" s="70" t="s">
        <v>190</v>
      </c>
      <c r="E56" s="70" t="s">
        <v>115</v>
      </c>
      <c r="F56" s="70"/>
      <c r="G56" s="71">
        <v>0.6</v>
      </c>
      <c r="H56" s="72">
        <v>0.8</v>
      </c>
      <c r="I56" s="70" t="s">
        <v>116</v>
      </c>
      <c r="J56" s="73">
        <f t="shared" si="2"/>
        <v>48</v>
      </c>
      <c r="K56" s="73">
        <f t="shared" si="2"/>
        <v>64</v>
      </c>
      <c r="L56" s="55"/>
      <c r="M56" s="56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>
        <v>1</v>
      </c>
      <c r="AE56" s="57"/>
      <c r="AF56" s="57"/>
      <c r="AG56" s="57">
        <v>2</v>
      </c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>
        <v>2</v>
      </c>
      <c r="BM56" s="57"/>
      <c r="BN56" s="57"/>
      <c r="BO56" s="57"/>
      <c r="BP56" s="57"/>
      <c r="BQ56" s="57"/>
      <c r="BR56" s="57"/>
      <c r="BS56" s="57"/>
      <c r="BT56" s="57"/>
      <c r="BU56" s="58">
        <f t="shared" si="1"/>
        <v>5</v>
      </c>
    </row>
    <row r="57" spans="1:73" ht="15" x14ac:dyDescent="0.15">
      <c r="A57" s="69" t="s">
        <v>191</v>
      </c>
      <c r="B57" s="70" t="s">
        <v>187</v>
      </c>
      <c r="C57" s="70"/>
      <c r="D57" s="70" t="s">
        <v>192</v>
      </c>
      <c r="E57" s="70" t="s">
        <v>115</v>
      </c>
      <c r="F57" s="70"/>
      <c r="G57" s="71">
        <v>0.7</v>
      </c>
      <c r="H57" s="72">
        <v>1.2</v>
      </c>
      <c r="I57" s="70" t="s">
        <v>116</v>
      </c>
      <c r="J57" s="73">
        <f t="shared" si="2"/>
        <v>56</v>
      </c>
      <c r="K57" s="74">
        <f t="shared" si="2"/>
        <v>96</v>
      </c>
      <c r="L57" s="75"/>
      <c r="M57" s="56"/>
      <c r="N57" s="57">
        <v>1</v>
      </c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>
        <v>1</v>
      </c>
      <c r="BL57" s="57"/>
      <c r="BM57" s="57"/>
      <c r="BN57" s="57"/>
      <c r="BO57" s="57"/>
      <c r="BP57" s="57"/>
      <c r="BQ57" s="57"/>
      <c r="BR57" s="57"/>
      <c r="BS57" s="57"/>
      <c r="BT57" s="57"/>
      <c r="BU57" s="58">
        <f t="shared" si="1"/>
        <v>2</v>
      </c>
    </row>
    <row r="58" spans="1:73" ht="15" x14ac:dyDescent="0.15">
      <c r="A58" s="69" t="s">
        <v>193</v>
      </c>
      <c r="B58" s="70" t="s">
        <v>187</v>
      </c>
      <c r="C58" s="70"/>
      <c r="D58" s="70" t="s">
        <v>194</v>
      </c>
      <c r="E58" s="70" t="s">
        <v>115</v>
      </c>
      <c r="F58" s="70"/>
      <c r="G58" s="71">
        <v>0.7</v>
      </c>
      <c r="H58" s="72">
        <v>1.5</v>
      </c>
      <c r="I58" s="70" t="s">
        <v>116</v>
      </c>
      <c r="J58" s="73">
        <f t="shared" si="2"/>
        <v>56</v>
      </c>
      <c r="K58" s="73">
        <f t="shared" si="2"/>
        <v>120</v>
      </c>
      <c r="L58" s="55"/>
      <c r="M58" s="56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>
        <v>1</v>
      </c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57"/>
      <c r="BQ58" s="57"/>
      <c r="BR58" s="57"/>
      <c r="BS58" s="57"/>
      <c r="BT58" s="57"/>
      <c r="BU58" s="58">
        <f t="shared" si="1"/>
        <v>1</v>
      </c>
    </row>
    <row r="59" spans="1:73" ht="15" x14ac:dyDescent="0.15">
      <c r="A59" s="69" t="s">
        <v>195</v>
      </c>
      <c r="B59" s="70" t="s">
        <v>187</v>
      </c>
      <c r="C59" s="70"/>
      <c r="D59" s="70" t="s">
        <v>196</v>
      </c>
      <c r="E59" s="70" t="s">
        <v>115</v>
      </c>
      <c r="F59" s="70"/>
      <c r="G59" s="71">
        <v>0.8</v>
      </c>
      <c r="H59" s="72">
        <v>1.2</v>
      </c>
      <c r="I59" s="70" t="s">
        <v>116</v>
      </c>
      <c r="J59" s="73">
        <f t="shared" si="2"/>
        <v>64</v>
      </c>
      <c r="K59" s="74">
        <f t="shared" si="2"/>
        <v>96</v>
      </c>
      <c r="L59" s="75"/>
      <c r="M59" s="56"/>
      <c r="N59" s="57"/>
      <c r="O59" s="57"/>
      <c r="P59" s="57"/>
      <c r="Q59" s="57"/>
      <c r="R59" s="57"/>
      <c r="S59" s="57"/>
      <c r="T59" s="57"/>
      <c r="U59" s="57">
        <v>1</v>
      </c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>
        <v>1</v>
      </c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7"/>
      <c r="BR59" s="57"/>
      <c r="BS59" s="57"/>
      <c r="BT59" s="57"/>
      <c r="BU59" s="58">
        <f t="shared" si="1"/>
        <v>2</v>
      </c>
    </row>
    <row r="60" spans="1:73" ht="15" x14ac:dyDescent="0.15">
      <c r="A60" s="69" t="s">
        <v>197</v>
      </c>
      <c r="B60" s="70" t="s">
        <v>187</v>
      </c>
      <c r="C60" s="70"/>
      <c r="D60" s="70" t="s">
        <v>198</v>
      </c>
      <c r="E60" s="70" t="s">
        <v>115</v>
      </c>
      <c r="F60" s="70"/>
      <c r="G60" s="71">
        <v>1</v>
      </c>
      <c r="H60" s="72">
        <v>1.6</v>
      </c>
      <c r="I60" s="70" t="s">
        <v>116</v>
      </c>
      <c r="J60" s="73">
        <f t="shared" si="2"/>
        <v>80</v>
      </c>
      <c r="K60" s="74">
        <f t="shared" si="2"/>
        <v>128</v>
      </c>
      <c r="L60" s="75"/>
      <c r="M60" s="56"/>
      <c r="N60" s="57"/>
      <c r="O60" s="57"/>
      <c r="P60" s="57"/>
      <c r="Q60" s="57"/>
      <c r="R60" s="57"/>
      <c r="S60" s="57"/>
      <c r="T60" s="57"/>
      <c r="U60" s="57"/>
      <c r="V60" s="57"/>
      <c r="W60" s="57"/>
      <c r="Y60" s="57">
        <v>1</v>
      </c>
      <c r="Z60" s="57"/>
      <c r="AB60" s="57">
        <v>1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57"/>
      <c r="BQ60" s="57"/>
      <c r="BR60" s="57"/>
      <c r="BS60" s="57"/>
      <c r="BT60" s="57"/>
      <c r="BU60" s="58">
        <f t="shared" si="1"/>
        <v>2</v>
      </c>
    </row>
    <row r="61" spans="1:73" ht="15" x14ac:dyDescent="0.15">
      <c r="A61" s="76" t="s">
        <v>199</v>
      </c>
      <c r="B61" s="77" t="s">
        <v>200</v>
      </c>
      <c r="C61" s="77" t="s">
        <v>201</v>
      </c>
      <c r="D61" s="77" t="s">
        <v>202</v>
      </c>
      <c r="E61" s="77" t="s">
        <v>203</v>
      </c>
      <c r="F61" s="77"/>
      <c r="G61" s="78">
        <v>0.05</v>
      </c>
      <c r="H61" s="79">
        <v>0.7</v>
      </c>
      <c r="I61" s="77" t="s">
        <v>204</v>
      </c>
      <c r="J61" s="80">
        <f t="shared" si="2"/>
        <v>4</v>
      </c>
      <c r="K61" s="80">
        <f t="shared" si="2"/>
        <v>56</v>
      </c>
      <c r="L61" s="55"/>
      <c r="M61" s="56"/>
      <c r="N61" s="57">
        <v>14</v>
      </c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>
        <v>123</v>
      </c>
      <c r="BQ61" s="57"/>
      <c r="BR61" s="57"/>
      <c r="BS61" s="57"/>
      <c r="BT61" s="57"/>
      <c r="BU61" s="58">
        <f t="shared" si="1"/>
        <v>137</v>
      </c>
    </row>
    <row r="62" spans="1:73" ht="15" x14ac:dyDescent="0.15">
      <c r="A62" s="76" t="s">
        <v>205</v>
      </c>
      <c r="B62" s="77" t="s">
        <v>200</v>
      </c>
      <c r="C62" s="77" t="s">
        <v>201</v>
      </c>
      <c r="D62" s="77" t="s">
        <v>206</v>
      </c>
      <c r="E62" s="77" t="s">
        <v>203</v>
      </c>
      <c r="F62" s="77"/>
      <c r="G62" s="78">
        <v>0.05</v>
      </c>
      <c r="H62" s="79">
        <v>0.9</v>
      </c>
      <c r="I62" s="77" t="s">
        <v>204</v>
      </c>
      <c r="J62" s="80">
        <f t="shared" si="2"/>
        <v>4</v>
      </c>
      <c r="K62" s="80">
        <f t="shared" si="2"/>
        <v>72</v>
      </c>
      <c r="L62" s="55"/>
      <c r="M62" s="56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>
        <v>5</v>
      </c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7"/>
      <c r="BR62" s="57"/>
      <c r="BS62" s="57"/>
      <c r="BT62" s="57"/>
      <c r="BU62" s="58">
        <f t="shared" si="1"/>
        <v>5</v>
      </c>
    </row>
    <row r="63" spans="1:73" ht="15" x14ac:dyDescent="0.15">
      <c r="A63" s="76" t="s">
        <v>207</v>
      </c>
      <c r="B63" s="77" t="s">
        <v>200</v>
      </c>
      <c r="C63" s="77" t="s">
        <v>201</v>
      </c>
      <c r="D63" s="77" t="s">
        <v>208</v>
      </c>
      <c r="E63" s="77" t="s">
        <v>203</v>
      </c>
      <c r="F63" s="77"/>
      <c r="G63" s="78">
        <v>0.05</v>
      </c>
      <c r="H63" s="79">
        <v>1</v>
      </c>
      <c r="I63" s="77" t="s">
        <v>204</v>
      </c>
      <c r="J63" s="80">
        <f t="shared" si="2"/>
        <v>4</v>
      </c>
      <c r="K63" s="80">
        <f t="shared" si="2"/>
        <v>80</v>
      </c>
      <c r="L63" s="55"/>
      <c r="M63" s="56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>
        <v>5</v>
      </c>
      <c r="AB63" s="57"/>
      <c r="AC63" s="57"/>
      <c r="AD63" s="57">
        <v>2</v>
      </c>
      <c r="AE63" s="57"/>
      <c r="AF63" s="57"/>
      <c r="AG63" s="57"/>
      <c r="AH63" s="57"/>
      <c r="AI63" s="57">
        <v>11</v>
      </c>
      <c r="AJ63" s="57"/>
      <c r="AK63" s="57"/>
      <c r="AL63" s="57"/>
      <c r="AM63" s="57"/>
      <c r="AN63" s="57">
        <v>10</v>
      </c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>
        <v>10</v>
      </c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8">
        <f t="shared" si="1"/>
        <v>38</v>
      </c>
    </row>
    <row r="64" spans="1:73" ht="15" x14ac:dyDescent="0.15">
      <c r="A64" s="76" t="s">
        <v>209</v>
      </c>
      <c r="B64" s="77" t="s">
        <v>200</v>
      </c>
      <c r="C64" s="77" t="s">
        <v>201</v>
      </c>
      <c r="D64" s="77" t="s">
        <v>210</v>
      </c>
      <c r="E64" s="77" t="s">
        <v>203</v>
      </c>
      <c r="F64" s="77"/>
      <c r="G64" s="78">
        <v>0.05</v>
      </c>
      <c r="H64" s="79">
        <v>1.6</v>
      </c>
      <c r="I64" s="77" t="s">
        <v>204</v>
      </c>
      <c r="J64" s="80">
        <f t="shared" si="2"/>
        <v>4</v>
      </c>
      <c r="K64" s="80">
        <f t="shared" si="2"/>
        <v>128</v>
      </c>
      <c r="L64" s="55"/>
      <c r="M64" s="56"/>
      <c r="N64" s="57"/>
      <c r="O64" s="57"/>
      <c r="P64" s="57"/>
      <c r="Q64" s="57"/>
      <c r="R64" s="57"/>
      <c r="S64" s="57"/>
      <c r="T64" s="57"/>
      <c r="U64" s="57"/>
      <c r="V64" s="57"/>
      <c r="W64" s="57">
        <v>3</v>
      </c>
      <c r="X64" s="57"/>
      <c r="Y64" s="57"/>
      <c r="Z64" s="57"/>
      <c r="AA64" s="57"/>
      <c r="AB64" s="57"/>
      <c r="AC64" s="57">
        <v>1</v>
      </c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>
        <v>4</v>
      </c>
      <c r="BD64" s="57"/>
      <c r="BE64" s="57">
        <v>4</v>
      </c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7"/>
      <c r="BR64" s="57"/>
      <c r="BS64" s="57"/>
      <c r="BT64" s="57"/>
      <c r="BU64" s="58">
        <f t="shared" si="1"/>
        <v>12</v>
      </c>
    </row>
    <row r="65" spans="1:73" ht="15" x14ac:dyDescent="0.15">
      <c r="A65" s="76" t="s">
        <v>211</v>
      </c>
      <c r="B65" s="77" t="s">
        <v>200</v>
      </c>
      <c r="C65" s="77" t="s">
        <v>201</v>
      </c>
      <c r="D65" s="77" t="s">
        <v>212</v>
      </c>
      <c r="E65" s="77" t="s">
        <v>203</v>
      </c>
      <c r="F65" s="77"/>
      <c r="G65" s="78">
        <v>0.05</v>
      </c>
      <c r="H65" s="79">
        <v>4</v>
      </c>
      <c r="I65" s="77" t="s">
        <v>204</v>
      </c>
      <c r="J65" s="80">
        <f t="shared" si="2"/>
        <v>4</v>
      </c>
      <c r="K65" s="80">
        <f t="shared" si="2"/>
        <v>320</v>
      </c>
      <c r="L65" s="55"/>
      <c r="M65" s="56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8">
        <f t="shared" si="1"/>
        <v>0</v>
      </c>
    </row>
    <row r="66" spans="1:73" ht="15" x14ac:dyDescent="0.15">
      <c r="A66" s="76" t="s">
        <v>213</v>
      </c>
      <c r="B66" s="77" t="s">
        <v>200</v>
      </c>
      <c r="C66" s="77" t="s">
        <v>201</v>
      </c>
      <c r="D66" s="77" t="s">
        <v>214</v>
      </c>
      <c r="E66" s="77" t="s">
        <v>203</v>
      </c>
      <c r="F66" s="77"/>
      <c r="G66" s="78">
        <v>7.4999999999999997E-2</v>
      </c>
      <c r="H66" s="79">
        <v>0.9</v>
      </c>
      <c r="I66" s="77" t="s">
        <v>204</v>
      </c>
      <c r="J66" s="80">
        <f t="shared" si="2"/>
        <v>6</v>
      </c>
      <c r="K66" s="80">
        <f t="shared" si="2"/>
        <v>72</v>
      </c>
      <c r="L66" s="55"/>
      <c r="M66" s="56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>
        <v>1</v>
      </c>
      <c r="BI66" s="57"/>
      <c r="BJ66" s="57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8">
        <f t="shared" si="1"/>
        <v>1</v>
      </c>
    </row>
    <row r="67" spans="1:73" ht="15" x14ac:dyDescent="0.15">
      <c r="A67" s="76" t="s">
        <v>215</v>
      </c>
      <c r="B67" s="77" t="s">
        <v>200</v>
      </c>
      <c r="C67" s="77" t="s">
        <v>201</v>
      </c>
      <c r="D67" s="77" t="s">
        <v>216</v>
      </c>
      <c r="E67" s="77" t="s">
        <v>203</v>
      </c>
      <c r="F67" s="77"/>
      <c r="G67" s="78">
        <v>7.4999999999999997E-2</v>
      </c>
      <c r="H67" s="79">
        <v>2</v>
      </c>
      <c r="I67" s="77" t="s">
        <v>204</v>
      </c>
      <c r="J67" s="80">
        <f t="shared" si="2"/>
        <v>6</v>
      </c>
      <c r="K67" s="80">
        <f t="shared" si="2"/>
        <v>160</v>
      </c>
      <c r="L67" s="55"/>
      <c r="M67" s="56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>
        <v>3</v>
      </c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>
        <v>44</v>
      </c>
      <c r="BL67" s="57"/>
      <c r="BM67" s="57"/>
      <c r="BN67" s="57"/>
      <c r="BO67" s="57"/>
      <c r="BP67" s="57"/>
      <c r="BQ67" s="57"/>
      <c r="BR67" s="57"/>
      <c r="BS67" s="57"/>
      <c r="BT67" s="57"/>
      <c r="BU67" s="58">
        <f t="shared" si="1"/>
        <v>47</v>
      </c>
    </row>
    <row r="68" spans="1:73" ht="15" x14ac:dyDescent="0.15">
      <c r="A68" s="76" t="s">
        <v>217</v>
      </c>
      <c r="B68" s="77" t="s">
        <v>200</v>
      </c>
      <c r="C68" s="77" t="s">
        <v>201</v>
      </c>
      <c r="D68" s="77" t="s">
        <v>218</v>
      </c>
      <c r="E68" s="77" t="s">
        <v>203</v>
      </c>
      <c r="F68" s="77"/>
      <c r="G68" s="78">
        <v>0.1</v>
      </c>
      <c r="H68" s="79">
        <v>0.4</v>
      </c>
      <c r="I68" s="77" t="s">
        <v>204</v>
      </c>
      <c r="J68" s="80">
        <f t="shared" si="2"/>
        <v>8</v>
      </c>
      <c r="K68" s="80">
        <f t="shared" si="2"/>
        <v>32</v>
      </c>
      <c r="L68" s="55"/>
      <c r="M68" s="56"/>
      <c r="N68" s="57"/>
      <c r="O68" s="57"/>
      <c r="P68" s="57"/>
      <c r="Q68" s="57"/>
      <c r="R68" s="57"/>
      <c r="S68" s="57"/>
      <c r="T68" s="57"/>
      <c r="U68" s="57"/>
      <c r="V68" s="57"/>
      <c r="W68" s="57">
        <f>13+3</f>
        <v>16</v>
      </c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>
        <v>143</v>
      </c>
      <c r="BO68" s="57"/>
      <c r="BP68" s="57"/>
      <c r="BQ68" s="57"/>
      <c r="BR68" s="57"/>
      <c r="BS68" s="57"/>
      <c r="BT68" s="57"/>
      <c r="BU68" s="58">
        <f t="shared" si="1"/>
        <v>159</v>
      </c>
    </row>
    <row r="69" spans="1:73" ht="15" x14ac:dyDescent="0.15">
      <c r="A69" s="81" t="s">
        <v>219</v>
      </c>
      <c r="B69" s="82" t="s">
        <v>200</v>
      </c>
      <c r="C69" s="82" t="s">
        <v>201</v>
      </c>
      <c r="D69" s="82" t="s">
        <v>220</v>
      </c>
      <c r="E69" s="82" t="s">
        <v>203</v>
      </c>
      <c r="F69" s="82"/>
      <c r="G69" s="83">
        <v>0.1</v>
      </c>
      <c r="H69" s="84">
        <v>1</v>
      </c>
      <c r="I69" s="77" t="s">
        <v>204</v>
      </c>
      <c r="J69" s="85">
        <f t="shared" si="2"/>
        <v>8</v>
      </c>
      <c r="K69" s="85">
        <f t="shared" si="2"/>
        <v>80</v>
      </c>
      <c r="L69" s="86"/>
      <c r="M69" s="56"/>
      <c r="O69" s="57">
        <v>15</v>
      </c>
      <c r="P69" s="57">
        <v>30</v>
      </c>
      <c r="Q69" s="57">
        <v>7</v>
      </c>
      <c r="R69" s="57"/>
      <c r="S69" s="57">
        <v>6</v>
      </c>
      <c r="T69" s="57">
        <v>27</v>
      </c>
      <c r="U69" s="57">
        <v>20</v>
      </c>
      <c r="V69" s="57">
        <v>33</v>
      </c>
      <c r="W69" s="57"/>
      <c r="X69" s="57">
        <v>17</v>
      </c>
      <c r="Y69" s="57"/>
      <c r="Z69" s="57"/>
      <c r="AA69" s="57"/>
      <c r="AB69" s="57"/>
      <c r="AC69" s="57"/>
      <c r="AD69" s="57">
        <v>7</v>
      </c>
      <c r="AE69" s="57">
        <v>20</v>
      </c>
      <c r="AF69">
        <v>8</v>
      </c>
      <c r="AG69" s="57"/>
      <c r="AH69" s="57">
        <v>12</v>
      </c>
      <c r="AI69" s="57"/>
      <c r="AJ69" s="57"/>
      <c r="AK69" s="57"/>
      <c r="AL69" s="57"/>
      <c r="AM69" s="57">
        <v>5</v>
      </c>
      <c r="AN69" s="57"/>
      <c r="AO69" s="57"/>
      <c r="AP69" s="57"/>
      <c r="AQ69" s="57"/>
      <c r="AR69" s="57">
        <v>54</v>
      </c>
      <c r="AS69" s="57">
        <v>18</v>
      </c>
      <c r="AT69" s="57">
        <v>43</v>
      </c>
      <c r="AU69" s="57"/>
      <c r="AV69" s="57">
        <v>51</v>
      </c>
      <c r="AW69" s="57">
        <v>23</v>
      </c>
      <c r="AX69" s="57">
        <v>28</v>
      </c>
      <c r="AY69" s="57">
        <v>50</v>
      </c>
      <c r="AZ69" s="57">
        <v>28</v>
      </c>
      <c r="BA69" s="57"/>
      <c r="BB69" s="57"/>
      <c r="BC69" s="57"/>
      <c r="BD69" s="57"/>
      <c r="BE69" s="57"/>
      <c r="BF69" s="57">
        <v>3</v>
      </c>
      <c r="BG69" s="57"/>
      <c r="BH69" s="57"/>
      <c r="BI69" s="57"/>
      <c r="BJ69" s="57">
        <v>16</v>
      </c>
      <c r="BK69" s="57"/>
      <c r="BL69" s="57">
        <v>7</v>
      </c>
      <c r="BM69" s="57">
        <v>48</v>
      </c>
      <c r="BN69" s="57"/>
      <c r="BO69" s="57">
        <v>57</v>
      </c>
      <c r="BP69" s="57"/>
      <c r="BQ69" s="57"/>
      <c r="BR69" s="57">
        <v>129</v>
      </c>
      <c r="BS69" s="57">
        <v>117</v>
      </c>
      <c r="BT69" s="57">
        <v>169</v>
      </c>
      <c r="BU69" s="58">
        <f t="shared" si="1"/>
        <v>1048</v>
      </c>
    </row>
    <row r="70" spans="1:73" ht="15" x14ac:dyDescent="0.15">
      <c r="A70" s="76" t="s">
        <v>221</v>
      </c>
      <c r="B70" s="77" t="s">
        <v>200</v>
      </c>
      <c r="C70" s="77" t="s">
        <v>201</v>
      </c>
      <c r="D70" s="77" t="s">
        <v>222</v>
      </c>
      <c r="E70" s="77" t="s">
        <v>203</v>
      </c>
      <c r="F70" s="77"/>
      <c r="G70" s="78">
        <v>0.1</v>
      </c>
      <c r="H70" s="79">
        <v>1.5</v>
      </c>
      <c r="I70" s="77" t="s">
        <v>204</v>
      </c>
      <c r="J70" s="80">
        <f t="shared" si="2"/>
        <v>8</v>
      </c>
      <c r="K70" s="80">
        <f t="shared" si="2"/>
        <v>120</v>
      </c>
      <c r="L70" s="55"/>
      <c r="M70" s="56"/>
      <c r="N70" s="57"/>
      <c r="O70" s="57"/>
      <c r="P70" s="57"/>
      <c r="Q70" s="57"/>
      <c r="R70" s="57">
        <v>64</v>
      </c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>
        <v>1</v>
      </c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>
        <v>6</v>
      </c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57"/>
      <c r="BQ70" s="57">
        <v>130</v>
      </c>
      <c r="BR70" s="57"/>
      <c r="BS70" s="57"/>
      <c r="BT70" s="57"/>
      <c r="BU70" s="58">
        <f t="shared" si="1"/>
        <v>201</v>
      </c>
    </row>
    <row r="71" spans="1:73" ht="15" x14ac:dyDescent="0.15">
      <c r="A71" s="76" t="s">
        <v>223</v>
      </c>
      <c r="B71" s="77" t="s">
        <v>200</v>
      </c>
      <c r="C71" s="77" t="s">
        <v>201</v>
      </c>
      <c r="D71" s="77" t="s">
        <v>224</v>
      </c>
      <c r="E71" s="77" t="s">
        <v>203</v>
      </c>
      <c r="F71" s="77"/>
      <c r="G71" s="78">
        <v>0.1</v>
      </c>
      <c r="H71" s="79">
        <v>4</v>
      </c>
      <c r="I71" s="77" t="s">
        <v>204</v>
      </c>
      <c r="J71" s="80">
        <f t="shared" ref="J71:K96" si="3">G71*80</f>
        <v>8</v>
      </c>
      <c r="K71" s="80">
        <f t="shared" si="3"/>
        <v>320</v>
      </c>
      <c r="L71" s="55"/>
      <c r="M71" s="56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>
        <v>1</v>
      </c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>
        <v>4</v>
      </c>
      <c r="BN71" s="57"/>
      <c r="BO71" s="57"/>
      <c r="BP71" s="57"/>
      <c r="BQ71" s="57"/>
      <c r="BR71" s="57"/>
      <c r="BS71" s="57"/>
      <c r="BT71" s="57"/>
      <c r="BU71" s="58">
        <f t="shared" si="1"/>
        <v>5</v>
      </c>
    </row>
    <row r="72" spans="1:73" ht="15" x14ac:dyDescent="0.15">
      <c r="A72" s="76" t="s">
        <v>225</v>
      </c>
      <c r="B72" s="77" t="s">
        <v>200</v>
      </c>
      <c r="C72" s="77" t="s">
        <v>226</v>
      </c>
      <c r="D72" s="77" t="s">
        <v>227</v>
      </c>
      <c r="E72" s="77" t="s">
        <v>203</v>
      </c>
      <c r="F72" s="77"/>
      <c r="G72" s="78">
        <v>0.05</v>
      </c>
      <c r="H72" s="79">
        <v>0.2</v>
      </c>
      <c r="I72" s="77" t="s">
        <v>204</v>
      </c>
      <c r="J72" s="80">
        <f t="shared" si="3"/>
        <v>4</v>
      </c>
      <c r="K72" s="80">
        <f t="shared" si="3"/>
        <v>16</v>
      </c>
      <c r="L72" s="55"/>
      <c r="M72" s="56"/>
      <c r="N72" s="57"/>
      <c r="O72" s="57"/>
      <c r="P72" s="57"/>
      <c r="Q72" s="57"/>
      <c r="R72" s="57"/>
      <c r="S72" s="57"/>
      <c r="T72" s="57"/>
      <c r="U72" s="57"/>
      <c r="V72" s="57"/>
      <c r="W72" s="57">
        <v>7</v>
      </c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7"/>
      <c r="BR72" s="57"/>
      <c r="BS72" s="57"/>
      <c r="BT72" s="57"/>
      <c r="BU72" s="58">
        <f t="shared" si="1"/>
        <v>7</v>
      </c>
    </row>
    <row r="73" spans="1:73" ht="15" x14ac:dyDescent="0.15">
      <c r="A73" s="76" t="s">
        <v>228</v>
      </c>
      <c r="B73" s="77" t="s">
        <v>200</v>
      </c>
      <c r="C73" s="77" t="s">
        <v>226</v>
      </c>
      <c r="D73" s="77" t="s">
        <v>229</v>
      </c>
      <c r="E73" s="77" t="s">
        <v>203</v>
      </c>
      <c r="F73" s="77"/>
      <c r="G73" s="78">
        <v>0.05</v>
      </c>
      <c r="H73" s="79">
        <v>0.5</v>
      </c>
      <c r="I73" s="77" t="s">
        <v>204</v>
      </c>
      <c r="J73" s="80">
        <f t="shared" si="3"/>
        <v>4</v>
      </c>
      <c r="K73" s="80">
        <f t="shared" si="3"/>
        <v>40</v>
      </c>
      <c r="L73" s="55"/>
      <c r="M73" s="56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>
        <v>22</v>
      </c>
      <c r="BQ73" s="57"/>
      <c r="BR73" s="57"/>
      <c r="BS73" s="57"/>
      <c r="BT73" s="57">
        <v>76</v>
      </c>
      <c r="BU73" s="58">
        <f t="shared" si="1"/>
        <v>98</v>
      </c>
    </row>
    <row r="74" spans="1:73" ht="15" x14ac:dyDescent="0.15">
      <c r="A74" s="76" t="s">
        <v>230</v>
      </c>
      <c r="B74" s="77" t="s">
        <v>200</v>
      </c>
      <c r="C74" s="77" t="s">
        <v>226</v>
      </c>
      <c r="D74" s="77" t="s">
        <v>231</v>
      </c>
      <c r="E74" s="77" t="s">
        <v>203</v>
      </c>
      <c r="F74" s="77"/>
      <c r="G74" s="78">
        <v>0.05</v>
      </c>
      <c r="H74" s="79">
        <v>0.6</v>
      </c>
      <c r="I74" s="77" t="s">
        <v>204</v>
      </c>
      <c r="J74" s="80">
        <f t="shared" si="3"/>
        <v>4</v>
      </c>
      <c r="K74" s="80">
        <f t="shared" si="3"/>
        <v>48</v>
      </c>
      <c r="L74" s="55"/>
      <c r="M74" s="56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>
        <v>3</v>
      </c>
      <c r="AB74" s="57"/>
      <c r="AC74" s="57"/>
      <c r="AD74" s="57"/>
      <c r="AE74" s="57"/>
      <c r="AF74" s="57">
        <v>3</v>
      </c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>
        <v>1</v>
      </c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8">
        <f t="shared" si="1"/>
        <v>7</v>
      </c>
    </row>
    <row r="75" spans="1:73" ht="15" x14ac:dyDescent="0.15">
      <c r="A75" s="76" t="s">
        <v>232</v>
      </c>
      <c r="B75" s="77" t="s">
        <v>200</v>
      </c>
      <c r="C75" s="77" t="s">
        <v>226</v>
      </c>
      <c r="D75" s="77" t="s">
        <v>233</v>
      </c>
      <c r="E75" s="77" t="s">
        <v>203</v>
      </c>
      <c r="F75" s="77"/>
      <c r="G75" s="78">
        <v>0.05</v>
      </c>
      <c r="H75" s="79">
        <v>0.8</v>
      </c>
      <c r="I75" s="77" t="s">
        <v>204</v>
      </c>
      <c r="J75" s="80">
        <f t="shared" si="3"/>
        <v>4</v>
      </c>
      <c r="K75" s="80">
        <f t="shared" si="3"/>
        <v>64</v>
      </c>
      <c r="L75" s="55"/>
      <c r="M75" s="56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E75" s="57">
        <v>13</v>
      </c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>
        <v>3</v>
      </c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7">
        <v>123</v>
      </c>
      <c r="BQ75" s="57"/>
      <c r="BR75" s="57"/>
      <c r="BS75" s="57"/>
      <c r="BT75" s="57"/>
      <c r="BU75" s="58">
        <f t="shared" si="1"/>
        <v>139</v>
      </c>
    </row>
    <row r="76" spans="1:73" ht="15" x14ac:dyDescent="0.15">
      <c r="A76" s="76" t="s">
        <v>234</v>
      </c>
      <c r="B76" s="77" t="s">
        <v>200</v>
      </c>
      <c r="C76" s="77" t="s">
        <v>226</v>
      </c>
      <c r="D76" s="77" t="s">
        <v>235</v>
      </c>
      <c r="E76" s="77" t="s">
        <v>203</v>
      </c>
      <c r="F76" s="77"/>
      <c r="G76" s="78">
        <v>0.05</v>
      </c>
      <c r="H76" s="79">
        <v>1</v>
      </c>
      <c r="I76" s="77" t="s">
        <v>204</v>
      </c>
      <c r="J76" s="80">
        <f t="shared" si="3"/>
        <v>4</v>
      </c>
      <c r="K76" s="80">
        <f t="shared" si="3"/>
        <v>80</v>
      </c>
      <c r="L76" s="55"/>
      <c r="M76" s="56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>
        <v>1</v>
      </c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>
        <v>1</v>
      </c>
      <c r="AR76" s="57"/>
      <c r="AS76" s="57"/>
      <c r="AT76" s="57"/>
      <c r="AU76" s="57"/>
      <c r="AV76" s="57"/>
      <c r="AW76" s="57"/>
      <c r="AX76" s="57"/>
      <c r="AY76" s="57">
        <v>9</v>
      </c>
      <c r="AZ76" s="57"/>
      <c r="BA76" s="57"/>
      <c r="BB76" s="57"/>
      <c r="BC76" s="57"/>
      <c r="BD76" s="57"/>
      <c r="BE76" s="57"/>
      <c r="BF76" s="57"/>
      <c r="BG76" s="57"/>
      <c r="BH76" s="57"/>
      <c r="BI76" s="57">
        <v>15</v>
      </c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8">
        <f t="shared" si="1"/>
        <v>26</v>
      </c>
    </row>
    <row r="77" spans="1:73" ht="15" x14ac:dyDescent="0.15">
      <c r="A77" s="76" t="s">
        <v>236</v>
      </c>
      <c r="B77" s="77" t="s">
        <v>200</v>
      </c>
      <c r="C77" s="77" t="s">
        <v>226</v>
      </c>
      <c r="D77" s="77" t="s">
        <v>237</v>
      </c>
      <c r="E77" s="77" t="s">
        <v>203</v>
      </c>
      <c r="F77" s="77"/>
      <c r="G77" s="78">
        <v>0.05</v>
      </c>
      <c r="H77" s="79">
        <v>1.5</v>
      </c>
      <c r="I77" s="77" t="s">
        <v>204</v>
      </c>
      <c r="J77" s="80">
        <f t="shared" si="3"/>
        <v>4</v>
      </c>
      <c r="K77" s="80">
        <f t="shared" si="3"/>
        <v>120</v>
      </c>
      <c r="L77" s="55"/>
      <c r="M77" s="56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>
        <v>28</v>
      </c>
      <c r="BT77" s="57"/>
      <c r="BU77" s="58">
        <f t="shared" ref="BU77:BU140" si="4">SUM(M77:BT77)</f>
        <v>28</v>
      </c>
    </row>
    <row r="78" spans="1:73" ht="15" x14ac:dyDescent="0.15">
      <c r="A78" s="76" t="s">
        <v>238</v>
      </c>
      <c r="B78" s="77" t="s">
        <v>200</v>
      </c>
      <c r="C78" s="77" t="s">
        <v>226</v>
      </c>
      <c r="D78" s="77" t="s">
        <v>239</v>
      </c>
      <c r="E78" s="77" t="s">
        <v>203</v>
      </c>
      <c r="F78" s="77"/>
      <c r="G78" s="78">
        <v>0.05</v>
      </c>
      <c r="H78" s="79">
        <v>2</v>
      </c>
      <c r="I78" s="77" t="s">
        <v>204</v>
      </c>
      <c r="J78" s="80">
        <f t="shared" si="3"/>
        <v>4</v>
      </c>
      <c r="K78" s="80">
        <f t="shared" si="3"/>
        <v>160</v>
      </c>
      <c r="L78" s="55"/>
      <c r="M78" s="56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>
        <v>1</v>
      </c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8">
        <f t="shared" si="4"/>
        <v>1</v>
      </c>
    </row>
    <row r="79" spans="1:73" ht="15" x14ac:dyDescent="0.15">
      <c r="A79" s="76" t="s">
        <v>240</v>
      </c>
      <c r="B79" s="77" t="s">
        <v>200</v>
      </c>
      <c r="C79" s="77" t="s">
        <v>226</v>
      </c>
      <c r="D79" s="77" t="s">
        <v>241</v>
      </c>
      <c r="E79" s="77" t="s">
        <v>203</v>
      </c>
      <c r="F79" s="77"/>
      <c r="G79" s="78">
        <v>0.05</v>
      </c>
      <c r="H79" s="79">
        <v>3</v>
      </c>
      <c r="I79" s="77" t="s">
        <v>204</v>
      </c>
      <c r="J79" s="80">
        <f t="shared" si="3"/>
        <v>4</v>
      </c>
      <c r="K79" s="80">
        <f t="shared" si="3"/>
        <v>240</v>
      </c>
      <c r="L79" s="55"/>
      <c r="M79" s="56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>
        <v>1</v>
      </c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8">
        <f t="shared" si="4"/>
        <v>1</v>
      </c>
    </row>
    <row r="80" spans="1:73" ht="15" x14ac:dyDescent="0.15">
      <c r="A80" s="76" t="s">
        <v>242</v>
      </c>
      <c r="B80" s="77" t="s">
        <v>200</v>
      </c>
      <c r="C80" s="77" t="s">
        <v>226</v>
      </c>
      <c r="D80" s="77" t="s">
        <v>243</v>
      </c>
      <c r="E80" s="77" t="s">
        <v>203</v>
      </c>
      <c r="F80" s="77"/>
      <c r="G80" s="78">
        <v>7.4999999999999997E-2</v>
      </c>
      <c r="H80" s="79">
        <v>0.5</v>
      </c>
      <c r="I80" s="77" t="s">
        <v>204</v>
      </c>
      <c r="J80" s="80">
        <f t="shared" si="3"/>
        <v>6</v>
      </c>
      <c r="K80" s="80">
        <f t="shared" si="3"/>
        <v>40</v>
      </c>
      <c r="L80" s="55"/>
      <c r="M80" s="56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>
        <v>1</v>
      </c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8">
        <f t="shared" si="4"/>
        <v>1</v>
      </c>
    </row>
    <row r="81" spans="1:73" ht="15" x14ac:dyDescent="0.15">
      <c r="A81" s="76" t="s">
        <v>244</v>
      </c>
      <c r="B81" s="77" t="s">
        <v>200</v>
      </c>
      <c r="C81" s="77" t="s">
        <v>226</v>
      </c>
      <c r="D81" s="77" t="s">
        <v>245</v>
      </c>
      <c r="E81" s="77" t="s">
        <v>203</v>
      </c>
      <c r="F81" s="77"/>
      <c r="G81" s="78">
        <v>7.4999999999999997E-2</v>
      </c>
      <c r="H81" s="79">
        <v>0.7</v>
      </c>
      <c r="I81" s="77" t="s">
        <v>204</v>
      </c>
      <c r="J81" s="80">
        <f t="shared" si="3"/>
        <v>6</v>
      </c>
      <c r="K81" s="80">
        <f t="shared" si="3"/>
        <v>56</v>
      </c>
      <c r="L81" s="55"/>
      <c r="M81" s="56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B81" s="57">
        <v>3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>
        <v>2</v>
      </c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8">
        <f t="shared" si="4"/>
        <v>5</v>
      </c>
    </row>
    <row r="82" spans="1:73" ht="15" x14ac:dyDescent="0.15">
      <c r="A82" s="76" t="s">
        <v>246</v>
      </c>
      <c r="B82" s="77" t="s">
        <v>200</v>
      </c>
      <c r="C82" s="77" t="s">
        <v>226</v>
      </c>
      <c r="D82" s="77" t="s">
        <v>247</v>
      </c>
      <c r="E82" s="77" t="s">
        <v>203</v>
      </c>
      <c r="F82" s="77"/>
      <c r="G82" s="78">
        <v>7.4999999999999997E-2</v>
      </c>
      <c r="H82" s="79">
        <v>0.8</v>
      </c>
      <c r="I82" s="77" t="s">
        <v>204</v>
      </c>
      <c r="J82" s="80">
        <f t="shared" si="3"/>
        <v>6</v>
      </c>
      <c r="K82" s="80">
        <f t="shared" si="3"/>
        <v>64</v>
      </c>
      <c r="L82" s="55"/>
      <c r="M82" s="56"/>
      <c r="N82" s="57">
        <v>5</v>
      </c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8">
        <f t="shared" si="4"/>
        <v>5</v>
      </c>
    </row>
    <row r="83" spans="1:73" ht="15" x14ac:dyDescent="0.15">
      <c r="A83" s="76" t="s">
        <v>248</v>
      </c>
      <c r="B83" s="77" t="s">
        <v>200</v>
      </c>
      <c r="C83" s="77" t="s">
        <v>226</v>
      </c>
      <c r="D83" s="77" t="s">
        <v>249</v>
      </c>
      <c r="E83" s="77" t="s">
        <v>203</v>
      </c>
      <c r="F83" s="77"/>
      <c r="G83" s="78">
        <v>7.4999999999999997E-2</v>
      </c>
      <c r="H83" s="79">
        <v>1</v>
      </c>
      <c r="I83" s="77" t="s">
        <v>204</v>
      </c>
      <c r="J83" s="80">
        <f t="shared" si="3"/>
        <v>6</v>
      </c>
      <c r="K83" s="80">
        <f t="shared" si="3"/>
        <v>80</v>
      </c>
      <c r="L83" s="55"/>
      <c r="M83" s="56"/>
      <c r="N83" s="57"/>
      <c r="O83" s="57"/>
      <c r="P83" s="57"/>
      <c r="Q83" s="57"/>
      <c r="R83" s="57"/>
      <c r="S83" s="57">
        <v>9</v>
      </c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>
        <v>11</v>
      </c>
      <c r="BL83" s="57"/>
      <c r="BM83" s="57"/>
      <c r="BN83" s="57"/>
      <c r="BO83" s="57"/>
      <c r="BP83" s="57"/>
      <c r="BQ83" s="57"/>
      <c r="BR83" s="57"/>
      <c r="BS83" s="57"/>
      <c r="BT83" s="57"/>
      <c r="BU83" s="58">
        <f t="shared" si="4"/>
        <v>20</v>
      </c>
    </row>
    <row r="84" spans="1:73" ht="15" x14ac:dyDescent="0.15">
      <c r="A84" s="76" t="s">
        <v>250</v>
      </c>
      <c r="B84" s="77" t="s">
        <v>200</v>
      </c>
      <c r="C84" s="77" t="s">
        <v>226</v>
      </c>
      <c r="D84" s="77" t="s">
        <v>251</v>
      </c>
      <c r="E84" s="77" t="s">
        <v>203</v>
      </c>
      <c r="F84" s="77"/>
      <c r="G84" s="78">
        <v>7.4999999999999997E-2</v>
      </c>
      <c r="H84" s="79">
        <v>2.5</v>
      </c>
      <c r="I84" s="77" t="s">
        <v>204</v>
      </c>
      <c r="J84" s="80">
        <f t="shared" si="3"/>
        <v>6</v>
      </c>
      <c r="K84" s="80">
        <f t="shared" si="3"/>
        <v>200</v>
      </c>
      <c r="L84" s="55"/>
      <c r="M84" s="56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>
        <v>6</v>
      </c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>
        <v>2</v>
      </c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>
        <v>5</v>
      </c>
      <c r="BR84" s="57"/>
      <c r="BS84" s="57"/>
      <c r="BT84" s="57"/>
      <c r="BU84" s="58">
        <f t="shared" si="4"/>
        <v>13</v>
      </c>
    </row>
    <row r="85" spans="1:73" ht="15" x14ac:dyDescent="0.15">
      <c r="A85" s="76" t="s">
        <v>252</v>
      </c>
      <c r="B85" s="77" t="s">
        <v>200</v>
      </c>
      <c r="C85" s="77" t="s">
        <v>226</v>
      </c>
      <c r="D85" s="77" t="s">
        <v>253</v>
      </c>
      <c r="E85" s="77" t="s">
        <v>203</v>
      </c>
      <c r="F85" s="77"/>
      <c r="G85" s="78">
        <v>0.1</v>
      </c>
      <c r="H85" s="79">
        <v>0.5</v>
      </c>
      <c r="I85" s="77" t="s">
        <v>204</v>
      </c>
      <c r="J85" s="80">
        <f t="shared" si="3"/>
        <v>8</v>
      </c>
      <c r="K85" s="80">
        <f t="shared" si="3"/>
        <v>40</v>
      </c>
      <c r="L85" s="55"/>
      <c r="M85" s="56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>
        <v>1</v>
      </c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>
        <v>11</v>
      </c>
      <c r="BH85" s="57"/>
      <c r="BI85" s="57">
        <v>1</v>
      </c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8">
        <f t="shared" si="4"/>
        <v>13</v>
      </c>
    </row>
    <row r="86" spans="1:73" ht="15" x14ac:dyDescent="0.15">
      <c r="A86" s="76" t="s">
        <v>254</v>
      </c>
      <c r="B86" s="77" t="s">
        <v>200</v>
      </c>
      <c r="C86" s="77" t="s">
        <v>226</v>
      </c>
      <c r="D86" s="77" t="s">
        <v>255</v>
      </c>
      <c r="E86" s="77" t="s">
        <v>203</v>
      </c>
      <c r="F86" s="77"/>
      <c r="G86" s="78">
        <v>0.1</v>
      </c>
      <c r="H86" s="79">
        <v>1</v>
      </c>
      <c r="I86" s="77" t="s">
        <v>204</v>
      </c>
      <c r="J86" s="80">
        <f t="shared" si="3"/>
        <v>8</v>
      </c>
      <c r="K86" s="80">
        <f t="shared" si="3"/>
        <v>80</v>
      </c>
      <c r="L86" s="55"/>
      <c r="M86" s="56"/>
      <c r="N86" s="57"/>
      <c r="O86" s="57"/>
      <c r="P86" s="57">
        <v>10</v>
      </c>
      <c r="Q86" s="57"/>
      <c r="R86" s="57"/>
      <c r="S86" s="57"/>
      <c r="T86" s="57">
        <v>28</v>
      </c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>
        <v>1</v>
      </c>
      <c r="BO86" s="57"/>
      <c r="BP86" s="57"/>
      <c r="BQ86" s="57"/>
      <c r="BR86" s="57">
        <v>16</v>
      </c>
      <c r="BS86" s="57"/>
      <c r="BT86" s="57"/>
      <c r="BU86" s="58">
        <f t="shared" si="4"/>
        <v>55</v>
      </c>
    </row>
    <row r="87" spans="1:73" ht="15" x14ac:dyDescent="0.15">
      <c r="A87" s="76" t="s">
        <v>256</v>
      </c>
      <c r="B87" s="77" t="s">
        <v>200</v>
      </c>
      <c r="C87" s="77" t="s">
        <v>226</v>
      </c>
      <c r="D87" s="77" t="s">
        <v>257</v>
      </c>
      <c r="E87" s="77" t="s">
        <v>203</v>
      </c>
      <c r="F87" s="77"/>
      <c r="G87" s="78">
        <v>0.1</v>
      </c>
      <c r="H87" s="79">
        <v>1.8</v>
      </c>
      <c r="I87" s="77" t="s">
        <v>204</v>
      </c>
      <c r="J87" s="80">
        <f t="shared" si="3"/>
        <v>8</v>
      </c>
      <c r="K87" s="80">
        <f t="shared" si="3"/>
        <v>144</v>
      </c>
      <c r="L87" s="55"/>
      <c r="M87" s="56"/>
      <c r="N87" s="57"/>
      <c r="O87" s="57"/>
      <c r="P87" s="57"/>
      <c r="Q87" s="57"/>
      <c r="R87" s="57"/>
      <c r="S87" s="57"/>
      <c r="T87" s="57"/>
      <c r="U87" s="57"/>
      <c r="V87" s="57"/>
      <c r="W87" s="57">
        <v>4</v>
      </c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>
        <v>2</v>
      </c>
      <c r="BM87" s="57"/>
      <c r="BN87" s="57"/>
      <c r="BO87" s="57"/>
      <c r="BP87" s="57"/>
      <c r="BQ87" s="57"/>
      <c r="BR87" s="57"/>
      <c r="BS87" s="57"/>
      <c r="BT87" s="57"/>
      <c r="BU87" s="58">
        <f t="shared" si="4"/>
        <v>6</v>
      </c>
    </row>
    <row r="88" spans="1:73" ht="15" x14ac:dyDescent="0.15">
      <c r="A88" s="76" t="s">
        <v>258</v>
      </c>
      <c r="B88" s="77" t="s">
        <v>200</v>
      </c>
      <c r="C88" s="77" t="s">
        <v>103</v>
      </c>
      <c r="D88" s="77" t="s">
        <v>259</v>
      </c>
      <c r="E88" s="77" t="s">
        <v>203</v>
      </c>
      <c r="F88" s="77"/>
      <c r="G88" s="78">
        <v>0.02</v>
      </c>
      <c r="H88" s="79">
        <v>1</v>
      </c>
      <c r="I88" s="77" t="s">
        <v>204</v>
      </c>
      <c r="J88" s="80">
        <f t="shared" si="3"/>
        <v>1.6</v>
      </c>
      <c r="K88" s="80">
        <f t="shared" si="3"/>
        <v>80</v>
      </c>
      <c r="L88" s="55"/>
      <c r="M88" s="56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>
        <v>1</v>
      </c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8">
        <f t="shared" si="4"/>
        <v>1</v>
      </c>
    </row>
    <row r="89" spans="1:73" ht="15" x14ac:dyDescent="0.15">
      <c r="A89" s="76" t="s">
        <v>260</v>
      </c>
      <c r="B89" s="77" t="s">
        <v>200</v>
      </c>
      <c r="C89" s="77" t="s">
        <v>103</v>
      </c>
      <c r="D89" s="77" t="s">
        <v>261</v>
      </c>
      <c r="E89" s="77" t="s">
        <v>203</v>
      </c>
      <c r="F89" s="77"/>
      <c r="G89" s="78">
        <v>0.05</v>
      </c>
      <c r="H89" s="79">
        <v>0.8</v>
      </c>
      <c r="I89" s="77" t="s">
        <v>204</v>
      </c>
      <c r="J89" s="80">
        <f t="shared" si="3"/>
        <v>4</v>
      </c>
      <c r="K89" s="80">
        <f t="shared" si="3"/>
        <v>64</v>
      </c>
      <c r="L89" s="55"/>
      <c r="M89" s="56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>
        <v>1</v>
      </c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8">
        <f t="shared" si="4"/>
        <v>1</v>
      </c>
    </row>
    <row r="90" spans="1:73" ht="15" x14ac:dyDescent="0.15">
      <c r="A90" s="76" t="s">
        <v>262</v>
      </c>
      <c r="B90" s="77" t="s">
        <v>200</v>
      </c>
      <c r="C90" s="77" t="s">
        <v>103</v>
      </c>
      <c r="D90" s="87" t="s">
        <v>263</v>
      </c>
      <c r="E90" s="77" t="s">
        <v>203</v>
      </c>
      <c r="F90" s="87"/>
      <c r="G90" s="88">
        <v>0.05</v>
      </c>
      <c r="H90" s="89">
        <v>1</v>
      </c>
      <c r="I90" s="77" t="s">
        <v>204</v>
      </c>
      <c r="J90" s="90">
        <f t="shared" si="3"/>
        <v>4</v>
      </c>
      <c r="K90" s="80">
        <f t="shared" si="3"/>
        <v>80</v>
      </c>
      <c r="L90" s="91"/>
      <c r="M90" s="56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>
        <v>42</v>
      </c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8">
        <f t="shared" si="4"/>
        <v>42</v>
      </c>
    </row>
    <row r="91" spans="1:73" ht="15" x14ac:dyDescent="0.15">
      <c r="A91" s="76" t="s">
        <v>264</v>
      </c>
      <c r="B91" s="77" t="s">
        <v>200</v>
      </c>
      <c r="C91" s="77" t="s">
        <v>103</v>
      </c>
      <c r="D91" s="87" t="s">
        <v>265</v>
      </c>
      <c r="E91" s="77" t="s">
        <v>203</v>
      </c>
      <c r="F91" s="87"/>
      <c r="G91" s="88">
        <v>0.05</v>
      </c>
      <c r="H91" s="89">
        <v>1.2</v>
      </c>
      <c r="I91" s="77" t="s">
        <v>204</v>
      </c>
      <c r="J91" s="90">
        <f t="shared" si="3"/>
        <v>4</v>
      </c>
      <c r="K91" s="80">
        <f t="shared" si="3"/>
        <v>96</v>
      </c>
      <c r="L91" s="91"/>
      <c r="M91" s="56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>
        <v>11</v>
      </c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8">
        <f t="shared" si="4"/>
        <v>11</v>
      </c>
    </row>
    <row r="92" spans="1:73" ht="15" x14ac:dyDescent="0.15">
      <c r="A92" s="76" t="s">
        <v>266</v>
      </c>
      <c r="B92" s="77" t="s">
        <v>200</v>
      </c>
      <c r="C92" s="77" t="s">
        <v>103</v>
      </c>
      <c r="D92" s="87" t="s">
        <v>267</v>
      </c>
      <c r="E92" s="77" t="s">
        <v>203</v>
      </c>
      <c r="F92" s="87"/>
      <c r="G92" s="88">
        <v>0.05</v>
      </c>
      <c r="H92" s="89">
        <v>1.6</v>
      </c>
      <c r="I92" s="77" t="s">
        <v>204</v>
      </c>
      <c r="J92" s="90">
        <f t="shared" si="3"/>
        <v>4</v>
      </c>
      <c r="K92" s="80">
        <f t="shared" si="3"/>
        <v>128</v>
      </c>
      <c r="L92" s="91"/>
      <c r="M92" s="56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>
        <v>11</v>
      </c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>
        <v>1</v>
      </c>
      <c r="BO92" s="57"/>
      <c r="BP92" s="57"/>
      <c r="BQ92" s="57"/>
      <c r="BR92" s="57"/>
      <c r="BS92" s="57">
        <v>1</v>
      </c>
      <c r="BT92" s="57"/>
      <c r="BU92" s="58">
        <f t="shared" si="4"/>
        <v>13</v>
      </c>
    </row>
    <row r="93" spans="1:73" ht="15" x14ac:dyDescent="0.15">
      <c r="A93" s="76" t="s">
        <v>268</v>
      </c>
      <c r="B93" s="77" t="s">
        <v>200</v>
      </c>
      <c r="C93" s="77" t="s">
        <v>103</v>
      </c>
      <c r="D93" s="87" t="s">
        <v>269</v>
      </c>
      <c r="E93" s="77" t="s">
        <v>203</v>
      </c>
      <c r="F93" s="87"/>
      <c r="G93" s="88">
        <v>7.4999999999999997E-2</v>
      </c>
      <c r="H93" s="89">
        <v>1</v>
      </c>
      <c r="I93" s="77" t="s">
        <v>204</v>
      </c>
      <c r="J93" s="90">
        <f t="shared" si="3"/>
        <v>6</v>
      </c>
      <c r="K93" s="80">
        <f t="shared" si="3"/>
        <v>80</v>
      </c>
      <c r="L93" s="91"/>
      <c r="M93" s="56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>
        <v>5</v>
      </c>
      <c r="AS93" s="57"/>
      <c r="AT93" s="57"/>
      <c r="AU93" s="57"/>
      <c r="AV93" s="57">
        <v>8</v>
      </c>
      <c r="AX93" s="57"/>
      <c r="AY93" s="57"/>
      <c r="AZ93" s="57">
        <v>14</v>
      </c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8">
        <f t="shared" si="4"/>
        <v>27</v>
      </c>
    </row>
    <row r="94" spans="1:73" ht="15" x14ac:dyDescent="0.15">
      <c r="A94" s="76" t="s">
        <v>270</v>
      </c>
      <c r="B94" s="77" t="s">
        <v>200</v>
      </c>
      <c r="C94" s="77" t="s">
        <v>103</v>
      </c>
      <c r="D94" s="77" t="s">
        <v>271</v>
      </c>
      <c r="E94" s="77" t="s">
        <v>203</v>
      </c>
      <c r="F94" s="77"/>
      <c r="G94" s="78">
        <v>0.1</v>
      </c>
      <c r="H94" s="79">
        <v>0.5</v>
      </c>
      <c r="I94" s="77" t="s">
        <v>204</v>
      </c>
      <c r="J94" s="80">
        <f t="shared" si="3"/>
        <v>8</v>
      </c>
      <c r="K94" s="80">
        <f t="shared" si="3"/>
        <v>40</v>
      </c>
      <c r="L94" s="55"/>
      <c r="M94" s="56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>
        <v>3</v>
      </c>
      <c r="BL94" s="57"/>
      <c r="BM94" s="57"/>
      <c r="BN94" s="57"/>
      <c r="BO94" s="57"/>
      <c r="BP94" s="57"/>
      <c r="BQ94" s="57"/>
      <c r="BR94" s="57"/>
      <c r="BS94" s="57"/>
      <c r="BT94" s="57"/>
      <c r="BU94" s="58">
        <f t="shared" si="4"/>
        <v>3</v>
      </c>
    </row>
    <row r="95" spans="1:73" ht="15" x14ac:dyDescent="0.15">
      <c r="A95" s="76" t="s">
        <v>272</v>
      </c>
      <c r="B95" s="77" t="s">
        <v>200</v>
      </c>
      <c r="C95" s="77" t="s">
        <v>103</v>
      </c>
      <c r="D95" s="77" t="s">
        <v>273</v>
      </c>
      <c r="E95" s="77" t="s">
        <v>203</v>
      </c>
      <c r="F95" s="77"/>
      <c r="G95" s="78">
        <v>0.1</v>
      </c>
      <c r="H95" s="79">
        <v>0.9</v>
      </c>
      <c r="I95" s="77" t="s">
        <v>204</v>
      </c>
      <c r="J95" s="80">
        <f t="shared" si="3"/>
        <v>8</v>
      </c>
      <c r="K95" s="80">
        <f t="shared" si="3"/>
        <v>72</v>
      </c>
      <c r="L95" s="55"/>
      <c r="M95" s="56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>
        <v>1</v>
      </c>
      <c r="AY95" s="57"/>
      <c r="AZ95" s="57"/>
      <c r="BA95" s="57">
        <v>15</v>
      </c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>
        <v>1</v>
      </c>
      <c r="BP95" s="57"/>
      <c r="BQ95" s="57"/>
      <c r="BR95" s="57"/>
      <c r="BS95" s="57"/>
      <c r="BT95" s="57"/>
      <c r="BU95" s="58">
        <f t="shared" si="4"/>
        <v>17</v>
      </c>
    </row>
    <row r="96" spans="1:73" ht="15" x14ac:dyDescent="0.15">
      <c r="A96" s="76" t="s">
        <v>274</v>
      </c>
      <c r="B96" s="77" t="s">
        <v>200</v>
      </c>
      <c r="C96" s="77" t="s">
        <v>103</v>
      </c>
      <c r="D96" s="77" t="s">
        <v>275</v>
      </c>
      <c r="E96" s="77" t="s">
        <v>203</v>
      </c>
      <c r="F96" s="77"/>
      <c r="G96" s="78">
        <v>0.1</v>
      </c>
      <c r="H96" s="79">
        <v>2.1</v>
      </c>
      <c r="I96" s="77" t="s">
        <v>204</v>
      </c>
      <c r="J96" s="80">
        <f t="shared" si="3"/>
        <v>8</v>
      </c>
      <c r="K96" s="80">
        <f t="shared" si="3"/>
        <v>168</v>
      </c>
      <c r="L96" s="55"/>
      <c r="M96" s="56">
        <v>8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>
        <v>17</v>
      </c>
      <c r="BM96" s="57"/>
      <c r="BN96" s="57">
        <v>5</v>
      </c>
      <c r="BO96" s="57"/>
      <c r="BP96" s="57">
        <v>1</v>
      </c>
      <c r="BQ96" s="57"/>
      <c r="BR96" s="57"/>
      <c r="BS96" s="57"/>
      <c r="BT96" s="57"/>
      <c r="BU96" s="58">
        <f t="shared" si="4"/>
        <v>31</v>
      </c>
    </row>
    <row r="97" spans="1:73" ht="15" x14ac:dyDescent="0.15">
      <c r="A97" s="92" t="s">
        <v>276</v>
      </c>
      <c r="B97" s="93" t="s">
        <v>277</v>
      </c>
      <c r="C97" s="93" t="s">
        <v>278</v>
      </c>
      <c r="D97" s="93" t="s">
        <v>279</v>
      </c>
      <c r="E97" s="94" t="s">
        <v>203</v>
      </c>
      <c r="F97" s="93"/>
      <c r="G97" s="95">
        <v>0.4</v>
      </c>
      <c r="H97" s="96">
        <v>0.4</v>
      </c>
      <c r="I97" s="77" t="s">
        <v>204</v>
      </c>
      <c r="J97" s="97">
        <f t="shared" ref="J97:K99" si="5">G97*80</f>
        <v>32</v>
      </c>
      <c r="K97" s="97">
        <f t="shared" si="5"/>
        <v>32</v>
      </c>
      <c r="L97" s="98"/>
      <c r="M97" s="56"/>
      <c r="N97" s="57"/>
      <c r="O97" s="57">
        <v>1</v>
      </c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8">
        <f t="shared" si="4"/>
        <v>1</v>
      </c>
    </row>
    <row r="98" spans="1:73" ht="15" x14ac:dyDescent="0.15">
      <c r="A98" s="92" t="s">
        <v>280</v>
      </c>
      <c r="B98" s="93" t="s">
        <v>277</v>
      </c>
      <c r="C98" s="93" t="s">
        <v>278</v>
      </c>
      <c r="D98" s="93" t="s">
        <v>281</v>
      </c>
      <c r="E98" s="94" t="s">
        <v>203</v>
      </c>
      <c r="F98" s="93"/>
      <c r="G98" s="95">
        <v>0.5</v>
      </c>
      <c r="H98" s="96">
        <v>0.5</v>
      </c>
      <c r="I98" s="77" t="s">
        <v>204</v>
      </c>
      <c r="J98" s="97">
        <f t="shared" si="5"/>
        <v>40</v>
      </c>
      <c r="K98" s="97">
        <f t="shared" si="5"/>
        <v>40</v>
      </c>
      <c r="L98" s="98"/>
      <c r="M98" s="56"/>
      <c r="N98" s="57"/>
      <c r="O98" s="57"/>
      <c r="P98" s="57"/>
      <c r="Q98" s="57"/>
      <c r="R98" s="57"/>
      <c r="S98" s="57"/>
      <c r="T98" s="57">
        <v>2</v>
      </c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>
        <v>12</v>
      </c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>
        <v>1</v>
      </c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>
        <v>40</v>
      </c>
      <c r="BS98" s="57"/>
      <c r="BT98" s="57"/>
      <c r="BU98" s="58">
        <f t="shared" si="4"/>
        <v>55</v>
      </c>
    </row>
    <row r="99" spans="1:73" ht="15" x14ac:dyDescent="0.15">
      <c r="A99" s="92" t="s">
        <v>282</v>
      </c>
      <c r="B99" s="93" t="s">
        <v>277</v>
      </c>
      <c r="C99" s="93" t="s">
        <v>278</v>
      </c>
      <c r="D99" s="93" t="s">
        <v>283</v>
      </c>
      <c r="E99" s="94" t="s">
        <v>203</v>
      </c>
      <c r="F99" s="93"/>
      <c r="G99" s="95">
        <v>0.6</v>
      </c>
      <c r="H99" s="96">
        <v>0.6</v>
      </c>
      <c r="I99" s="77" t="s">
        <v>204</v>
      </c>
      <c r="J99" s="97">
        <f t="shared" si="5"/>
        <v>48</v>
      </c>
      <c r="K99" s="97">
        <f t="shared" si="5"/>
        <v>48</v>
      </c>
      <c r="L99" s="98"/>
      <c r="M99" s="56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>
        <v>3</v>
      </c>
      <c r="BE99" s="57"/>
      <c r="BF99" s="57"/>
      <c r="BG99" s="57"/>
      <c r="BH99" s="57">
        <v>4</v>
      </c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8">
        <f t="shared" si="4"/>
        <v>7</v>
      </c>
    </row>
    <row r="100" spans="1:73" ht="15" x14ac:dyDescent="0.15">
      <c r="A100" s="99" t="s">
        <v>284</v>
      </c>
      <c r="B100" s="93" t="s">
        <v>277</v>
      </c>
      <c r="C100" s="93" t="s">
        <v>278</v>
      </c>
      <c r="D100" s="93" t="s">
        <v>285</v>
      </c>
      <c r="E100" s="94" t="s">
        <v>203</v>
      </c>
      <c r="F100" s="93"/>
      <c r="G100" s="100"/>
      <c r="H100" s="101"/>
      <c r="I100" s="77" t="s">
        <v>204</v>
      </c>
      <c r="J100" s="102">
        <v>24.5</v>
      </c>
      <c r="K100" s="102">
        <v>24.5</v>
      </c>
      <c r="L100" s="103"/>
      <c r="M100" s="56">
        <v>30</v>
      </c>
      <c r="N100" s="57">
        <v>17</v>
      </c>
      <c r="O100" s="57"/>
      <c r="P100" s="57">
        <v>14</v>
      </c>
      <c r="Q100" s="57">
        <v>2</v>
      </c>
      <c r="R100" s="57">
        <v>19</v>
      </c>
      <c r="S100" s="57">
        <v>2</v>
      </c>
      <c r="T100" s="57">
        <v>19</v>
      </c>
      <c r="U100" s="57">
        <v>32</v>
      </c>
      <c r="V100" s="57">
        <f>3+24</f>
        <v>27</v>
      </c>
      <c r="W100" s="57">
        <v>28</v>
      </c>
      <c r="X100" s="57">
        <v>14</v>
      </c>
      <c r="Y100" s="57">
        <v>3</v>
      </c>
      <c r="Z100" s="57">
        <v>13</v>
      </c>
      <c r="AA100" s="57"/>
      <c r="AB100" s="57">
        <v>13</v>
      </c>
      <c r="AC100" s="57"/>
      <c r="AD100" s="57">
        <v>9</v>
      </c>
      <c r="AE100" s="57">
        <v>18</v>
      </c>
      <c r="AF100" s="57">
        <f>10+2</f>
        <v>12</v>
      </c>
      <c r="AG100" s="57"/>
      <c r="AH100" s="57">
        <v>754</v>
      </c>
      <c r="AI100" s="57">
        <v>67</v>
      </c>
      <c r="AJ100" s="57">
        <v>474</v>
      </c>
      <c r="AK100" s="65">
        <v>111</v>
      </c>
      <c r="AL100" s="57">
        <v>669</v>
      </c>
      <c r="AM100" s="57">
        <v>169</v>
      </c>
      <c r="AN100" s="57">
        <v>604</v>
      </c>
      <c r="AO100" s="57">
        <v>730</v>
      </c>
      <c r="AP100" s="57">
        <v>622</v>
      </c>
      <c r="AQ100" s="57">
        <v>14</v>
      </c>
      <c r="AR100" s="57">
        <v>7</v>
      </c>
      <c r="AS100" s="57">
        <v>3</v>
      </c>
      <c r="AT100" s="57">
        <v>12</v>
      </c>
      <c r="AU100" s="57">
        <v>4</v>
      </c>
      <c r="AV100" s="57">
        <v>5</v>
      </c>
      <c r="AW100" s="57"/>
      <c r="AX100" s="57"/>
      <c r="AY100" s="57">
        <f>4+4</f>
        <v>8</v>
      </c>
      <c r="AZ100" s="57">
        <v>2</v>
      </c>
      <c r="BA100" s="57">
        <v>791</v>
      </c>
      <c r="BB100" s="57">
        <v>467</v>
      </c>
      <c r="BC100" s="57">
        <v>77</v>
      </c>
      <c r="BD100" s="57">
        <v>167</v>
      </c>
      <c r="BE100" s="57">
        <v>120</v>
      </c>
      <c r="BF100" s="57">
        <v>237</v>
      </c>
      <c r="BG100" s="57">
        <v>179</v>
      </c>
      <c r="BH100" s="57">
        <v>542</v>
      </c>
      <c r="BI100" s="57">
        <v>356</v>
      </c>
      <c r="BJ100" s="57">
        <v>802</v>
      </c>
      <c r="BK100" s="57">
        <v>46</v>
      </c>
      <c r="BL100" s="57">
        <v>11</v>
      </c>
      <c r="BM100" s="57">
        <v>10</v>
      </c>
      <c r="BN100" s="57">
        <v>15</v>
      </c>
      <c r="BO100" s="57">
        <v>3</v>
      </c>
      <c r="BP100" s="57">
        <v>11</v>
      </c>
      <c r="BQ100" s="57">
        <v>8</v>
      </c>
      <c r="BR100" s="57"/>
      <c r="BS100" s="57">
        <v>29</v>
      </c>
      <c r="BT100" s="57">
        <v>29</v>
      </c>
      <c r="BU100" s="58">
        <f t="shared" si="4"/>
        <v>8427</v>
      </c>
    </row>
    <row r="101" spans="1:73" ht="15" x14ac:dyDescent="0.15">
      <c r="A101" s="92" t="s">
        <v>286</v>
      </c>
      <c r="B101" s="93" t="s">
        <v>277</v>
      </c>
      <c r="C101" s="93" t="s">
        <v>287</v>
      </c>
      <c r="D101" s="93" t="s">
        <v>288</v>
      </c>
      <c r="E101" s="93" t="s">
        <v>203</v>
      </c>
      <c r="F101" s="93"/>
      <c r="G101" s="95">
        <v>0.05</v>
      </c>
      <c r="H101" s="96">
        <v>0.25</v>
      </c>
      <c r="I101" s="77" t="s">
        <v>204</v>
      </c>
      <c r="J101" s="97">
        <f t="shared" ref="J101:K129" si="6">G101*80</f>
        <v>4</v>
      </c>
      <c r="K101" s="97">
        <f t="shared" si="6"/>
        <v>20</v>
      </c>
      <c r="L101" s="98"/>
      <c r="M101" s="56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>
        <v>3</v>
      </c>
      <c r="BL101" s="57"/>
      <c r="BM101" s="57"/>
      <c r="BN101" s="57"/>
      <c r="BO101" s="57"/>
      <c r="BP101" s="57">
        <v>7</v>
      </c>
      <c r="BQ101" s="57"/>
      <c r="BR101" s="57"/>
      <c r="BS101" s="57"/>
      <c r="BT101" s="57"/>
      <c r="BU101" s="58">
        <f t="shared" si="4"/>
        <v>10</v>
      </c>
    </row>
    <row r="102" spans="1:73" ht="15" x14ac:dyDescent="0.15">
      <c r="A102" s="92" t="s">
        <v>289</v>
      </c>
      <c r="B102" s="93" t="s">
        <v>277</v>
      </c>
      <c r="C102" s="93" t="s">
        <v>287</v>
      </c>
      <c r="D102" s="93" t="s">
        <v>290</v>
      </c>
      <c r="E102" s="93" t="s">
        <v>203</v>
      </c>
      <c r="F102" s="93"/>
      <c r="G102" s="95">
        <v>0.05</v>
      </c>
      <c r="H102" s="96">
        <v>0.4</v>
      </c>
      <c r="I102" s="77" t="s">
        <v>204</v>
      </c>
      <c r="J102" s="97">
        <f t="shared" si="6"/>
        <v>4</v>
      </c>
      <c r="K102" s="97">
        <f t="shared" si="6"/>
        <v>32</v>
      </c>
      <c r="L102" s="98"/>
      <c r="M102" s="56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>
        <v>1</v>
      </c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>
        <v>105</v>
      </c>
      <c r="BL102" s="57"/>
      <c r="BM102" s="57"/>
      <c r="BN102" s="57"/>
      <c r="BO102" s="57"/>
      <c r="BP102" s="57"/>
      <c r="BQ102" s="57"/>
      <c r="BR102" s="57"/>
      <c r="BS102" s="57"/>
      <c r="BT102" s="57"/>
      <c r="BU102" s="58">
        <f t="shared" si="4"/>
        <v>106</v>
      </c>
    </row>
    <row r="103" spans="1:73" ht="15" x14ac:dyDescent="0.15">
      <c r="A103" s="92" t="s">
        <v>291</v>
      </c>
      <c r="B103" s="93" t="s">
        <v>277</v>
      </c>
      <c r="C103" s="93" t="s">
        <v>287</v>
      </c>
      <c r="D103" s="93" t="s">
        <v>292</v>
      </c>
      <c r="E103" s="93" t="s">
        <v>203</v>
      </c>
      <c r="F103" s="93"/>
      <c r="G103" s="95">
        <v>0.05</v>
      </c>
      <c r="H103" s="96">
        <v>0.8</v>
      </c>
      <c r="I103" s="77" t="s">
        <v>204</v>
      </c>
      <c r="J103" s="97">
        <f t="shared" si="6"/>
        <v>4</v>
      </c>
      <c r="K103" s="97">
        <f t="shared" si="6"/>
        <v>64</v>
      </c>
      <c r="L103" s="98"/>
      <c r="M103" s="56">
        <v>1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>
        <v>3</v>
      </c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>
        <v>2</v>
      </c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8">
        <f t="shared" si="4"/>
        <v>6</v>
      </c>
    </row>
    <row r="104" spans="1:73" ht="15" x14ac:dyDescent="0.15">
      <c r="A104" s="92" t="s">
        <v>293</v>
      </c>
      <c r="B104" s="93" t="s">
        <v>277</v>
      </c>
      <c r="C104" s="93" t="s">
        <v>287</v>
      </c>
      <c r="D104" s="93" t="s">
        <v>294</v>
      </c>
      <c r="E104" s="93" t="s">
        <v>203</v>
      </c>
      <c r="F104" s="93"/>
      <c r="G104" s="95">
        <v>0.05</v>
      </c>
      <c r="H104" s="96">
        <v>1.3</v>
      </c>
      <c r="I104" s="77" t="s">
        <v>204</v>
      </c>
      <c r="J104" s="97">
        <f t="shared" si="6"/>
        <v>4</v>
      </c>
      <c r="K104" s="97">
        <f t="shared" si="6"/>
        <v>104</v>
      </c>
      <c r="L104" s="98"/>
      <c r="M104" s="56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>
        <v>1</v>
      </c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>
        <v>1</v>
      </c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8">
        <f t="shared" si="4"/>
        <v>2</v>
      </c>
    </row>
    <row r="105" spans="1:73" ht="15" x14ac:dyDescent="0.15">
      <c r="A105" s="92" t="s">
        <v>295</v>
      </c>
      <c r="B105" s="93" t="s">
        <v>277</v>
      </c>
      <c r="C105" s="93" t="s">
        <v>287</v>
      </c>
      <c r="D105" s="93" t="s">
        <v>296</v>
      </c>
      <c r="E105" s="93" t="s">
        <v>203</v>
      </c>
      <c r="F105" s="93"/>
      <c r="G105" s="95">
        <v>0.05</v>
      </c>
      <c r="H105" s="96">
        <v>2</v>
      </c>
      <c r="I105" s="77" t="s">
        <v>204</v>
      </c>
      <c r="J105" s="97">
        <f t="shared" si="6"/>
        <v>4</v>
      </c>
      <c r="K105" s="97">
        <f t="shared" si="6"/>
        <v>160</v>
      </c>
      <c r="L105" s="98"/>
      <c r="M105" s="56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>
        <v>6</v>
      </c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>
        <v>1</v>
      </c>
      <c r="BP105" s="57"/>
      <c r="BQ105" s="57"/>
      <c r="BR105" s="57"/>
      <c r="BS105" s="57"/>
      <c r="BT105" s="57">
        <v>49</v>
      </c>
      <c r="BU105" s="58">
        <f t="shared" si="4"/>
        <v>56</v>
      </c>
    </row>
    <row r="106" spans="1:73" ht="15" x14ac:dyDescent="0.15">
      <c r="A106" s="92" t="s">
        <v>297</v>
      </c>
      <c r="B106" s="93" t="s">
        <v>277</v>
      </c>
      <c r="C106" s="93" t="s">
        <v>287</v>
      </c>
      <c r="D106" s="93" t="s">
        <v>298</v>
      </c>
      <c r="E106" s="93" t="s">
        <v>203</v>
      </c>
      <c r="F106" s="93"/>
      <c r="G106" s="95">
        <v>7.4999999999999997E-2</v>
      </c>
      <c r="H106" s="96">
        <v>2.2000000000000002</v>
      </c>
      <c r="I106" s="77" t="s">
        <v>204</v>
      </c>
      <c r="J106" s="97">
        <f t="shared" si="6"/>
        <v>6</v>
      </c>
      <c r="K106" s="97">
        <f t="shared" si="6"/>
        <v>176</v>
      </c>
      <c r="L106" s="98"/>
      <c r="M106" s="56"/>
      <c r="N106" s="57"/>
      <c r="O106" s="57"/>
      <c r="P106" s="57"/>
      <c r="Q106" s="57"/>
      <c r="R106" s="57"/>
      <c r="S106" s="57"/>
      <c r="T106" s="57"/>
      <c r="U106" s="57"/>
      <c r="V106" s="57"/>
      <c r="W106" s="57">
        <v>3</v>
      </c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>
        <v>58</v>
      </c>
      <c r="BQ106" s="57"/>
      <c r="BR106" s="57"/>
      <c r="BS106" s="57"/>
      <c r="BT106" s="57"/>
      <c r="BU106" s="58">
        <f t="shared" si="4"/>
        <v>61</v>
      </c>
    </row>
    <row r="107" spans="1:73" ht="15" x14ac:dyDescent="0.15">
      <c r="A107" s="92" t="s">
        <v>299</v>
      </c>
      <c r="B107" s="93" t="s">
        <v>277</v>
      </c>
      <c r="C107" s="93" t="s">
        <v>287</v>
      </c>
      <c r="D107" s="93" t="s">
        <v>300</v>
      </c>
      <c r="E107" s="93" t="s">
        <v>203</v>
      </c>
      <c r="F107" s="93"/>
      <c r="G107" s="95">
        <v>7.4999999999999997E-2</v>
      </c>
      <c r="H107" s="96">
        <v>3.1</v>
      </c>
      <c r="I107" s="77" t="s">
        <v>204</v>
      </c>
      <c r="J107" s="97">
        <f t="shared" si="6"/>
        <v>6</v>
      </c>
      <c r="K107" s="97">
        <f t="shared" si="6"/>
        <v>248</v>
      </c>
      <c r="L107" s="98"/>
      <c r="M107" s="56">
        <v>1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>
        <v>1</v>
      </c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8">
        <f t="shared" si="4"/>
        <v>2</v>
      </c>
    </row>
    <row r="108" spans="1:73" ht="15" x14ac:dyDescent="0.15">
      <c r="A108" s="92" t="s">
        <v>301</v>
      </c>
      <c r="B108" s="93" t="s">
        <v>277</v>
      </c>
      <c r="C108" s="93" t="s">
        <v>287</v>
      </c>
      <c r="D108" s="93" t="s">
        <v>302</v>
      </c>
      <c r="E108" s="93" t="s">
        <v>203</v>
      </c>
      <c r="F108" s="93"/>
      <c r="G108" s="95">
        <v>0.1</v>
      </c>
      <c r="H108" s="96">
        <v>1</v>
      </c>
      <c r="I108" s="77" t="s">
        <v>204</v>
      </c>
      <c r="J108" s="97">
        <f t="shared" si="6"/>
        <v>8</v>
      </c>
      <c r="K108" s="97">
        <f t="shared" si="6"/>
        <v>80</v>
      </c>
      <c r="L108" s="98"/>
      <c r="M108" s="56"/>
      <c r="N108" s="57"/>
      <c r="O108" s="57"/>
      <c r="P108" s="57">
        <v>1</v>
      </c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>
        <v>2</v>
      </c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>
        <v>4</v>
      </c>
      <c r="BL108" s="57"/>
      <c r="BM108" s="57">
        <v>2</v>
      </c>
      <c r="BN108" s="57"/>
      <c r="BO108" s="57"/>
      <c r="BP108" s="57"/>
      <c r="BQ108" s="57"/>
      <c r="BR108" s="57"/>
      <c r="BS108" s="57"/>
      <c r="BT108" s="57"/>
      <c r="BU108" s="58">
        <f t="shared" si="4"/>
        <v>9</v>
      </c>
    </row>
    <row r="109" spans="1:73" ht="15" x14ac:dyDescent="0.15">
      <c r="A109" s="92" t="s">
        <v>303</v>
      </c>
      <c r="B109" s="93" t="s">
        <v>277</v>
      </c>
      <c r="C109" s="93" t="s">
        <v>287</v>
      </c>
      <c r="D109" s="93" t="s">
        <v>304</v>
      </c>
      <c r="E109" s="93" t="s">
        <v>203</v>
      </c>
      <c r="F109" s="93"/>
      <c r="G109" s="95">
        <v>0.1</v>
      </c>
      <c r="H109" s="96">
        <v>1.5</v>
      </c>
      <c r="I109" s="77" t="s">
        <v>204</v>
      </c>
      <c r="J109" s="97">
        <f t="shared" si="6"/>
        <v>8</v>
      </c>
      <c r="K109" s="97">
        <f t="shared" si="6"/>
        <v>120</v>
      </c>
      <c r="L109" s="98"/>
      <c r="M109" s="56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>
        <v>1</v>
      </c>
      <c r="AH109" s="57"/>
      <c r="AI109" s="57"/>
      <c r="AJ109" s="57">
        <v>6</v>
      </c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>
        <v>1</v>
      </c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8">
        <f t="shared" si="4"/>
        <v>8</v>
      </c>
    </row>
    <row r="110" spans="1:73" ht="14" x14ac:dyDescent="0.15">
      <c r="A110" s="92" t="s">
        <v>305</v>
      </c>
      <c r="B110" s="93" t="s">
        <v>277</v>
      </c>
      <c r="C110" s="93" t="s">
        <v>287</v>
      </c>
      <c r="D110" s="93" t="s">
        <v>306</v>
      </c>
      <c r="E110" s="93" t="s">
        <v>307</v>
      </c>
      <c r="F110" s="93"/>
      <c r="G110" s="95">
        <v>0.1</v>
      </c>
      <c r="H110" s="96">
        <v>1.7</v>
      </c>
      <c r="I110" s="93" t="s">
        <v>307</v>
      </c>
      <c r="J110" s="97">
        <f t="shared" si="6"/>
        <v>8</v>
      </c>
      <c r="K110" s="97">
        <f t="shared" si="6"/>
        <v>136</v>
      </c>
      <c r="L110" s="98">
        <v>8</v>
      </c>
      <c r="M110" s="56"/>
      <c r="N110" s="57"/>
      <c r="O110" s="57"/>
      <c r="P110" s="57"/>
      <c r="Q110" s="57"/>
      <c r="R110" s="57"/>
      <c r="S110" s="57"/>
      <c r="T110" s="57">
        <v>3</v>
      </c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>
        <v>2</v>
      </c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8">
        <f t="shared" si="4"/>
        <v>5</v>
      </c>
    </row>
    <row r="111" spans="1:73" ht="14" x14ac:dyDescent="0.15">
      <c r="A111" s="92" t="s">
        <v>308</v>
      </c>
      <c r="B111" s="93" t="s">
        <v>277</v>
      </c>
      <c r="C111" s="93" t="s">
        <v>287</v>
      </c>
      <c r="D111" s="93" t="s">
        <v>309</v>
      </c>
      <c r="E111" s="93" t="s">
        <v>203</v>
      </c>
      <c r="F111" s="93"/>
      <c r="G111" s="95">
        <v>0.1</v>
      </c>
      <c r="H111" s="96">
        <v>1.8</v>
      </c>
      <c r="I111" s="93" t="s">
        <v>204</v>
      </c>
      <c r="J111" s="97">
        <f t="shared" si="6"/>
        <v>8</v>
      </c>
      <c r="K111" s="97">
        <f t="shared" si="6"/>
        <v>144</v>
      </c>
      <c r="L111" s="98"/>
      <c r="M111" s="56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>
        <v>10</v>
      </c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8">
        <f t="shared" si="4"/>
        <v>10</v>
      </c>
    </row>
    <row r="112" spans="1:73" ht="14" x14ac:dyDescent="0.15">
      <c r="A112" s="92" t="s">
        <v>310</v>
      </c>
      <c r="B112" s="93" t="s">
        <v>277</v>
      </c>
      <c r="C112" s="93" t="s">
        <v>287</v>
      </c>
      <c r="D112" s="93" t="s">
        <v>311</v>
      </c>
      <c r="E112" s="93" t="s">
        <v>312</v>
      </c>
      <c r="F112" s="93"/>
      <c r="G112" s="95">
        <v>0.1</v>
      </c>
      <c r="H112" s="96">
        <v>2</v>
      </c>
      <c r="I112" s="93" t="s">
        <v>307</v>
      </c>
      <c r="J112" s="97">
        <f t="shared" si="6"/>
        <v>8</v>
      </c>
      <c r="K112" s="97">
        <f t="shared" si="6"/>
        <v>160</v>
      </c>
      <c r="L112" s="98">
        <v>8</v>
      </c>
      <c r="M112" s="56"/>
      <c r="N112" s="57"/>
      <c r="O112" s="57"/>
      <c r="P112" s="57"/>
      <c r="Q112" s="57"/>
      <c r="R112" s="57"/>
      <c r="S112" s="57"/>
      <c r="T112" s="57"/>
      <c r="V112" s="57">
        <v>4</v>
      </c>
      <c r="W112" s="57">
        <v>1</v>
      </c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>
        <v>9</v>
      </c>
      <c r="AI112" s="57"/>
      <c r="AJ112" s="57">
        <v>2</v>
      </c>
      <c r="AL112" s="57">
        <v>3</v>
      </c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>
        <v>1</v>
      </c>
      <c r="BM112" s="57"/>
      <c r="BN112" s="57">
        <v>28</v>
      </c>
      <c r="BO112" s="57"/>
      <c r="BP112" s="57"/>
      <c r="BQ112" s="57"/>
      <c r="BR112" s="57"/>
      <c r="BS112" s="57"/>
      <c r="BT112" s="57"/>
      <c r="BU112" s="58">
        <f t="shared" si="4"/>
        <v>48</v>
      </c>
    </row>
    <row r="113" spans="1:73" ht="14" x14ac:dyDescent="0.15">
      <c r="A113" s="92" t="s">
        <v>313</v>
      </c>
      <c r="B113" s="93" t="s">
        <v>277</v>
      </c>
      <c r="C113" s="93" t="s">
        <v>287</v>
      </c>
      <c r="D113" s="93" t="s">
        <v>314</v>
      </c>
      <c r="E113" s="93" t="s">
        <v>203</v>
      </c>
      <c r="F113" s="93"/>
      <c r="G113" s="95">
        <v>0.1</v>
      </c>
      <c r="H113" s="96">
        <v>2.5</v>
      </c>
      <c r="I113" s="93" t="s">
        <v>204</v>
      </c>
      <c r="J113" s="97">
        <f t="shared" si="6"/>
        <v>8</v>
      </c>
      <c r="K113" s="97">
        <f t="shared" si="6"/>
        <v>200</v>
      </c>
      <c r="L113" s="98"/>
      <c r="M113" s="56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>
        <v>7</v>
      </c>
      <c r="AO113" s="57"/>
      <c r="AP113" s="57">
        <v>3</v>
      </c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>
        <v>1</v>
      </c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8">
        <f t="shared" si="4"/>
        <v>11</v>
      </c>
    </row>
    <row r="114" spans="1:73" ht="14" x14ac:dyDescent="0.15">
      <c r="A114" s="92" t="s">
        <v>315</v>
      </c>
      <c r="B114" s="93" t="s">
        <v>277</v>
      </c>
      <c r="C114" s="93" t="s">
        <v>287</v>
      </c>
      <c r="D114" s="93" t="s">
        <v>316</v>
      </c>
      <c r="E114" s="93" t="s">
        <v>203</v>
      </c>
      <c r="F114" s="93"/>
      <c r="G114" s="95">
        <v>0.1</v>
      </c>
      <c r="H114" s="96">
        <v>3.2</v>
      </c>
      <c r="I114" s="93" t="s">
        <v>204</v>
      </c>
      <c r="J114" s="97">
        <f t="shared" si="6"/>
        <v>8</v>
      </c>
      <c r="K114" s="97">
        <f t="shared" si="6"/>
        <v>256</v>
      </c>
      <c r="L114" s="98"/>
      <c r="M114" s="56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>
        <v>1</v>
      </c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>
        <v>3</v>
      </c>
      <c r="BR114" s="57"/>
      <c r="BS114" s="57">
        <v>12</v>
      </c>
      <c r="BT114" s="57">
        <v>14</v>
      </c>
      <c r="BU114" s="58">
        <f t="shared" si="4"/>
        <v>30</v>
      </c>
    </row>
    <row r="115" spans="1:73" ht="14" x14ac:dyDescent="0.15">
      <c r="A115" s="92" t="s">
        <v>317</v>
      </c>
      <c r="B115" s="93" t="s">
        <v>277</v>
      </c>
      <c r="C115" s="93" t="s">
        <v>287</v>
      </c>
      <c r="D115" s="93" t="s">
        <v>318</v>
      </c>
      <c r="E115" s="93" t="s">
        <v>203</v>
      </c>
      <c r="F115" s="93"/>
      <c r="G115" s="95">
        <v>0.1</v>
      </c>
      <c r="H115" s="96">
        <v>5.0999999999999996</v>
      </c>
      <c r="I115" s="93" t="s">
        <v>204</v>
      </c>
      <c r="J115" s="97">
        <f t="shared" si="6"/>
        <v>8</v>
      </c>
      <c r="K115" s="97">
        <f t="shared" si="6"/>
        <v>408</v>
      </c>
      <c r="L115" s="98"/>
      <c r="M115" s="56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>
        <v>1</v>
      </c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8">
        <f t="shared" si="4"/>
        <v>1</v>
      </c>
    </row>
    <row r="116" spans="1:73" ht="14" x14ac:dyDescent="0.15">
      <c r="A116" s="92" t="s">
        <v>319</v>
      </c>
      <c r="B116" s="93" t="s">
        <v>277</v>
      </c>
      <c r="C116" s="93" t="s">
        <v>287</v>
      </c>
      <c r="D116" s="93" t="s">
        <v>320</v>
      </c>
      <c r="E116" s="93" t="s">
        <v>203</v>
      </c>
      <c r="F116" s="93"/>
      <c r="G116" s="95">
        <v>0.15</v>
      </c>
      <c r="H116" s="96">
        <v>1.6</v>
      </c>
      <c r="I116" s="93" t="s">
        <v>204</v>
      </c>
      <c r="J116" s="97">
        <f t="shared" si="6"/>
        <v>12</v>
      </c>
      <c r="K116" s="97">
        <f t="shared" si="6"/>
        <v>128</v>
      </c>
      <c r="L116" s="98"/>
      <c r="M116" s="56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>
        <v>1</v>
      </c>
      <c r="AI116" s="57"/>
      <c r="AJ116" s="57"/>
      <c r="AK116" s="57"/>
      <c r="AL116" s="57"/>
      <c r="AM116" s="57"/>
      <c r="AN116" s="57"/>
      <c r="AO116" s="57"/>
      <c r="AP116" s="57"/>
      <c r="AQ116" s="57">
        <v>1</v>
      </c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8">
        <f t="shared" si="4"/>
        <v>2</v>
      </c>
    </row>
    <row r="117" spans="1:73" ht="14" x14ac:dyDescent="0.15">
      <c r="A117" s="92" t="s">
        <v>321</v>
      </c>
      <c r="B117" s="93" t="s">
        <v>277</v>
      </c>
      <c r="C117" s="93" t="s">
        <v>287</v>
      </c>
      <c r="D117" s="93" t="s">
        <v>322</v>
      </c>
      <c r="E117" s="93" t="s">
        <v>203</v>
      </c>
      <c r="F117" s="93"/>
      <c r="G117" s="95">
        <v>0.2</v>
      </c>
      <c r="H117" s="96">
        <v>2</v>
      </c>
      <c r="I117" s="93" t="s">
        <v>204</v>
      </c>
      <c r="J117" s="97">
        <f t="shared" si="6"/>
        <v>16</v>
      </c>
      <c r="K117" s="97">
        <f t="shared" si="6"/>
        <v>160</v>
      </c>
      <c r="L117" s="98"/>
      <c r="M117" s="56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>
        <v>1</v>
      </c>
      <c r="BJ117" s="57"/>
      <c r="BK117" s="57">
        <v>14</v>
      </c>
      <c r="BL117" s="57"/>
      <c r="BM117" s="57"/>
      <c r="BN117" s="57"/>
      <c r="BO117" s="57"/>
      <c r="BP117" s="57">
        <v>1</v>
      </c>
      <c r="BQ117" s="57">
        <v>1</v>
      </c>
      <c r="BR117" s="57"/>
      <c r="BS117" s="57"/>
      <c r="BT117" s="57"/>
      <c r="BU117" s="58">
        <f t="shared" si="4"/>
        <v>17</v>
      </c>
    </row>
    <row r="118" spans="1:73" ht="14" x14ac:dyDescent="0.15">
      <c r="A118" s="92" t="s">
        <v>323</v>
      </c>
      <c r="B118" s="93" t="s">
        <v>277</v>
      </c>
      <c r="C118" s="93" t="s">
        <v>287</v>
      </c>
      <c r="D118" s="93" t="s">
        <v>324</v>
      </c>
      <c r="E118" s="93" t="s">
        <v>203</v>
      </c>
      <c r="F118" s="93"/>
      <c r="G118" s="95">
        <v>0.2</v>
      </c>
      <c r="H118" s="96">
        <v>3</v>
      </c>
      <c r="I118" s="93" t="s">
        <v>204</v>
      </c>
      <c r="J118" s="97">
        <f t="shared" si="6"/>
        <v>16</v>
      </c>
      <c r="K118" s="97">
        <f t="shared" si="6"/>
        <v>240</v>
      </c>
      <c r="L118" s="98"/>
      <c r="M118" s="56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B118" s="57">
        <v>2</v>
      </c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>
        <v>1</v>
      </c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>
        <v>1</v>
      </c>
      <c r="BL118" s="57"/>
      <c r="BM118" s="57"/>
      <c r="BN118" s="57"/>
      <c r="BO118" s="57"/>
      <c r="BP118" s="57"/>
      <c r="BQ118" s="57"/>
      <c r="BR118" s="57">
        <v>4</v>
      </c>
      <c r="BS118" s="57">
        <v>2</v>
      </c>
      <c r="BT118" s="57">
        <v>5</v>
      </c>
      <c r="BU118" s="58">
        <f t="shared" si="4"/>
        <v>15</v>
      </c>
    </row>
    <row r="119" spans="1:73" ht="14" x14ac:dyDescent="0.15">
      <c r="A119" s="92" t="s">
        <v>325</v>
      </c>
      <c r="B119" s="93" t="s">
        <v>277</v>
      </c>
      <c r="C119" s="93" t="s">
        <v>287</v>
      </c>
      <c r="D119" s="93" t="s">
        <v>326</v>
      </c>
      <c r="E119" s="93" t="s">
        <v>203</v>
      </c>
      <c r="F119" s="93"/>
      <c r="G119" s="95">
        <v>0.3</v>
      </c>
      <c r="H119" s="96">
        <v>0.8</v>
      </c>
      <c r="I119" s="93" t="s">
        <v>204</v>
      </c>
      <c r="J119" s="97">
        <f t="shared" si="6"/>
        <v>24</v>
      </c>
      <c r="K119" s="97">
        <f t="shared" si="6"/>
        <v>64</v>
      </c>
      <c r="L119" s="98"/>
      <c r="M119" s="56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>
        <v>2</v>
      </c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>
        <v>1</v>
      </c>
      <c r="BK119" s="57">
        <v>4</v>
      </c>
      <c r="BL119" s="57"/>
      <c r="BM119" s="57"/>
      <c r="BN119" s="57"/>
      <c r="BO119" s="57"/>
      <c r="BP119" s="57"/>
      <c r="BQ119" s="57"/>
      <c r="BR119" s="57"/>
      <c r="BS119" s="57"/>
      <c r="BT119" s="57"/>
      <c r="BU119" s="58">
        <f t="shared" si="4"/>
        <v>7</v>
      </c>
    </row>
    <row r="120" spans="1:73" ht="14" x14ac:dyDescent="0.15">
      <c r="A120" s="92" t="s">
        <v>327</v>
      </c>
      <c r="B120" s="93" t="s">
        <v>277</v>
      </c>
      <c r="C120" s="93" t="s">
        <v>287</v>
      </c>
      <c r="D120" s="93" t="s">
        <v>328</v>
      </c>
      <c r="E120" s="93" t="s">
        <v>203</v>
      </c>
      <c r="F120" s="93"/>
      <c r="G120" s="95">
        <v>0.4</v>
      </c>
      <c r="H120" s="96">
        <v>17.5</v>
      </c>
      <c r="I120" s="93" t="s">
        <v>204</v>
      </c>
      <c r="J120" s="97">
        <f t="shared" si="6"/>
        <v>32</v>
      </c>
      <c r="K120" s="97">
        <f t="shared" si="6"/>
        <v>1400</v>
      </c>
      <c r="L120" s="98"/>
      <c r="M120" s="56">
        <v>1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8">
        <f t="shared" si="4"/>
        <v>1</v>
      </c>
    </row>
    <row r="121" spans="1:73" ht="14" x14ac:dyDescent="0.15">
      <c r="A121" s="92" t="s">
        <v>329</v>
      </c>
      <c r="B121" s="93" t="s">
        <v>277</v>
      </c>
      <c r="C121" s="93" t="s">
        <v>330</v>
      </c>
      <c r="D121" s="93" t="s">
        <v>331</v>
      </c>
      <c r="E121" s="93" t="s">
        <v>115</v>
      </c>
      <c r="F121" s="93"/>
      <c r="G121" s="95">
        <v>0.1</v>
      </c>
      <c r="H121" s="96">
        <v>0.2</v>
      </c>
      <c r="I121" s="93" t="s">
        <v>116</v>
      </c>
      <c r="J121" s="97">
        <f t="shared" si="6"/>
        <v>8</v>
      </c>
      <c r="K121" s="97">
        <f t="shared" si="6"/>
        <v>16</v>
      </c>
      <c r="L121" s="98"/>
      <c r="M121" s="56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8">
        <f t="shared" si="4"/>
        <v>0</v>
      </c>
    </row>
    <row r="122" spans="1:73" ht="14" x14ac:dyDescent="0.15">
      <c r="A122" s="92" t="s">
        <v>332</v>
      </c>
      <c r="B122" s="93" t="s">
        <v>277</v>
      </c>
      <c r="C122" s="93" t="s">
        <v>330</v>
      </c>
      <c r="D122" s="93" t="s">
        <v>333</v>
      </c>
      <c r="E122" s="93" t="s">
        <v>115</v>
      </c>
      <c r="F122" s="93"/>
      <c r="G122" s="95">
        <v>0.2</v>
      </c>
      <c r="H122" s="96">
        <v>0.4</v>
      </c>
      <c r="I122" s="93" t="s">
        <v>116</v>
      </c>
      <c r="J122" s="97">
        <f t="shared" si="6"/>
        <v>16</v>
      </c>
      <c r="K122" s="97">
        <f t="shared" si="6"/>
        <v>32</v>
      </c>
      <c r="L122" s="98"/>
      <c r="M122" s="56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>
        <v>1</v>
      </c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>
        <v>1</v>
      </c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>
        <v>1</v>
      </c>
      <c r="BL122" s="57"/>
      <c r="BM122" s="57">
        <v>1</v>
      </c>
      <c r="BN122" s="57"/>
      <c r="BO122" s="57">
        <v>1</v>
      </c>
      <c r="BP122" s="57"/>
      <c r="BQ122" s="57"/>
      <c r="BR122" s="57">
        <v>1</v>
      </c>
      <c r="BS122" s="57"/>
      <c r="BT122" s="57"/>
      <c r="BU122" s="58">
        <f t="shared" si="4"/>
        <v>6</v>
      </c>
    </row>
    <row r="123" spans="1:73" ht="14" x14ac:dyDescent="0.15">
      <c r="A123" s="92" t="s">
        <v>334</v>
      </c>
      <c r="B123" s="93" t="s">
        <v>277</v>
      </c>
      <c r="C123" s="93" t="s">
        <v>330</v>
      </c>
      <c r="D123" s="93" t="s">
        <v>335</v>
      </c>
      <c r="E123" s="93" t="s">
        <v>115</v>
      </c>
      <c r="F123" s="93"/>
      <c r="G123" s="95">
        <v>0.4</v>
      </c>
      <c r="H123" s="96">
        <v>0.6</v>
      </c>
      <c r="I123" s="93" t="s">
        <v>116</v>
      </c>
      <c r="J123" s="97">
        <f t="shared" si="6"/>
        <v>32</v>
      </c>
      <c r="K123" s="97">
        <f t="shared" si="6"/>
        <v>48</v>
      </c>
      <c r="L123" s="98"/>
      <c r="M123" s="56"/>
      <c r="N123" s="57"/>
      <c r="O123" s="57"/>
      <c r="P123" s="57"/>
      <c r="Q123" s="57"/>
      <c r="R123" s="57"/>
      <c r="S123" s="57"/>
      <c r="T123" s="57"/>
      <c r="U123" s="57"/>
      <c r="V123" s="57"/>
      <c r="W123" s="57">
        <v>5</v>
      </c>
      <c r="X123" s="57"/>
      <c r="Y123" s="57"/>
      <c r="Z123" s="57"/>
      <c r="AA123" s="57"/>
      <c r="AB123" s="57">
        <v>1</v>
      </c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>
        <v>2</v>
      </c>
      <c r="BN123" s="57"/>
      <c r="BO123" s="57"/>
      <c r="BP123" s="57"/>
      <c r="BQ123" s="57"/>
      <c r="BR123" s="57">
        <v>3</v>
      </c>
      <c r="BS123" s="57">
        <v>4</v>
      </c>
      <c r="BT123" s="57"/>
      <c r="BU123" s="58">
        <f t="shared" si="4"/>
        <v>15</v>
      </c>
    </row>
    <row r="124" spans="1:73" ht="14" x14ac:dyDescent="0.15">
      <c r="A124" s="92" t="s">
        <v>336</v>
      </c>
      <c r="B124" s="93" t="s">
        <v>277</v>
      </c>
      <c r="C124" s="93" t="s">
        <v>330</v>
      </c>
      <c r="D124" s="93" t="s">
        <v>337</v>
      </c>
      <c r="E124" s="93" t="s">
        <v>115</v>
      </c>
      <c r="F124" s="93"/>
      <c r="G124" s="95">
        <v>0.4</v>
      </c>
      <c r="H124" s="96">
        <v>1</v>
      </c>
      <c r="I124" s="93" t="s">
        <v>116</v>
      </c>
      <c r="J124" s="97">
        <f t="shared" si="6"/>
        <v>32</v>
      </c>
      <c r="K124" s="97">
        <f t="shared" si="6"/>
        <v>80</v>
      </c>
      <c r="L124" s="98"/>
      <c r="M124" s="56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>
        <v>1</v>
      </c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>
        <v>4</v>
      </c>
      <c r="BL124" s="57">
        <v>1</v>
      </c>
      <c r="BM124" s="57"/>
      <c r="BN124" s="57">
        <v>1</v>
      </c>
      <c r="BO124" s="57"/>
      <c r="BP124" s="57"/>
      <c r="BQ124" s="57"/>
      <c r="BR124" s="57"/>
      <c r="BS124" s="57"/>
      <c r="BT124" s="57">
        <v>3</v>
      </c>
      <c r="BU124" s="58">
        <f t="shared" si="4"/>
        <v>10</v>
      </c>
    </row>
    <row r="125" spans="1:73" ht="14" x14ac:dyDescent="0.15">
      <c r="A125" s="92" t="s">
        <v>338</v>
      </c>
      <c r="B125" s="93" t="s">
        <v>277</v>
      </c>
      <c r="C125" s="93" t="s">
        <v>103</v>
      </c>
      <c r="D125" s="93" t="s">
        <v>339</v>
      </c>
      <c r="E125" s="93" t="s">
        <v>115</v>
      </c>
      <c r="F125" s="93"/>
      <c r="G125" s="95">
        <v>0.1</v>
      </c>
      <c r="H125" s="96">
        <v>0.3</v>
      </c>
      <c r="I125" s="93" t="s">
        <v>116</v>
      </c>
      <c r="J125" s="97">
        <f t="shared" si="6"/>
        <v>8</v>
      </c>
      <c r="K125" s="97">
        <f t="shared" si="6"/>
        <v>24</v>
      </c>
      <c r="L125" s="98"/>
      <c r="M125" s="56"/>
      <c r="N125" s="57"/>
      <c r="O125" s="57"/>
      <c r="P125" s="57"/>
      <c r="Q125" s="57">
        <v>1</v>
      </c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>
        <v>2</v>
      </c>
      <c r="BQ125" s="57"/>
      <c r="BR125" s="57"/>
      <c r="BS125" s="57"/>
      <c r="BT125" s="57"/>
      <c r="BU125" s="58">
        <f t="shared" si="4"/>
        <v>3</v>
      </c>
    </row>
    <row r="126" spans="1:73" ht="14" x14ac:dyDescent="0.15">
      <c r="A126" s="92" t="s">
        <v>340</v>
      </c>
      <c r="B126" s="93" t="s">
        <v>277</v>
      </c>
      <c r="C126" s="93" t="s">
        <v>103</v>
      </c>
      <c r="D126" s="93" t="s">
        <v>341</v>
      </c>
      <c r="E126" s="93" t="s">
        <v>115</v>
      </c>
      <c r="F126" s="93"/>
      <c r="G126" s="95">
        <v>0.12</v>
      </c>
      <c r="H126" s="96">
        <v>0.3</v>
      </c>
      <c r="I126" s="93" t="s">
        <v>116</v>
      </c>
      <c r="J126" s="97">
        <f t="shared" si="6"/>
        <v>9.6</v>
      </c>
      <c r="K126" s="97">
        <f t="shared" si="6"/>
        <v>24</v>
      </c>
      <c r="L126" s="98"/>
      <c r="M126" s="56"/>
      <c r="N126" s="57"/>
      <c r="O126" s="57"/>
      <c r="P126" s="57"/>
      <c r="Q126" s="57"/>
      <c r="R126" s="57"/>
      <c r="S126" s="57"/>
      <c r="T126" s="57"/>
      <c r="U126" s="57"/>
      <c r="V126" s="57"/>
      <c r="W126" s="57">
        <v>3</v>
      </c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8">
        <f t="shared" si="4"/>
        <v>3</v>
      </c>
    </row>
    <row r="127" spans="1:73" ht="14" x14ac:dyDescent="0.15">
      <c r="A127" s="92" t="s">
        <v>342</v>
      </c>
      <c r="B127" s="93" t="s">
        <v>277</v>
      </c>
      <c r="C127" s="93" t="s">
        <v>103</v>
      </c>
      <c r="D127" s="93" t="s">
        <v>343</v>
      </c>
      <c r="E127" s="93" t="s">
        <v>108</v>
      </c>
      <c r="F127" s="93"/>
      <c r="G127" s="95">
        <v>0.2</v>
      </c>
      <c r="H127" s="96">
        <v>0.4</v>
      </c>
      <c r="I127" s="93" t="s">
        <v>109</v>
      </c>
      <c r="J127" s="97">
        <f t="shared" si="6"/>
        <v>16</v>
      </c>
      <c r="K127" s="97">
        <f t="shared" si="6"/>
        <v>32</v>
      </c>
      <c r="L127" s="104">
        <v>16</v>
      </c>
      <c r="M127" s="56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>
        <v>1</v>
      </c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8">
        <f t="shared" si="4"/>
        <v>1</v>
      </c>
    </row>
    <row r="128" spans="1:73" s="114" customFormat="1" ht="14" x14ac:dyDescent="0.15">
      <c r="A128" s="105" t="s">
        <v>344</v>
      </c>
      <c r="B128" s="106" t="s">
        <v>277</v>
      </c>
      <c r="C128" s="106" t="s">
        <v>345</v>
      </c>
      <c r="D128" s="106" t="s">
        <v>346</v>
      </c>
      <c r="E128" s="106" t="s">
        <v>347</v>
      </c>
      <c r="F128" s="106"/>
      <c r="G128" s="107">
        <v>0.8</v>
      </c>
      <c r="H128" s="108">
        <v>0.8</v>
      </c>
      <c r="I128" s="106" t="s">
        <v>347</v>
      </c>
      <c r="J128" s="109">
        <f t="shared" si="6"/>
        <v>64</v>
      </c>
      <c r="K128" s="109">
        <f t="shared" si="6"/>
        <v>64</v>
      </c>
      <c r="L128" s="110"/>
      <c r="M128" s="111"/>
      <c r="N128" s="112"/>
      <c r="O128" s="112"/>
      <c r="P128" s="112"/>
      <c r="Q128" s="112"/>
      <c r="R128" s="112"/>
      <c r="S128" s="112"/>
      <c r="T128" s="112">
        <v>1</v>
      </c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  <c r="AL128" s="112"/>
      <c r="AM128" s="112"/>
      <c r="AN128" s="112"/>
      <c r="AO128" s="112"/>
      <c r="AP128" s="112"/>
      <c r="AQ128" s="112"/>
      <c r="AR128" s="112"/>
      <c r="AS128" s="112"/>
      <c r="AT128" s="112"/>
      <c r="AU128" s="112"/>
      <c r="AV128" s="112"/>
      <c r="AW128" s="112"/>
      <c r="AX128" s="112"/>
      <c r="AY128" s="112"/>
      <c r="AZ128" s="112"/>
      <c r="BA128" s="112"/>
      <c r="BB128" s="112"/>
      <c r="BC128" s="112"/>
      <c r="BD128" s="112"/>
      <c r="BE128" s="112"/>
      <c r="BF128" s="112"/>
      <c r="BG128" s="112"/>
      <c r="BH128" s="112">
        <v>1</v>
      </c>
      <c r="BI128" s="112"/>
      <c r="BJ128" s="112"/>
      <c r="BK128" s="112"/>
      <c r="BL128" s="112"/>
      <c r="BM128" s="112"/>
      <c r="BN128" s="112"/>
      <c r="BO128" s="112"/>
      <c r="BP128" s="112"/>
      <c r="BQ128" s="112"/>
      <c r="BR128" s="112"/>
      <c r="BS128" s="112"/>
      <c r="BT128" s="112"/>
      <c r="BU128" s="113">
        <f t="shared" si="4"/>
        <v>2</v>
      </c>
    </row>
    <row r="129" spans="1:73" ht="14" x14ac:dyDescent="0.15">
      <c r="A129" s="92" t="s">
        <v>348</v>
      </c>
      <c r="B129" s="93" t="s">
        <v>277</v>
      </c>
      <c r="C129" s="93" t="s">
        <v>349</v>
      </c>
      <c r="D129" s="93" t="s">
        <v>350</v>
      </c>
      <c r="E129" s="93" t="s">
        <v>108</v>
      </c>
      <c r="F129" s="93"/>
      <c r="G129" s="95">
        <v>2.5000000000000001E-2</v>
      </c>
      <c r="H129" s="96">
        <v>1.2</v>
      </c>
      <c r="I129" s="93" t="s">
        <v>109</v>
      </c>
      <c r="J129" s="97">
        <f t="shared" si="6"/>
        <v>2</v>
      </c>
      <c r="K129" s="97">
        <f t="shared" si="6"/>
        <v>96</v>
      </c>
      <c r="L129" s="104">
        <v>2</v>
      </c>
      <c r="M129" s="56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>
        <v>1</v>
      </c>
      <c r="BR129" s="57">
        <v>1</v>
      </c>
      <c r="BS129" s="57"/>
      <c r="BT129" s="57">
        <v>4</v>
      </c>
      <c r="BU129" s="58">
        <f t="shared" si="4"/>
        <v>6</v>
      </c>
    </row>
    <row r="130" spans="1:73" ht="14" x14ac:dyDescent="0.15">
      <c r="A130" s="92" t="s">
        <v>351</v>
      </c>
      <c r="B130" s="93" t="s">
        <v>277</v>
      </c>
      <c r="C130" s="93" t="s">
        <v>349</v>
      </c>
      <c r="D130" s="93" t="s">
        <v>352</v>
      </c>
      <c r="E130" s="93" t="s">
        <v>203</v>
      </c>
      <c r="F130" s="93"/>
      <c r="G130" s="95">
        <v>0.05</v>
      </c>
      <c r="H130" s="96">
        <v>0.2</v>
      </c>
      <c r="I130" s="93" t="s">
        <v>204</v>
      </c>
      <c r="J130" s="97">
        <f t="shared" ref="J130:K161" si="7">G130*80</f>
        <v>4</v>
      </c>
      <c r="K130" s="97">
        <f t="shared" si="7"/>
        <v>16</v>
      </c>
      <c r="L130" s="98"/>
      <c r="M130" s="56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>
        <v>8</v>
      </c>
      <c r="BL130" s="57"/>
      <c r="BM130" s="57"/>
      <c r="BN130" s="57"/>
      <c r="BO130" s="57"/>
      <c r="BP130" s="57"/>
      <c r="BQ130" s="57"/>
      <c r="BR130" s="57"/>
      <c r="BS130" s="57"/>
      <c r="BT130" s="57"/>
      <c r="BU130" s="58">
        <f t="shared" si="4"/>
        <v>8</v>
      </c>
    </row>
    <row r="131" spans="1:73" ht="14" x14ac:dyDescent="0.15">
      <c r="A131" s="92" t="s">
        <v>353</v>
      </c>
      <c r="B131" s="93" t="s">
        <v>277</v>
      </c>
      <c r="C131" s="93" t="s">
        <v>349</v>
      </c>
      <c r="D131" s="93" t="s">
        <v>354</v>
      </c>
      <c r="E131" s="93" t="s">
        <v>203</v>
      </c>
      <c r="F131" s="93"/>
      <c r="G131" s="95">
        <v>0.05</v>
      </c>
      <c r="H131" s="96">
        <v>0.3</v>
      </c>
      <c r="I131" s="93" t="s">
        <v>204</v>
      </c>
      <c r="J131" s="97">
        <f t="shared" si="7"/>
        <v>4</v>
      </c>
      <c r="K131" s="97">
        <f t="shared" si="7"/>
        <v>24</v>
      </c>
      <c r="L131" s="98"/>
      <c r="M131" s="56"/>
      <c r="N131" s="57"/>
      <c r="O131" s="57"/>
      <c r="P131" s="57"/>
      <c r="Q131" s="57"/>
      <c r="R131" s="57"/>
      <c r="S131" s="57"/>
      <c r="T131" s="57"/>
      <c r="U131" s="57"/>
      <c r="V131" s="57"/>
      <c r="W131" s="57">
        <v>2</v>
      </c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>
        <v>4</v>
      </c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>
        <v>33</v>
      </c>
      <c r="BL131" s="57"/>
      <c r="BM131" s="57"/>
      <c r="BN131" s="57"/>
      <c r="BO131" s="57"/>
      <c r="BP131" s="57"/>
      <c r="BQ131" s="57"/>
      <c r="BR131" s="57"/>
      <c r="BS131" s="57"/>
      <c r="BT131" s="57"/>
      <c r="BU131" s="58">
        <f t="shared" si="4"/>
        <v>39</v>
      </c>
    </row>
    <row r="132" spans="1:73" ht="14" x14ac:dyDescent="0.15">
      <c r="A132" s="92" t="s">
        <v>355</v>
      </c>
      <c r="B132" s="93" t="s">
        <v>277</v>
      </c>
      <c r="C132" s="93" t="s">
        <v>349</v>
      </c>
      <c r="D132" s="93" t="s">
        <v>356</v>
      </c>
      <c r="E132" s="93" t="s">
        <v>203</v>
      </c>
      <c r="F132" s="93"/>
      <c r="G132" s="95">
        <v>0.05</v>
      </c>
      <c r="H132" s="96">
        <v>0.4</v>
      </c>
      <c r="I132" s="93" t="s">
        <v>204</v>
      </c>
      <c r="J132" s="97">
        <f t="shared" si="7"/>
        <v>4</v>
      </c>
      <c r="K132" s="97">
        <f t="shared" si="7"/>
        <v>32</v>
      </c>
      <c r="L132" s="115"/>
      <c r="M132" s="56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>
        <v>4</v>
      </c>
      <c r="BS132" s="57">
        <v>12</v>
      </c>
      <c r="BT132" s="57"/>
      <c r="BU132" s="58">
        <f t="shared" si="4"/>
        <v>16</v>
      </c>
    </row>
    <row r="133" spans="1:73" ht="14" x14ac:dyDescent="0.15">
      <c r="A133" s="92" t="s">
        <v>357</v>
      </c>
      <c r="B133" s="93" t="s">
        <v>277</v>
      </c>
      <c r="C133" s="93" t="s">
        <v>349</v>
      </c>
      <c r="D133" s="93" t="s">
        <v>358</v>
      </c>
      <c r="E133" s="93" t="s">
        <v>108</v>
      </c>
      <c r="F133" s="93"/>
      <c r="G133" s="95">
        <v>0.05</v>
      </c>
      <c r="H133" s="96">
        <v>0.5</v>
      </c>
      <c r="I133" s="93" t="s">
        <v>109</v>
      </c>
      <c r="J133" s="97">
        <f t="shared" si="7"/>
        <v>4</v>
      </c>
      <c r="K133" s="97">
        <f t="shared" si="7"/>
        <v>40</v>
      </c>
      <c r="L133" s="104">
        <v>4</v>
      </c>
      <c r="M133" s="56"/>
      <c r="N133" s="57"/>
      <c r="O133" s="57"/>
      <c r="P133" s="57">
        <v>2</v>
      </c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>
        <v>17</v>
      </c>
      <c r="AR133" s="57"/>
      <c r="AS133" s="57">
        <f>1+1</f>
        <v>2</v>
      </c>
      <c r="AT133" s="57"/>
      <c r="AU133" s="57"/>
      <c r="AV133" s="57"/>
      <c r="AW133" s="57"/>
      <c r="AX133" s="57"/>
      <c r="AY133" s="57">
        <f>4+11</f>
        <v>15</v>
      </c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8">
        <f t="shared" si="4"/>
        <v>36</v>
      </c>
    </row>
    <row r="134" spans="1:73" ht="14" x14ac:dyDescent="0.15">
      <c r="A134" s="92" t="s">
        <v>359</v>
      </c>
      <c r="B134" s="93" t="s">
        <v>277</v>
      </c>
      <c r="C134" s="93" t="s">
        <v>349</v>
      </c>
      <c r="D134" s="93" t="s">
        <v>360</v>
      </c>
      <c r="E134" s="93" t="s">
        <v>108</v>
      </c>
      <c r="F134" s="93"/>
      <c r="G134" s="95">
        <v>0.05</v>
      </c>
      <c r="H134" s="96">
        <v>0.7</v>
      </c>
      <c r="I134" s="93" t="s">
        <v>109</v>
      </c>
      <c r="J134" s="97">
        <f t="shared" si="7"/>
        <v>4</v>
      </c>
      <c r="K134" s="97">
        <f t="shared" si="7"/>
        <v>56</v>
      </c>
      <c r="L134" s="104">
        <v>4</v>
      </c>
      <c r="M134" s="56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>
        <v>8</v>
      </c>
      <c r="BR134" s="57"/>
      <c r="BS134" s="57"/>
      <c r="BT134" s="57">
        <v>81</v>
      </c>
      <c r="BU134" s="58">
        <f t="shared" si="4"/>
        <v>89</v>
      </c>
    </row>
    <row r="135" spans="1:73" ht="14" x14ac:dyDescent="0.15">
      <c r="A135" s="92" t="s">
        <v>361</v>
      </c>
      <c r="B135" s="93" t="s">
        <v>277</v>
      </c>
      <c r="C135" s="93" t="s">
        <v>349</v>
      </c>
      <c r="D135" s="93" t="s">
        <v>362</v>
      </c>
      <c r="E135" s="93" t="s">
        <v>108</v>
      </c>
      <c r="F135" s="93"/>
      <c r="G135" s="95">
        <v>0.05</v>
      </c>
      <c r="H135" s="96">
        <v>0.8</v>
      </c>
      <c r="I135" s="93" t="s">
        <v>109</v>
      </c>
      <c r="J135" s="97">
        <f t="shared" si="7"/>
        <v>4</v>
      </c>
      <c r="K135" s="97">
        <f t="shared" si="7"/>
        <v>64</v>
      </c>
      <c r="L135" s="104">
        <v>4</v>
      </c>
      <c r="M135" s="56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>
        <v>1</v>
      </c>
      <c r="AS135" s="57">
        <v>1</v>
      </c>
      <c r="AT135" s="57">
        <v>1</v>
      </c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>
        <v>1</v>
      </c>
      <c r="BP135" s="57"/>
      <c r="BQ135" s="57"/>
      <c r="BR135" s="57"/>
      <c r="BS135" s="57">
        <f>74+12</f>
        <v>86</v>
      </c>
      <c r="BT135" s="57">
        <v>15</v>
      </c>
      <c r="BU135" s="58">
        <f t="shared" si="4"/>
        <v>105</v>
      </c>
    </row>
    <row r="136" spans="1:73" ht="14" x14ac:dyDescent="0.15">
      <c r="A136" s="92" t="s">
        <v>363</v>
      </c>
      <c r="B136" s="93" t="s">
        <v>277</v>
      </c>
      <c r="C136" s="93" t="s">
        <v>349</v>
      </c>
      <c r="D136" s="93" t="s">
        <v>364</v>
      </c>
      <c r="E136" s="93" t="s">
        <v>108</v>
      </c>
      <c r="F136" s="93"/>
      <c r="G136" s="95">
        <v>0.05</v>
      </c>
      <c r="H136" s="96">
        <v>1.2</v>
      </c>
      <c r="I136" s="93" t="s">
        <v>109</v>
      </c>
      <c r="J136" s="97">
        <f t="shared" si="7"/>
        <v>4</v>
      </c>
      <c r="K136" s="97">
        <f t="shared" si="7"/>
        <v>96</v>
      </c>
      <c r="L136" s="104">
        <v>4</v>
      </c>
      <c r="M136" s="56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>
        <v>1</v>
      </c>
      <c r="AH136" s="57"/>
      <c r="AI136" s="57">
        <v>1</v>
      </c>
      <c r="AJ136" s="57"/>
      <c r="AK136" s="57"/>
      <c r="AL136" s="57"/>
      <c r="AM136" s="57"/>
      <c r="AN136" s="57"/>
      <c r="AO136" s="57"/>
      <c r="AP136" s="57"/>
      <c r="AQ136" s="57">
        <v>7</v>
      </c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>
        <v>14</v>
      </c>
      <c r="BS136" s="57"/>
      <c r="BT136" s="57"/>
      <c r="BU136" s="58">
        <f t="shared" si="4"/>
        <v>23</v>
      </c>
    </row>
    <row r="137" spans="1:73" ht="14" x14ac:dyDescent="0.15">
      <c r="A137" s="92" t="s">
        <v>365</v>
      </c>
      <c r="B137" s="93" t="s">
        <v>277</v>
      </c>
      <c r="C137" s="93" t="s">
        <v>349</v>
      </c>
      <c r="D137" s="93" t="s">
        <v>366</v>
      </c>
      <c r="E137" s="93" t="s">
        <v>108</v>
      </c>
      <c r="F137" s="93"/>
      <c r="G137" s="95">
        <v>0.05</v>
      </c>
      <c r="H137" s="96">
        <v>1.5</v>
      </c>
      <c r="I137" s="93" t="s">
        <v>109</v>
      </c>
      <c r="J137" s="97">
        <f t="shared" si="7"/>
        <v>4</v>
      </c>
      <c r="K137" s="97">
        <f t="shared" si="7"/>
        <v>120</v>
      </c>
      <c r="L137" s="104">
        <v>4</v>
      </c>
      <c r="M137" s="56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>
        <v>1</v>
      </c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8">
        <f t="shared" si="4"/>
        <v>1</v>
      </c>
    </row>
    <row r="138" spans="1:73" ht="14" x14ac:dyDescent="0.15">
      <c r="A138" s="92" t="s">
        <v>367</v>
      </c>
      <c r="B138" s="93" t="s">
        <v>277</v>
      </c>
      <c r="C138" s="93" t="s">
        <v>349</v>
      </c>
      <c r="D138" s="93" t="s">
        <v>368</v>
      </c>
      <c r="E138" s="93" t="s">
        <v>108</v>
      </c>
      <c r="F138" s="93"/>
      <c r="G138" s="95">
        <v>0.05</v>
      </c>
      <c r="H138" s="96">
        <v>2</v>
      </c>
      <c r="I138" s="93" t="s">
        <v>109</v>
      </c>
      <c r="J138" s="97">
        <f t="shared" si="7"/>
        <v>4</v>
      </c>
      <c r="K138" s="97">
        <f t="shared" si="7"/>
        <v>160</v>
      </c>
      <c r="L138" s="104">
        <v>4</v>
      </c>
      <c r="M138" s="56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>
        <v>1</v>
      </c>
      <c r="BP138" s="57"/>
      <c r="BQ138" s="57"/>
      <c r="BR138" s="57">
        <v>34</v>
      </c>
      <c r="BS138" s="57">
        <v>5</v>
      </c>
      <c r="BT138" s="57"/>
      <c r="BU138" s="58">
        <f t="shared" si="4"/>
        <v>40</v>
      </c>
    </row>
    <row r="139" spans="1:73" ht="14" x14ac:dyDescent="0.15">
      <c r="A139" s="92" t="s">
        <v>369</v>
      </c>
      <c r="B139" s="93" t="s">
        <v>277</v>
      </c>
      <c r="C139" s="93" t="s">
        <v>349</v>
      </c>
      <c r="D139" s="93" t="s">
        <v>370</v>
      </c>
      <c r="E139" s="93" t="s">
        <v>108</v>
      </c>
      <c r="F139" s="93"/>
      <c r="G139" s="95">
        <v>0.05</v>
      </c>
      <c r="H139" s="96">
        <v>2.5</v>
      </c>
      <c r="I139" s="93" t="s">
        <v>109</v>
      </c>
      <c r="J139" s="97">
        <f t="shared" si="7"/>
        <v>4</v>
      </c>
      <c r="K139" s="97">
        <f t="shared" si="7"/>
        <v>200</v>
      </c>
      <c r="L139" s="104">
        <v>4</v>
      </c>
      <c r="M139" s="56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>
        <v>1</v>
      </c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>
        <v>7</v>
      </c>
      <c r="BM139" s="57"/>
      <c r="BN139" s="57"/>
      <c r="BO139" s="57"/>
      <c r="BP139" s="57"/>
      <c r="BQ139" s="57"/>
      <c r="BR139" s="57"/>
      <c r="BS139" s="57"/>
      <c r="BT139" s="57"/>
      <c r="BU139" s="58">
        <f t="shared" si="4"/>
        <v>8</v>
      </c>
    </row>
    <row r="140" spans="1:73" ht="14" x14ac:dyDescent="0.15">
      <c r="A140" s="92" t="s">
        <v>371</v>
      </c>
      <c r="B140" s="93" t="s">
        <v>277</v>
      </c>
      <c r="C140" s="93" t="s">
        <v>349</v>
      </c>
      <c r="D140" s="93" t="s">
        <v>372</v>
      </c>
      <c r="E140" s="93" t="s">
        <v>115</v>
      </c>
      <c r="F140" s="93"/>
      <c r="G140" s="95">
        <v>0.05</v>
      </c>
      <c r="H140" s="96">
        <v>3</v>
      </c>
      <c r="I140" s="93" t="s">
        <v>116</v>
      </c>
      <c r="J140" s="97">
        <f t="shared" si="7"/>
        <v>4</v>
      </c>
      <c r="K140" s="97">
        <f t="shared" si="7"/>
        <v>240</v>
      </c>
      <c r="L140" s="98"/>
      <c r="M140" s="56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>
        <v>2</v>
      </c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>
        <v>30</v>
      </c>
      <c r="BT140" s="57"/>
      <c r="BU140" s="58">
        <f t="shared" si="4"/>
        <v>32</v>
      </c>
    </row>
    <row r="141" spans="1:73" ht="14" x14ac:dyDescent="0.15">
      <c r="A141" s="92" t="s">
        <v>373</v>
      </c>
      <c r="B141" s="93" t="s">
        <v>277</v>
      </c>
      <c r="C141" s="93" t="s">
        <v>349</v>
      </c>
      <c r="D141" s="93" t="s">
        <v>374</v>
      </c>
      <c r="E141" s="93" t="s">
        <v>203</v>
      </c>
      <c r="F141" s="93"/>
      <c r="G141" s="95">
        <v>7.4999999999999997E-2</v>
      </c>
      <c r="H141" s="96">
        <v>0.5</v>
      </c>
      <c r="I141" s="93" t="s">
        <v>204</v>
      </c>
      <c r="J141" s="97">
        <f t="shared" si="7"/>
        <v>6</v>
      </c>
      <c r="K141" s="97">
        <f t="shared" si="7"/>
        <v>40</v>
      </c>
      <c r="L141" s="98"/>
      <c r="M141" s="56"/>
      <c r="N141" s="57"/>
      <c r="O141" s="57"/>
      <c r="P141" s="57"/>
      <c r="Q141" s="57"/>
      <c r="R141" s="57"/>
      <c r="S141" s="57">
        <v>1</v>
      </c>
      <c r="T141" s="57"/>
      <c r="U141" s="57"/>
      <c r="V141" s="57">
        <v>2</v>
      </c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>
        <v>7</v>
      </c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8">
        <f t="shared" ref="BU141:BU204" si="8">SUM(M141:BT141)</f>
        <v>10</v>
      </c>
    </row>
    <row r="142" spans="1:73" ht="14" x14ac:dyDescent="0.15">
      <c r="A142" s="92" t="s">
        <v>375</v>
      </c>
      <c r="B142" s="93" t="s">
        <v>277</v>
      </c>
      <c r="C142" s="93" t="s">
        <v>349</v>
      </c>
      <c r="D142" s="93" t="s">
        <v>376</v>
      </c>
      <c r="E142" s="93" t="s">
        <v>203</v>
      </c>
      <c r="F142" s="93"/>
      <c r="G142" s="95">
        <v>7.4999999999999997E-2</v>
      </c>
      <c r="H142" s="96">
        <v>0.6</v>
      </c>
      <c r="I142" s="93" t="s">
        <v>204</v>
      </c>
      <c r="J142" s="97">
        <f t="shared" si="7"/>
        <v>6</v>
      </c>
      <c r="K142" s="97">
        <f t="shared" si="7"/>
        <v>48</v>
      </c>
      <c r="L142" s="98"/>
      <c r="M142" s="56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>
        <v>11</v>
      </c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>
        <v>41</v>
      </c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>
        <v>8</v>
      </c>
      <c r="BQ142" s="57"/>
      <c r="BR142" s="57"/>
      <c r="BS142" s="57"/>
      <c r="BT142" s="57"/>
      <c r="BU142" s="58">
        <f t="shared" si="8"/>
        <v>60</v>
      </c>
    </row>
    <row r="143" spans="1:73" ht="14" x14ac:dyDescent="0.15">
      <c r="A143" s="92" t="s">
        <v>377</v>
      </c>
      <c r="B143" s="93" t="s">
        <v>277</v>
      </c>
      <c r="C143" s="93" t="s">
        <v>349</v>
      </c>
      <c r="D143" s="93" t="s">
        <v>378</v>
      </c>
      <c r="E143" s="93" t="s">
        <v>108</v>
      </c>
      <c r="F143" s="93"/>
      <c r="G143" s="95">
        <v>7.4999999999999997E-2</v>
      </c>
      <c r="H143" s="96">
        <v>0.7</v>
      </c>
      <c r="I143" s="93" t="s">
        <v>109</v>
      </c>
      <c r="J143" s="97">
        <f t="shared" si="7"/>
        <v>6</v>
      </c>
      <c r="K143" s="97">
        <f t="shared" si="7"/>
        <v>56</v>
      </c>
      <c r="L143" s="104">
        <v>6</v>
      </c>
      <c r="M143" s="56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Y143" s="57">
        <v>6</v>
      </c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>
        <v>1</v>
      </c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8">
        <f t="shared" si="8"/>
        <v>7</v>
      </c>
    </row>
    <row r="144" spans="1:73" ht="14" x14ac:dyDescent="0.15">
      <c r="A144" s="92" t="s">
        <v>379</v>
      </c>
      <c r="B144" s="93" t="s">
        <v>277</v>
      </c>
      <c r="C144" s="93" t="s">
        <v>349</v>
      </c>
      <c r="D144" s="93" t="s">
        <v>380</v>
      </c>
      <c r="E144" s="93" t="s">
        <v>108</v>
      </c>
      <c r="F144" s="93"/>
      <c r="G144" s="95">
        <v>7.4999999999999997E-2</v>
      </c>
      <c r="H144" s="96">
        <v>0.8</v>
      </c>
      <c r="I144" s="93" t="s">
        <v>109</v>
      </c>
      <c r="J144" s="97">
        <f t="shared" si="7"/>
        <v>6</v>
      </c>
      <c r="K144" s="97">
        <f t="shared" si="7"/>
        <v>64</v>
      </c>
      <c r="L144" s="104">
        <v>6</v>
      </c>
      <c r="M144" s="56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>
        <v>7</v>
      </c>
      <c r="AE144" s="57"/>
      <c r="AF144" s="57">
        <v>19</v>
      </c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>
        <v>10</v>
      </c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8">
        <f t="shared" si="8"/>
        <v>36</v>
      </c>
    </row>
    <row r="145" spans="1:73" ht="14" x14ac:dyDescent="0.15">
      <c r="A145" s="92" t="s">
        <v>381</v>
      </c>
      <c r="B145" s="93" t="s">
        <v>277</v>
      </c>
      <c r="C145" s="93" t="s">
        <v>349</v>
      </c>
      <c r="D145" s="93" t="s">
        <v>382</v>
      </c>
      <c r="E145" s="93" t="s">
        <v>108</v>
      </c>
      <c r="F145" s="93"/>
      <c r="G145" s="95">
        <v>7.4999999999999997E-2</v>
      </c>
      <c r="H145" s="96">
        <v>0.9</v>
      </c>
      <c r="I145" s="93" t="s">
        <v>109</v>
      </c>
      <c r="J145" s="97">
        <f t="shared" si="7"/>
        <v>6</v>
      </c>
      <c r="K145" s="97">
        <f t="shared" si="7"/>
        <v>72</v>
      </c>
      <c r="L145" s="104">
        <v>6</v>
      </c>
      <c r="M145" s="56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>
        <v>6</v>
      </c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>
        <v>1</v>
      </c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8">
        <f t="shared" si="8"/>
        <v>7</v>
      </c>
    </row>
    <row r="146" spans="1:73" ht="14" x14ac:dyDescent="0.15">
      <c r="A146" s="92" t="s">
        <v>383</v>
      </c>
      <c r="B146" s="93" t="s">
        <v>277</v>
      </c>
      <c r="C146" s="93" t="s">
        <v>349</v>
      </c>
      <c r="D146" s="93" t="s">
        <v>384</v>
      </c>
      <c r="E146" s="93" t="s">
        <v>203</v>
      </c>
      <c r="F146" s="93"/>
      <c r="G146" s="95">
        <v>7.4999999999999997E-2</v>
      </c>
      <c r="H146" s="96">
        <v>1</v>
      </c>
      <c r="I146" s="93" t="s">
        <v>204</v>
      </c>
      <c r="J146" s="97">
        <f t="shared" si="7"/>
        <v>6</v>
      </c>
      <c r="K146" s="97">
        <f t="shared" si="7"/>
        <v>80</v>
      </c>
      <c r="L146" s="98"/>
      <c r="M146" s="56"/>
      <c r="N146" s="57"/>
      <c r="O146" s="57"/>
      <c r="P146" s="57"/>
      <c r="Q146" s="57"/>
      <c r="R146" s="57"/>
      <c r="S146" s="57"/>
      <c r="T146" s="57"/>
      <c r="U146" s="57">
        <v>3</v>
      </c>
      <c r="V146" s="57"/>
      <c r="W146" s="57"/>
      <c r="X146" s="57">
        <v>3</v>
      </c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>
        <v>3</v>
      </c>
      <c r="AP146" s="57">
        <v>1</v>
      </c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8">
        <f t="shared" si="8"/>
        <v>10</v>
      </c>
    </row>
    <row r="147" spans="1:73" ht="14" x14ac:dyDescent="0.15">
      <c r="A147" s="92" t="s">
        <v>385</v>
      </c>
      <c r="B147" s="93" t="s">
        <v>277</v>
      </c>
      <c r="C147" s="93" t="s">
        <v>349</v>
      </c>
      <c r="D147" s="93" t="s">
        <v>386</v>
      </c>
      <c r="E147" s="93" t="s">
        <v>203</v>
      </c>
      <c r="F147" s="93"/>
      <c r="G147" s="95">
        <v>7.4999999999999997E-2</v>
      </c>
      <c r="H147" s="96">
        <v>1.5</v>
      </c>
      <c r="I147" s="93" t="s">
        <v>204</v>
      </c>
      <c r="J147" s="97">
        <f t="shared" si="7"/>
        <v>6</v>
      </c>
      <c r="K147" s="97">
        <f t="shared" si="7"/>
        <v>120</v>
      </c>
      <c r="L147" s="98"/>
      <c r="M147" s="56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Y147" s="57">
        <v>2</v>
      </c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>
        <v>2</v>
      </c>
      <c r="AP147" s="57"/>
      <c r="AQ147" s="57"/>
      <c r="AR147" s="57"/>
      <c r="AS147" s="57"/>
      <c r="AT147" s="57"/>
      <c r="AU147" s="57"/>
      <c r="AV147" s="57"/>
      <c r="AW147" s="57"/>
      <c r="AX147" s="57">
        <v>3</v>
      </c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8">
        <f t="shared" si="8"/>
        <v>7</v>
      </c>
    </row>
    <row r="148" spans="1:73" ht="14" x14ac:dyDescent="0.15">
      <c r="A148" s="92" t="s">
        <v>387</v>
      </c>
      <c r="B148" s="93" t="s">
        <v>277</v>
      </c>
      <c r="C148" s="93" t="s">
        <v>349</v>
      </c>
      <c r="D148" s="93" t="s">
        <v>388</v>
      </c>
      <c r="E148" s="93" t="s">
        <v>108</v>
      </c>
      <c r="F148" s="93"/>
      <c r="G148" s="95">
        <v>7.4999999999999997E-2</v>
      </c>
      <c r="H148" s="96">
        <v>2</v>
      </c>
      <c r="I148" s="93" t="s">
        <v>109</v>
      </c>
      <c r="J148" s="97">
        <f t="shared" si="7"/>
        <v>6</v>
      </c>
      <c r="K148" s="97">
        <f t="shared" si="7"/>
        <v>160</v>
      </c>
      <c r="L148" s="97">
        <v>6</v>
      </c>
      <c r="M148" s="56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>
        <v>1</v>
      </c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>
        <v>27</v>
      </c>
      <c r="BL148" s="57"/>
      <c r="BM148" s="57"/>
      <c r="BN148" s="57"/>
      <c r="BO148" s="57"/>
      <c r="BP148" s="57"/>
      <c r="BQ148" s="57"/>
      <c r="BR148" s="57">
        <v>11</v>
      </c>
      <c r="BS148" s="57">
        <v>16</v>
      </c>
      <c r="BT148" s="57"/>
      <c r="BU148" s="58">
        <f t="shared" si="8"/>
        <v>55</v>
      </c>
    </row>
    <row r="149" spans="1:73" ht="14" x14ac:dyDescent="0.15">
      <c r="A149" s="92" t="s">
        <v>389</v>
      </c>
      <c r="B149" s="93" t="s">
        <v>277</v>
      </c>
      <c r="C149" s="93" t="s">
        <v>349</v>
      </c>
      <c r="D149" s="93" t="s">
        <v>390</v>
      </c>
      <c r="E149" s="93" t="s">
        <v>108</v>
      </c>
      <c r="F149" s="93"/>
      <c r="G149" s="95">
        <v>0.08</v>
      </c>
      <c r="H149" s="96">
        <v>0.45</v>
      </c>
      <c r="I149" s="93" t="s">
        <v>109</v>
      </c>
      <c r="J149" s="97">
        <f t="shared" si="7"/>
        <v>6.4</v>
      </c>
      <c r="K149" s="97">
        <f t="shared" si="7"/>
        <v>36</v>
      </c>
      <c r="L149" s="97">
        <v>6.4</v>
      </c>
      <c r="M149" s="56"/>
      <c r="N149" s="57"/>
      <c r="O149" s="57"/>
      <c r="P149" s="57"/>
      <c r="Q149" s="57"/>
      <c r="R149" s="57"/>
      <c r="S149" s="57"/>
      <c r="T149" s="57"/>
      <c r="U149" s="57"/>
      <c r="V149" s="57"/>
      <c r="W149" s="57">
        <v>24</v>
      </c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8">
        <f t="shared" si="8"/>
        <v>24</v>
      </c>
    </row>
    <row r="150" spans="1:73" ht="14" x14ac:dyDescent="0.15">
      <c r="A150" s="92" t="s">
        <v>391</v>
      </c>
      <c r="B150" s="93" t="s">
        <v>277</v>
      </c>
      <c r="C150" s="93" t="s">
        <v>349</v>
      </c>
      <c r="D150" s="93" t="s">
        <v>392</v>
      </c>
      <c r="E150" s="93" t="s">
        <v>115</v>
      </c>
      <c r="F150" s="93"/>
      <c r="G150" s="95">
        <v>0.1</v>
      </c>
      <c r="H150" s="96">
        <v>0.3</v>
      </c>
      <c r="I150" s="93" t="s">
        <v>116</v>
      </c>
      <c r="J150" s="97">
        <f t="shared" si="7"/>
        <v>8</v>
      </c>
      <c r="K150" s="97">
        <f t="shared" si="7"/>
        <v>24</v>
      </c>
      <c r="L150" s="98"/>
      <c r="M150" s="56"/>
      <c r="N150" s="57"/>
      <c r="O150" s="57"/>
      <c r="P150" s="57">
        <v>1</v>
      </c>
      <c r="Q150" s="57"/>
      <c r="R150" s="57"/>
      <c r="S150" s="57"/>
      <c r="T150" s="57"/>
      <c r="U150" s="57"/>
      <c r="V150" s="57"/>
      <c r="W150" s="57">
        <v>17</v>
      </c>
      <c r="X150" s="57"/>
      <c r="Y150" s="57"/>
      <c r="Z150" s="57"/>
      <c r="AA150" s="57"/>
      <c r="AB150" s="57"/>
      <c r="AC150" s="57"/>
      <c r="AD150" s="57"/>
      <c r="AE150" s="57">
        <v>3</v>
      </c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>
        <v>3</v>
      </c>
      <c r="AS150" s="57"/>
      <c r="AT150" s="57"/>
      <c r="AU150" s="57"/>
      <c r="AV150" s="57">
        <v>4</v>
      </c>
      <c r="AW150" s="57"/>
      <c r="AX150" s="57"/>
      <c r="AY150" s="57">
        <v>5</v>
      </c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>
        <v>3</v>
      </c>
      <c r="BL150" s="57"/>
      <c r="BM150" s="57"/>
      <c r="BN150" s="57"/>
      <c r="BO150" s="57"/>
      <c r="BP150" s="57"/>
      <c r="BQ150" s="57"/>
      <c r="BR150" s="57"/>
      <c r="BS150" s="57">
        <v>3</v>
      </c>
      <c r="BT150" s="57">
        <v>3</v>
      </c>
      <c r="BU150" s="58">
        <f t="shared" si="8"/>
        <v>42</v>
      </c>
    </row>
    <row r="151" spans="1:73" ht="14" x14ac:dyDescent="0.15">
      <c r="A151" s="92" t="s">
        <v>393</v>
      </c>
      <c r="B151" s="93" t="s">
        <v>277</v>
      </c>
      <c r="C151" s="93" t="s">
        <v>349</v>
      </c>
      <c r="D151" s="93" t="s">
        <v>394</v>
      </c>
      <c r="E151" s="93" t="s">
        <v>108</v>
      </c>
      <c r="F151" s="93"/>
      <c r="G151" s="95">
        <v>0.1</v>
      </c>
      <c r="H151" s="96">
        <v>0.4</v>
      </c>
      <c r="I151" s="93" t="s">
        <v>109</v>
      </c>
      <c r="J151" s="97">
        <f t="shared" si="7"/>
        <v>8</v>
      </c>
      <c r="K151" s="97">
        <f t="shared" si="7"/>
        <v>32</v>
      </c>
      <c r="L151" s="104">
        <v>8</v>
      </c>
      <c r="M151" s="56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>
        <v>1</v>
      </c>
      <c r="AY151" s="57"/>
      <c r="AZ151" s="57"/>
      <c r="BA151" s="57"/>
      <c r="BB151" s="57">
        <v>1</v>
      </c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>
        <v>6</v>
      </c>
      <c r="BO151" s="57"/>
      <c r="BP151" s="57"/>
      <c r="BQ151" s="57"/>
      <c r="BR151" s="57"/>
      <c r="BS151" s="57"/>
      <c r="BT151" s="57"/>
      <c r="BU151" s="58">
        <f t="shared" si="8"/>
        <v>8</v>
      </c>
    </row>
    <row r="152" spans="1:73" ht="14" x14ac:dyDescent="0.15">
      <c r="A152" s="92" t="s">
        <v>395</v>
      </c>
      <c r="B152" s="93" t="s">
        <v>277</v>
      </c>
      <c r="C152" s="93" t="s">
        <v>349</v>
      </c>
      <c r="D152" s="93" t="s">
        <v>396</v>
      </c>
      <c r="E152" s="93" t="s">
        <v>108</v>
      </c>
      <c r="F152" s="93"/>
      <c r="G152" s="95">
        <v>0.1</v>
      </c>
      <c r="H152" s="96">
        <v>0.5</v>
      </c>
      <c r="I152" s="93" t="s">
        <v>109</v>
      </c>
      <c r="J152" s="97">
        <f t="shared" si="7"/>
        <v>8</v>
      </c>
      <c r="K152" s="97">
        <f t="shared" si="7"/>
        <v>40</v>
      </c>
      <c r="L152" s="104">
        <v>8</v>
      </c>
      <c r="M152" s="56"/>
      <c r="N152" s="57"/>
      <c r="O152" s="57"/>
      <c r="P152" s="57"/>
      <c r="Q152" s="57"/>
      <c r="R152" s="57"/>
      <c r="S152" s="57"/>
      <c r="T152" s="57">
        <v>1</v>
      </c>
      <c r="U152" s="57"/>
      <c r="V152" s="57"/>
      <c r="W152" s="57"/>
      <c r="X152" s="57"/>
      <c r="Y152" s="57"/>
      <c r="Z152" s="57"/>
      <c r="AA152" s="57">
        <v>2</v>
      </c>
      <c r="AB152" s="57">
        <v>3</v>
      </c>
      <c r="AC152" s="57"/>
      <c r="AD152" s="57"/>
      <c r="AE152" s="57"/>
      <c r="AF152" s="57"/>
      <c r="AG152" s="57">
        <v>1</v>
      </c>
      <c r="AH152" s="57"/>
      <c r="AI152" s="57"/>
      <c r="AJ152" s="57"/>
      <c r="AK152" s="57"/>
      <c r="AL152" s="57"/>
      <c r="AM152" s="57"/>
      <c r="AN152" s="57"/>
      <c r="AO152" s="57"/>
      <c r="AP152" s="57"/>
      <c r="AQ152" s="57">
        <v>2</v>
      </c>
      <c r="AR152" s="57">
        <v>1</v>
      </c>
      <c r="AS152" s="57"/>
      <c r="AT152" s="57"/>
      <c r="AU152" s="57">
        <v>1</v>
      </c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>
        <v>5</v>
      </c>
      <c r="BN152" s="57"/>
      <c r="BO152" s="57"/>
      <c r="BP152" s="57"/>
      <c r="BQ152" s="57"/>
      <c r="BR152" s="57"/>
      <c r="BS152" s="57"/>
      <c r="BT152" s="57">
        <f>8+1</f>
        <v>9</v>
      </c>
      <c r="BU152" s="58">
        <f t="shared" si="8"/>
        <v>25</v>
      </c>
    </row>
    <row r="153" spans="1:73" ht="14" x14ac:dyDescent="0.15">
      <c r="A153" s="92" t="s">
        <v>397</v>
      </c>
      <c r="B153" s="93" t="s">
        <v>277</v>
      </c>
      <c r="C153" s="93" t="s">
        <v>349</v>
      </c>
      <c r="D153" s="93" t="s">
        <v>398</v>
      </c>
      <c r="E153" s="93" t="s">
        <v>203</v>
      </c>
      <c r="F153" s="93"/>
      <c r="G153" s="95">
        <v>0.1</v>
      </c>
      <c r="H153" s="96">
        <v>0.6</v>
      </c>
      <c r="I153" s="93" t="s">
        <v>204</v>
      </c>
      <c r="J153" s="97">
        <f t="shared" si="7"/>
        <v>8</v>
      </c>
      <c r="K153" s="97">
        <f t="shared" si="7"/>
        <v>48</v>
      </c>
      <c r="L153" s="104"/>
      <c r="M153" s="56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>
        <v>6</v>
      </c>
      <c r="Y153" s="57"/>
      <c r="Z153" s="57"/>
      <c r="AA153" s="57"/>
      <c r="AB153" s="57"/>
      <c r="AD153" s="57">
        <v>2</v>
      </c>
      <c r="AE153" s="57"/>
      <c r="AF153" s="57"/>
      <c r="AG153" s="57"/>
      <c r="AH153" s="57"/>
      <c r="AI153" s="57"/>
      <c r="AJ153" s="57"/>
      <c r="AK153" s="57">
        <v>1</v>
      </c>
      <c r="AL153" s="57"/>
      <c r="AM153" s="57"/>
      <c r="AN153" s="57"/>
      <c r="AO153" s="57"/>
      <c r="AP153" s="57"/>
      <c r="AQ153" s="57"/>
      <c r="AR153" s="57"/>
      <c r="AS153" s="57"/>
      <c r="AT153" s="57">
        <v>9</v>
      </c>
      <c r="AU153" s="57"/>
      <c r="AV153" s="57">
        <f>11+3</f>
        <v>14</v>
      </c>
      <c r="AW153" s="57"/>
      <c r="AX153" s="57"/>
      <c r="AY153" s="57">
        <v>62</v>
      </c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>
        <v>91</v>
      </c>
      <c r="BO153" s="57"/>
      <c r="BP153" s="57">
        <v>8</v>
      </c>
      <c r="BQ153" s="57"/>
      <c r="BR153" s="57"/>
      <c r="BS153" s="57">
        <v>6</v>
      </c>
      <c r="BT153" s="57"/>
      <c r="BU153" s="58">
        <f t="shared" si="8"/>
        <v>199</v>
      </c>
    </row>
    <row r="154" spans="1:73" ht="14" x14ac:dyDescent="0.15">
      <c r="A154" s="92" t="s">
        <v>399</v>
      </c>
      <c r="B154" s="93" t="s">
        <v>277</v>
      </c>
      <c r="C154" s="93" t="s">
        <v>349</v>
      </c>
      <c r="D154" s="93" t="s">
        <v>400</v>
      </c>
      <c r="E154" s="93" t="s">
        <v>115</v>
      </c>
      <c r="F154" s="93"/>
      <c r="G154" s="95">
        <v>0.1</v>
      </c>
      <c r="H154" s="96">
        <v>0.7</v>
      </c>
      <c r="I154" s="93" t="s">
        <v>116</v>
      </c>
      <c r="J154" s="97">
        <f t="shared" si="7"/>
        <v>8</v>
      </c>
      <c r="K154" s="97">
        <f t="shared" si="7"/>
        <v>56</v>
      </c>
      <c r="L154" s="104"/>
      <c r="M154" s="56"/>
      <c r="N154" s="57">
        <f>3</f>
        <v>3</v>
      </c>
      <c r="O154" s="57">
        <v>2</v>
      </c>
      <c r="P154" s="57">
        <v>1</v>
      </c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>
        <v>2</v>
      </c>
      <c r="AR154" s="57"/>
      <c r="AS154" s="57"/>
      <c r="AT154" s="57"/>
      <c r="AU154" s="57"/>
      <c r="AV154" s="57"/>
      <c r="AW154" s="57"/>
      <c r="AX154" s="57">
        <v>2</v>
      </c>
      <c r="AY154" s="57"/>
      <c r="AZ154" s="57">
        <v>5</v>
      </c>
      <c r="BA154" s="57"/>
      <c r="BB154" s="57"/>
      <c r="BC154" s="57"/>
      <c r="BD154" s="57"/>
      <c r="BE154" s="57"/>
      <c r="BF154" s="57">
        <v>2</v>
      </c>
      <c r="BG154" s="57"/>
      <c r="BH154" s="57"/>
      <c r="BI154" s="57"/>
      <c r="BJ154" s="57"/>
      <c r="BK154" s="57"/>
      <c r="BL154" s="57"/>
      <c r="BM154" s="57"/>
      <c r="BN154" s="57">
        <v>14</v>
      </c>
      <c r="BO154" s="57"/>
      <c r="BP154" s="57"/>
      <c r="BQ154" s="57">
        <v>5</v>
      </c>
      <c r="BR154" s="57">
        <v>6</v>
      </c>
      <c r="BS154" s="57"/>
      <c r="BT154" s="57">
        <v>7</v>
      </c>
      <c r="BU154" s="58">
        <f t="shared" si="8"/>
        <v>49</v>
      </c>
    </row>
    <row r="155" spans="1:73" ht="14" x14ac:dyDescent="0.15">
      <c r="A155" s="92" t="s">
        <v>401</v>
      </c>
      <c r="B155" s="93" t="s">
        <v>277</v>
      </c>
      <c r="C155" s="93" t="s">
        <v>349</v>
      </c>
      <c r="D155" s="93" t="s">
        <v>402</v>
      </c>
      <c r="E155" s="93" t="s">
        <v>108</v>
      </c>
      <c r="F155" s="93"/>
      <c r="G155" s="95">
        <v>0.1</v>
      </c>
      <c r="H155" s="96">
        <v>0.8</v>
      </c>
      <c r="I155" s="93" t="s">
        <v>109</v>
      </c>
      <c r="J155" s="97">
        <f t="shared" si="7"/>
        <v>8</v>
      </c>
      <c r="K155" s="97">
        <f t="shared" si="7"/>
        <v>64</v>
      </c>
      <c r="L155" s="116">
        <v>8</v>
      </c>
      <c r="M155" s="56"/>
      <c r="N155" s="57"/>
      <c r="O155" s="57"/>
      <c r="P155" s="57"/>
      <c r="Q155" s="57"/>
      <c r="R155" s="57"/>
      <c r="S155" s="57"/>
      <c r="T155" s="57"/>
      <c r="U155" s="57">
        <v>1</v>
      </c>
      <c r="V155" s="57"/>
      <c r="W155" s="57">
        <v>7</v>
      </c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>
        <v>1</v>
      </c>
      <c r="BE155" s="57"/>
      <c r="BF155" s="57"/>
      <c r="BG155" s="57"/>
      <c r="BH155" s="57"/>
      <c r="BI155" s="57"/>
      <c r="BJ155" s="57"/>
      <c r="BK155" s="57">
        <v>12</v>
      </c>
      <c r="BL155" s="57"/>
      <c r="BM155" s="57"/>
      <c r="BN155" s="57"/>
      <c r="BO155" s="57">
        <v>1</v>
      </c>
      <c r="BP155" s="57">
        <v>20</v>
      </c>
      <c r="BQ155" s="57"/>
      <c r="BR155" s="57"/>
      <c r="BS155" s="57"/>
      <c r="BT155" s="57">
        <v>3</v>
      </c>
      <c r="BU155" s="58">
        <f t="shared" si="8"/>
        <v>45</v>
      </c>
    </row>
    <row r="156" spans="1:73" ht="14" x14ac:dyDescent="0.15">
      <c r="A156" s="92" t="s">
        <v>403</v>
      </c>
      <c r="B156" s="93" t="s">
        <v>404</v>
      </c>
      <c r="C156" s="93" t="s">
        <v>349</v>
      </c>
      <c r="D156" s="93" t="s">
        <v>405</v>
      </c>
      <c r="E156" s="93" t="s">
        <v>115</v>
      </c>
      <c r="F156" s="93" t="s">
        <v>406</v>
      </c>
      <c r="G156" s="95">
        <v>0.1</v>
      </c>
      <c r="H156" s="96">
        <v>0.9</v>
      </c>
      <c r="I156" s="93" t="s">
        <v>116</v>
      </c>
      <c r="J156" s="97">
        <f t="shared" si="7"/>
        <v>8</v>
      </c>
      <c r="K156" s="97">
        <f t="shared" si="7"/>
        <v>72</v>
      </c>
      <c r="L156" s="104"/>
      <c r="M156" s="56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B156" s="57">
        <v>12</v>
      </c>
      <c r="AC156" s="57">
        <v>6</v>
      </c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>
        <v>13</v>
      </c>
      <c r="BM156" s="57">
        <f>7+1</f>
        <v>8</v>
      </c>
      <c r="BN156" s="57">
        <f>31+10</f>
        <v>41</v>
      </c>
      <c r="BO156" s="57">
        <v>4</v>
      </c>
      <c r="BP156" s="57">
        <v>22</v>
      </c>
      <c r="BQ156" s="57">
        <v>2</v>
      </c>
      <c r="BR156" s="57">
        <v>15</v>
      </c>
      <c r="BS156" s="57">
        <v>16</v>
      </c>
      <c r="BT156" s="57">
        <v>11</v>
      </c>
      <c r="BU156" s="58">
        <f t="shared" si="8"/>
        <v>150</v>
      </c>
    </row>
    <row r="157" spans="1:73" ht="14" x14ac:dyDescent="0.15">
      <c r="A157" s="92" t="s">
        <v>407</v>
      </c>
      <c r="B157" s="93" t="s">
        <v>277</v>
      </c>
      <c r="C157" s="93" t="s">
        <v>349</v>
      </c>
      <c r="D157" s="93" t="s">
        <v>408</v>
      </c>
      <c r="E157" s="93" t="s">
        <v>108</v>
      </c>
      <c r="F157" s="93"/>
      <c r="G157" s="95">
        <v>0.1</v>
      </c>
      <c r="H157" s="96">
        <v>1</v>
      </c>
      <c r="I157" s="93" t="s">
        <v>109</v>
      </c>
      <c r="J157" s="97">
        <f t="shared" si="7"/>
        <v>8</v>
      </c>
      <c r="K157" s="97">
        <f t="shared" si="7"/>
        <v>80</v>
      </c>
      <c r="L157" s="116">
        <v>8</v>
      </c>
      <c r="M157" s="56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>
        <v>1</v>
      </c>
      <c r="AS157" s="57"/>
      <c r="AT157" s="57"/>
      <c r="AU157" s="57"/>
      <c r="AV157" s="57">
        <v>3</v>
      </c>
      <c r="AW157" s="57"/>
      <c r="AX157" s="57"/>
      <c r="AY157" s="57"/>
      <c r="AZ157" s="57">
        <v>18</v>
      </c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>
        <v>5</v>
      </c>
      <c r="BO157" s="57">
        <f>2+4</f>
        <v>6</v>
      </c>
      <c r="BP157" s="57">
        <v>6</v>
      </c>
      <c r="BQ157" s="57"/>
      <c r="BR157" s="57"/>
      <c r="BS157" s="57"/>
      <c r="BT157" s="57"/>
      <c r="BU157" s="58">
        <f t="shared" si="8"/>
        <v>39</v>
      </c>
    </row>
    <row r="158" spans="1:73" ht="14" x14ac:dyDescent="0.15">
      <c r="A158" s="92" t="s">
        <v>409</v>
      </c>
      <c r="B158" s="93" t="s">
        <v>277</v>
      </c>
      <c r="C158" s="93" t="s">
        <v>349</v>
      </c>
      <c r="D158" s="93" t="s">
        <v>410</v>
      </c>
      <c r="E158" s="93" t="s">
        <v>411</v>
      </c>
      <c r="F158" s="93"/>
      <c r="G158" s="95">
        <v>0.1</v>
      </c>
      <c r="H158" s="96">
        <v>1.5</v>
      </c>
      <c r="I158" s="93" t="s">
        <v>412</v>
      </c>
      <c r="J158" s="97">
        <f t="shared" si="7"/>
        <v>8</v>
      </c>
      <c r="K158" s="97">
        <f t="shared" si="7"/>
        <v>120</v>
      </c>
      <c r="L158" s="104">
        <v>8</v>
      </c>
      <c r="M158" s="56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>
        <v>3</v>
      </c>
      <c r="BM158" s="57">
        <v>1</v>
      </c>
      <c r="BN158" s="57"/>
      <c r="BO158" s="57"/>
      <c r="BP158" s="57"/>
      <c r="BQ158" s="57"/>
      <c r="BR158" s="57"/>
      <c r="BS158" s="57">
        <v>4</v>
      </c>
      <c r="BT158" s="57">
        <v>5</v>
      </c>
      <c r="BU158" s="58">
        <f t="shared" si="8"/>
        <v>13</v>
      </c>
    </row>
    <row r="159" spans="1:73" ht="14" x14ac:dyDescent="0.15">
      <c r="A159" s="92" t="s">
        <v>413</v>
      </c>
      <c r="B159" s="93" t="s">
        <v>277</v>
      </c>
      <c r="C159" s="93" t="s">
        <v>349</v>
      </c>
      <c r="D159" s="93" t="s">
        <v>414</v>
      </c>
      <c r="E159" s="93" t="s">
        <v>108</v>
      </c>
      <c r="F159" s="93"/>
      <c r="G159" s="95">
        <v>0.1</v>
      </c>
      <c r="H159" s="96">
        <v>1.8</v>
      </c>
      <c r="I159" s="93" t="s">
        <v>109</v>
      </c>
      <c r="J159" s="97">
        <f t="shared" si="7"/>
        <v>8</v>
      </c>
      <c r="K159" s="97">
        <f t="shared" si="7"/>
        <v>144</v>
      </c>
      <c r="L159" s="104">
        <v>8</v>
      </c>
      <c r="M159" s="56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>
        <v>4</v>
      </c>
      <c r="AO159" s="57"/>
      <c r="AP159" s="57">
        <v>1</v>
      </c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8">
        <f t="shared" si="8"/>
        <v>5</v>
      </c>
    </row>
    <row r="160" spans="1:73" ht="14" x14ac:dyDescent="0.15">
      <c r="A160" s="92" t="s">
        <v>415</v>
      </c>
      <c r="B160" s="93" t="s">
        <v>277</v>
      </c>
      <c r="C160" s="93" t="s">
        <v>349</v>
      </c>
      <c r="D160" s="93" t="s">
        <v>416</v>
      </c>
      <c r="E160" s="93" t="s">
        <v>108</v>
      </c>
      <c r="F160" s="93"/>
      <c r="G160" s="95">
        <v>0.1</v>
      </c>
      <c r="H160" s="96">
        <v>2.1</v>
      </c>
      <c r="I160" s="93" t="s">
        <v>109</v>
      </c>
      <c r="J160" s="97">
        <f t="shared" si="7"/>
        <v>8</v>
      </c>
      <c r="K160" s="97">
        <f t="shared" si="7"/>
        <v>168</v>
      </c>
      <c r="L160" s="104">
        <v>8</v>
      </c>
      <c r="M160" s="56"/>
      <c r="N160" s="57">
        <v>1</v>
      </c>
      <c r="O160" s="57"/>
      <c r="P160" s="57">
        <v>1</v>
      </c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>
        <v>11</v>
      </c>
      <c r="BL160" s="57"/>
      <c r="BM160" s="57"/>
      <c r="BN160" s="57"/>
      <c r="BO160" s="57"/>
      <c r="BP160" s="57"/>
      <c r="BQ160" s="57"/>
      <c r="BR160" s="57"/>
      <c r="BS160" s="57">
        <v>6</v>
      </c>
      <c r="BT160" s="57">
        <v>1</v>
      </c>
      <c r="BU160" s="58">
        <f t="shared" si="8"/>
        <v>20</v>
      </c>
    </row>
    <row r="161" spans="1:73" ht="14" x14ac:dyDescent="0.15">
      <c r="A161" s="92" t="s">
        <v>417</v>
      </c>
      <c r="B161" s="93" t="s">
        <v>277</v>
      </c>
      <c r="C161" s="93" t="s">
        <v>349</v>
      </c>
      <c r="D161" s="93" t="s">
        <v>418</v>
      </c>
      <c r="E161" s="93" t="s">
        <v>203</v>
      </c>
      <c r="F161" s="93"/>
      <c r="G161" s="95">
        <v>0.1</v>
      </c>
      <c r="H161" s="96">
        <v>2.2999999999999998</v>
      </c>
      <c r="I161" s="93" t="s">
        <v>204</v>
      </c>
      <c r="J161" s="97">
        <f t="shared" si="7"/>
        <v>8</v>
      </c>
      <c r="K161" s="97">
        <f t="shared" si="7"/>
        <v>184</v>
      </c>
      <c r="L161" s="104"/>
      <c r="M161" s="56"/>
      <c r="N161" s="57"/>
      <c r="O161" s="57"/>
      <c r="P161" s="57"/>
      <c r="Q161" s="57"/>
      <c r="R161" s="57"/>
      <c r="S161" s="57"/>
      <c r="T161" s="57"/>
      <c r="U161" s="57"/>
      <c r="V161" s="57">
        <v>2</v>
      </c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>
        <v>5</v>
      </c>
      <c r="BL161" s="57">
        <v>12</v>
      </c>
      <c r="BM161" s="57"/>
      <c r="BN161" s="57">
        <v>13</v>
      </c>
      <c r="BO161" s="57"/>
      <c r="BP161" s="57">
        <v>11</v>
      </c>
      <c r="BQ161" s="57"/>
      <c r="BR161" s="57"/>
      <c r="BS161" s="57"/>
      <c r="BT161" s="57">
        <f>23+7</f>
        <v>30</v>
      </c>
      <c r="BU161" s="58">
        <f t="shared" si="8"/>
        <v>73</v>
      </c>
    </row>
    <row r="162" spans="1:73" ht="14" x14ac:dyDescent="0.15">
      <c r="A162" s="92" t="s">
        <v>419</v>
      </c>
      <c r="B162" s="93" t="s">
        <v>277</v>
      </c>
      <c r="C162" s="93" t="s">
        <v>349</v>
      </c>
      <c r="D162" s="93" t="s">
        <v>420</v>
      </c>
      <c r="E162" s="93" t="s">
        <v>108</v>
      </c>
      <c r="F162" s="93"/>
      <c r="G162" s="95">
        <v>0.1</v>
      </c>
      <c r="H162" s="96">
        <v>3.2</v>
      </c>
      <c r="I162" s="93" t="s">
        <v>109</v>
      </c>
      <c r="J162" s="97">
        <f t="shared" ref="J162:K191" si="9">G162*80</f>
        <v>8</v>
      </c>
      <c r="K162" s="97">
        <f t="shared" si="9"/>
        <v>256</v>
      </c>
      <c r="L162" s="117">
        <v>8</v>
      </c>
      <c r="M162" s="56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>
        <v>7</v>
      </c>
      <c r="BQ162" s="57"/>
      <c r="BR162" s="57"/>
      <c r="BS162" s="57">
        <v>1</v>
      </c>
      <c r="BT162" s="57"/>
      <c r="BU162" s="58">
        <f t="shared" si="8"/>
        <v>8</v>
      </c>
    </row>
    <row r="163" spans="1:73" ht="14" x14ac:dyDescent="0.15">
      <c r="A163" s="92" t="s">
        <v>421</v>
      </c>
      <c r="B163" s="93" t="s">
        <v>277</v>
      </c>
      <c r="C163" s="93" t="s">
        <v>349</v>
      </c>
      <c r="D163" s="93" t="s">
        <v>422</v>
      </c>
      <c r="E163" s="93" t="s">
        <v>108</v>
      </c>
      <c r="F163" s="93"/>
      <c r="G163" s="95">
        <v>0.1</v>
      </c>
      <c r="H163" s="96">
        <v>4</v>
      </c>
      <c r="I163" s="93" t="s">
        <v>109</v>
      </c>
      <c r="J163" s="97">
        <f t="shared" si="9"/>
        <v>8</v>
      </c>
      <c r="K163" s="97">
        <f t="shared" si="9"/>
        <v>320</v>
      </c>
      <c r="L163" s="117">
        <v>8</v>
      </c>
      <c r="M163" s="56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>
        <v>13</v>
      </c>
      <c r="BL163" s="57"/>
      <c r="BM163" s="57"/>
      <c r="BN163" s="57">
        <v>7</v>
      </c>
      <c r="BO163" s="57"/>
      <c r="BP163" s="57"/>
      <c r="BQ163" s="57"/>
      <c r="BR163" s="57"/>
      <c r="BS163" s="57"/>
      <c r="BT163" s="57"/>
      <c r="BU163" s="58">
        <f t="shared" si="8"/>
        <v>20</v>
      </c>
    </row>
    <row r="164" spans="1:73" ht="14" x14ac:dyDescent="0.15">
      <c r="A164" s="92" t="s">
        <v>423</v>
      </c>
      <c r="B164" s="93" t="s">
        <v>277</v>
      </c>
      <c r="C164" s="93" t="s">
        <v>349</v>
      </c>
      <c r="D164" s="93" t="s">
        <v>424</v>
      </c>
      <c r="E164" s="93" t="s">
        <v>108</v>
      </c>
      <c r="F164" s="93"/>
      <c r="G164" s="95">
        <v>0.15</v>
      </c>
      <c r="H164" s="96">
        <v>0.6</v>
      </c>
      <c r="I164" s="93" t="s">
        <v>109</v>
      </c>
      <c r="J164" s="97">
        <f t="shared" si="9"/>
        <v>12</v>
      </c>
      <c r="K164" s="97">
        <f t="shared" si="9"/>
        <v>48</v>
      </c>
      <c r="L164" s="117">
        <v>12</v>
      </c>
      <c r="M164" s="56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>
        <v>3</v>
      </c>
      <c r="AR164" s="57"/>
      <c r="AS164" s="57"/>
      <c r="AT164" s="57"/>
      <c r="AU164" s="57"/>
      <c r="AV164" s="57"/>
      <c r="AW164" s="57"/>
      <c r="AX164" s="57"/>
      <c r="AY164" s="57"/>
      <c r="AZ164" s="57">
        <v>1</v>
      </c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8">
        <f t="shared" si="8"/>
        <v>4</v>
      </c>
    </row>
    <row r="165" spans="1:73" ht="14" x14ac:dyDescent="0.15">
      <c r="A165" s="92" t="s">
        <v>425</v>
      </c>
      <c r="B165" s="93" t="s">
        <v>277</v>
      </c>
      <c r="C165" s="93" t="s">
        <v>349</v>
      </c>
      <c r="D165" s="93" t="s">
        <v>426</v>
      </c>
      <c r="E165" s="93" t="s">
        <v>108</v>
      </c>
      <c r="F165" s="93"/>
      <c r="G165" s="95">
        <v>0.15</v>
      </c>
      <c r="H165" s="96">
        <v>0.7</v>
      </c>
      <c r="I165" s="93" t="s">
        <v>109</v>
      </c>
      <c r="J165" s="97">
        <f t="shared" si="9"/>
        <v>12</v>
      </c>
      <c r="K165" s="97">
        <f t="shared" si="9"/>
        <v>56</v>
      </c>
      <c r="L165" s="117">
        <v>12</v>
      </c>
      <c r="M165" s="56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>
        <v>1</v>
      </c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>
        <v>4</v>
      </c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8">
        <f t="shared" si="8"/>
        <v>5</v>
      </c>
    </row>
    <row r="166" spans="1:73" ht="14" x14ac:dyDescent="0.15">
      <c r="A166" s="92" t="s">
        <v>427</v>
      </c>
      <c r="B166" s="93" t="s">
        <v>277</v>
      </c>
      <c r="C166" s="93" t="s">
        <v>349</v>
      </c>
      <c r="D166" s="93" t="s">
        <v>428</v>
      </c>
      <c r="E166" s="93" t="s">
        <v>115</v>
      </c>
      <c r="F166" s="93"/>
      <c r="G166" s="95">
        <v>0.15</v>
      </c>
      <c r="H166" s="96">
        <v>1</v>
      </c>
      <c r="I166" s="93" t="s">
        <v>116</v>
      </c>
      <c r="J166" s="97">
        <f t="shared" si="9"/>
        <v>12</v>
      </c>
      <c r="K166" s="97">
        <f t="shared" si="9"/>
        <v>80</v>
      </c>
      <c r="L166" s="98"/>
      <c r="M166" s="56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>
        <v>2</v>
      </c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8">
        <f t="shared" si="8"/>
        <v>2</v>
      </c>
    </row>
    <row r="167" spans="1:73" ht="14" x14ac:dyDescent="0.15">
      <c r="A167" s="92" t="s">
        <v>429</v>
      </c>
      <c r="B167" s="93" t="s">
        <v>277</v>
      </c>
      <c r="C167" s="93" t="s">
        <v>349</v>
      </c>
      <c r="D167" s="93" t="s">
        <v>430</v>
      </c>
      <c r="E167" s="93" t="s">
        <v>108</v>
      </c>
      <c r="F167" s="93"/>
      <c r="G167" s="95">
        <v>0.15</v>
      </c>
      <c r="H167" s="96">
        <v>1.6</v>
      </c>
      <c r="I167" s="93" t="s">
        <v>109</v>
      </c>
      <c r="J167" s="97">
        <f t="shared" si="9"/>
        <v>12</v>
      </c>
      <c r="K167" s="97">
        <f t="shared" si="9"/>
        <v>128</v>
      </c>
      <c r="L167" s="98">
        <v>12</v>
      </c>
      <c r="M167" s="56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>
        <v>11</v>
      </c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8">
        <f t="shared" si="8"/>
        <v>11</v>
      </c>
    </row>
    <row r="168" spans="1:73" ht="14" x14ac:dyDescent="0.15">
      <c r="A168" s="92" t="s">
        <v>431</v>
      </c>
      <c r="B168" s="93" t="s">
        <v>277</v>
      </c>
      <c r="C168" s="93" t="s">
        <v>349</v>
      </c>
      <c r="D168" s="93" t="s">
        <v>432</v>
      </c>
      <c r="E168" s="93" t="s">
        <v>108</v>
      </c>
      <c r="F168" s="93"/>
      <c r="G168" s="95">
        <v>0.2</v>
      </c>
      <c r="H168" s="96">
        <v>0.5</v>
      </c>
      <c r="I168" s="93" t="s">
        <v>109</v>
      </c>
      <c r="J168" s="97">
        <f t="shared" si="9"/>
        <v>16</v>
      </c>
      <c r="K168" s="97">
        <f t="shared" si="9"/>
        <v>40</v>
      </c>
      <c r="L168" s="98">
        <v>16</v>
      </c>
      <c r="M168" s="56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>
        <v>1</v>
      </c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8">
        <f t="shared" si="8"/>
        <v>1</v>
      </c>
    </row>
    <row r="169" spans="1:73" ht="14" x14ac:dyDescent="0.15">
      <c r="A169" s="92" t="s">
        <v>433</v>
      </c>
      <c r="B169" s="93" t="s">
        <v>404</v>
      </c>
      <c r="C169" s="93" t="s">
        <v>349</v>
      </c>
      <c r="D169" s="93" t="s">
        <v>434</v>
      </c>
      <c r="E169" s="93" t="s">
        <v>115</v>
      </c>
      <c r="F169" s="93" t="s">
        <v>406</v>
      </c>
      <c r="G169" s="95">
        <v>0.2</v>
      </c>
      <c r="H169" s="96">
        <v>0.6</v>
      </c>
      <c r="I169" s="93" t="s">
        <v>116</v>
      </c>
      <c r="J169" s="97">
        <f t="shared" si="9"/>
        <v>16</v>
      </c>
      <c r="K169" s="97">
        <f t="shared" si="9"/>
        <v>48</v>
      </c>
      <c r="L169" s="98"/>
      <c r="M169" s="56"/>
      <c r="N169" s="57"/>
      <c r="O169" s="57"/>
      <c r="P169" s="57"/>
      <c r="Q169" s="57"/>
      <c r="R169" s="57"/>
      <c r="S169" s="57"/>
      <c r="T169" s="57"/>
      <c r="U169" s="57"/>
      <c r="V169" s="57"/>
      <c r="W169" s="57">
        <f>5+4</f>
        <v>9</v>
      </c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8">
        <f t="shared" si="8"/>
        <v>9</v>
      </c>
    </row>
    <row r="170" spans="1:73" ht="14" x14ac:dyDescent="0.15">
      <c r="A170" s="92" t="s">
        <v>435</v>
      </c>
      <c r="B170" s="93" t="s">
        <v>277</v>
      </c>
      <c r="C170" s="93" t="s">
        <v>349</v>
      </c>
      <c r="D170" s="93" t="s">
        <v>436</v>
      </c>
      <c r="E170" s="118" t="s">
        <v>312</v>
      </c>
      <c r="F170" s="118"/>
      <c r="G170" s="95">
        <v>0.2</v>
      </c>
      <c r="H170" s="96">
        <v>0.8</v>
      </c>
      <c r="I170" s="118" t="s">
        <v>307</v>
      </c>
      <c r="J170" s="97">
        <f t="shared" si="9"/>
        <v>16</v>
      </c>
      <c r="K170" s="97">
        <f t="shared" si="9"/>
        <v>64</v>
      </c>
      <c r="L170" s="98">
        <v>16</v>
      </c>
      <c r="M170" s="56">
        <v>1</v>
      </c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>
        <v>1</v>
      </c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>
        <v>1</v>
      </c>
      <c r="BT170" s="57"/>
      <c r="BU170" s="58">
        <f t="shared" si="8"/>
        <v>3</v>
      </c>
    </row>
    <row r="171" spans="1:73" ht="14" x14ac:dyDescent="0.15">
      <c r="A171" s="92" t="s">
        <v>437</v>
      </c>
      <c r="B171" s="93" t="s">
        <v>277</v>
      </c>
      <c r="C171" s="93" t="s">
        <v>349</v>
      </c>
      <c r="D171" s="93" t="s">
        <v>438</v>
      </c>
      <c r="E171" s="93" t="s">
        <v>108</v>
      </c>
      <c r="F171" s="93"/>
      <c r="G171" s="95">
        <v>0.2</v>
      </c>
      <c r="H171" s="96">
        <v>1.3</v>
      </c>
      <c r="I171" s="93" t="s">
        <v>109</v>
      </c>
      <c r="J171" s="97">
        <f t="shared" si="9"/>
        <v>16</v>
      </c>
      <c r="K171" s="97">
        <f t="shared" si="9"/>
        <v>104</v>
      </c>
      <c r="L171" s="98">
        <v>16</v>
      </c>
      <c r="M171" s="56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>
        <v>1</v>
      </c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8">
        <f t="shared" si="8"/>
        <v>1</v>
      </c>
    </row>
    <row r="172" spans="1:73" ht="14" x14ac:dyDescent="0.15">
      <c r="A172" s="119" t="s">
        <v>439</v>
      </c>
      <c r="B172" s="93" t="s">
        <v>277</v>
      </c>
      <c r="C172" s="93" t="s">
        <v>349</v>
      </c>
      <c r="D172" s="118" t="s">
        <v>440</v>
      </c>
      <c r="E172" s="118" t="s">
        <v>312</v>
      </c>
      <c r="F172" s="118"/>
      <c r="G172" s="120">
        <v>0.2</v>
      </c>
      <c r="H172" s="121">
        <v>2</v>
      </c>
      <c r="I172" s="118" t="s">
        <v>307</v>
      </c>
      <c r="J172" s="122">
        <f t="shared" si="9"/>
        <v>16</v>
      </c>
      <c r="K172" s="97">
        <f t="shared" si="9"/>
        <v>160</v>
      </c>
      <c r="L172" s="98">
        <v>16</v>
      </c>
      <c r="M172" s="56">
        <v>3</v>
      </c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>
        <v>2</v>
      </c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>
        <v>1</v>
      </c>
      <c r="BM172" s="57"/>
      <c r="BN172" s="57"/>
      <c r="BO172" s="57"/>
      <c r="BP172" s="57"/>
      <c r="BQ172" s="57"/>
      <c r="BR172" s="57"/>
      <c r="BS172" s="57"/>
      <c r="BT172" s="57"/>
      <c r="BU172" s="58">
        <f t="shared" si="8"/>
        <v>6</v>
      </c>
    </row>
    <row r="173" spans="1:73" ht="14" x14ac:dyDescent="0.15">
      <c r="A173" s="119" t="s">
        <v>441</v>
      </c>
      <c r="B173" s="93" t="s">
        <v>277</v>
      </c>
      <c r="C173" s="93" t="s">
        <v>349</v>
      </c>
      <c r="D173" s="118" t="s">
        <v>442</v>
      </c>
      <c r="E173" s="118" t="s">
        <v>312</v>
      </c>
      <c r="F173" s="118"/>
      <c r="G173" s="120">
        <v>0.2</v>
      </c>
      <c r="H173" s="121">
        <v>4.5</v>
      </c>
      <c r="I173" s="118" t="s">
        <v>307</v>
      </c>
      <c r="J173" s="122">
        <f t="shared" si="9"/>
        <v>16</v>
      </c>
      <c r="K173" s="97">
        <f t="shared" si="9"/>
        <v>360</v>
      </c>
      <c r="L173" s="98">
        <v>16</v>
      </c>
      <c r="M173" s="56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>
        <v>2</v>
      </c>
      <c r="BU173" s="58">
        <f t="shared" si="8"/>
        <v>2</v>
      </c>
    </row>
    <row r="174" spans="1:73" ht="14" x14ac:dyDescent="0.15">
      <c r="A174" s="92" t="s">
        <v>443</v>
      </c>
      <c r="B174" s="93" t="s">
        <v>277</v>
      </c>
      <c r="C174" s="93" t="s">
        <v>349</v>
      </c>
      <c r="D174" s="93" t="s">
        <v>444</v>
      </c>
      <c r="E174" s="93" t="s">
        <v>108</v>
      </c>
      <c r="F174" s="93"/>
      <c r="G174" s="95">
        <v>0.25</v>
      </c>
      <c r="H174" s="96">
        <v>0.7</v>
      </c>
      <c r="I174" s="93" t="s">
        <v>109</v>
      </c>
      <c r="J174" s="97">
        <f t="shared" si="9"/>
        <v>20</v>
      </c>
      <c r="K174" s="97">
        <f t="shared" si="9"/>
        <v>56</v>
      </c>
      <c r="L174" s="98">
        <v>20</v>
      </c>
      <c r="M174" s="56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>
        <v>3</v>
      </c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>
        <v>2</v>
      </c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8">
        <f t="shared" si="8"/>
        <v>5</v>
      </c>
    </row>
    <row r="175" spans="1:73" ht="14" x14ac:dyDescent="0.15">
      <c r="A175" s="92" t="s">
        <v>445</v>
      </c>
      <c r="B175" s="93" t="s">
        <v>277</v>
      </c>
      <c r="C175" s="93" t="s">
        <v>349</v>
      </c>
      <c r="D175" s="93" t="s">
        <v>446</v>
      </c>
      <c r="E175" s="93" t="s">
        <v>108</v>
      </c>
      <c r="F175" s="93"/>
      <c r="G175" s="95">
        <v>0.25</v>
      </c>
      <c r="H175" s="96">
        <v>1.4</v>
      </c>
      <c r="I175" s="93" t="s">
        <v>109</v>
      </c>
      <c r="J175" s="97">
        <f t="shared" si="9"/>
        <v>20</v>
      </c>
      <c r="K175" s="97">
        <f t="shared" si="9"/>
        <v>112</v>
      </c>
      <c r="L175" s="98">
        <v>20</v>
      </c>
      <c r="M175" s="56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>
        <v>1</v>
      </c>
      <c r="BS175" s="57"/>
      <c r="BT175" s="57"/>
      <c r="BU175" s="58">
        <f t="shared" si="8"/>
        <v>1</v>
      </c>
    </row>
    <row r="176" spans="1:73" ht="14" x14ac:dyDescent="0.15">
      <c r="A176" s="92" t="s">
        <v>447</v>
      </c>
      <c r="B176" s="93" t="s">
        <v>277</v>
      </c>
      <c r="C176" s="93" t="s">
        <v>349</v>
      </c>
      <c r="D176" s="93" t="s">
        <v>448</v>
      </c>
      <c r="E176" s="93" t="s">
        <v>115</v>
      </c>
      <c r="F176" s="93"/>
      <c r="G176" s="95">
        <v>0.3</v>
      </c>
      <c r="H176" s="96">
        <v>0.4</v>
      </c>
      <c r="I176" s="93" t="s">
        <v>116</v>
      </c>
      <c r="J176" s="97">
        <f t="shared" si="9"/>
        <v>24</v>
      </c>
      <c r="K176" s="97">
        <f t="shared" si="9"/>
        <v>32</v>
      </c>
      <c r="L176" s="98"/>
      <c r="M176" s="56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>
        <v>10</v>
      </c>
      <c r="BL176" s="57"/>
      <c r="BM176" s="57"/>
      <c r="BN176" s="57"/>
      <c r="BO176" s="57"/>
      <c r="BP176" s="57"/>
      <c r="BQ176" s="57">
        <v>5</v>
      </c>
      <c r="BR176" s="57"/>
      <c r="BS176" s="57"/>
      <c r="BT176" s="57"/>
      <c r="BU176" s="58">
        <f t="shared" si="8"/>
        <v>15</v>
      </c>
    </row>
    <row r="177" spans="1:73" ht="14" x14ac:dyDescent="0.15">
      <c r="A177" s="92" t="s">
        <v>449</v>
      </c>
      <c r="B177" s="93" t="s">
        <v>277</v>
      </c>
      <c r="C177" s="93" t="s">
        <v>349</v>
      </c>
      <c r="D177" s="93" t="s">
        <v>450</v>
      </c>
      <c r="E177" s="93" t="s">
        <v>108</v>
      </c>
      <c r="F177" s="93"/>
      <c r="G177" s="95">
        <v>0.3</v>
      </c>
      <c r="H177" s="96">
        <v>0.9</v>
      </c>
      <c r="I177" s="93" t="s">
        <v>109</v>
      </c>
      <c r="J177" s="97">
        <f t="shared" si="9"/>
        <v>24</v>
      </c>
      <c r="K177" s="97">
        <f t="shared" si="9"/>
        <v>72</v>
      </c>
      <c r="L177" s="98">
        <v>24</v>
      </c>
      <c r="M177" s="56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>
        <v>1</v>
      </c>
      <c r="BQ177" s="57">
        <v>1</v>
      </c>
      <c r="BR177" s="57">
        <v>1</v>
      </c>
      <c r="BS177" s="57"/>
      <c r="BT177" s="57"/>
      <c r="BU177" s="58">
        <f t="shared" si="8"/>
        <v>3</v>
      </c>
    </row>
    <row r="178" spans="1:73" ht="14" x14ac:dyDescent="0.2">
      <c r="A178" s="92" t="s">
        <v>451</v>
      </c>
      <c r="B178" s="93" t="s">
        <v>277</v>
      </c>
      <c r="C178" s="93" t="s">
        <v>349</v>
      </c>
      <c r="D178" s="93" t="s">
        <v>452</v>
      </c>
      <c r="E178" s="93" t="s">
        <v>312</v>
      </c>
      <c r="F178" s="93"/>
      <c r="G178" s="123">
        <v>1.3</v>
      </c>
      <c r="H178" s="124">
        <v>2.5</v>
      </c>
      <c r="I178" s="93" t="s">
        <v>307</v>
      </c>
      <c r="J178" s="125">
        <f t="shared" si="9"/>
        <v>104</v>
      </c>
      <c r="K178" s="125">
        <f t="shared" si="9"/>
        <v>200</v>
      </c>
      <c r="L178" s="126">
        <v>104</v>
      </c>
      <c r="M178" s="56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>
        <v>2</v>
      </c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8">
        <f t="shared" si="8"/>
        <v>2</v>
      </c>
    </row>
    <row r="179" spans="1:73" ht="14" x14ac:dyDescent="0.15">
      <c r="A179" s="92" t="s">
        <v>453</v>
      </c>
      <c r="B179" s="93" t="s">
        <v>277</v>
      </c>
      <c r="C179" s="93" t="s">
        <v>454</v>
      </c>
      <c r="D179" s="93" t="s">
        <v>455</v>
      </c>
      <c r="E179" s="93" t="s">
        <v>108</v>
      </c>
      <c r="F179" s="93"/>
      <c r="G179" s="95">
        <v>0.2</v>
      </c>
      <c r="H179" s="96">
        <v>0.6</v>
      </c>
      <c r="I179" s="93" t="s">
        <v>109</v>
      </c>
      <c r="J179" s="97">
        <f t="shared" si="9"/>
        <v>16</v>
      </c>
      <c r="K179" s="97">
        <f t="shared" si="9"/>
        <v>48</v>
      </c>
      <c r="L179" s="98">
        <v>16</v>
      </c>
      <c r="M179" s="56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>
        <v>1</v>
      </c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8">
        <f t="shared" si="8"/>
        <v>1</v>
      </c>
    </row>
    <row r="180" spans="1:73" ht="14" x14ac:dyDescent="0.15">
      <c r="A180" s="92" t="s">
        <v>456</v>
      </c>
      <c r="B180" s="93" t="s">
        <v>277</v>
      </c>
      <c r="C180" s="93" t="s">
        <v>454</v>
      </c>
      <c r="D180" s="93" t="s">
        <v>457</v>
      </c>
      <c r="E180" s="93" t="s">
        <v>108</v>
      </c>
      <c r="F180" s="93"/>
      <c r="G180" s="95">
        <v>0.2</v>
      </c>
      <c r="H180" s="96">
        <v>1.2</v>
      </c>
      <c r="I180" s="93" t="s">
        <v>109</v>
      </c>
      <c r="J180" s="97">
        <f t="shared" si="9"/>
        <v>16</v>
      </c>
      <c r="K180" s="97">
        <f t="shared" si="9"/>
        <v>96</v>
      </c>
      <c r="L180" s="98">
        <v>16</v>
      </c>
      <c r="M180" s="56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>
        <v>1</v>
      </c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8">
        <f t="shared" si="8"/>
        <v>1</v>
      </c>
    </row>
    <row r="181" spans="1:73" ht="14" x14ac:dyDescent="0.15">
      <c r="A181" s="92" t="s">
        <v>458</v>
      </c>
      <c r="B181" s="93" t="s">
        <v>277</v>
      </c>
      <c r="C181" s="93" t="s">
        <v>454</v>
      </c>
      <c r="D181" s="93" t="s">
        <v>459</v>
      </c>
      <c r="E181" s="93" t="s">
        <v>108</v>
      </c>
      <c r="F181" s="93"/>
      <c r="G181" s="95">
        <v>0.3</v>
      </c>
      <c r="H181" s="96">
        <v>0.8</v>
      </c>
      <c r="I181" s="93" t="s">
        <v>109</v>
      </c>
      <c r="J181" s="97">
        <f t="shared" si="9"/>
        <v>24</v>
      </c>
      <c r="K181" s="97">
        <f t="shared" si="9"/>
        <v>64</v>
      </c>
      <c r="L181" s="98">
        <v>24</v>
      </c>
      <c r="M181" s="56"/>
      <c r="N181" s="57"/>
      <c r="O181" s="57"/>
      <c r="P181" s="57">
        <v>1</v>
      </c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8">
        <f t="shared" si="8"/>
        <v>1</v>
      </c>
    </row>
    <row r="182" spans="1:73" ht="14" x14ac:dyDescent="0.15">
      <c r="A182" s="92" t="s">
        <v>460</v>
      </c>
      <c r="B182" s="93" t="s">
        <v>277</v>
      </c>
      <c r="C182" s="93" t="s">
        <v>454</v>
      </c>
      <c r="D182" s="93" t="s">
        <v>461</v>
      </c>
      <c r="E182" s="93" t="s">
        <v>108</v>
      </c>
      <c r="F182" s="93"/>
      <c r="G182" s="95">
        <v>0.6</v>
      </c>
      <c r="H182" s="96">
        <v>0.8</v>
      </c>
      <c r="I182" s="93" t="s">
        <v>109</v>
      </c>
      <c r="J182" s="97">
        <f t="shared" si="9"/>
        <v>48</v>
      </c>
      <c r="K182" s="97">
        <f t="shared" si="9"/>
        <v>64</v>
      </c>
      <c r="L182" s="98">
        <v>48</v>
      </c>
      <c r="M182" s="56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>
        <v>1</v>
      </c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8">
        <f t="shared" si="8"/>
        <v>1</v>
      </c>
    </row>
    <row r="183" spans="1:73" ht="14" x14ac:dyDescent="0.15">
      <c r="A183" s="92" t="s">
        <v>462</v>
      </c>
      <c r="B183" s="93" t="s">
        <v>277</v>
      </c>
      <c r="C183" s="93" t="s">
        <v>454</v>
      </c>
      <c r="D183" s="93" t="s">
        <v>463</v>
      </c>
      <c r="E183" s="93" t="s">
        <v>108</v>
      </c>
      <c r="F183" s="93"/>
      <c r="G183" s="95">
        <v>0.8</v>
      </c>
      <c r="H183" s="96">
        <v>1</v>
      </c>
      <c r="I183" s="93" t="s">
        <v>109</v>
      </c>
      <c r="J183" s="97">
        <f t="shared" si="9"/>
        <v>64</v>
      </c>
      <c r="K183" s="97">
        <f t="shared" si="9"/>
        <v>80</v>
      </c>
      <c r="L183" s="98">
        <v>64</v>
      </c>
      <c r="M183" s="56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>
        <v>1</v>
      </c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>
        <v>6</v>
      </c>
      <c r="BR183" s="57"/>
      <c r="BS183" s="57"/>
      <c r="BT183" s="57"/>
      <c r="BU183" s="58">
        <f t="shared" si="8"/>
        <v>7</v>
      </c>
    </row>
    <row r="184" spans="1:73" ht="14" x14ac:dyDescent="0.15">
      <c r="A184" s="92" t="s">
        <v>464</v>
      </c>
      <c r="B184" s="93" t="s">
        <v>277</v>
      </c>
      <c r="C184" s="93" t="s">
        <v>465</v>
      </c>
      <c r="D184" s="93" t="s">
        <v>466</v>
      </c>
      <c r="E184" s="93" t="s">
        <v>411</v>
      </c>
      <c r="F184" s="93"/>
      <c r="G184" s="95">
        <v>0.05</v>
      </c>
      <c r="H184" s="96">
        <v>0.8</v>
      </c>
      <c r="I184" s="93" t="s">
        <v>412</v>
      </c>
      <c r="J184" s="97">
        <f t="shared" si="9"/>
        <v>4</v>
      </c>
      <c r="K184" s="97">
        <f t="shared" si="9"/>
        <v>64</v>
      </c>
      <c r="L184" s="98">
        <v>4</v>
      </c>
      <c r="M184" s="56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>
        <v>1</v>
      </c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8">
        <f t="shared" si="8"/>
        <v>1</v>
      </c>
    </row>
    <row r="185" spans="1:73" ht="14" x14ac:dyDescent="0.15">
      <c r="A185" s="92" t="s">
        <v>467</v>
      </c>
      <c r="B185" s="93" t="s">
        <v>277</v>
      </c>
      <c r="C185" s="93" t="s">
        <v>465</v>
      </c>
      <c r="D185" s="93" t="s">
        <v>468</v>
      </c>
      <c r="E185" s="93" t="s">
        <v>411</v>
      </c>
      <c r="F185" s="93"/>
      <c r="G185" s="95">
        <v>0.05</v>
      </c>
      <c r="H185" s="96">
        <v>2</v>
      </c>
      <c r="I185" s="93" t="s">
        <v>412</v>
      </c>
      <c r="J185" s="97">
        <f t="shared" si="9"/>
        <v>4</v>
      </c>
      <c r="K185" s="97">
        <f t="shared" si="9"/>
        <v>160</v>
      </c>
      <c r="L185" s="98">
        <v>4</v>
      </c>
      <c r="M185" s="56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>
        <v>7</v>
      </c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8">
        <f t="shared" si="8"/>
        <v>7</v>
      </c>
    </row>
    <row r="186" spans="1:73" ht="14" x14ac:dyDescent="0.15">
      <c r="A186" s="92" t="s">
        <v>469</v>
      </c>
      <c r="B186" s="93" t="s">
        <v>277</v>
      </c>
      <c r="C186" s="93" t="s">
        <v>465</v>
      </c>
      <c r="D186" s="93" t="s">
        <v>470</v>
      </c>
      <c r="E186" s="93" t="s">
        <v>411</v>
      </c>
      <c r="F186" s="93"/>
      <c r="G186" s="95">
        <v>7.4999999999999997E-2</v>
      </c>
      <c r="H186" s="96">
        <v>0.7</v>
      </c>
      <c r="I186" s="93" t="s">
        <v>412</v>
      </c>
      <c r="J186" s="97">
        <f t="shared" si="9"/>
        <v>6</v>
      </c>
      <c r="K186" s="97">
        <f t="shared" si="9"/>
        <v>56</v>
      </c>
      <c r="L186" s="98">
        <v>6</v>
      </c>
      <c r="M186" s="56"/>
      <c r="N186" s="57"/>
      <c r="O186" s="57"/>
      <c r="P186" s="57"/>
      <c r="Q186" s="57"/>
      <c r="R186" s="57"/>
      <c r="S186" s="57"/>
      <c r="T186" s="57">
        <v>12</v>
      </c>
      <c r="U186" s="57"/>
      <c r="V186" s="57"/>
      <c r="W186" s="57"/>
      <c r="X186" s="57">
        <v>9</v>
      </c>
      <c r="Y186" s="57"/>
      <c r="Z186" s="57"/>
      <c r="AA186" s="57"/>
      <c r="AB186" s="57"/>
      <c r="AC186" s="57"/>
      <c r="AD186" s="57">
        <v>7</v>
      </c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8">
        <f t="shared" si="8"/>
        <v>28</v>
      </c>
    </row>
    <row r="187" spans="1:73" ht="14" x14ac:dyDescent="0.15">
      <c r="A187" s="92" t="s">
        <v>471</v>
      </c>
      <c r="B187" s="93" t="s">
        <v>277</v>
      </c>
      <c r="C187" s="93" t="s">
        <v>465</v>
      </c>
      <c r="D187" s="93" t="s">
        <v>472</v>
      </c>
      <c r="E187" s="93" t="s">
        <v>411</v>
      </c>
      <c r="F187" s="93"/>
      <c r="G187" s="95">
        <v>7.4999999999999997E-2</v>
      </c>
      <c r="H187" s="96">
        <v>1.1000000000000001</v>
      </c>
      <c r="I187" s="93" t="s">
        <v>412</v>
      </c>
      <c r="J187" s="97">
        <f t="shared" si="9"/>
        <v>6</v>
      </c>
      <c r="K187" s="97">
        <f t="shared" si="9"/>
        <v>88</v>
      </c>
      <c r="L187" s="98">
        <v>6</v>
      </c>
      <c r="M187" s="56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>
        <v>2</v>
      </c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8">
        <f t="shared" si="8"/>
        <v>2</v>
      </c>
    </row>
    <row r="188" spans="1:73" ht="14" x14ac:dyDescent="0.15">
      <c r="A188" s="92" t="s">
        <v>473</v>
      </c>
      <c r="B188" s="93" t="s">
        <v>277</v>
      </c>
      <c r="C188" s="93" t="s">
        <v>465</v>
      </c>
      <c r="D188" s="93" t="s">
        <v>474</v>
      </c>
      <c r="E188" s="93" t="s">
        <v>411</v>
      </c>
      <c r="F188" s="93"/>
      <c r="G188" s="95">
        <v>0.1</v>
      </c>
      <c r="H188" s="96">
        <v>0.55000000000000004</v>
      </c>
      <c r="I188" s="93" t="s">
        <v>412</v>
      </c>
      <c r="J188" s="97">
        <f t="shared" si="9"/>
        <v>8</v>
      </c>
      <c r="K188" s="97">
        <f t="shared" si="9"/>
        <v>44</v>
      </c>
      <c r="L188" s="98">
        <v>8</v>
      </c>
      <c r="M188" s="56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E188" s="57">
        <v>21</v>
      </c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>
        <v>5</v>
      </c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8">
        <f t="shared" si="8"/>
        <v>26</v>
      </c>
    </row>
    <row r="189" spans="1:73" ht="14" x14ac:dyDescent="0.15">
      <c r="A189" s="92" t="s">
        <v>475</v>
      </c>
      <c r="B189" s="93" t="s">
        <v>277</v>
      </c>
      <c r="C189" s="93" t="s">
        <v>465</v>
      </c>
      <c r="D189" s="93" t="s">
        <v>476</v>
      </c>
      <c r="E189" s="93" t="s">
        <v>411</v>
      </c>
      <c r="F189" s="93"/>
      <c r="G189" s="95">
        <v>0.1</v>
      </c>
      <c r="H189" s="96">
        <v>0.8</v>
      </c>
      <c r="I189" s="93" t="s">
        <v>412</v>
      </c>
      <c r="J189" s="97">
        <f t="shared" si="9"/>
        <v>8</v>
      </c>
      <c r="K189" s="97">
        <f t="shared" si="9"/>
        <v>64</v>
      </c>
      <c r="L189" s="98">
        <v>8</v>
      </c>
      <c r="M189" s="56"/>
      <c r="N189" s="57"/>
      <c r="O189" s="57"/>
      <c r="P189" s="57"/>
      <c r="Q189" s="57"/>
      <c r="R189" s="57"/>
      <c r="S189" s="57">
        <v>3</v>
      </c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>
        <v>4</v>
      </c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8">
        <f t="shared" si="8"/>
        <v>7</v>
      </c>
    </row>
    <row r="190" spans="1:73" ht="14" x14ac:dyDescent="0.15">
      <c r="A190" s="92" t="s">
        <v>477</v>
      </c>
      <c r="B190" s="93" t="s">
        <v>277</v>
      </c>
      <c r="C190" s="93" t="s">
        <v>465</v>
      </c>
      <c r="D190" s="93" t="s">
        <v>478</v>
      </c>
      <c r="E190" s="93" t="s">
        <v>411</v>
      </c>
      <c r="F190" s="93"/>
      <c r="G190" s="95">
        <v>0.1</v>
      </c>
      <c r="H190" s="96">
        <v>1</v>
      </c>
      <c r="I190" s="93" t="s">
        <v>412</v>
      </c>
      <c r="J190" s="97">
        <f t="shared" si="9"/>
        <v>8</v>
      </c>
      <c r="K190" s="97">
        <f t="shared" si="9"/>
        <v>80</v>
      </c>
      <c r="L190" s="98">
        <v>8</v>
      </c>
      <c r="M190" s="56">
        <v>2</v>
      </c>
      <c r="N190" s="57"/>
      <c r="O190" s="57"/>
      <c r="P190" s="57">
        <v>3</v>
      </c>
      <c r="Q190" s="57"/>
      <c r="R190" s="57"/>
      <c r="S190" s="57"/>
      <c r="T190" s="57"/>
      <c r="U190" s="57">
        <v>3</v>
      </c>
      <c r="V190" s="57"/>
      <c r="W190" s="57"/>
      <c r="X190" s="57"/>
      <c r="Y190" s="57"/>
      <c r="Z190" s="57">
        <v>2</v>
      </c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>
        <v>1</v>
      </c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8">
        <f t="shared" si="8"/>
        <v>11</v>
      </c>
    </row>
    <row r="191" spans="1:73" ht="14" x14ac:dyDescent="0.15">
      <c r="A191" s="92" t="s">
        <v>479</v>
      </c>
      <c r="B191" s="93" t="s">
        <v>277</v>
      </c>
      <c r="C191" s="93" t="s">
        <v>465</v>
      </c>
      <c r="D191" s="93" t="s">
        <v>480</v>
      </c>
      <c r="E191" s="93" t="s">
        <v>411</v>
      </c>
      <c r="F191" s="93"/>
      <c r="G191" s="95">
        <v>0.1</v>
      </c>
      <c r="H191" s="96">
        <v>1.2</v>
      </c>
      <c r="I191" s="93" t="s">
        <v>412</v>
      </c>
      <c r="J191" s="97">
        <f t="shared" si="9"/>
        <v>8</v>
      </c>
      <c r="K191" s="97">
        <f t="shared" si="9"/>
        <v>96</v>
      </c>
      <c r="L191" s="98">
        <v>8</v>
      </c>
      <c r="M191" s="56"/>
      <c r="N191" s="57"/>
      <c r="O191" s="57"/>
      <c r="P191" s="57"/>
      <c r="Q191" s="57"/>
      <c r="R191" s="57"/>
      <c r="S191" s="57"/>
      <c r="T191" s="57"/>
      <c r="U191" s="57"/>
      <c r="V191" s="57"/>
      <c r="W191" s="57">
        <v>32</v>
      </c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8">
        <f t="shared" si="8"/>
        <v>32</v>
      </c>
    </row>
    <row r="192" spans="1:73" ht="14" x14ac:dyDescent="0.15">
      <c r="A192" s="92" t="s">
        <v>481</v>
      </c>
      <c r="B192" s="93" t="s">
        <v>277</v>
      </c>
      <c r="C192" s="93" t="s">
        <v>465</v>
      </c>
      <c r="D192" s="93" t="s">
        <v>482</v>
      </c>
      <c r="E192" s="93" t="s">
        <v>411</v>
      </c>
      <c r="F192" s="93"/>
      <c r="G192" s="95">
        <v>0.1</v>
      </c>
      <c r="H192" s="96">
        <v>1.5</v>
      </c>
      <c r="I192" s="93" t="s">
        <v>412</v>
      </c>
      <c r="J192" s="97">
        <f t="shared" ref="J192:K221" si="10">G192*80</f>
        <v>8</v>
      </c>
      <c r="K192" s="97">
        <f t="shared" si="10"/>
        <v>120</v>
      </c>
      <c r="L192" s="98">
        <v>8</v>
      </c>
      <c r="M192" s="56"/>
      <c r="N192" s="57"/>
      <c r="O192" s="57"/>
      <c r="P192" s="57"/>
      <c r="Q192" s="57"/>
      <c r="R192" s="57"/>
      <c r="S192" s="57"/>
      <c r="T192" s="57"/>
      <c r="U192" s="57"/>
      <c r="V192" s="57">
        <v>4</v>
      </c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>
        <v>1</v>
      </c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8">
        <f t="shared" si="8"/>
        <v>5</v>
      </c>
    </row>
    <row r="193" spans="1:73" ht="14" x14ac:dyDescent="0.15">
      <c r="A193" s="92" t="s">
        <v>483</v>
      </c>
      <c r="B193" s="93" t="s">
        <v>277</v>
      </c>
      <c r="C193" s="93" t="s">
        <v>465</v>
      </c>
      <c r="D193" s="93" t="s">
        <v>484</v>
      </c>
      <c r="E193" s="93" t="s">
        <v>411</v>
      </c>
      <c r="F193" s="93"/>
      <c r="G193" s="95">
        <v>0.15</v>
      </c>
      <c r="H193" s="96">
        <v>1.2</v>
      </c>
      <c r="I193" s="93" t="s">
        <v>412</v>
      </c>
      <c r="J193" s="97">
        <f t="shared" si="10"/>
        <v>12</v>
      </c>
      <c r="K193" s="97">
        <f t="shared" si="10"/>
        <v>96</v>
      </c>
      <c r="L193" s="98">
        <v>12</v>
      </c>
      <c r="M193" s="56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>
        <v>4</v>
      </c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8">
        <f t="shared" si="8"/>
        <v>4</v>
      </c>
    </row>
    <row r="194" spans="1:73" ht="14" x14ac:dyDescent="0.15">
      <c r="A194" s="92" t="s">
        <v>485</v>
      </c>
      <c r="B194" s="93" t="s">
        <v>277</v>
      </c>
      <c r="C194" s="93" t="s">
        <v>465</v>
      </c>
      <c r="D194" s="93" t="s">
        <v>486</v>
      </c>
      <c r="E194" s="93" t="s">
        <v>411</v>
      </c>
      <c r="F194" s="93"/>
      <c r="G194" s="95">
        <v>0.2</v>
      </c>
      <c r="H194" s="96">
        <v>0.8</v>
      </c>
      <c r="I194" s="93" t="s">
        <v>412</v>
      </c>
      <c r="J194" s="97">
        <f t="shared" si="10"/>
        <v>16</v>
      </c>
      <c r="K194" s="97">
        <f t="shared" si="10"/>
        <v>64</v>
      </c>
      <c r="L194" s="98">
        <v>16</v>
      </c>
      <c r="M194" s="56"/>
      <c r="N194" s="57"/>
      <c r="O194" s="57"/>
      <c r="P194" s="57"/>
      <c r="Q194" s="57"/>
      <c r="R194" s="57">
        <v>7</v>
      </c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8">
        <f t="shared" si="8"/>
        <v>7</v>
      </c>
    </row>
    <row r="195" spans="1:73" ht="14" x14ac:dyDescent="0.15">
      <c r="A195" s="92" t="s">
        <v>487</v>
      </c>
      <c r="B195" s="93" t="s">
        <v>277</v>
      </c>
      <c r="C195" s="93" t="s">
        <v>465</v>
      </c>
      <c r="D195" s="93" t="s">
        <v>488</v>
      </c>
      <c r="E195" s="93" t="s">
        <v>411</v>
      </c>
      <c r="F195" s="93"/>
      <c r="G195" s="95">
        <v>0.2</v>
      </c>
      <c r="H195" s="96">
        <v>1.1000000000000001</v>
      </c>
      <c r="I195" s="93" t="s">
        <v>412</v>
      </c>
      <c r="J195" s="97">
        <f t="shared" si="10"/>
        <v>16</v>
      </c>
      <c r="K195" s="97">
        <f t="shared" si="10"/>
        <v>88</v>
      </c>
      <c r="L195" s="98">
        <v>16</v>
      </c>
      <c r="M195" s="56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>
        <v>1</v>
      </c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>
        <v>3</v>
      </c>
      <c r="BM195" s="57"/>
      <c r="BN195" s="57"/>
      <c r="BO195" s="57"/>
      <c r="BP195" s="57"/>
      <c r="BQ195" s="57"/>
      <c r="BR195" s="57"/>
      <c r="BS195" s="57"/>
      <c r="BT195" s="57"/>
      <c r="BU195" s="58">
        <f t="shared" si="8"/>
        <v>4</v>
      </c>
    </row>
    <row r="196" spans="1:73" ht="14" x14ac:dyDescent="0.15">
      <c r="A196" s="92" t="s">
        <v>489</v>
      </c>
      <c r="B196" s="93" t="s">
        <v>277</v>
      </c>
      <c r="C196" s="93" t="s">
        <v>465</v>
      </c>
      <c r="D196" s="93" t="s">
        <v>490</v>
      </c>
      <c r="E196" s="93" t="s">
        <v>411</v>
      </c>
      <c r="F196" s="93"/>
      <c r="G196" s="95">
        <v>0.2</v>
      </c>
      <c r="H196" s="96">
        <v>1.8</v>
      </c>
      <c r="I196" s="93" t="s">
        <v>412</v>
      </c>
      <c r="J196" s="97">
        <f t="shared" si="10"/>
        <v>16</v>
      </c>
      <c r="K196" s="97">
        <f t="shared" si="10"/>
        <v>144</v>
      </c>
      <c r="L196" s="98">
        <v>16</v>
      </c>
      <c r="M196" s="56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>
        <v>11</v>
      </c>
      <c r="BL196" s="57"/>
      <c r="BM196" s="57">
        <v>2</v>
      </c>
      <c r="BN196" s="57"/>
      <c r="BO196" s="57"/>
      <c r="BP196" s="57"/>
      <c r="BQ196" s="57"/>
      <c r="BR196" s="57">
        <v>4</v>
      </c>
      <c r="BS196" s="57"/>
      <c r="BT196" s="57"/>
      <c r="BU196" s="58">
        <f t="shared" si="8"/>
        <v>17</v>
      </c>
    </row>
    <row r="197" spans="1:73" ht="14" x14ac:dyDescent="0.15">
      <c r="A197" s="92" t="s">
        <v>491</v>
      </c>
      <c r="B197" s="93" t="s">
        <v>277</v>
      </c>
      <c r="C197" s="93" t="s">
        <v>465</v>
      </c>
      <c r="D197" s="93" t="s">
        <v>492</v>
      </c>
      <c r="E197" s="93" t="s">
        <v>411</v>
      </c>
      <c r="F197" s="93"/>
      <c r="G197" s="95">
        <v>0.2</v>
      </c>
      <c r="H197" s="96">
        <v>2.2999999999999998</v>
      </c>
      <c r="I197" s="93" t="s">
        <v>412</v>
      </c>
      <c r="J197" s="97">
        <f t="shared" si="10"/>
        <v>16</v>
      </c>
      <c r="K197" s="97">
        <f t="shared" si="10"/>
        <v>184</v>
      </c>
      <c r="L197" s="98">
        <v>16</v>
      </c>
      <c r="M197" s="56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>
        <v>3</v>
      </c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>
        <v>2</v>
      </c>
      <c r="BU197" s="58">
        <f t="shared" si="8"/>
        <v>5</v>
      </c>
    </row>
    <row r="198" spans="1:73" s="114" customFormat="1" ht="12" customHeight="1" x14ac:dyDescent="0.15">
      <c r="A198" s="127" t="s">
        <v>493</v>
      </c>
      <c r="B198" s="128" t="s">
        <v>494</v>
      </c>
      <c r="C198" s="128" t="s">
        <v>495</v>
      </c>
      <c r="D198" s="128" t="s">
        <v>496</v>
      </c>
      <c r="E198" s="128" t="s">
        <v>497</v>
      </c>
      <c r="F198" s="128"/>
      <c r="G198" s="129">
        <v>0.6</v>
      </c>
      <c r="H198" s="130">
        <v>2.2999999999999998</v>
      </c>
      <c r="I198" s="128" t="s">
        <v>497</v>
      </c>
      <c r="J198" s="131">
        <f t="shared" si="10"/>
        <v>48</v>
      </c>
      <c r="K198" s="131">
        <f t="shared" si="10"/>
        <v>184</v>
      </c>
      <c r="L198" s="132"/>
      <c r="M198" s="111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2"/>
      <c r="Y198" s="112"/>
      <c r="Z198" s="112"/>
      <c r="AA198" s="112"/>
      <c r="AB198" s="112"/>
      <c r="AC198" s="112"/>
      <c r="AD198" s="112"/>
      <c r="AE198" s="112"/>
      <c r="AF198" s="112">
        <v>1</v>
      </c>
      <c r="AG198" s="112"/>
      <c r="AH198" s="112"/>
      <c r="AI198" s="112"/>
      <c r="AJ198" s="112"/>
      <c r="AK198" s="112"/>
      <c r="AL198" s="112"/>
      <c r="AM198" s="112"/>
      <c r="AN198" s="112"/>
      <c r="AO198" s="112"/>
      <c r="AP198" s="112"/>
      <c r="AQ198" s="112"/>
      <c r="AR198" s="112"/>
      <c r="AS198" s="112"/>
      <c r="AT198" s="112"/>
      <c r="AU198" s="112"/>
      <c r="AV198" s="112"/>
      <c r="AW198" s="112"/>
      <c r="AX198" s="112"/>
      <c r="AY198" s="112"/>
      <c r="AZ198" s="112"/>
      <c r="BA198" s="112"/>
      <c r="BB198" s="112"/>
      <c r="BC198" s="112"/>
      <c r="BD198" s="112"/>
      <c r="BE198" s="112"/>
      <c r="BF198" s="112"/>
      <c r="BG198" s="112"/>
      <c r="BH198" s="112"/>
      <c r="BI198" s="112"/>
      <c r="BJ198" s="112"/>
      <c r="BK198" s="112"/>
      <c r="BL198" s="112"/>
      <c r="BM198" s="112"/>
      <c r="BN198" s="112"/>
      <c r="BO198" s="112"/>
      <c r="BP198" s="112"/>
      <c r="BQ198" s="112"/>
      <c r="BR198" s="112"/>
      <c r="BS198" s="112"/>
      <c r="BT198" s="112"/>
      <c r="BU198" s="113">
        <f t="shared" si="8"/>
        <v>1</v>
      </c>
    </row>
    <row r="199" spans="1:73" ht="15" x14ac:dyDescent="0.15">
      <c r="A199" s="133" t="s">
        <v>498</v>
      </c>
      <c r="B199" s="134" t="s">
        <v>494</v>
      </c>
      <c r="C199" s="134" t="s">
        <v>499</v>
      </c>
      <c r="D199" s="134" t="s">
        <v>500</v>
      </c>
      <c r="E199" s="134" t="s">
        <v>501</v>
      </c>
      <c r="F199" s="134"/>
      <c r="G199" s="135">
        <v>0.2</v>
      </c>
      <c r="H199" s="136">
        <v>0.2</v>
      </c>
      <c r="I199" s="134" t="s">
        <v>502</v>
      </c>
      <c r="J199" s="137">
        <f t="shared" si="10"/>
        <v>16</v>
      </c>
      <c r="K199" s="137">
        <f t="shared" si="10"/>
        <v>16</v>
      </c>
      <c r="L199" s="138">
        <v>16</v>
      </c>
      <c r="M199" s="56"/>
      <c r="N199" s="57">
        <v>3</v>
      </c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>
        <v>1</v>
      </c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>
        <v>1</v>
      </c>
      <c r="BT199" s="57">
        <v>14</v>
      </c>
      <c r="BU199" s="58">
        <f t="shared" si="8"/>
        <v>19</v>
      </c>
    </row>
    <row r="200" spans="1:73" ht="15" x14ac:dyDescent="0.15">
      <c r="A200" s="133" t="s">
        <v>503</v>
      </c>
      <c r="B200" s="134" t="s">
        <v>494</v>
      </c>
      <c r="C200" s="134" t="s">
        <v>499</v>
      </c>
      <c r="D200" s="134" t="s">
        <v>504</v>
      </c>
      <c r="E200" s="134" t="s">
        <v>501</v>
      </c>
      <c r="F200" s="134"/>
      <c r="G200" s="135">
        <v>0.25</v>
      </c>
      <c r="H200" s="136">
        <v>0.25</v>
      </c>
      <c r="I200" s="134" t="s">
        <v>502</v>
      </c>
      <c r="J200" s="137">
        <f t="shared" si="10"/>
        <v>20</v>
      </c>
      <c r="K200" s="137">
        <f t="shared" si="10"/>
        <v>20</v>
      </c>
      <c r="L200" s="138">
        <v>20</v>
      </c>
      <c r="M200" s="56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>
        <v>10</v>
      </c>
      <c r="AI200" s="57"/>
      <c r="AJ200" s="57">
        <v>5</v>
      </c>
      <c r="AK200" s="57"/>
      <c r="AL200" s="57">
        <v>14</v>
      </c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8">
        <f t="shared" si="8"/>
        <v>29</v>
      </c>
    </row>
    <row r="201" spans="1:73" ht="15" x14ac:dyDescent="0.15">
      <c r="A201" s="133" t="s">
        <v>505</v>
      </c>
      <c r="B201" s="134" t="s">
        <v>494</v>
      </c>
      <c r="C201" s="134" t="s">
        <v>499</v>
      </c>
      <c r="D201" s="134" t="s">
        <v>506</v>
      </c>
      <c r="E201" s="134" t="s">
        <v>501</v>
      </c>
      <c r="F201" s="134"/>
      <c r="G201" s="135">
        <v>0.25</v>
      </c>
      <c r="H201" s="136">
        <v>0.3</v>
      </c>
      <c r="I201" s="134" t="s">
        <v>502</v>
      </c>
      <c r="J201" s="137">
        <f t="shared" si="10"/>
        <v>20</v>
      </c>
      <c r="K201" s="137">
        <f t="shared" si="10"/>
        <v>24</v>
      </c>
      <c r="L201" s="138">
        <v>20</v>
      </c>
      <c r="M201" s="56"/>
      <c r="N201" s="57"/>
      <c r="O201" s="57"/>
      <c r="P201" s="57">
        <v>6</v>
      </c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>
        <v>13</v>
      </c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8">
        <f t="shared" si="8"/>
        <v>19</v>
      </c>
    </row>
    <row r="202" spans="1:73" ht="15" x14ac:dyDescent="0.15">
      <c r="A202" s="133" t="s">
        <v>507</v>
      </c>
      <c r="B202" s="134" t="s">
        <v>494</v>
      </c>
      <c r="C202" s="134" t="s">
        <v>499</v>
      </c>
      <c r="D202" s="134" t="s">
        <v>508</v>
      </c>
      <c r="E202" s="134" t="s">
        <v>501</v>
      </c>
      <c r="F202" s="134"/>
      <c r="G202" s="135">
        <v>0.3</v>
      </c>
      <c r="H202" s="136">
        <v>0.3</v>
      </c>
      <c r="I202" s="134" t="s">
        <v>502</v>
      </c>
      <c r="J202" s="137">
        <f t="shared" si="10"/>
        <v>24</v>
      </c>
      <c r="K202" s="137">
        <f t="shared" si="10"/>
        <v>24</v>
      </c>
      <c r="L202" s="138">
        <v>24</v>
      </c>
      <c r="M202" s="56"/>
      <c r="N202" s="57"/>
      <c r="O202" s="57"/>
      <c r="P202" s="57"/>
      <c r="Q202" s="57"/>
      <c r="R202" s="57"/>
      <c r="S202" s="57"/>
      <c r="T202" s="57">
        <v>7</v>
      </c>
      <c r="U202" s="57">
        <v>5</v>
      </c>
      <c r="V202" s="57">
        <v>7</v>
      </c>
      <c r="W202" s="57"/>
      <c r="X202" s="57">
        <v>1</v>
      </c>
      <c r="Y202" s="57"/>
      <c r="Z202" s="57"/>
      <c r="AA202" s="57"/>
      <c r="AB202" s="57"/>
      <c r="AC202" s="57"/>
      <c r="AD202" s="57"/>
      <c r="AE202" s="57"/>
      <c r="AF202" s="57"/>
      <c r="AG202" s="57">
        <v>9</v>
      </c>
      <c r="AH202" s="57"/>
      <c r="AI202" s="57">
        <v>1</v>
      </c>
      <c r="AJ202" s="57"/>
      <c r="AK202" s="57"/>
      <c r="AL202" s="57"/>
      <c r="AM202" s="57"/>
      <c r="AN202" s="57">
        <v>9</v>
      </c>
      <c r="AO202" s="57">
        <v>7</v>
      </c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>
        <v>8</v>
      </c>
      <c r="BS202" s="57">
        <v>11</v>
      </c>
      <c r="BT202" s="57"/>
      <c r="BU202" s="58">
        <f t="shared" si="8"/>
        <v>65</v>
      </c>
    </row>
    <row r="203" spans="1:73" ht="15" x14ac:dyDescent="0.15">
      <c r="A203" s="133" t="s">
        <v>509</v>
      </c>
      <c r="B203" s="134" t="s">
        <v>494</v>
      </c>
      <c r="C203" s="134" t="s">
        <v>510</v>
      </c>
      <c r="D203" s="134" t="s">
        <v>511</v>
      </c>
      <c r="E203" s="134" t="s">
        <v>501</v>
      </c>
      <c r="F203" s="134"/>
      <c r="G203" s="135">
        <v>0.22</v>
      </c>
      <c r="H203" s="136">
        <v>0.22</v>
      </c>
      <c r="I203" s="134" t="s">
        <v>502</v>
      </c>
      <c r="J203" s="137">
        <f t="shared" si="10"/>
        <v>17.600000000000001</v>
      </c>
      <c r="K203" s="137">
        <f t="shared" si="10"/>
        <v>17.600000000000001</v>
      </c>
      <c r="L203" s="138">
        <v>17.600000000000001</v>
      </c>
      <c r="M203" s="56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>
        <v>13</v>
      </c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8">
        <f t="shared" si="8"/>
        <v>13</v>
      </c>
    </row>
    <row r="204" spans="1:73" ht="15" x14ac:dyDescent="0.15">
      <c r="A204" s="99" t="s">
        <v>512</v>
      </c>
      <c r="B204" s="94" t="s">
        <v>277</v>
      </c>
      <c r="C204" s="94"/>
      <c r="D204" s="94" t="s">
        <v>513</v>
      </c>
      <c r="E204" s="94" t="s">
        <v>108</v>
      </c>
      <c r="F204" s="94"/>
      <c r="G204" s="100">
        <v>0.2</v>
      </c>
      <c r="H204" s="101">
        <v>0.5</v>
      </c>
      <c r="I204" s="94" t="s">
        <v>109</v>
      </c>
      <c r="J204" s="102">
        <f t="shared" si="10"/>
        <v>16</v>
      </c>
      <c r="K204" s="102">
        <f t="shared" si="10"/>
        <v>40</v>
      </c>
      <c r="L204" s="103">
        <v>16</v>
      </c>
      <c r="M204" s="56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>
        <v>9</v>
      </c>
      <c r="AH204" s="57"/>
      <c r="AI204" s="57"/>
      <c r="AJ204" s="57"/>
      <c r="AK204" s="57"/>
      <c r="AL204" s="57"/>
      <c r="AM204" s="57"/>
      <c r="AN204" s="57"/>
      <c r="AO204" s="57"/>
      <c r="AP204" s="57"/>
      <c r="AQ204" s="57">
        <v>10</v>
      </c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>
        <v>1</v>
      </c>
      <c r="BL204" s="57"/>
      <c r="BM204" s="57"/>
      <c r="BN204" s="57"/>
      <c r="BO204" s="57"/>
      <c r="BP204" s="57"/>
      <c r="BQ204" s="57"/>
      <c r="BR204" s="57"/>
      <c r="BS204" s="57"/>
      <c r="BT204" s="57"/>
      <c r="BU204" s="58">
        <f t="shared" si="8"/>
        <v>20</v>
      </c>
    </row>
    <row r="205" spans="1:73" ht="15" x14ac:dyDescent="0.15">
      <c r="A205" s="139" t="s">
        <v>514</v>
      </c>
      <c r="B205" s="140" t="s">
        <v>515</v>
      </c>
      <c r="C205" s="140"/>
      <c r="D205" s="140" t="s">
        <v>516</v>
      </c>
      <c r="E205" s="140" t="s">
        <v>115</v>
      </c>
      <c r="F205" s="140"/>
      <c r="G205" s="141">
        <v>0.1</v>
      </c>
      <c r="H205" s="142">
        <v>0.2</v>
      </c>
      <c r="I205" s="140" t="s">
        <v>116</v>
      </c>
      <c r="J205" s="143">
        <f t="shared" si="10"/>
        <v>8</v>
      </c>
      <c r="K205" s="143">
        <f t="shared" si="10"/>
        <v>16</v>
      </c>
      <c r="L205" s="144"/>
      <c r="M205" s="56">
        <v>12</v>
      </c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>
        <v>20</v>
      </c>
      <c r="BS205" s="57"/>
      <c r="BT205" s="57"/>
      <c r="BU205" s="58">
        <f t="shared" ref="BU205:BU268" si="11">SUM(M205:BT205)</f>
        <v>32</v>
      </c>
    </row>
    <row r="206" spans="1:73" ht="15" x14ac:dyDescent="0.15">
      <c r="A206" s="139" t="s">
        <v>517</v>
      </c>
      <c r="B206" s="140" t="s">
        <v>515</v>
      </c>
      <c r="C206" s="140"/>
      <c r="D206" s="140" t="s">
        <v>518</v>
      </c>
      <c r="E206" s="140" t="s">
        <v>115</v>
      </c>
      <c r="F206" s="140"/>
      <c r="G206" s="141">
        <v>0.15</v>
      </c>
      <c r="H206" s="142">
        <v>0.25</v>
      </c>
      <c r="I206" s="140" t="s">
        <v>116</v>
      </c>
      <c r="J206" s="143">
        <f t="shared" si="10"/>
        <v>12</v>
      </c>
      <c r="K206" s="143">
        <f t="shared" si="10"/>
        <v>20</v>
      </c>
      <c r="L206" s="144"/>
      <c r="M206" s="56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>
        <v>3</v>
      </c>
      <c r="BT206" s="57"/>
      <c r="BU206" s="58">
        <f t="shared" si="11"/>
        <v>3</v>
      </c>
    </row>
    <row r="207" spans="1:73" ht="15" x14ac:dyDescent="0.15">
      <c r="A207" s="139" t="s">
        <v>519</v>
      </c>
      <c r="B207" s="140" t="s">
        <v>515</v>
      </c>
      <c r="C207" s="140"/>
      <c r="D207" s="140" t="s">
        <v>520</v>
      </c>
      <c r="E207" s="140" t="s">
        <v>115</v>
      </c>
      <c r="F207" s="140"/>
      <c r="G207" s="141">
        <v>0.2</v>
      </c>
      <c r="H207" s="142">
        <v>0.4</v>
      </c>
      <c r="I207" s="140" t="s">
        <v>116</v>
      </c>
      <c r="J207" s="143">
        <f t="shared" si="10"/>
        <v>16</v>
      </c>
      <c r="K207" s="143">
        <f t="shared" si="10"/>
        <v>32</v>
      </c>
      <c r="L207" s="144"/>
      <c r="M207" s="56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>
        <v>1</v>
      </c>
      <c r="BH207" s="57"/>
      <c r="BI207" s="57">
        <v>1</v>
      </c>
      <c r="BJ207" s="57"/>
      <c r="BK207" s="57"/>
      <c r="BL207" s="57"/>
      <c r="BM207" s="57"/>
      <c r="BN207" s="57"/>
      <c r="BO207" s="57"/>
      <c r="BP207" s="57">
        <v>4</v>
      </c>
      <c r="BQ207" s="57"/>
      <c r="BR207" s="57">
        <v>4</v>
      </c>
      <c r="BS207" s="57"/>
      <c r="BT207" s="57"/>
      <c r="BU207" s="58">
        <f t="shared" si="11"/>
        <v>10</v>
      </c>
    </row>
    <row r="208" spans="1:73" ht="15" x14ac:dyDescent="0.15">
      <c r="A208" s="139" t="s">
        <v>521</v>
      </c>
      <c r="B208" s="140" t="s">
        <v>515</v>
      </c>
      <c r="C208" s="140"/>
      <c r="D208" s="140" t="s">
        <v>522</v>
      </c>
      <c r="E208" s="140" t="s">
        <v>115</v>
      </c>
      <c r="F208" s="140"/>
      <c r="G208" s="141">
        <v>0.3</v>
      </c>
      <c r="H208" s="142">
        <v>0.4</v>
      </c>
      <c r="I208" s="140" t="s">
        <v>116</v>
      </c>
      <c r="J208" s="143">
        <f t="shared" si="10"/>
        <v>24</v>
      </c>
      <c r="K208" s="143">
        <f t="shared" si="10"/>
        <v>32</v>
      </c>
      <c r="L208" s="144"/>
      <c r="M208" s="56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>
        <v>1</v>
      </c>
      <c r="BS208" s="57">
        <v>18</v>
      </c>
      <c r="BT208" s="57">
        <v>12</v>
      </c>
      <c r="BU208" s="58">
        <f t="shared" si="11"/>
        <v>31</v>
      </c>
    </row>
    <row r="209" spans="1:73" ht="15" x14ac:dyDescent="0.15">
      <c r="A209" s="139" t="s">
        <v>523</v>
      </c>
      <c r="B209" s="140" t="s">
        <v>515</v>
      </c>
      <c r="C209" s="140" t="s">
        <v>88</v>
      </c>
      <c r="D209" s="140" t="s">
        <v>524</v>
      </c>
      <c r="E209" s="140" t="s">
        <v>115</v>
      </c>
      <c r="F209" s="140"/>
      <c r="G209" s="141">
        <v>0.2</v>
      </c>
      <c r="H209" s="142">
        <v>0.2</v>
      </c>
      <c r="I209" s="140" t="s">
        <v>116</v>
      </c>
      <c r="J209" s="143">
        <f t="shared" si="10"/>
        <v>16</v>
      </c>
      <c r="K209" s="143">
        <f t="shared" si="10"/>
        <v>16</v>
      </c>
      <c r="L209" s="144"/>
      <c r="M209" s="56"/>
      <c r="N209" s="57"/>
      <c r="O209" s="57"/>
      <c r="P209" s="57"/>
      <c r="Q209" s="57"/>
      <c r="R209" s="57"/>
      <c r="S209" s="57"/>
      <c r="T209" s="57"/>
      <c r="U209" s="57"/>
      <c r="V209" s="57">
        <v>1</v>
      </c>
      <c r="W209" s="57"/>
      <c r="X209" s="57"/>
      <c r="Y209" s="57"/>
      <c r="Z209" s="57"/>
      <c r="AA209" s="57"/>
      <c r="AB209" s="57"/>
      <c r="AC209" s="57"/>
      <c r="AE209" s="57">
        <v>1</v>
      </c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8">
        <f t="shared" si="11"/>
        <v>2</v>
      </c>
    </row>
    <row r="210" spans="1:73" ht="15" x14ac:dyDescent="0.15">
      <c r="A210" s="139" t="s">
        <v>525</v>
      </c>
      <c r="B210" s="140" t="s">
        <v>515</v>
      </c>
      <c r="C210" s="140" t="s">
        <v>526</v>
      </c>
      <c r="D210" s="145" t="s">
        <v>527</v>
      </c>
      <c r="E210" s="140" t="s">
        <v>115</v>
      </c>
      <c r="F210" s="140"/>
      <c r="G210" s="141">
        <v>7.4999999999999997E-2</v>
      </c>
      <c r="H210" s="142">
        <v>0.2</v>
      </c>
      <c r="I210" s="140" t="s">
        <v>116</v>
      </c>
      <c r="J210" s="143">
        <f t="shared" si="10"/>
        <v>6</v>
      </c>
      <c r="K210" s="143">
        <f t="shared" si="10"/>
        <v>16</v>
      </c>
      <c r="L210" s="144"/>
      <c r="M210" s="56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>
        <v>4</v>
      </c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8">
        <f t="shared" si="11"/>
        <v>4</v>
      </c>
    </row>
    <row r="211" spans="1:73" ht="15" x14ac:dyDescent="0.15">
      <c r="A211" s="139" t="s">
        <v>528</v>
      </c>
      <c r="B211" s="140" t="s">
        <v>515</v>
      </c>
      <c r="C211" s="140" t="s">
        <v>526</v>
      </c>
      <c r="D211" s="145" t="s">
        <v>529</v>
      </c>
      <c r="E211" s="140" t="s">
        <v>115</v>
      </c>
      <c r="F211" s="140"/>
      <c r="G211" s="141">
        <v>0.1</v>
      </c>
      <c r="H211" s="142">
        <v>0.2</v>
      </c>
      <c r="I211" s="140" t="s">
        <v>116</v>
      </c>
      <c r="J211" s="143">
        <f t="shared" si="10"/>
        <v>8</v>
      </c>
      <c r="K211" s="143">
        <f t="shared" si="10"/>
        <v>16</v>
      </c>
      <c r="L211" s="144"/>
      <c r="M211" s="56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>
        <v>8</v>
      </c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8">
        <f t="shared" si="11"/>
        <v>8</v>
      </c>
    </row>
    <row r="212" spans="1:73" ht="15" x14ac:dyDescent="0.15">
      <c r="A212" s="139" t="s">
        <v>530</v>
      </c>
      <c r="B212" s="140" t="s">
        <v>515</v>
      </c>
      <c r="C212" s="140" t="s">
        <v>526</v>
      </c>
      <c r="D212" s="145" t="s">
        <v>531</v>
      </c>
      <c r="E212" s="140" t="s">
        <v>115</v>
      </c>
      <c r="F212" s="140"/>
      <c r="G212" s="141">
        <v>0.1</v>
      </c>
      <c r="H212" s="142">
        <v>0.3</v>
      </c>
      <c r="I212" s="140" t="s">
        <v>116</v>
      </c>
      <c r="J212" s="143">
        <f t="shared" si="10"/>
        <v>8</v>
      </c>
      <c r="K212" s="143">
        <f t="shared" si="10"/>
        <v>24</v>
      </c>
      <c r="L212" s="144"/>
      <c r="M212" s="56">
        <v>23</v>
      </c>
      <c r="N212" s="57">
        <v>23</v>
      </c>
      <c r="O212" s="57"/>
      <c r="P212" s="57"/>
      <c r="Q212" s="57"/>
      <c r="R212" s="57">
        <v>23</v>
      </c>
      <c r="S212" s="57">
        <v>2</v>
      </c>
      <c r="T212" s="57">
        <v>18</v>
      </c>
      <c r="U212" s="57">
        <v>27</v>
      </c>
      <c r="V212" s="57">
        <v>30</v>
      </c>
      <c r="W212" s="57"/>
      <c r="X212" s="57"/>
      <c r="Y212" s="57"/>
      <c r="Z212" s="57"/>
      <c r="AA212" s="57"/>
      <c r="AB212" s="57"/>
      <c r="AC212" s="57"/>
      <c r="AD212" s="57">
        <v>3</v>
      </c>
      <c r="AE212" s="57"/>
      <c r="AF212" s="57">
        <v>13</v>
      </c>
      <c r="AG212" s="57"/>
      <c r="AH212" s="57"/>
      <c r="AI212" s="57"/>
      <c r="AJ212" s="57">
        <v>16</v>
      </c>
      <c r="AK212" s="57"/>
      <c r="AL212" s="57"/>
      <c r="AM212" s="57"/>
      <c r="AN212" s="57">
        <v>39</v>
      </c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>
        <v>20</v>
      </c>
      <c r="AZ212" s="57">
        <v>3</v>
      </c>
      <c r="BB212" s="57"/>
      <c r="BC212" s="57"/>
      <c r="BD212" s="57"/>
      <c r="BE212" s="57"/>
      <c r="BF212" s="57"/>
      <c r="BG212" s="57"/>
      <c r="BH212" s="57"/>
      <c r="BI212" s="57"/>
      <c r="BJ212" s="57"/>
      <c r="BK212" s="57">
        <v>95</v>
      </c>
      <c r="BL212" s="57"/>
      <c r="BM212" s="57"/>
      <c r="BN212" s="57"/>
      <c r="BO212" s="57"/>
      <c r="BP212" s="57"/>
      <c r="BQ212" s="57"/>
      <c r="BR212" s="57"/>
      <c r="BS212" s="57">
        <v>80</v>
      </c>
      <c r="BT212" s="57">
        <v>94</v>
      </c>
      <c r="BU212" s="58">
        <f t="shared" si="11"/>
        <v>509</v>
      </c>
    </row>
    <row r="213" spans="1:73" ht="15" x14ac:dyDescent="0.15">
      <c r="A213" s="139" t="s">
        <v>532</v>
      </c>
      <c r="B213" s="140" t="s">
        <v>515</v>
      </c>
      <c r="C213" s="140" t="s">
        <v>526</v>
      </c>
      <c r="D213" s="145" t="s">
        <v>533</v>
      </c>
      <c r="E213" s="140" t="s">
        <v>115</v>
      </c>
      <c r="F213" s="140"/>
      <c r="G213" s="141">
        <v>0.15</v>
      </c>
      <c r="H213" s="142">
        <v>0.5</v>
      </c>
      <c r="I213" s="140" t="s">
        <v>116</v>
      </c>
      <c r="J213" s="143">
        <f t="shared" si="10"/>
        <v>12</v>
      </c>
      <c r="K213" s="143">
        <f t="shared" si="10"/>
        <v>40</v>
      </c>
      <c r="L213" s="144"/>
      <c r="M213" s="56"/>
      <c r="N213" s="57"/>
      <c r="O213" s="57"/>
      <c r="P213" s="57"/>
      <c r="Q213" s="57"/>
      <c r="R213" s="57"/>
      <c r="S213" s="57"/>
      <c r="T213" s="57"/>
      <c r="U213" s="57">
        <v>1</v>
      </c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8">
        <f t="shared" si="11"/>
        <v>1</v>
      </c>
    </row>
    <row r="214" spans="1:73" ht="15" x14ac:dyDescent="0.15">
      <c r="A214" s="139" t="s">
        <v>534</v>
      </c>
      <c r="B214" s="140" t="s">
        <v>515</v>
      </c>
      <c r="C214" s="140" t="s">
        <v>526</v>
      </c>
      <c r="D214" s="146" t="s">
        <v>535</v>
      </c>
      <c r="E214" s="140" t="s">
        <v>115</v>
      </c>
      <c r="F214" s="140"/>
      <c r="G214" s="141">
        <v>0.2</v>
      </c>
      <c r="H214" s="142">
        <v>0.3</v>
      </c>
      <c r="I214" s="140" t="s">
        <v>116</v>
      </c>
      <c r="J214" s="143">
        <f t="shared" si="10"/>
        <v>16</v>
      </c>
      <c r="K214" s="143">
        <f t="shared" si="10"/>
        <v>24</v>
      </c>
      <c r="L214" s="144"/>
      <c r="M214" s="56"/>
      <c r="N214" s="57"/>
      <c r="O214" s="57"/>
      <c r="P214" s="57">
        <v>15</v>
      </c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>
        <v>10</v>
      </c>
      <c r="AG214" s="57"/>
      <c r="AH214" s="57">
        <v>26</v>
      </c>
      <c r="AI214" s="57"/>
      <c r="AJ214" s="57"/>
      <c r="AK214" s="57"/>
      <c r="AL214" s="57">
        <v>7</v>
      </c>
      <c r="AM214" s="57"/>
      <c r="AN214" s="57"/>
      <c r="AO214" s="57">
        <v>14</v>
      </c>
      <c r="AP214" s="57">
        <v>19</v>
      </c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>
        <v>96</v>
      </c>
      <c r="BS214" s="57"/>
      <c r="BT214" s="57"/>
      <c r="BU214" s="58">
        <f t="shared" si="11"/>
        <v>187</v>
      </c>
    </row>
    <row r="215" spans="1:73" ht="15" x14ac:dyDescent="0.15">
      <c r="A215" s="139" t="s">
        <v>536</v>
      </c>
      <c r="B215" s="140" t="s">
        <v>515</v>
      </c>
      <c r="C215" s="140" t="s">
        <v>526</v>
      </c>
      <c r="D215" s="146" t="s">
        <v>537</v>
      </c>
      <c r="E215" s="140" t="s">
        <v>115</v>
      </c>
      <c r="F215" s="140"/>
      <c r="G215" s="141">
        <v>0.2</v>
      </c>
      <c r="H215" s="142">
        <v>0.6</v>
      </c>
      <c r="I215" s="140" t="s">
        <v>116</v>
      </c>
      <c r="J215" s="143">
        <f t="shared" si="10"/>
        <v>16</v>
      </c>
      <c r="K215" s="143">
        <f t="shared" si="10"/>
        <v>48</v>
      </c>
      <c r="L215" s="144"/>
      <c r="M215" s="56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>
        <v>14</v>
      </c>
      <c r="BL215" s="57">
        <v>1</v>
      </c>
      <c r="BM215" s="57"/>
      <c r="BN215" s="57"/>
      <c r="BO215" s="57"/>
      <c r="BP215" s="57"/>
      <c r="BQ215" s="57"/>
      <c r="BR215" s="57">
        <v>7</v>
      </c>
      <c r="BS215" s="57"/>
      <c r="BT215" s="57"/>
      <c r="BU215" s="58">
        <f t="shared" si="11"/>
        <v>22</v>
      </c>
    </row>
    <row r="216" spans="1:73" ht="15" x14ac:dyDescent="0.15">
      <c r="A216" s="139" t="s">
        <v>538</v>
      </c>
      <c r="B216" s="140" t="s">
        <v>515</v>
      </c>
      <c r="C216" s="140" t="s">
        <v>539</v>
      </c>
      <c r="D216" s="140" t="s">
        <v>540</v>
      </c>
      <c r="E216" s="140" t="s">
        <v>115</v>
      </c>
      <c r="F216" s="140"/>
      <c r="G216" s="141">
        <v>0.1</v>
      </c>
      <c r="H216" s="142">
        <v>0.25</v>
      </c>
      <c r="I216" s="140" t="s">
        <v>116</v>
      </c>
      <c r="J216" s="143">
        <f t="shared" si="10"/>
        <v>8</v>
      </c>
      <c r="K216" s="143">
        <f t="shared" si="10"/>
        <v>20</v>
      </c>
      <c r="L216" s="144"/>
      <c r="M216" s="56"/>
      <c r="N216" s="57"/>
      <c r="O216" s="57"/>
      <c r="P216" s="57"/>
      <c r="Q216" s="57"/>
      <c r="R216" s="57"/>
      <c r="S216" s="57"/>
      <c r="T216" s="57"/>
      <c r="U216" s="57"/>
      <c r="V216" s="57"/>
      <c r="W216" s="57">
        <v>3</v>
      </c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8">
        <f t="shared" si="11"/>
        <v>3</v>
      </c>
    </row>
    <row r="217" spans="1:73" ht="15" x14ac:dyDescent="0.15">
      <c r="A217" s="139" t="s">
        <v>541</v>
      </c>
      <c r="B217" s="140" t="s">
        <v>515</v>
      </c>
      <c r="C217" s="140" t="s">
        <v>539</v>
      </c>
      <c r="D217" s="140" t="s">
        <v>542</v>
      </c>
      <c r="E217" s="140" t="s">
        <v>115</v>
      </c>
      <c r="F217" s="140"/>
      <c r="G217" s="141">
        <v>0.1</v>
      </c>
      <c r="H217" s="142">
        <v>0.4</v>
      </c>
      <c r="I217" s="140" t="s">
        <v>116</v>
      </c>
      <c r="J217" s="143">
        <f t="shared" si="10"/>
        <v>8</v>
      </c>
      <c r="K217" s="143">
        <f t="shared" si="10"/>
        <v>32</v>
      </c>
      <c r="L217" s="144"/>
      <c r="M217" s="56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>
        <v>2</v>
      </c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8">
        <f t="shared" si="11"/>
        <v>2</v>
      </c>
    </row>
    <row r="218" spans="1:73" ht="15" x14ac:dyDescent="0.15">
      <c r="A218" s="139" t="s">
        <v>543</v>
      </c>
      <c r="B218" s="140" t="s">
        <v>515</v>
      </c>
      <c r="C218" s="140" t="s">
        <v>539</v>
      </c>
      <c r="D218" s="140" t="s">
        <v>544</v>
      </c>
      <c r="E218" s="140" t="s">
        <v>115</v>
      </c>
      <c r="F218" s="140"/>
      <c r="G218" s="141">
        <v>0.1</v>
      </c>
      <c r="H218" s="142">
        <v>0.5</v>
      </c>
      <c r="I218" s="140" t="s">
        <v>116</v>
      </c>
      <c r="J218" s="143">
        <f t="shared" si="10"/>
        <v>8</v>
      </c>
      <c r="K218" s="143">
        <f t="shared" si="10"/>
        <v>40</v>
      </c>
      <c r="L218" s="144"/>
      <c r="M218" s="56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>
        <v>17</v>
      </c>
      <c r="BU218" s="58">
        <f t="shared" si="11"/>
        <v>17</v>
      </c>
    </row>
    <row r="219" spans="1:73" ht="15" x14ac:dyDescent="0.15">
      <c r="A219" s="139" t="s">
        <v>545</v>
      </c>
      <c r="B219" s="140" t="s">
        <v>515</v>
      </c>
      <c r="C219" s="140" t="s">
        <v>539</v>
      </c>
      <c r="D219" s="140" t="s">
        <v>546</v>
      </c>
      <c r="E219" s="140" t="s">
        <v>115</v>
      </c>
      <c r="F219" s="140"/>
      <c r="G219" s="141">
        <v>0.1</v>
      </c>
      <c r="H219" s="142">
        <v>1.7</v>
      </c>
      <c r="I219" s="140" t="s">
        <v>116</v>
      </c>
      <c r="J219" s="143">
        <f t="shared" si="10"/>
        <v>8</v>
      </c>
      <c r="K219" s="143">
        <f t="shared" si="10"/>
        <v>136</v>
      </c>
      <c r="L219" s="144"/>
      <c r="M219" s="56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>
        <v>1</v>
      </c>
      <c r="BQ219" s="57">
        <v>1</v>
      </c>
      <c r="BR219" s="57"/>
      <c r="BS219" s="57"/>
      <c r="BT219" s="57"/>
      <c r="BU219" s="58">
        <f t="shared" si="11"/>
        <v>2</v>
      </c>
    </row>
    <row r="220" spans="1:73" ht="15" x14ac:dyDescent="0.15">
      <c r="A220" s="139" t="s">
        <v>547</v>
      </c>
      <c r="B220" s="140" t="s">
        <v>515</v>
      </c>
      <c r="C220" s="140" t="s">
        <v>539</v>
      </c>
      <c r="D220" s="140" t="s">
        <v>548</v>
      </c>
      <c r="E220" s="140" t="s">
        <v>115</v>
      </c>
      <c r="F220" s="140"/>
      <c r="G220" s="141">
        <v>0.15</v>
      </c>
      <c r="H220" s="142">
        <v>1</v>
      </c>
      <c r="I220" s="140" t="s">
        <v>116</v>
      </c>
      <c r="J220" s="143">
        <f t="shared" si="10"/>
        <v>12</v>
      </c>
      <c r="K220" s="143">
        <f t="shared" si="10"/>
        <v>80</v>
      </c>
      <c r="L220" s="144"/>
      <c r="M220" s="56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>
        <v>1</v>
      </c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>
        <v>4</v>
      </c>
      <c r="BS220" s="57">
        <v>6</v>
      </c>
      <c r="BT220" s="57"/>
      <c r="BU220" s="58">
        <f t="shared" si="11"/>
        <v>11</v>
      </c>
    </row>
    <row r="221" spans="1:73" ht="15" x14ac:dyDescent="0.15">
      <c r="A221" s="139" t="s">
        <v>549</v>
      </c>
      <c r="B221" s="140" t="s">
        <v>515</v>
      </c>
      <c r="C221" s="140" t="s">
        <v>539</v>
      </c>
      <c r="D221" s="140" t="s">
        <v>550</v>
      </c>
      <c r="E221" s="140" t="s">
        <v>115</v>
      </c>
      <c r="F221" s="140"/>
      <c r="G221" s="141">
        <v>0.2</v>
      </c>
      <c r="H221" s="142">
        <v>0.6</v>
      </c>
      <c r="I221" s="140" t="s">
        <v>116</v>
      </c>
      <c r="J221" s="143">
        <f t="shared" si="10"/>
        <v>16</v>
      </c>
      <c r="K221" s="143">
        <f t="shared" si="10"/>
        <v>48</v>
      </c>
      <c r="L221" s="144"/>
      <c r="M221" s="56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>
        <f>1+1</f>
        <v>2</v>
      </c>
      <c r="BM221" s="57"/>
      <c r="BN221" s="57">
        <v>2</v>
      </c>
      <c r="BO221" s="57">
        <v>1</v>
      </c>
      <c r="BP221" s="57"/>
      <c r="BQ221" s="57"/>
      <c r="BR221" s="57">
        <v>1</v>
      </c>
      <c r="BS221" s="57"/>
      <c r="BT221" s="57"/>
      <c r="BU221" s="58">
        <f t="shared" si="11"/>
        <v>6</v>
      </c>
    </row>
    <row r="222" spans="1:73" ht="15" x14ac:dyDescent="0.15">
      <c r="A222" s="139" t="s">
        <v>551</v>
      </c>
      <c r="B222" s="140" t="s">
        <v>515</v>
      </c>
      <c r="C222" s="140" t="s">
        <v>539</v>
      </c>
      <c r="D222" s="140" t="s">
        <v>552</v>
      </c>
      <c r="E222" s="140" t="s">
        <v>115</v>
      </c>
      <c r="F222" s="140"/>
      <c r="G222" s="141">
        <v>0.2</v>
      </c>
      <c r="H222" s="142">
        <v>1.8</v>
      </c>
      <c r="I222" s="140" t="s">
        <v>116</v>
      </c>
      <c r="J222" s="143">
        <f t="shared" ref="J222:K239" si="12">G222*80</f>
        <v>16</v>
      </c>
      <c r="K222" s="143">
        <f t="shared" si="12"/>
        <v>144</v>
      </c>
      <c r="L222" s="144"/>
      <c r="M222" s="56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>
        <v>1</v>
      </c>
      <c r="BN222" s="57"/>
      <c r="BO222" s="57"/>
      <c r="BP222" s="57"/>
      <c r="BQ222" s="57"/>
      <c r="BR222" s="57"/>
      <c r="BS222" s="57"/>
      <c r="BT222" s="57"/>
      <c r="BU222" s="58">
        <f t="shared" si="11"/>
        <v>1</v>
      </c>
    </row>
    <row r="223" spans="1:73" ht="15" x14ac:dyDescent="0.15">
      <c r="A223" s="139" t="s">
        <v>553</v>
      </c>
      <c r="B223" s="140" t="s">
        <v>515</v>
      </c>
      <c r="C223" s="140" t="s">
        <v>539</v>
      </c>
      <c r="D223" s="140" t="s">
        <v>554</v>
      </c>
      <c r="E223" s="140" t="s">
        <v>115</v>
      </c>
      <c r="F223" s="140"/>
      <c r="G223" s="141">
        <v>0.5</v>
      </c>
      <c r="H223" s="142">
        <v>0.5</v>
      </c>
      <c r="I223" s="140" t="s">
        <v>116</v>
      </c>
      <c r="J223" s="143">
        <f t="shared" si="12"/>
        <v>40</v>
      </c>
      <c r="K223" s="143">
        <f t="shared" si="12"/>
        <v>40</v>
      </c>
      <c r="L223" s="144"/>
      <c r="M223" s="56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>
        <v>7</v>
      </c>
      <c r="BL223" s="57"/>
      <c r="BM223" s="57"/>
      <c r="BN223" s="57"/>
      <c r="BO223" s="57"/>
      <c r="BP223" s="57">
        <v>3</v>
      </c>
      <c r="BQ223" s="57"/>
      <c r="BR223" s="57"/>
      <c r="BS223" s="57"/>
      <c r="BT223" s="57"/>
      <c r="BU223" s="58">
        <f t="shared" si="11"/>
        <v>10</v>
      </c>
    </row>
    <row r="224" spans="1:73" ht="15" x14ac:dyDescent="0.15">
      <c r="A224" s="147" t="s">
        <v>555</v>
      </c>
      <c r="B224" s="148" t="s">
        <v>556</v>
      </c>
      <c r="C224" s="148"/>
      <c r="D224" s="148" t="s">
        <v>557</v>
      </c>
      <c r="E224" s="148" t="s">
        <v>115</v>
      </c>
      <c r="F224" s="148"/>
      <c r="G224" s="149">
        <v>0.05</v>
      </c>
      <c r="H224" s="150">
        <v>0.2</v>
      </c>
      <c r="I224" s="148" t="s">
        <v>116</v>
      </c>
      <c r="J224" s="151">
        <f t="shared" si="12"/>
        <v>4</v>
      </c>
      <c r="K224" s="151">
        <f t="shared" si="12"/>
        <v>16</v>
      </c>
      <c r="L224" s="152"/>
      <c r="M224" s="56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>
        <v>5</v>
      </c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8">
        <f t="shared" si="11"/>
        <v>5</v>
      </c>
    </row>
    <row r="225" spans="1:73" ht="15" x14ac:dyDescent="0.15">
      <c r="A225" s="147" t="s">
        <v>558</v>
      </c>
      <c r="B225" s="148" t="s">
        <v>556</v>
      </c>
      <c r="C225" s="148"/>
      <c r="D225" s="148" t="s">
        <v>559</v>
      </c>
      <c r="E225" s="148" t="s">
        <v>115</v>
      </c>
      <c r="F225" s="148"/>
      <c r="G225" s="149">
        <v>0.05</v>
      </c>
      <c r="H225" s="150">
        <v>0.4</v>
      </c>
      <c r="I225" s="148" t="s">
        <v>116</v>
      </c>
      <c r="J225" s="151">
        <f t="shared" si="12"/>
        <v>4</v>
      </c>
      <c r="K225" s="151">
        <f t="shared" si="12"/>
        <v>32</v>
      </c>
      <c r="L225" s="152"/>
      <c r="M225" s="56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>
        <v>2</v>
      </c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>
        <v>3</v>
      </c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8">
        <f t="shared" si="11"/>
        <v>5</v>
      </c>
    </row>
    <row r="226" spans="1:73" ht="15" x14ac:dyDescent="0.15">
      <c r="A226" s="147" t="s">
        <v>560</v>
      </c>
      <c r="B226" s="148" t="s">
        <v>556</v>
      </c>
      <c r="C226" s="148"/>
      <c r="D226" s="148" t="s">
        <v>561</v>
      </c>
      <c r="E226" s="148" t="s">
        <v>115</v>
      </c>
      <c r="F226" s="148"/>
      <c r="G226" s="149">
        <v>0.05</v>
      </c>
      <c r="H226" s="150">
        <v>0.7</v>
      </c>
      <c r="I226" s="148" t="s">
        <v>116</v>
      </c>
      <c r="J226" s="151">
        <f t="shared" si="12"/>
        <v>4</v>
      </c>
      <c r="K226" s="151">
        <f t="shared" si="12"/>
        <v>56</v>
      </c>
      <c r="L226" s="152"/>
      <c r="M226" s="56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E226" s="57">
        <v>3</v>
      </c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>
        <v>9</v>
      </c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8">
        <f t="shared" si="11"/>
        <v>12</v>
      </c>
    </row>
    <row r="227" spans="1:73" ht="15" x14ac:dyDescent="0.15">
      <c r="A227" s="147" t="s">
        <v>562</v>
      </c>
      <c r="B227" s="148" t="s">
        <v>556</v>
      </c>
      <c r="C227" s="148"/>
      <c r="D227" s="148" t="s">
        <v>563</v>
      </c>
      <c r="E227" s="148" t="s">
        <v>115</v>
      </c>
      <c r="F227" s="148"/>
      <c r="G227" s="149">
        <v>7.4999999999999997E-2</v>
      </c>
      <c r="H227" s="150">
        <v>0.4</v>
      </c>
      <c r="I227" s="148" t="s">
        <v>116</v>
      </c>
      <c r="J227" s="151">
        <f t="shared" si="12"/>
        <v>6</v>
      </c>
      <c r="K227" s="151">
        <f t="shared" si="12"/>
        <v>32</v>
      </c>
      <c r="L227" s="152"/>
      <c r="M227" s="56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>
        <v>5</v>
      </c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8">
        <f t="shared" si="11"/>
        <v>5</v>
      </c>
    </row>
    <row r="228" spans="1:73" ht="15" x14ac:dyDescent="0.15">
      <c r="A228" s="147" t="s">
        <v>564</v>
      </c>
      <c r="B228" s="148" t="s">
        <v>556</v>
      </c>
      <c r="C228" s="148"/>
      <c r="D228" s="148" t="s">
        <v>565</v>
      </c>
      <c r="E228" s="148" t="s">
        <v>115</v>
      </c>
      <c r="F228" s="148"/>
      <c r="G228" s="149">
        <v>7.4999999999999997E-2</v>
      </c>
      <c r="H228" s="150">
        <v>0.5</v>
      </c>
      <c r="I228" s="148" t="s">
        <v>116</v>
      </c>
      <c r="J228" s="151">
        <f t="shared" si="12"/>
        <v>6</v>
      </c>
      <c r="K228" s="151">
        <f t="shared" si="12"/>
        <v>40</v>
      </c>
      <c r="L228" s="152"/>
      <c r="M228" s="56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>
        <v>4</v>
      </c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8">
        <f t="shared" si="11"/>
        <v>4</v>
      </c>
    </row>
    <row r="229" spans="1:73" ht="15" x14ac:dyDescent="0.15">
      <c r="A229" s="147" t="s">
        <v>566</v>
      </c>
      <c r="B229" s="148" t="s">
        <v>556</v>
      </c>
      <c r="C229" s="148"/>
      <c r="D229" s="148" t="s">
        <v>567</v>
      </c>
      <c r="E229" s="148" t="s">
        <v>115</v>
      </c>
      <c r="F229" s="148"/>
      <c r="G229" s="149">
        <v>0.1</v>
      </c>
      <c r="H229" s="150">
        <v>0.2</v>
      </c>
      <c r="I229" s="148" t="s">
        <v>116</v>
      </c>
      <c r="J229" s="151">
        <f t="shared" si="12"/>
        <v>8</v>
      </c>
      <c r="K229" s="151">
        <f t="shared" si="12"/>
        <v>16</v>
      </c>
      <c r="L229" s="152"/>
      <c r="M229" s="56"/>
      <c r="N229" s="57"/>
      <c r="O229" s="57"/>
      <c r="P229" s="57"/>
      <c r="Q229" s="57"/>
      <c r="R229" s="57"/>
      <c r="S229" s="57"/>
      <c r="T229" s="57"/>
      <c r="U229" s="57">
        <v>1</v>
      </c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8">
        <f t="shared" si="11"/>
        <v>1</v>
      </c>
    </row>
    <row r="230" spans="1:73" ht="15" x14ac:dyDescent="0.15">
      <c r="A230" s="147" t="s">
        <v>568</v>
      </c>
      <c r="B230" s="148" t="s">
        <v>556</v>
      </c>
      <c r="C230" s="148"/>
      <c r="D230" s="148" t="s">
        <v>569</v>
      </c>
      <c r="E230" s="148" t="s">
        <v>115</v>
      </c>
      <c r="F230" s="148"/>
      <c r="G230" s="149">
        <v>0.1</v>
      </c>
      <c r="H230" s="150">
        <v>0.33</v>
      </c>
      <c r="I230" s="148" t="s">
        <v>116</v>
      </c>
      <c r="J230" s="151">
        <f t="shared" si="12"/>
        <v>8</v>
      </c>
      <c r="K230" s="151">
        <f t="shared" si="12"/>
        <v>26.400000000000002</v>
      </c>
      <c r="L230" s="152"/>
      <c r="M230" s="56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>
        <v>1</v>
      </c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8">
        <f t="shared" si="11"/>
        <v>1</v>
      </c>
    </row>
    <row r="231" spans="1:73" ht="15" x14ac:dyDescent="0.15">
      <c r="A231" s="147" t="s">
        <v>570</v>
      </c>
      <c r="B231" s="148" t="s">
        <v>556</v>
      </c>
      <c r="C231" s="148"/>
      <c r="D231" s="148" t="s">
        <v>571</v>
      </c>
      <c r="E231" s="148" t="s">
        <v>115</v>
      </c>
      <c r="F231" s="148"/>
      <c r="G231" s="149">
        <v>0.1</v>
      </c>
      <c r="H231" s="150">
        <v>0.4</v>
      </c>
      <c r="I231" s="148" t="s">
        <v>116</v>
      </c>
      <c r="J231" s="151">
        <f t="shared" si="12"/>
        <v>8</v>
      </c>
      <c r="K231" s="151">
        <f t="shared" si="12"/>
        <v>32</v>
      </c>
      <c r="L231" s="152"/>
      <c r="M231" s="56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>
        <v>7</v>
      </c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>
        <v>2</v>
      </c>
      <c r="BL231" s="57"/>
      <c r="BM231" s="57"/>
      <c r="BN231" s="57"/>
      <c r="BO231" s="57"/>
      <c r="BP231" s="57"/>
      <c r="BQ231" s="57"/>
      <c r="BR231" s="57"/>
      <c r="BS231" s="57"/>
      <c r="BT231" s="57"/>
      <c r="BU231" s="58">
        <f t="shared" si="11"/>
        <v>9</v>
      </c>
    </row>
    <row r="232" spans="1:73" ht="15" x14ac:dyDescent="0.15">
      <c r="A232" s="147" t="s">
        <v>572</v>
      </c>
      <c r="B232" s="148" t="s">
        <v>556</v>
      </c>
      <c r="C232" s="148"/>
      <c r="D232" s="148" t="s">
        <v>573</v>
      </c>
      <c r="E232" s="148" t="s">
        <v>115</v>
      </c>
      <c r="F232" s="148"/>
      <c r="G232" s="149">
        <v>0.1</v>
      </c>
      <c r="H232" s="150">
        <v>0.6</v>
      </c>
      <c r="I232" s="148" t="s">
        <v>116</v>
      </c>
      <c r="J232" s="151">
        <f t="shared" si="12"/>
        <v>8</v>
      </c>
      <c r="K232" s="151">
        <f t="shared" si="12"/>
        <v>48</v>
      </c>
      <c r="L232" s="152"/>
      <c r="M232" s="56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>
        <v>6</v>
      </c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8">
        <f t="shared" si="11"/>
        <v>6</v>
      </c>
    </row>
    <row r="233" spans="1:73" ht="15" x14ac:dyDescent="0.15">
      <c r="A233" s="147" t="s">
        <v>574</v>
      </c>
      <c r="B233" s="148" t="s">
        <v>556</v>
      </c>
      <c r="C233" s="148"/>
      <c r="D233" s="148" t="s">
        <v>575</v>
      </c>
      <c r="E233" s="148" t="s">
        <v>115</v>
      </c>
      <c r="F233" s="148"/>
      <c r="G233" s="149">
        <v>0.1</v>
      </c>
      <c r="H233" s="150">
        <v>1.2</v>
      </c>
      <c r="I233" s="148" t="s">
        <v>116</v>
      </c>
      <c r="J233" s="151">
        <f t="shared" si="12"/>
        <v>8</v>
      </c>
      <c r="K233" s="151">
        <f t="shared" si="12"/>
        <v>96</v>
      </c>
      <c r="L233" s="152"/>
      <c r="M233" s="56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>
        <v>2</v>
      </c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8">
        <f t="shared" si="11"/>
        <v>2</v>
      </c>
    </row>
    <row r="234" spans="1:73" ht="15" x14ac:dyDescent="0.15">
      <c r="A234" s="147" t="s">
        <v>576</v>
      </c>
      <c r="B234" s="148" t="s">
        <v>556</v>
      </c>
      <c r="C234" s="148"/>
      <c r="D234" s="148" t="s">
        <v>577</v>
      </c>
      <c r="E234" s="148" t="s">
        <v>115</v>
      </c>
      <c r="F234" s="148"/>
      <c r="G234" s="149">
        <v>0.13</v>
      </c>
      <c r="H234" s="150">
        <v>0.25</v>
      </c>
      <c r="I234" s="148" t="s">
        <v>116</v>
      </c>
      <c r="J234" s="151">
        <f t="shared" si="12"/>
        <v>10.4</v>
      </c>
      <c r="K234" s="151">
        <f t="shared" si="12"/>
        <v>20</v>
      </c>
      <c r="L234" s="152"/>
      <c r="M234" s="56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>
        <v>1</v>
      </c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8">
        <f t="shared" si="11"/>
        <v>1</v>
      </c>
    </row>
    <row r="235" spans="1:73" ht="15" x14ac:dyDescent="0.15">
      <c r="A235" s="147" t="s">
        <v>578</v>
      </c>
      <c r="B235" s="148" t="s">
        <v>556</v>
      </c>
      <c r="C235" s="148"/>
      <c r="D235" s="148" t="s">
        <v>579</v>
      </c>
      <c r="E235" s="148" t="s">
        <v>115</v>
      </c>
      <c r="F235" s="148"/>
      <c r="G235" s="149">
        <v>0.13</v>
      </c>
      <c r="H235" s="150">
        <v>0.8</v>
      </c>
      <c r="I235" s="148" t="s">
        <v>116</v>
      </c>
      <c r="J235" s="151">
        <f t="shared" si="12"/>
        <v>10.4</v>
      </c>
      <c r="K235" s="151">
        <f t="shared" si="12"/>
        <v>64</v>
      </c>
      <c r="L235" s="152"/>
      <c r="M235" s="56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>
        <v>1</v>
      </c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8">
        <f t="shared" si="11"/>
        <v>1</v>
      </c>
    </row>
    <row r="236" spans="1:73" ht="15" x14ac:dyDescent="0.15">
      <c r="A236" s="147" t="s">
        <v>580</v>
      </c>
      <c r="B236" s="148" t="s">
        <v>556</v>
      </c>
      <c r="C236" s="148"/>
      <c r="D236" s="148" t="s">
        <v>581</v>
      </c>
      <c r="E236" s="148" t="s">
        <v>115</v>
      </c>
      <c r="F236" s="148"/>
      <c r="G236" s="149">
        <v>0.15</v>
      </c>
      <c r="H236" s="150">
        <v>0.4</v>
      </c>
      <c r="I236" s="148" t="s">
        <v>116</v>
      </c>
      <c r="J236" s="151">
        <f t="shared" si="12"/>
        <v>12</v>
      </c>
      <c r="K236" s="151">
        <f t="shared" si="12"/>
        <v>32</v>
      </c>
      <c r="L236" s="152"/>
      <c r="M236" s="56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>
        <v>3</v>
      </c>
      <c r="BN236" s="57"/>
      <c r="BO236" s="57"/>
      <c r="BP236" s="57"/>
      <c r="BQ236" s="57">
        <v>1</v>
      </c>
      <c r="BR236" s="57"/>
      <c r="BS236" s="57"/>
      <c r="BT236" s="57"/>
      <c r="BU236" s="58">
        <f t="shared" si="11"/>
        <v>4</v>
      </c>
    </row>
    <row r="237" spans="1:73" ht="15" x14ac:dyDescent="0.15">
      <c r="A237" s="147" t="s">
        <v>582</v>
      </c>
      <c r="B237" s="148" t="s">
        <v>556</v>
      </c>
      <c r="C237" s="148"/>
      <c r="D237" s="148" t="s">
        <v>583</v>
      </c>
      <c r="E237" s="148" t="s">
        <v>115</v>
      </c>
      <c r="F237" s="148"/>
      <c r="G237" s="149">
        <v>0.2</v>
      </c>
      <c r="H237" s="150">
        <v>0.6</v>
      </c>
      <c r="I237" s="148" t="s">
        <v>116</v>
      </c>
      <c r="J237" s="151">
        <f t="shared" si="12"/>
        <v>16</v>
      </c>
      <c r="K237" s="151">
        <f t="shared" si="12"/>
        <v>48</v>
      </c>
      <c r="L237" s="152"/>
      <c r="M237" s="56"/>
      <c r="N237" s="57"/>
      <c r="O237" s="57"/>
      <c r="P237" s="57"/>
      <c r="Q237" s="57">
        <v>1</v>
      </c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>
        <v>1</v>
      </c>
      <c r="BR237" s="57"/>
      <c r="BS237" s="57"/>
      <c r="BT237" s="57">
        <v>1</v>
      </c>
      <c r="BU237" s="58">
        <f t="shared" si="11"/>
        <v>3</v>
      </c>
    </row>
    <row r="238" spans="1:73" ht="15" x14ac:dyDescent="0.15">
      <c r="A238" s="147" t="s">
        <v>584</v>
      </c>
      <c r="B238" s="148" t="s">
        <v>556</v>
      </c>
      <c r="C238" s="148"/>
      <c r="D238" s="148" t="s">
        <v>585</v>
      </c>
      <c r="E238" s="148" t="s">
        <v>115</v>
      </c>
      <c r="F238" s="148"/>
      <c r="G238" s="149">
        <v>0.2</v>
      </c>
      <c r="H238" s="150">
        <v>1</v>
      </c>
      <c r="I238" s="148" t="s">
        <v>116</v>
      </c>
      <c r="J238" s="151">
        <f t="shared" si="12"/>
        <v>16</v>
      </c>
      <c r="K238" s="151">
        <f t="shared" si="12"/>
        <v>80</v>
      </c>
      <c r="L238" s="152"/>
      <c r="M238" s="56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>
        <v>1</v>
      </c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8">
        <f t="shared" si="11"/>
        <v>1</v>
      </c>
    </row>
    <row r="239" spans="1:73" ht="15" x14ac:dyDescent="0.15">
      <c r="A239" s="147" t="s">
        <v>586</v>
      </c>
      <c r="B239" s="148" t="s">
        <v>556</v>
      </c>
      <c r="C239" s="148"/>
      <c r="D239" s="148" t="s">
        <v>587</v>
      </c>
      <c r="E239" s="148" t="s">
        <v>115</v>
      </c>
      <c r="F239" s="148"/>
      <c r="G239" s="149">
        <v>0.2</v>
      </c>
      <c r="H239" s="150">
        <v>1.4</v>
      </c>
      <c r="I239" s="148" t="s">
        <v>116</v>
      </c>
      <c r="J239" s="151">
        <f t="shared" si="12"/>
        <v>16</v>
      </c>
      <c r="K239" s="151">
        <f t="shared" si="12"/>
        <v>112</v>
      </c>
      <c r="L239" s="152"/>
      <c r="M239" s="56"/>
      <c r="N239" s="57"/>
      <c r="O239" s="57"/>
      <c r="P239" s="57"/>
      <c r="Q239" s="57"/>
      <c r="R239" s="57"/>
      <c r="S239" s="57"/>
      <c r="T239" s="57"/>
      <c r="U239" s="57"/>
      <c r="V239" s="57">
        <v>1</v>
      </c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8">
        <f t="shared" si="11"/>
        <v>1</v>
      </c>
    </row>
    <row r="240" spans="1:73" ht="15" x14ac:dyDescent="0.15">
      <c r="A240" s="99" t="s">
        <v>588</v>
      </c>
      <c r="B240" s="94" t="s">
        <v>589</v>
      </c>
      <c r="C240" s="94" t="s">
        <v>590</v>
      </c>
      <c r="D240" s="94" t="s">
        <v>591</v>
      </c>
      <c r="E240" s="94" t="s">
        <v>115</v>
      </c>
      <c r="F240" s="94"/>
      <c r="G240" s="100">
        <v>0.2</v>
      </c>
      <c r="H240" s="101">
        <v>0.2</v>
      </c>
      <c r="I240" s="94" t="s">
        <v>116</v>
      </c>
      <c r="J240" s="102">
        <f t="shared" ref="J240:K268" si="13">G240*80</f>
        <v>16</v>
      </c>
      <c r="K240" s="102">
        <f t="shared" si="13"/>
        <v>16</v>
      </c>
      <c r="L240" s="103"/>
      <c r="M240" s="56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>
        <v>14</v>
      </c>
      <c r="BB240" s="57"/>
      <c r="BC240" s="57"/>
      <c r="BD240" s="57">
        <v>1</v>
      </c>
      <c r="BE240" s="57"/>
      <c r="BF240" s="57">
        <v>1</v>
      </c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8">
        <f t="shared" si="11"/>
        <v>16</v>
      </c>
    </row>
    <row r="241" spans="1:73" ht="15" x14ac:dyDescent="0.15">
      <c r="A241" s="99" t="s">
        <v>592</v>
      </c>
      <c r="B241" s="94" t="s">
        <v>589</v>
      </c>
      <c r="C241" s="94" t="s">
        <v>590</v>
      </c>
      <c r="D241" s="94" t="s">
        <v>593</v>
      </c>
      <c r="E241" s="94" t="s">
        <v>115</v>
      </c>
      <c r="F241" s="94"/>
      <c r="G241" s="100">
        <v>0.4</v>
      </c>
      <c r="H241" s="101">
        <v>0.4</v>
      </c>
      <c r="I241" s="94" t="s">
        <v>116</v>
      </c>
      <c r="J241" s="102">
        <f t="shared" si="13"/>
        <v>32</v>
      </c>
      <c r="K241" s="102">
        <f t="shared" si="13"/>
        <v>32</v>
      </c>
      <c r="L241" s="103"/>
      <c r="M241" s="56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>
        <v>1</v>
      </c>
      <c r="BJ241" s="57"/>
      <c r="BK241" s="57"/>
      <c r="BL241" s="57"/>
      <c r="BM241" s="57"/>
      <c r="BN241" s="57"/>
      <c r="BO241" s="57"/>
      <c r="BP241" s="57"/>
      <c r="BQ241" s="57"/>
      <c r="BR241" s="57">
        <v>24</v>
      </c>
      <c r="BS241" s="57">
        <v>16</v>
      </c>
      <c r="BT241" s="57">
        <v>15</v>
      </c>
      <c r="BU241" s="58">
        <f t="shared" si="11"/>
        <v>56</v>
      </c>
    </row>
    <row r="242" spans="1:73" ht="15" x14ac:dyDescent="0.15">
      <c r="A242" s="153" t="s">
        <v>594</v>
      </c>
      <c r="B242" s="154" t="s">
        <v>595</v>
      </c>
      <c r="C242" s="154"/>
      <c r="D242" s="154" t="s">
        <v>596</v>
      </c>
      <c r="E242" s="154" t="s">
        <v>115</v>
      </c>
      <c r="F242" s="154"/>
      <c r="G242" s="155">
        <v>0.4</v>
      </c>
      <c r="H242" s="156">
        <v>0.5</v>
      </c>
      <c r="I242" s="154" t="s">
        <v>116</v>
      </c>
      <c r="J242" s="157">
        <f t="shared" si="13"/>
        <v>32</v>
      </c>
      <c r="K242" s="157">
        <f t="shared" si="13"/>
        <v>40</v>
      </c>
      <c r="L242" s="158"/>
      <c r="M242" s="56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>
        <v>1</v>
      </c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>
        <v>3</v>
      </c>
      <c r="BR242" s="57"/>
      <c r="BS242" s="57"/>
      <c r="BT242" s="57"/>
      <c r="BU242" s="58">
        <f t="shared" si="11"/>
        <v>4</v>
      </c>
    </row>
    <row r="243" spans="1:73" ht="15" x14ac:dyDescent="0.15">
      <c r="A243" s="153" t="s">
        <v>597</v>
      </c>
      <c r="B243" s="154" t="s">
        <v>595</v>
      </c>
      <c r="C243" s="154"/>
      <c r="D243" s="154" t="s">
        <v>598</v>
      </c>
      <c r="E243" s="154" t="s">
        <v>115</v>
      </c>
      <c r="F243" s="154"/>
      <c r="G243" s="155">
        <v>0.5</v>
      </c>
      <c r="H243" s="156">
        <v>0.8</v>
      </c>
      <c r="I243" s="154" t="s">
        <v>116</v>
      </c>
      <c r="J243" s="157">
        <f t="shared" si="13"/>
        <v>40</v>
      </c>
      <c r="K243" s="157">
        <f t="shared" si="13"/>
        <v>64</v>
      </c>
      <c r="L243" s="158"/>
      <c r="M243" s="56"/>
      <c r="N243" s="57"/>
      <c r="O243" s="57"/>
      <c r="P243" s="57">
        <v>1</v>
      </c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>
        <v>1</v>
      </c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8">
        <f t="shared" si="11"/>
        <v>2</v>
      </c>
    </row>
    <row r="244" spans="1:73" ht="15" x14ac:dyDescent="0.15">
      <c r="A244" s="153" t="s">
        <v>599</v>
      </c>
      <c r="B244" s="154" t="s">
        <v>595</v>
      </c>
      <c r="C244" s="154"/>
      <c r="D244" s="154" t="s">
        <v>600</v>
      </c>
      <c r="E244" s="154" t="s">
        <v>115</v>
      </c>
      <c r="F244" s="154"/>
      <c r="G244" s="155">
        <v>0.7</v>
      </c>
      <c r="H244" s="156">
        <v>0.8</v>
      </c>
      <c r="I244" s="154" t="s">
        <v>116</v>
      </c>
      <c r="J244" s="157">
        <f t="shared" si="13"/>
        <v>56</v>
      </c>
      <c r="K244" s="157">
        <f t="shared" si="13"/>
        <v>64</v>
      </c>
      <c r="L244" s="158"/>
      <c r="M244" s="56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>
        <v>1</v>
      </c>
      <c r="AU244" s="57"/>
      <c r="AV244" s="57"/>
      <c r="AW244" s="57"/>
      <c r="AX244" s="57">
        <v>1</v>
      </c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>
        <v>2</v>
      </c>
      <c r="BP244" s="57">
        <v>5</v>
      </c>
      <c r="BQ244" s="57">
        <v>1</v>
      </c>
      <c r="BR244" s="57"/>
      <c r="BS244" s="57">
        <v>2</v>
      </c>
      <c r="BT244" s="57">
        <v>1</v>
      </c>
      <c r="BU244" s="58">
        <f t="shared" si="11"/>
        <v>13</v>
      </c>
    </row>
    <row r="245" spans="1:73" ht="15" x14ac:dyDescent="0.15">
      <c r="A245" s="153" t="s">
        <v>601</v>
      </c>
      <c r="B245" s="154" t="s">
        <v>595</v>
      </c>
      <c r="C245" s="154"/>
      <c r="D245" s="154" t="s">
        <v>602</v>
      </c>
      <c r="E245" s="154" t="s">
        <v>115</v>
      </c>
      <c r="F245" s="154"/>
      <c r="G245" s="155">
        <v>0.9</v>
      </c>
      <c r="H245" s="156">
        <v>1.4</v>
      </c>
      <c r="I245" s="154" t="s">
        <v>116</v>
      </c>
      <c r="J245" s="157">
        <f t="shared" si="13"/>
        <v>72</v>
      </c>
      <c r="K245" s="157">
        <f t="shared" si="13"/>
        <v>112</v>
      </c>
      <c r="L245" s="158"/>
      <c r="M245" s="56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>
        <v>2</v>
      </c>
      <c r="BS245" s="57"/>
      <c r="BT245" s="57"/>
      <c r="BU245" s="58">
        <f t="shared" si="11"/>
        <v>2</v>
      </c>
    </row>
    <row r="246" spans="1:73" ht="15" x14ac:dyDescent="0.15">
      <c r="A246" s="127" t="s">
        <v>603</v>
      </c>
      <c r="B246" s="128" t="s">
        <v>604</v>
      </c>
      <c r="C246" s="128" t="s">
        <v>605</v>
      </c>
      <c r="D246" s="128" t="s">
        <v>606</v>
      </c>
      <c r="E246" s="128" t="s">
        <v>115</v>
      </c>
      <c r="F246" s="128"/>
      <c r="G246" s="129">
        <v>0.2</v>
      </c>
      <c r="H246" s="130">
        <v>0.3</v>
      </c>
      <c r="I246" s="128" t="s">
        <v>116</v>
      </c>
      <c r="J246" s="131">
        <f t="shared" si="13"/>
        <v>16</v>
      </c>
      <c r="K246" s="131">
        <f t="shared" si="13"/>
        <v>24</v>
      </c>
      <c r="L246" s="132"/>
      <c r="M246" s="56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>
        <v>26</v>
      </c>
      <c r="AA246" s="57"/>
      <c r="AB246" s="57"/>
      <c r="AC246" s="57"/>
      <c r="AD246" s="57"/>
      <c r="AE246" s="57"/>
      <c r="AF246" s="57"/>
      <c r="AG246" s="57">
        <v>1</v>
      </c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8">
        <f t="shared" si="11"/>
        <v>27</v>
      </c>
    </row>
    <row r="247" spans="1:73" ht="15" x14ac:dyDescent="0.15">
      <c r="A247" s="127" t="s">
        <v>607</v>
      </c>
      <c r="B247" s="128" t="s">
        <v>604</v>
      </c>
      <c r="C247" s="128" t="s">
        <v>605</v>
      </c>
      <c r="D247" s="128" t="s">
        <v>608</v>
      </c>
      <c r="E247" s="128" t="s">
        <v>115</v>
      </c>
      <c r="F247" s="128"/>
      <c r="G247" s="129">
        <v>0.2</v>
      </c>
      <c r="H247" s="130">
        <v>1</v>
      </c>
      <c r="I247" s="128" t="s">
        <v>116</v>
      </c>
      <c r="J247" s="131">
        <f t="shared" si="13"/>
        <v>16</v>
      </c>
      <c r="K247" s="131">
        <f t="shared" si="13"/>
        <v>80</v>
      </c>
      <c r="L247" s="132"/>
      <c r="M247" s="56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>
        <v>1</v>
      </c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8">
        <f t="shared" si="11"/>
        <v>1</v>
      </c>
    </row>
    <row r="248" spans="1:73" ht="15" x14ac:dyDescent="0.15">
      <c r="A248" s="127" t="s">
        <v>609</v>
      </c>
      <c r="B248" s="128" t="s">
        <v>604</v>
      </c>
      <c r="C248" s="128" t="s">
        <v>605</v>
      </c>
      <c r="D248" s="128" t="s">
        <v>610</v>
      </c>
      <c r="E248" s="128" t="s">
        <v>115</v>
      </c>
      <c r="F248" s="128"/>
      <c r="G248" s="129">
        <v>0.25</v>
      </c>
      <c r="H248" s="130">
        <v>0.5</v>
      </c>
      <c r="I248" s="128" t="s">
        <v>116</v>
      </c>
      <c r="J248" s="131">
        <f t="shared" si="13"/>
        <v>20</v>
      </c>
      <c r="K248" s="131">
        <f t="shared" si="13"/>
        <v>40</v>
      </c>
      <c r="L248" s="132"/>
      <c r="M248" s="56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>
        <v>6</v>
      </c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8">
        <f t="shared" si="11"/>
        <v>6</v>
      </c>
    </row>
    <row r="249" spans="1:73" ht="15" x14ac:dyDescent="0.15">
      <c r="A249" s="127" t="s">
        <v>611</v>
      </c>
      <c r="B249" s="128" t="s">
        <v>604</v>
      </c>
      <c r="C249" s="128" t="s">
        <v>605</v>
      </c>
      <c r="D249" s="128" t="s">
        <v>612</v>
      </c>
      <c r="E249" s="128" t="s">
        <v>115</v>
      </c>
      <c r="F249" s="128"/>
      <c r="G249" s="129">
        <v>0.25</v>
      </c>
      <c r="H249" s="130">
        <v>0.8</v>
      </c>
      <c r="I249" s="128" t="s">
        <v>116</v>
      </c>
      <c r="J249" s="131">
        <f t="shared" si="13"/>
        <v>20</v>
      </c>
      <c r="K249" s="131">
        <f t="shared" si="13"/>
        <v>64</v>
      </c>
      <c r="L249" s="132"/>
      <c r="M249" s="56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>
        <v>26</v>
      </c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8">
        <f t="shared" si="11"/>
        <v>26</v>
      </c>
    </row>
    <row r="250" spans="1:73" ht="15" x14ac:dyDescent="0.15">
      <c r="A250" s="127" t="s">
        <v>613</v>
      </c>
      <c r="B250" s="128" t="s">
        <v>604</v>
      </c>
      <c r="C250" s="128" t="s">
        <v>605</v>
      </c>
      <c r="D250" s="128" t="s">
        <v>614</v>
      </c>
      <c r="E250" s="128" t="s">
        <v>115</v>
      </c>
      <c r="F250" s="128"/>
      <c r="G250" s="129">
        <v>0.3</v>
      </c>
      <c r="H250" s="130">
        <v>0.4</v>
      </c>
      <c r="I250" s="128" t="s">
        <v>116</v>
      </c>
      <c r="J250" s="131">
        <f t="shared" si="13"/>
        <v>24</v>
      </c>
      <c r="K250" s="131">
        <f t="shared" si="13"/>
        <v>32</v>
      </c>
      <c r="L250" s="132"/>
      <c r="M250" s="56"/>
      <c r="N250" s="57"/>
      <c r="O250" s="57"/>
      <c r="P250" s="57"/>
      <c r="Q250" s="57"/>
      <c r="R250" s="57"/>
      <c r="S250" s="57"/>
      <c r="T250" s="57">
        <v>1</v>
      </c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>
        <v>21</v>
      </c>
      <c r="BL250" s="57"/>
      <c r="BM250" s="57"/>
      <c r="BN250" s="57"/>
      <c r="BO250" s="57"/>
      <c r="BP250" s="57"/>
      <c r="BQ250" s="57">
        <v>1</v>
      </c>
      <c r="BR250" s="57"/>
      <c r="BS250" s="57"/>
      <c r="BT250" s="57"/>
      <c r="BU250" s="58">
        <f t="shared" si="11"/>
        <v>23</v>
      </c>
    </row>
    <row r="251" spans="1:73" ht="15" x14ac:dyDescent="0.15">
      <c r="A251" s="127" t="s">
        <v>615</v>
      </c>
      <c r="B251" s="128" t="s">
        <v>604</v>
      </c>
      <c r="C251" s="128" t="s">
        <v>605</v>
      </c>
      <c r="D251" s="128" t="s">
        <v>616</v>
      </c>
      <c r="E251" s="128" t="s">
        <v>115</v>
      </c>
      <c r="F251" s="128"/>
      <c r="G251" s="129">
        <v>0.3</v>
      </c>
      <c r="H251" s="130">
        <v>0.5</v>
      </c>
      <c r="I251" s="128" t="s">
        <v>116</v>
      </c>
      <c r="J251" s="131">
        <f t="shared" si="13"/>
        <v>24</v>
      </c>
      <c r="K251" s="131">
        <f t="shared" si="13"/>
        <v>40</v>
      </c>
      <c r="L251" s="132"/>
      <c r="M251" s="56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>
        <v>4</v>
      </c>
      <c r="AD251" s="57"/>
      <c r="AE251" s="57">
        <v>3</v>
      </c>
      <c r="AF251" s="57"/>
      <c r="AG251" s="57">
        <v>3</v>
      </c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8">
        <f t="shared" si="11"/>
        <v>10</v>
      </c>
    </row>
    <row r="252" spans="1:73" ht="15" x14ac:dyDescent="0.15">
      <c r="A252" s="127" t="s">
        <v>617</v>
      </c>
      <c r="B252" s="128" t="s">
        <v>604</v>
      </c>
      <c r="C252" s="128" t="s">
        <v>605</v>
      </c>
      <c r="D252" s="128" t="s">
        <v>618</v>
      </c>
      <c r="E252" s="128" t="s">
        <v>115</v>
      </c>
      <c r="F252" s="128"/>
      <c r="G252" s="129">
        <v>0.3</v>
      </c>
      <c r="H252" s="130">
        <v>0.6</v>
      </c>
      <c r="I252" s="128" t="s">
        <v>116</v>
      </c>
      <c r="J252" s="131">
        <f t="shared" si="13"/>
        <v>24</v>
      </c>
      <c r="K252" s="131">
        <f t="shared" si="13"/>
        <v>48</v>
      </c>
      <c r="L252" s="132"/>
      <c r="M252" s="56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>
        <v>3</v>
      </c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>
        <v>14</v>
      </c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8">
        <f t="shared" si="11"/>
        <v>17</v>
      </c>
    </row>
    <row r="253" spans="1:73" ht="15" x14ac:dyDescent="0.15">
      <c r="A253" s="127" t="s">
        <v>619</v>
      </c>
      <c r="B253" s="128" t="s">
        <v>604</v>
      </c>
      <c r="C253" s="128" t="s">
        <v>605</v>
      </c>
      <c r="D253" s="128" t="s">
        <v>620</v>
      </c>
      <c r="E253" s="128" t="s">
        <v>115</v>
      </c>
      <c r="F253" s="128"/>
      <c r="G253" s="129">
        <v>0.3</v>
      </c>
      <c r="H253" s="130">
        <v>0.7</v>
      </c>
      <c r="I253" s="128" t="s">
        <v>116</v>
      </c>
      <c r="J253" s="131">
        <f t="shared" si="13"/>
        <v>24</v>
      </c>
      <c r="K253" s="131">
        <f t="shared" si="13"/>
        <v>56</v>
      </c>
      <c r="L253" s="132"/>
      <c r="M253" s="56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>
        <v>22</v>
      </c>
      <c r="Y253" s="57"/>
      <c r="Z253" s="57"/>
      <c r="AA253" s="57"/>
      <c r="AB253" s="57"/>
      <c r="AC253" s="57"/>
      <c r="AD253" s="57"/>
      <c r="AE253" s="57"/>
      <c r="AF253" s="57"/>
      <c r="AG253" s="57"/>
      <c r="AH253" s="57">
        <v>6</v>
      </c>
      <c r="AI253" s="57"/>
      <c r="AJ253" s="57">
        <v>7</v>
      </c>
      <c r="AK253" s="57"/>
      <c r="AL253" s="57"/>
      <c r="AM253" s="57"/>
      <c r="AN253" s="57">
        <v>2</v>
      </c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>
        <v>2</v>
      </c>
      <c r="BL253" s="57"/>
      <c r="BM253" s="57"/>
      <c r="BN253" s="57"/>
      <c r="BO253" s="57"/>
      <c r="BP253" s="57"/>
      <c r="BQ253" s="57"/>
      <c r="BR253" s="57"/>
      <c r="BS253" s="57"/>
      <c r="BT253" s="57"/>
      <c r="BU253" s="58">
        <f t="shared" si="11"/>
        <v>39</v>
      </c>
    </row>
    <row r="254" spans="1:73" ht="15" x14ac:dyDescent="0.15">
      <c r="A254" s="127" t="s">
        <v>621</v>
      </c>
      <c r="B254" s="128" t="s">
        <v>604</v>
      </c>
      <c r="C254" s="128" t="s">
        <v>605</v>
      </c>
      <c r="D254" s="128" t="s">
        <v>622</v>
      </c>
      <c r="E254" s="128" t="s">
        <v>115</v>
      </c>
      <c r="F254" s="128"/>
      <c r="G254" s="129">
        <v>0.3</v>
      </c>
      <c r="H254" s="130">
        <v>0.8</v>
      </c>
      <c r="I254" s="128" t="s">
        <v>116</v>
      </c>
      <c r="J254" s="131">
        <f t="shared" si="13"/>
        <v>24</v>
      </c>
      <c r="K254" s="131">
        <f t="shared" si="13"/>
        <v>64</v>
      </c>
      <c r="L254" s="132"/>
      <c r="M254" s="56"/>
      <c r="N254" s="57"/>
      <c r="O254" s="57"/>
      <c r="P254" s="57"/>
      <c r="Q254" s="57"/>
      <c r="R254" s="57"/>
      <c r="S254" s="57"/>
      <c r="T254" s="57"/>
      <c r="U254" s="57"/>
      <c r="V254" s="57">
        <v>1</v>
      </c>
      <c r="W254" s="57"/>
      <c r="X254" s="57"/>
      <c r="Y254" s="57"/>
      <c r="Z254" s="57"/>
      <c r="AA254" s="57"/>
      <c r="AB254" s="57">
        <v>14</v>
      </c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>
        <v>20</v>
      </c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>
        <v>8</v>
      </c>
      <c r="BQ254" s="57"/>
      <c r="BR254" s="57"/>
      <c r="BS254" s="57"/>
      <c r="BT254" s="57"/>
      <c r="BU254" s="58">
        <f t="shared" si="11"/>
        <v>43</v>
      </c>
    </row>
    <row r="255" spans="1:73" ht="15" x14ac:dyDescent="0.15">
      <c r="A255" s="127" t="s">
        <v>623</v>
      </c>
      <c r="B255" s="128" t="s">
        <v>604</v>
      </c>
      <c r="C255" s="128" t="s">
        <v>605</v>
      </c>
      <c r="D255" s="128" t="s">
        <v>624</v>
      </c>
      <c r="E255" s="128" t="s">
        <v>115</v>
      </c>
      <c r="F255" s="128"/>
      <c r="G255" s="129">
        <v>0.3</v>
      </c>
      <c r="H255" s="130">
        <v>0.9</v>
      </c>
      <c r="I255" s="128" t="s">
        <v>116</v>
      </c>
      <c r="J255" s="131">
        <f t="shared" si="13"/>
        <v>24</v>
      </c>
      <c r="K255" s="131">
        <f t="shared" si="13"/>
        <v>72</v>
      </c>
      <c r="L255" s="132"/>
      <c r="M255" s="56"/>
      <c r="N255" s="57"/>
      <c r="O255" s="57"/>
      <c r="P255" s="57"/>
      <c r="Q255" s="57"/>
      <c r="R255" s="57"/>
      <c r="S255" s="57"/>
      <c r="T255" s="57"/>
      <c r="U255" s="57"/>
      <c r="V255" s="57"/>
      <c r="W255" s="57">
        <v>4</v>
      </c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8">
        <f t="shared" si="11"/>
        <v>4</v>
      </c>
    </row>
    <row r="256" spans="1:73" ht="15" x14ac:dyDescent="0.15">
      <c r="A256" s="127" t="s">
        <v>625</v>
      </c>
      <c r="B256" s="128" t="s">
        <v>604</v>
      </c>
      <c r="C256" s="128" t="s">
        <v>605</v>
      </c>
      <c r="D256" s="128" t="s">
        <v>626</v>
      </c>
      <c r="E256" s="128" t="s">
        <v>115</v>
      </c>
      <c r="F256" s="128"/>
      <c r="G256" s="129">
        <v>0.3</v>
      </c>
      <c r="H256" s="130">
        <v>1.2</v>
      </c>
      <c r="I256" s="128" t="s">
        <v>116</v>
      </c>
      <c r="J256" s="131">
        <f t="shared" si="13"/>
        <v>24</v>
      </c>
      <c r="K256" s="131">
        <f t="shared" si="13"/>
        <v>96</v>
      </c>
      <c r="L256" s="132"/>
      <c r="M256" s="56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>
        <v>5</v>
      </c>
      <c r="BL256" s="57">
        <v>5</v>
      </c>
      <c r="BM256" s="57"/>
      <c r="BN256" s="57">
        <v>2</v>
      </c>
      <c r="BO256" s="57"/>
      <c r="BP256" s="57"/>
      <c r="BQ256" s="57"/>
      <c r="BR256" s="57">
        <v>167</v>
      </c>
      <c r="BS256" s="57"/>
      <c r="BT256" s="57">
        <v>121</v>
      </c>
      <c r="BU256" s="58">
        <f t="shared" si="11"/>
        <v>300</v>
      </c>
    </row>
    <row r="257" spans="1:73" ht="15" x14ac:dyDescent="0.15">
      <c r="A257" s="127" t="s">
        <v>627</v>
      </c>
      <c r="B257" s="128" t="s">
        <v>604</v>
      </c>
      <c r="C257" s="128" t="s">
        <v>605</v>
      </c>
      <c r="D257" s="128" t="s">
        <v>628</v>
      </c>
      <c r="E257" s="128" t="s">
        <v>115</v>
      </c>
      <c r="F257" s="128"/>
      <c r="G257" s="129">
        <v>0.3</v>
      </c>
      <c r="H257" s="130">
        <v>1.5</v>
      </c>
      <c r="I257" s="128" t="s">
        <v>116</v>
      </c>
      <c r="J257" s="131">
        <f t="shared" si="13"/>
        <v>24</v>
      </c>
      <c r="K257" s="131">
        <f t="shared" si="13"/>
        <v>120</v>
      </c>
      <c r="L257" s="132"/>
      <c r="M257" s="56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>
        <v>120</v>
      </c>
      <c r="BT257" s="57"/>
      <c r="BU257" s="58">
        <f t="shared" si="11"/>
        <v>120</v>
      </c>
    </row>
    <row r="258" spans="1:73" ht="15" x14ac:dyDescent="0.15">
      <c r="A258" s="127" t="s">
        <v>629</v>
      </c>
      <c r="B258" s="128" t="s">
        <v>604</v>
      </c>
      <c r="C258" s="128" t="s">
        <v>605</v>
      </c>
      <c r="D258" s="128" t="s">
        <v>630</v>
      </c>
      <c r="E258" s="128" t="s">
        <v>115</v>
      </c>
      <c r="F258" s="128"/>
      <c r="G258" s="129">
        <v>0.4</v>
      </c>
      <c r="H258" s="130">
        <v>0.5</v>
      </c>
      <c r="I258" s="128" t="s">
        <v>116</v>
      </c>
      <c r="J258" s="131">
        <f t="shared" si="13"/>
        <v>32</v>
      </c>
      <c r="K258" s="131">
        <f t="shared" si="13"/>
        <v>40</v>
      </c>
      <c r="L258" s="132"/>
      <c r="M258" s="56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>
        <v>2</v>
      </c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8">
        <f t="shared" si="11"/>
        <v>2</v>
      </c>
    </row>
    <row r="259" spans="1:73" ht="15" x14ac:dyDescent="0.15">
      <c r="A259" s="127" t="s">
        <v>631</v>
      </c>
      <c r="B259" s="128" t="s">
        <v>604</v>
      </c>
      <c r="C259" s="128" t="s">
        <v>605</v>
      </c>
      <c r="D259" s="128" t="s">
        <v>632</v>
      </c>
      <c r="E259" s="128" t="s">
        <v>115</v>
      </c>
      <c r="F259" s="128"/>
      <c r="G259" s="129">
        <v>0.4</v>
      </c>
      <c r="H259" s="130">
        <v>0.6</v>
      </c>
      <c r="I259" s="128" t="s">
        <v>116</v>
      </c>
      <c r="J259" s="131">
        <f t="shared" si="13"/>
        <v>32</v>
      </c>
      <c r="K259" s="131">
        <f t="shared" si="13"/>
        <v>48</v>
      </c>
      <c r="L259" s="132"/>
      <c r="M259" s="56"/>
      <c r="N259" s="57"/>
      <c r="O259" s="57"/>
      <c r="P259" s="57"/>
      <c r="Q259" s="57"/>
      <c r="R259" s="57"/>
      <c r="S259" s="57"/>
      <c r="T259" s="57"/>
      <c r="U259" s="57"/>
      <c r="V259" s="57"/>
      <c r="W259" s="57">
        <v>4</v>
      </c>
      <c r="X259" s="57"/>
      <c r="Y259" s="57">
        <v>2</v>
      </c>
      <c r="Z259" s="57"/>
      <c r="AA259" s="57"/>
      <c r="AB259" s="57"/>
      <c r="AC259" s="57"/>
      <c r="AD259" s="57"/>
      <c r="AE259" s="57"/>
      <c r="AF259" s="57">
        <v>8</v>
      </c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>
        <v>1</v>
      </c>
      <c r="BO259" s="57"/>
      <c r="BP259" s="57"/>
      <c r="BQ259" s="57"/>
      <c r="BR259" s="57"/>
      <c r="BS259" s="57"/>
      <c r="BT259" s="57"/>
      <c r="BU259" s="58">
        <f t="shared" si="11"/>
        <v>15</v>
      </c>
    </row>
    <row r="260" spans="1:73" ht="15" x14ac:dyDescent="0.15">
      <c r="A260" s="127" t="s">
        <v>633</v>
      </c>
      <c r="B260" s="128" t="s">
        <v>604</v>
      </c>
      <c r="C260" s="128" t="s">
        <v>605</v>
      </c>
      <c r="D260" s="128" t="s">
        <v>634</v>
      </c>
      <c r="E260" s="128" t="s">
        <v>115</v>
      </c>
      <c r="F260" s="128"/>
      <c r="G260" s="129">
        <v>0.4</v>
      </c>
      <c r="H260" s="130">
        <v>0.7</v>
      </c>
      <c r="I260" s="128" t="s">
        <v>116</v>
      </c>
      <c r="J260" s="131">
        <f t="shared" si="13"/>
        <v>32</v>
      </c>
      <c r="K260" s="131">
        <f t="shared" si="13"/>
        <v>56</v>
      </c>
      <c r="L260" s="132"/>
      <c r="M260" s="56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>
        <v>2</v>
      </c>
      <c r="BQ260" s="57"/>
      <c r="BR260" s="57"/>
      <c r="BS260" s="57">
        <v>4</v>
      </c>
      <c r="BT260" s="57"/>
      <c r="BU260" s="58">
        <f t="shared" si="11"/>
        <v>6</v>
      </c>
    </row>
    <row r="261" spans="1:73" ht="15" x14ac:dyDescent="0.15">
      <c r="A261" s="127" t="s">
        <v>635</v>
      </c>
      <c r="B261" s="128" t="s">
        <v>604</v>
      </c>
      <c r="C261" s="128" t="s">
        <v>605</v>
      </c>
      <c r="D261" s="128" t="s">
        <v>636</v>
      </c>
      <c r="E261" s="128" t="s">
        <v>115</v>
      </c>
      <c r="F261" s="128"/>
      <c r="G261" s="129">
        <v>0.4</v>
      </c>
      <c r="H261" s="130">
        <v>0.8</v>
      </c>
      <c r="I261" s="128" t="s">
        <v>116</v>
      </c>
      <c r="J261" s="131">
        <f t="shared" si="13"/>
        <v>32</v>
      </c>
      <c r="K261" s="131">
        <f t="shared" si="13"/>
        <v>64</v>
      </c>
      <c r="L261" s="132"/>
      <c r="M261" s="56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>
        <v>1</v>
      </c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>
        <v>2</v>
      </c>
      <c r="BU261" s="58">
        <f t="shared" si="11"/>
        <v>3</v>
      </c>
    </row>
    <row r="262" spans="1:73" ht="15" x14ac:dyDescent="0.15">
      <c r="A262" s="127" t="s">
        <v>637</v>
      </c>
      <c r="B262" s="128" t="s">
        <v>604</v>
      </c>
      <c r="C262" s="128" t="s">
        <v>638</v>
      </c>
      <c r="D262" s="128" t="s">
        <v>639</v>
      </c>
      <c r="E262" s="128" t="s">
        <v>115</v>
      </c>
      <c r="F262" s="128"/>
      <c r="G262" s="129">
        <v>0.15</v>
      </c>
      <c r="H262" s="130">
        <v>0.4</v>
      </c>
      <c r="I262" s="128" t="s">
        <v>116</v>
      </c>
      <c r="J262" s="131">
        <f t="shared" si="13"/>
        <v>12</v>
      </c>
      <c r="K262" s="131">
        <f t="shared" si="13"/>
        <v>32</v>
      </c>
      <c r="L262" s="132"/>
      <c r="M262" s="56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>
        <v>1</v>
      </c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8">
        <f t="shared" si="11"/>
        <v>1</v>
      </c>
    </row>
    <row r="263" spans="1:73" ht="15" x14ac:dyDescent="0.15">
      <c r="A263" s="127" t="s">
        <v>640</v>
      </c>
      <c r="B263" s="128" t="s">
        <v>604</v>
      </c>
      <c r="C263" s="128" t="s">
        <v>638</v>
      </c>
      <c r="D263" s="128" t="s">
        <v>641</v>
      </c>
      <c r="E263" s="128" t="s">
        <v>115</v>
      </c>
      <c r="F263" s="128"/>
      <c r="G263" s="129">
        <v>0.2</v>
      </c>
      <c r="H263" s="130">
        <v>0.25</v>
      </c>
      <c r="I263" s="128" t="s">
        <v>116</v>
      </c>
      <c r="J263" s="131">
        <f t="shared" si="13"/>
        <v>16</v>
      </c>
      <c r="K263" s="131">
        <f t="shared" si="13"/>
        <v>20</v>
      </c>
      <c r="L263" s="132"/>
      <c r="M263" s="56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>
        <v>1</v>
      </c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>
        <v>2</v>
      </c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8">
        <f t="shared" si="11"/>
        <v>3</v>
      </c>
    </row>
    <row r="264" spans="1:73" ht="15" x14ac:dyDescent="0.15">
      <c r="A264" s="127" t="s">
        <v>642</v>
      </c>
      <c r="B264" s="128" t="s">
        <v>604</v>
      </c>
      <c r="C264" s="128" t="s">
        <v>638</v>
      </c>
      <c r="D264" s="128" t="s">
        <v>643</v>
      </c>
      <c r="E264" s="128" t="s">
        <v>115</v>
      </c>
      <c r="F264" s="128"/>
      <c r="G264" s="129">
        <v>0.2</v>
      </c>
      <c r="H264" s="130">
        <v>0.3</v>
      </c>
      <c r="I264" s="128" t="s">
        <v>116</v>
      </c>
      <c r="J264" s="131">
        <f t="shared" si="13"/>
        <v>16</v>
      </c>
      <c r="K264" s="131">
        <f t="shared" si="13"/>
        <v>24</v>
      </c>
      <c r="L264" s="132"/>
      <c r="M264" s="56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>
        <v>1</v>
      </c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8">
        <f t="shared" si="11"/>
        <v>1</v>
      </c>
    </row>
    <row r="265" spans="1:73" ht="15" x14ac:dyDescent="0.15">
      <c r="A265" s="127" t="s">
        <v>644</v>
      </c>
      <c r="B265" s="128" t="s">
        <v>604</v>
      </c>
      <c r="C265" s="128" t="s">
        <v>638</v>
      </c>
      <c r="D265" s="128" t="s">
        <v>645</v>
      </c>
      <c r="E265" s="128" t="s">
        <v>115</v>
      </c>
      <c r="F265" s="128"/>
      <c r="G265" s="129">
        <v>0.2</v>
      </c>
      <c r="H265" s="130">
        <v>0.45</v>
      </c>
      <c r="I265" s="128" t="s">
        <v>116</v>
      </c>
      <c r="J265" s="131">
        <f t="shared" si="13"/>
        <v>16</v>
      </c>
      <c r="K265" s="131">
        <f t="shared" si="13"/>
        <v>36</v>
      </c>
      <c r="L265" s="132"/>
      <c r="M265" s="56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>
        <v>1</v>
      </c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>
        <v>8</v>
      </c>
      <c r="BM265" s="57"/>
      <c r="BN265" s="57"/>
      <c r="BO265" s="57"/>
      <c r="BP265" s="57"/>
      <c r="BQ265" s="57"/>
      <c r="BR265" s="57"/>
      <c r="BS265" s="57"/>
      <c r="BT265" s="57"/>
      <c r="BU265" s="58">
        <f t="shared" si="11"/>
        <v>9</v>
      </c>
    </row>
    <row r="266" spans="1:73" ht="15" x14ac:dyDescent="0.15">
      <c r="A266" s="127" t="s">
        <v>646</v>
      </c>
      <c r="B266" s="128" t="s">
        <v>604</v>
      </c>
      <c r="C266" s="128" t="s">
        <v>638</v>
      </c>
      <c r="D266" s="128" t="s">
        <v>647</v>
      </c>
      <c r="E266" s="128" t="s">
        <v>115</v>
      </c>
      <c r="F266" s="128"/>
      <c r="G266" s="129">
        <v>0.4</v>
      </c>
      <c r="H266" s="130">
        <v>0.7</v>
      </c>
      <c r="I266" s="128" t="s">
        <v>116</v>
      </c>
      <c r="J266" s="131">
        <f t="shared" si="13"/>
        <v>32</v>
      </c>
      <c r="K266" s="131">
        <f t="shared" si="13"/>
        <v>56</v>
      </c>
      <c r="L266" s="132"/>
      <c r="M266" s="56">
        <v>1</v>
      </c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8">
        <f t="shared" si="11"/>
        <v>1</v>
      </c>
    </row>
    <row r="267" spans="1:73" ht="15" x14ac:dyDescent="0.15">
      <c r="A267" s="159" t="s">
        <v>648</v>
      </c>
      <c r="B267" s="160" t="s">
        <v>649</v>
      </c>
      <c r="C267" s="160"/>
      <c r="D267" s="160" t="s">
        <v>650</v>
      </c>
      <c r="E267" s="161" t="s">
        <v>115</v>
      </c>
      <c r="F267" s="160"/>
      <c r="G267" s="162">
        <v>0.1</v>
      </c>
      <c r="H267" s="163">
        <v>0.6</v>
      </c>
      <c r="I267" s="161" t="s">
        <v>116</v>
      </c>
      <c r="J267" s="164">
        <f t="shared" si="13"/>
        <v>8</v>
      </c>
      <c r="K267" s="164">
        <f t="shared" si="13"/>
        <v>48</v>
      </c>
      <c r="L267" s="165"/>
      <c r="M267" s="56"/>
      <c r="N267" s="57"/>
      <c r="O267" s="57"/>
      <c r="P267" s="57"/>
      <c r="Q267" s="57"/>
      <c r="R267" s="57">
        <v>2</v>
      </c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>
        <v>14</v>
      </c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8">
        <f t="shared" si="11"/>
        <v>16</v>
      </c>
    </row>
    <row r="268" spans="1:73" ht="15" x14ac:dyDescent="0.15">
      <c r="A268" s="159" t="s">
        <v>651</v>
      </c>
      <c r="B268" s="160" t="s">
        <v>649</v>
      </c>
      <c r="C268" s="160"/>
      <c r="D268" s="160" t="s">
        <v>652</v>
      </c>
      <c r="E268" s="161" t="s">
        <v>203</v>
      </c>
      <c r="F268" s="160"/>
      <c r="G268" s="162">
        <v>0.1</v>
      </c>
      <c r="H268" s="163">
        <v>2.1</v>
      </c>
      <c r="I268" s="161" t="s">
        <v>204</v>
      </c>
      <c r="J268" s="164">
        <f t="shared" si="13"/>
        <v>8</v>
      </c>
      <c r="K268" s="164">
        <f t="shared" si="13"/>
        <v>168</v>
      </c>
      <c r="L268" s="165"/>
      <c r="M268" s="56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>
        <v>1</v>
      </c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8">
        <f t="shared" si="11"/>
        <v>1</v>
      </c>
    </row>
    <row r="269" spans="1:73" ht="15" x14ac:dyDescent="0.15">
      <c r="A269" s="159" t="s">
        <v>653</v>
      </c>
      <c r="B269" s="160" t="s">
        <v>649</v>
      </c>
      <c r="C269" s="160"/>
      <c r="D269" s="160" t="s">
        <v>654</v>
      </c>
      <c r="E269" s="161" t="s">
        <v>115</v>
      </c>
      <c r="F269" s="160"/>
      <c r="G269" s="162">
        <v>0.2</v>
      </c>
      <c r="H269" s="163">
        <v>1</v>
      </c>
      <c r="I269" s="161" t="s">
        <v>116</v>
      </c>
      <c r="J269" s="164">
        <f t="shared" ref="J269:K294" si="14">G269*80</f>
        <v>16</v>
      </c>
      <c r="K269" s="164">
        <f t="shared" si="14"/>
        <v>80</v>
      </c>
      <c r="L269" s="165"/>
      <c r="M269" s="56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>
        <v>3</v>
      </c>
      <c r="BD269" s="57"/>
      <c r="BE269" s="57"/>
      <c r="BF269" s="57">
        <v>1</v>
      </c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8">
        <f t="shared" ref="BU269:BU302" si="15">SUM(M269:BT269)</f>
        <v>4</v>
      </c>
    </row>
    <row r="270" spans="1:73" ht="15" x14ac:dyDescent="0.15">
      <c r="A270" s="159" t="s">
        <v>655</v>
      </c>
      <c r="B270" s="160" t="s">
        <v>649</v>
      </c>
      <c r="C270" s="160"/>
      <c r="D270" s="160" t="s">
        <v>656</v>
      </c>
      <c r="E270" s="160" t="s">
        <v>115</v>
      </c>
      <c r="F270" s="160"/>
      <c r="G270" s="162">
        <v>0.4</v>
      </c>
      <c r="H270" s="163">
        <v>0.5</v>
      </c>
      <c r="I270" s="161" t="s">
        <v>116</v>
      </c>
      <c r="J270" s="164">
        <f t="shared" si="14"/>
        <v>32</v>
      </c>
      <c r="K270" s="164">
        <f t="shared" si="14"/>
        <v>40</v>
      </c>
      <c r="L270" s="165"/>
      <c r="M270" s="56"/>
      <c r="N270" s="57"/>
      <c r="O270" s="57"/>
      <c r="P270" s="57">
        <v>1</v>
      </c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8">
        <f t="shared" si="15"/>
        <v>1</v>
      </c>
    </row>
    <row r="271" spans="1:73" ht="15" x14ac:dyDescent="0.15">
      <c r="A271" s="159" t="s">
        <v>657</v>
      </c>
      <c r="B271" s="160" t="s">
        <v>649</v>
      </c>
      <c r="C271" s="160"/>
      <c r="D271" s="160" t="s">
        <v>658</v>
      </c>
      <c r="E271" s="160" t="s">
        <v>115</v>
      </c>
      <c r="F271" s="160"/>
      <c r="G271" s="162">
        <v>0.4</v>
      </c>
      <c r="H271" s="163">
        <v>0.7</v>
      </c>
      <c r="I271" s="161" t="s">
        <v>116</v>
      </c>
      <c r="J271" s="164">
        <f t="shared" si="14"/>
        <v>32</v>
      </c>
      <c r="K271" s="164">
        <f t="shared" si="14"/>
        <v>56</v>
      </c>
      <c r="L271" s="165"/>
      <c r="M271" s="56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>
        <v>5</v>
      </c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>
        <v>4</v>
      </c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8">
        <f t="shared" si="15"/>
        <v>9</v>
      </c>
    </row>
    <row r="272" spans="1:73" ht="15" x14ac:dyDescent="0.15">
      <c r="A272" s="166" t="s">
        <v>659</v>
      </c>
      <c r="B272" s="160" t="s">
        <v>649</v>
      </c>
      <c r="C272" s="161"/>
      <c r="D272" s="160" t="s">
        <v>660</v>
      </c>
      <c r="E272" s="161" t="s">
        <v>115</v>
      </c>
      <c r="F272" s="161"/>
      <c r="G272" s="162">
        <v>0.4</v>
      </c>
      <c r="H272" s="163">
        <v>1</v>
      </c>
      <c r="I272" s="161" t="s">
        <v>116</v>
      </c>
      <c r="J272" s="164">
        <f t="shared" si="14"/>
        <v>32</v>
      </c>
      <c r="K272" s="164">
        <f t="shared" si="14"/>
        <v>80</v>
      </c>
      <c r="L272" s="165"/>
      <c r="M272" s="56">
        <f>1+6</f>
        <v>7</v>
      </c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>
        <f>15+1</f>
        <v>16</v>
      </c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8">
        <f t="shared" si="15"/>
        <v>23</v>
      </c>
    </row>
    <row r="273" spans="1:73" ht="15" x14ac:dyDescent="0.15">
      <c r="A273" s="159" t="s">
        <v>661</v>
      </c>
      <c r="B273" s="160" t="s">
        <v>649</v>
      </c>
      <c r="C273" s="160"/>
      <c r="D273" s="160" t="s">
        <v>662</v>
      </c>
      <c r="E273" s="161" t="s">
        <v>115</v>
      </c>
      <c r="F273" s="160"/>
      <c r="G273" s="162">
        <v>0.5</v>
      </c>
      <c r="H273" s="163">
        <v>0.6</v>
      </c>
      <c r="I273" s="161" t="s">
        <v>116</v>
      </c>
      <c r="J273" s="164">
        <f t="shared" si="14"/>
        <v>40</v>
      </c>
      <c r="K273" s="164">
        <f t="shared" si="14"/>
        <v>48</v>
      </c>
      <c r="L273" s="165"/>
      <c r="M273" s="56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>
        <v>54</v>
      </c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8">
        <f t="shared" si="15"/>
        <v>54</v>
      </c>
    </row>
    <row r="274" spans="1:73" ht="15" x14ac:dyDescent="0.15">
      <c r="A274" s="159" t="s">
        <v>663</v>
      </c>
      <c r="B274" s="160" t="s">
        <v>649</v>
      </c>
      <c r="C274" s="160"/>
      <c r="D274" s="160" t="s">
        <v>664</v>
      </c>
      <c r="E274" s="161" t="s">
        <v>115</v>
      </c>
      <c r="F274" s="160"/>
      <c r="G274" s="162">
        <v>0.5</v>
      </c>
      <c r="H274" s="163">
        <v>0.9</v>
      </c>
      <c r="I274" s="161" t="s">
        <v>116</v>
      </c>
      <c r="J274" s="164">
        <f t="shared" si="14"/>
        <v>40</v>
      </c>
      <c r="K274" s="164">
        <f t="shared" si="14"/>
        <v>72</v>
      </c>
      <c r="L274" s="165"/>
      <c r="M274" s="56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>
        <v>1</v>
      </c>
      <c r="BU274" s="58">
        <f t="shared" si="15"/>
        <v>1</v>
      </c>
    </row>
    <row r="275" spans="1:73" ht="15" x14ac:dyDescent="0.15">
      <c r="A275" s="159" t="s">
        <v>665</v>
      </c>
      <c r="B275" s="160" t="s">
        <v>649</v>
      </c>
      <c r="C275" s="160" t="s">
        <v>666</v>
      </c>
      <c r="D275" s="160" t="s">
        <v>667</v>
      </c>
      <c r="E275" s="160" t="s">
        <v>115</v>
      </c>
      <c r="F275" s="160"/>
      <c r="G275" s="162">
        <v>0.3</v>
      </c>
      <c r="H275" s="163">
        <v>0.5</v>
      </c>
      <c r="I275" s="161" t="s">
        <v>116</v>
      </c>
      <c r="J275" s="164">
        <f t="shared" si="14"/>
        <v>24</v>
      </c>
      <c r="K275" s="164">
        <f t="shared" si="14"/>
        <v>40</v>
      </c>
      <c r="L275" s="165"/>
      <c r="M275" s="56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>
        <v>3</v>
      </c>
      <c r="BU275" s="58">
        <f t="shared" si="15"/>
        <v>3</v>
      </c>
    </row>
    <row r="276" spans="1:73" ht="15" x14ac:dyDescent="0.15">
      <c r="A276" s="159" t="s">
        <v>668</v>
      </c>
      <c r="B276" s="160" t="s">
        <v>649</v>
      </c>
      <c r="C276" s="160" t="s">
        <v>666</v>
      </c>
      <c r="D276" s="160" t="s">
        <v>669</v>
      </c>
      <c r="E276" s="160" t="s">
        <v>115</v>
      </c>
      <c r="F276" s="160"/>
      <c r="G276" s="162">
        <v>0.4</v>
      </c>
      <c r="H276" s="163">
        <v>0.6</v>
      </c>
      <c r="I276" s="161" t="s">
        <v>116</v>
      </c>
      <c r="J276" s="164">
        <f t="shared" si="14"/>
        <v>32</v>
      </c>
      <c r="K276" s="164">
        <f t="shared" si="14"/>
        <v>48</v>
      </c>
      <c r="L276" s="165"/>
      <c r="M276" s="56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>
        <v>1</v>
      </c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>
        <v>1</v>
      </c>
      <c r="BT276" s="57"/>
      <c r="BU276" s="58">
        <f t="shared" si="15"/>
        <v>2</v>
      </c>
    </row>
    <row r="277" spans="1:73" ht="15" x14ac:dyDescent="0.15">
      <c r="A277" s="159" t="s">
        <v>670</v>
      </c>
      <c r="B277" s="160" t="s">
        <v>649</v>
      </c>
      <c r="C277" s="160" t="s">
        <v>666</v>
      </c>
      <c r="D277" s="160" t="s">
        <v>671</v>
      </c>
      <c r="E277" s="160" t="s">
        <v>115</v>
      </c>
      <c r="F277" s="160"/>
      <c r="G277" s="162">
        <v>0.5</v>
      </c>
      <c r="H277" s="163">
        <v>0.8</v>
      </c>
      <c r="I277" s="161" t="s">
        <v>116</v>
      </c>
      <c r="J277" s="164">
        <f t="shared" si="14"/>
        <v>40</v>
      </c>
      <c r="K277" s="164">
        <f t="shared" si="14"/>
        <v>64</v>
      </c>
      <c r="L277" s="165"/>
      <c r="M277" s="56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>
        <v>1</v>
      </c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>
        <v>3</v>
      </c>
      <c r="BQ277" s="57"/>
      <c r="BR277" s="57">
        <v>1</v>
      </c>
      <c r="BS277" s="57"/>
      <c r="BT277" s="57"/>
      <c r="BU277" s="58">
        <f t="shared" si="15"/>
        <v>5</v>
      </c>
    </row>
    <row r="278" spans="1:73" ht="15" x14ac:dyDescent="0.15">
      <c r="A278" s="159" t="s">
        <v>672</v>
      </c>
      <c r="B278" s="160" t="s">
        <v>649</v>
      </c>
      <c r="C278" s="160" t="s">
        <v>666</v>
      </c>
      <c r="D278" s="160" t="s">
        <v>673</v>
      </c>
      <c r="E278" s="160" t="s">
        <v>115</v>
      </c>
      <c r="F278" s="160"/>
      <c r="G278" s="162">
        <v>0.5</v>
      </c>
      <c r="H278" s="163">
        <v>1.4</v>
      </c>
      <c r="I278" s="161" t="s">
        <v>116</v>
      </c>
      <c r="J278" s="164">
        <f t="shared" si="14"/>
        <v>40</v>
      </c>
      <c r="K278" s="164">
        <f t="shared" si="14"/>
        <v>112</v>
      </c>
      <c r="L278" s="165"/>
      <c r="M278" s="56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>
        <v>1</v>
      </c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>
        <v>1</v>
      </c>
      <c r="BT278" s="57"/>
      <c r="BU278" s="58">
        <f t="shared" si="15"/>
        <v>2</v>
      </c>
    </row>
    <row r="279" spans="1:73" ht="15" x14ac:dyDescent="0.15">
      <c r="A279" s="159" t="s">
        <v>674</v>
      </c>
      <c r="B279" s="160" t="s">
        <v>649</v>
      </c>
      <c r="C279" s="160" t="s">
        <v>666</v>
      </c>
      <c r="D279" s="160" t="s">
        <v>675</v>
      </c>
      <c r="E279" s="160" t="s">
        <v>115</v>
      </c>
      <c r="F279" s="160"/>
      <c r="G279" s="162">
        <v>0.6</v>
      </c>
      <c r="H279" s="163">
        <v>1.5</v>
      </c>
      <c r="I279" s="161" t="s">
        <v>116</v>
      </c>
      <c r="J279" s="164">
        <f t="shared" si="14"/>
        <v>48</v>
      </c>
      <c r="K279" s="164">
        <f t="shared" si="14"/>
        <v>120</v>
      </c>
      <c r="L279" s="165"/>
      <c r="M279" s="56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>
        <v>3</v>
      </c>
      <c r="AW279" s="57"/>
      <c r="AX279" s="57">
        <v>2</v>
      </c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>
        <v>2</v>
      </c>
      <c r="BJ279" s="57"/>
      <c r="BK279" s="57"/>
      <c r="BL279" s="57"/>
      <c r="BM279" s="57"/>
      <c r="BN279" s="57"/>
      <c r="BO279" s="57"/>
      <c r="BP279" s="57">
        <v>1</v>
      </c>
      <c r="BQ279" s="57"/>
      <c r="BR279" s="57"/>
      <c r="BS279" s="57"/>
      <c r="BT279" s="57"/>
      <c r="BU279" s="58">
        <f t="shared" si="15"/>
        <v>8</v>
      </c>
    </row>
    <row r="280" spans="1:73" ht="15" x14ac:dyDescent="0.15">
      <c r="A280" s="159" t="s">
        <v>676</v>
      </c>
      <c r="B280" s="160" t="s">
        <v>649</v>
      </c>
      <c r="C280" s="160" t="s">
        <v>666</v>
      </c>
      <c r="D280" s="160" t="s">
        <v>677</v>
      </c>
      <c r="E280" s="160" t="s">
        <v>115</v>
      </c>
      <c r="F280" s="160"/>
      <c r="G280" s="162">
        <v>0.7</v>
      </c>
      <c r="H280" s="163">
        <v>1</v>
      </c>
      <c r="I280" s="161" t="s">
        <v>116</v>
      </c>
      <c r="J280" s="164">
        <f t="shared" si="14"/>
        <v>56</v>
      </c>
      <c r="K280" s="164">
        <f t="shared" si="14"/>
        <v>80</v>
      </c>
      <c r="L280" s="165"/>
      <c r="M280" s="56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>
        <v>1</v>
      </c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8">
        <f t="shared" si="15"/>
        <v>1</v>
      </c>
    </row>
    <row r="281" spans="1:73" ht="15" x14ac:dyDescent="0.15">
      <c r="A281" s="166" t="s">
        <v>678</v>
      </c>
      <c r="B281" s="160" t="s">
        <v>649</v>
      </c>
      <c r="C281" s="161"/>
      <c r="D281" s="161" t="s">
        <v>679</v>
      </c>
      <c r="E281" s="160" t="s">
        <v>115</v>
      </c>
      <c r="F281" s="161"/>
      <c r="G281" s="162">
        <v>7.4999999999999997E-2</v>
      </c>
      <c r="H281" s="163">
        <v>0.4</v>
      </c>
      <c r="I281" s="161" t="s">
        <v>116</v>
      </c>
      <c r="J281" s="164">
        <f t="shared" si="14"/>
        <v>6</v>
      </c>
      <c r="K281" s="164">
        <f t="shared" si="14"/>
        <v>32</v>
      </c>
      <c r="L281" s="165"/>
      <c r="M281" s="56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>
        <v>30</v>
      </c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8">
        <f t="shared" si="15"/>
        <v>30</v>
      </c>
    </row>
    <row r="282" spans="1:73" ht="15" x14ac:dyDescent="0.15">
      <c r="A282" s="166" t="s">
        <v>680</v>
      </c>
      <c r="B282" s="160" t="s">
        <v>649</v>
      </c>
      <c r="C282" s="161"/>
      <c r="D282" s="161" t="s">
        <v>681</v>
      </c>
      <c r="E282" s="161" t="s">
        <v>115</v>
      </c>
      <c r="F282" s="161"/>
      <c r="G282" s="162">
        <v>0.1</v>
      </c>
      <c r="H282" s="163">
        <v>0.2</v>
      </c>
      <c r="I282" s="161" t="s">
        <v>116</v>
      </c>
      <c r="J282" s="164">
        <f t="shared" si="14"/>
        <v>8</v>
      </c>
      <c r="K282" s="164">
        <f t="shared" si="14"/>
        <v>16</v>
      </c>
      <c r="L282" s="165"/>
      <c r="M282" s="56"/>
      <c r="N282" s="57"/>
      <c r="O282" s="57"/>
      <c r="P282" s="57"/>
      <c r="Q282" s="57"/>
      <c r="R282" s="57"/>
      <c r="S282" s="57"/>
      <c r="T282" s="57"/>
      <c r="U282" s="57"/>
      <c r="V282" s="57"/>
      <c r="W282" s="57">
        <v>2</v>
      </c>
      <c r="X282" s="57"/>
      <c r="Y282" s="57"/>
      <c r="Z282" s="57"/>
      <c r="AA282" s="57"/>
      <c r="AB282" s="57"/>
      <c r="AC282" s="57"/>
      <c r="AD282" s="57"/>
      <c r="AE282" s="57"/>
      <c r="AF282" s="57"/>
      <c r="AG282" s="57">
        <v>1</v>
      </c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8">
        <f t="shared" si="15"/>
        <v>3</v>
      </c>
    </row>
    <row r="283" spans="1:73" ht="15" x14ac:dyDescent="0.15">
      <c r="A283" s="166" t="s">
        <v>682</v>
      </c>
      <c r="B283" s="160" t="s">
        <v>649</v>
      </c>
      <c r="C283" s="161"/>
      <c r="D283" s="161" t="s">
        <v>683</v>
      </c>
      <c r="E283" s="161" t="s">
        <v>115</v>
      </c>
      <c r="F283" s="161"/>
      <c r="G283" s="162">
        <v>0.1</v>
      </c>
      <c r="H283" s="163">
        <v>0.3</v>
      </c>
      <c r="I283" s="161" t="s">
        <v>116</v>
      </c>
      <c r="J283" s="164">
        <f t="shared" si="14"/>
        <v>8</v>
      </c>
      <c r="K283" s="164">
        <f t="shared" si="14"/>
        <v>24</v>
      </c>
      <c r="L283" s="165"/>
      <c r="M283" s="56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>
        <v>15</v>
      </c>
      <c r="BF283" s="57"/>
      <c r="BG283" s="57"/>
      <c r="BH283" s="57"/>
      <c r="BI283" s="57"/>
      <c r="BJ283" s="57"/>
      <c r="BK283" s="57">
        <v>10</v>
      </c>
      <c r="BL283" s="57">
        <v>19</v>
      </c>
      <c r="BM283" s="57"/>
      <c r="BN283" s="57"/>
      <c r="BO283" s="57"/>
      <c r="BP283" s="57"/>
      <c r="BQ283" s="57"/>
      <c r="BR283" s="57"/>
      <c r="BS283" s="57"/>
      <c r="BT283" s="57"/>
      <c r="BU283" s="58">
        <f t="shared" si="15"/>
        <v>44</v>
      </c>
    </row>
    <row r="284" spans="1:73" ht="15" x14ac:dyDescent="0.15">
      <c r="A284" s="166" t="s">
        <v>684</v>
      </c>
      <c r="B284" s="160" t="s">
        <v>649</v>
      </c>
      <c r="C284" s="161"/>
      <c r="D284" s="161" t="s">
        <v>685</v>
      </c>
      <c r="E284" s="161" t="s">
        <v>203</v>
      </c>
      <c r="F284" s="161"/>
      <c r="G284" s="162">
        <v>0.1</v>
      </c>
      <c r="H284" s="163">
        <v>0.4</v>
      </c>
      <c r="I284" s="161" t="s">
        <v>204</v>
      </c>
      <c r="J284" s="164">
        <f t="shared" si="14"/>
        <v>8</v>
      </c>
      <c r="K284" s="164">
        <f t="shared" si="14"/>
        <v>32</v>
      </c>
      <c r="L284" s="165"/>
      <c r="M284" s="56"/>
      <c r="N284" s="57"/>
      <c r="O284" s="57"/>
      <c r="P284" s="57"/>
      <c r="Q284" s="57"/>
      <c r="R284" s="57"/>
      <c r="S284" s="57"/>
      <c r="T284" s="57"/>
      <c r="U284" s="57"/>
      <c r="V284" s="57"/>
      <c r="W284" s="57">
        <v>70</v>
      </c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>
        <v>15</v>
      </c>
      <c r="BB284" s="57"/>
      <c r="BC284" s="57"/>
      <c r="BD284" s="57"/>
      <c r="BE284" s="57"/>
      <c r="BF284" s="57"/>
      <c r="BG284" s="57"/>
      <c r="BH284" s="57"/>
      <c r="BI284" s="57"/>
      <c r="BJ284" s="57"/>
      <c r="BK284" s="57">
        <v>1</v>
      </c>
      <c r="BL284" s="57"/>
      <c r="BM284" s="57"/>
      <c r="BN284" s="57"/>
      <c r="BO284" s="57"/>
      <c r="BP284" s="57"/>
      <c r="BQ284" s="57"/>
      <c r="BR284" s="57"/>
      <c r="BS284" s="57"/>
      <c r="BT284" s="57"/>
      <c r="BU284" s="58">
        <f t="shared" si="15"/>
        <v>86</v>
      </c>
    </row>
    <row r="285" spans="1:73" ht="15" x14ac:dyDescent="0.15">
      <c r="A285" s="166" t="s">
        <v>686</v>
      </c>
      <c r="B285" s="160" t="s">
        <v>649</v>
      </c>
      <c r="C285" s="161"/>
      <c r="D285" s="161" t="s">
        <v>687</v>
      </c>
      <c r="E285" s="161" t="s">
        <v>115</v>
      </c>
      <c r="F285" s="161"/>
      <c r="G285" s="162">
        <v>0.15</v>
      </c>
      <c r="H285" s="163">
        <v>0.4</v>
      </c>
      <c r="I285" s="161" t="s">
        <v>116</v>
      </c>
      <c r="J285" s="164">
        <f t="shared" si="14"/>
        <v>12</v>
      </c>
      <c r="K285" s="164">
        <f t="shared" si="14"/>
        <v>32</v>
      </c>
      <c r="L285" s="165"/>
      <c r="M285" s="56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>
        <v>1</v>
      </c>
      <c r="AQ285" s="57"/>
      <c r="AR285" s="57">
        <v>7</v>
      </c>
      <c r="AS285" s="57"/>
      <c r="AT285" s="57"/>
      <c r="AU285" s="57"/>
      <c r="AV285" s="57"/>
      <c r="AW285" s="57"/>
      <c r="AX285" s="57"/>
      <c r="AY285" s="57">
        <v>31</v>
      </c>
      <c r="AZ285" s="57">
        <v>17</v>
      </c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8">
        <f t="shared" si="15"/>
        <v>56</v>
      </c>
    </row>
    <row r="286" spans="1:73" ht="15" x14ac:dyDescent="0.15">
      <c r="A286" s="166" t="s">
        <v>688</v>
      </c>
      <c r="B286" s="160" t="s">
        <v>649</v>
      </c>
      <c r="C286" s="161"/>
      <c r="D286" s="161" t="s">
        <v>689</v>
      </c>
      <c r="E286" s="161" t="s">
        <v>115</v>
      </c>
      <c r="F286" s="161"/>
      <c r="G286" s="162">
        <v>0.2</v>
      </c>
      <c r="H286" s="163">
        <v>0.3</v>
      </c>
      <c r="I286" s="161" t="s">
        <v>116</v>
      </c>
      <c r="J286" s="164">
        <f t="shared" si="14"/>
        <v>16</v>
      </c>
      <c r="K286" s="164">
        <f t="shared" si="14"/>
        <v>24</v>
      </c>
      <c r="L286" s="165"/>
      <c r="M286" s="56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>
        <v>1</v>
      </c>
      <c r="AG286" s="57">
        <f>1+1</f>
        <v>2</v>
      </c>
      <c r="AH286" s="57"/>
      <c r="AI286" s="57"/>
      <c r="AJ286" s="57"/>
      <c r="AK286" s="57"/>
      <c r="AL286" s="57"/>
      <c r="AM286" s="57"/>
      <c r="AN286" s="57"/>
      <c r="AO286" s="57"/>
      <c r="AP286" s="57"/>
      <c r="AQ286" s="57">
        <v>1</v>
      </c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>
        <v>1</v>
      </c>
      <c r="BL286" s="57"/>
      <c r="BM286" s="57"/>
      <c r="BN286" s="57">
        <v>12</v>
      </c>
      <c r="BO286" s="57">
        <v>3</v>
      </c>
      <c r="BP286" s="57"/>
      <c r="BQ286" s="57">
        <v>120</v>
      </c>
      <c r="BR286" s="57"/>
      <c r="BS286" s="57"/>
      <c r="BT286" s="57"/>
      <c r="BU286" s="58">
        <f t="shared" si="15"/>
        <v>140</v>
      </c>
    </row>
    <row r="287" spans="1:73" ht="15" x14ac:dyDescent="0.15">
      <c r="A287" s="166" t="s">
        <v>690</v>
      </c>
      <c r="B287" s="160" t="s">
        <v>649</v>
      </c>
      <c r="C287" s="161"/>
      <c r="D287" s="161" t="s">
        <v>691</v>
      </c>
      <c r="E287" s="161" t="s">
        <v>115</v>
      </c>
      <c r="F287" s="161"/>
      <c r="G287" s="162">
        <v>0.2</v>
      </c>
      <c r="H287" s="163">
        <v>0.4</v>
      </c>
      <c r="I287" s="161" t="s">
        <v>116</v>
      </c>
      <c r="J287" s="164">
        <f t="shared" si="14"/>
        <v>16</v>
      </c>
      <c r="K287" s="164">
        <f t="shared" si="14"/>
        <v>32</v>
      </c>
      <c r="L287" s="165"/>
      <c r="M287" s="56">
        <v>49</v>
      </c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>
        <v>1</v>
      </c>
      <c r="AR287" s="57"/>
      <c r="AS287" s="57"/>
      <c r="AT287" s="57"/>
      <c r="AU287" s="57"/>
      <c r="AV287" s="57"/>
      <c r="AW287" s="57"/>
      <c r="AX287" s="57">
        <v>1</v>
      </c>
      <c r="AY287" s="57"/>
      <c r="AZ287" s="57"/>
      <c r="BA287" s="57"/>
      <c r="BB287" s="57"/>
      <c r="BC287" s="57"/>
      <c r="BD287" s="57"/>
      <c r="BE287" s="57"/>
      <c r="BF287" s="57"/>
      <c r="BG287" s="57">
        <v>29</v>
      </c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>
        <v>1</v>
      </c>
      <c r="BS287" s="57"/>
      <c r="BT287" s="57"/>
      <c r="BU287" s="58">
        <f t="shared" si="15"/>
        <v>81</v>
      </c>
    </row>
    <row r="288" spans="1:73" ht="15" x14ac:dyDescent="0.15">
      <c r="A288" s="166" t="s">
        <v>692</v>
      </c>
      <c r="B288" s="160" t="s">
        <v>649</v>
      </c>
      <c r="C288" s="161"/>
      <c r="D288" s="161" t="s">
        <v>693</v>
      </c>
      <c r="E288" s="161" t="s">
        <v>115</v>
      </c>
      <c r="F288" s="161"/>
      <c r="G288" s="162">
        <v>0.2</v>
      </c>
      <c r="H288" s="163">
        <v>0.5</v>
      </c>
      <c r="I288" s="161" t="s">
        <v>116</v>
      </c>
      <c r="J288" s="164">
        <f t="shared" si="14"/>
        <v>16</v>
      </c>
      <c r="K288" s="164">
        <f t="shared" si="14"/>
        <v>40</v>
      </c>
      <c r="L288" s="165"/>
      <c r="M288" s="56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>
        <v>7</v>
      </c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>
        <v>3</v>
      </c>
      <c r="BK288" s="57"/>
      <c r="BL288" s="57"/>
      <c r="BM288" s="57"/>
      <c r="BN288" s="57"/>
      <c r="BO288" s="57">
        <v>11</v>
      </c>
      <c r="BP288" s="57"/>
      <c r="BQ288" s="57"/>
      <c r="BR288" s="57"/>
      <c r="BS288" s="57"/>
      <c r="BT288" s="57"/>
      <c r="BU288" s="58">
        <f t="shared" si="15"/>
        <v>21</v>
      </c>
    </row>
    <row r="289" spans="1:73" ht="15" x14ac:dyDescent="0.15">
      <c r="A289" s="166" t="s">
        <v>694</v>
      </c>
      <c r="B289" s="160" t="s">
        <v>649</v>
      </c>
      <c r="C289" s="161"/>
      <c r="D289" s="161" t="s">
        <v>695</v>
      </c>
      <c r="E289" s="161" t="s">
        <v>115</v>
      </c>
      <c r="F289" s="161"/>
      <c r="G289" s="162">
        <v>0.2</v>
      </c>
      <c r="H289" s="163">
        <v>0.9</v>
      </c>
      <c r="I289" s="161" t="s">
        <v>116</v>
      </c>
      <c r="J289" s="164">
        <f t="shared" si="14"/>
        <v>16</v>
      </c>
      <c r="K289" s="164">
        <f t="shared" si="14"/>
        <v>72</v>
      </c>
      <c r="L289" s="165"/>
      <c r="M289" s="56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>
        <v>1</v>
      </c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8">
        <f t="shared" si="15"/>
        <v>1</v>
      </c>
    </row>
    <row r="290" spans="1:73" ht="15" x14ac:dyDescent="0.15">
      <c r="A290" s="166" t="s">
        <v>696</v>
      </c>
      <c r="B290" s="160" t="s">
        <v>649</v>
      </c>
      <c r="C290" s="161"/>
      <c r="D290" s="161" t="s">
        <v>697</v>
      </c>
      <c r="E290" s="161" t="s">
        <v>115</v>
      </c>
      <c r="F290" s="161"/>
      <c r="G290" s="162">
        <v>0.25</v>
      </c>
      <c r="H290" s="163">
        <v>0.5</v>
      </c>
      <c r="I290" s="161" t="s">
        <v>116</v>
      </c>
      <c r="J290" s="164">
        <f t="shared" si="14"/>
        <v>20</v>
      </c>
      <c r="K290" s="164">
        <f t="shared" si="14"/>
        <v>40</v>
      </c>
      <c r="L290" s="165"/>
      <c r="M290" s="56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>
        <v>1</v>
      </c>
      <c r="AI290" s="57"/>
      <c r="AJ290" s="57"/>
      <c r="AK290" s="57"/>
      <c r="AL290" s="57"/>
      <c r="AM290" s="57"/>
      <c r="AN290" s="57"/>
      <c r="AO290" s="57"/>
      <c r="AP290" s="57"/>
      <c r="AQ290" s="57">
        <v>14</v>
      </c>
      <c r="AR290" s="57">
        <v>13</v>
      </c>
      <c r="AS290" s="57"/>
      <c r="AT290" s="57"/>
      <c r="AU290" s="57"/>
      <c r="AV290" s="57"/>
      <c r="AW290" s="57"/>
      <c r="AX290" s="57">
        <v>18</v>
      </c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8">
        <f t="shared" si="15"/>
        <v>46</v>
      </c>
    </row>
    <row r="291" spans="1:73" ht="15" x14ac:dyDescent="0.15">
      <c r="A291" s="166" t="s">
        <v>698</v>
      </c>
      <c r="B291" s="160" t="s">
        <v>649</v>
      </c>
      <c r="C291" s="161"/>
      <c r="D291" s="161" t="s">
        <v>699</v>
      </c>
      <c r="E291" s="161" t="s">
        <v>115</v>
      </c>
      <c r="F291" s="161"/>
      <c r="G291" s="162">
        <v>0.3</v>
      </c>
      <c r="H291" s="163">
        <v>0.4</v>
      </c>
      <c r="I291" s="161" t="s">
        <v>116</v>
      </c>
      <c r="J291" s="164">
        <f t="shared" si="14"/>
        <v>24</v>
      </c>
      <c r="K291" s="164">
        <f t="shared" si="14"/>
        <v>32</v>
      </c>
      <c r="L291" s="165"/>
      <c r="M291" s="56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>
        <v>1</v>
      </c>
      <c r="AH291" s="57"/>
      <c r="AI291" s="57"/>
      <c r="AJ291" s="57"/>
      <c r="AK291" s="57"/>
      <c r="AL291" s="57"/>
      <c r="AM291" s="57"/>
      <c r="AN291" s="57"/>
      <c r="AO291" s="57"/>
      <c r="AP291" s="57"/>
      <c r="AQ291" s="57">
        <v>10</v>
      </c>
      <c r="AR291" s="57"/>
      <c r="AS291" s="57"/>
      <c r="AT291" s="57">
        <v>6</v>
      </c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8">
        <f t="shared" si="15"/>
        <v>17</v>
      </c>
    </row>
    <row r="292" spans="1:73" ht="15" x14ac:dyDescent="0.15">
      <c r="A292" s="166" t="s">
        <v>700</v>
      </c>
      <c r="B292" s="160" t="s">
        <v>649</v>
      </c>
      <c r="C292" s="161"/>
      <c r="D292" s="161" t="s">
        <v>701</v>
      </c>
      <c r="E292" s="161" t="s">
        <v>115</v>
      </c>
      <c r="F292" s="161"/>
      <c r="G292" s="162">
        <v>0.3</v>
      </c>
      <c r="H292" s="163">
        <v>0.5</v>
      </c>
      <c r="I292" s="161" t="s">
        <v>116</v>
      </c>
      <c r="J292" s="164">
        <f t="shared" si="14"/>
        <v>24</v>
      </c>
      <c r="K292" s="164">
        <f t="shared" si="14"/>
        <v>40</v>
      </c>
      <c r="L292" s="165"/>
      <c r="M292" s="56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>
        <f>1+1</f>
        <v>2</v>
      </c>
      <c r="AT292" s="57"/>
      <c r="AU292" s="57"/>
      <c r="AV292" s="57">
        <v>26</v>
      </c>
      <c r="AW292" s="57"/>
      <c r="AX292" s="57"/>
      <c r="AY292" s="57"/>
      <c r="AZ292" s="57"/>
      <c r="BA292" s="57">
        <v>40</v>
      </c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>
        <f>1+4</f>
        <v>5</v>
      </c>
      <c r="BU292" s="58">
        <f t="shared" si="15"/>
        <v>73</v>
      </c>
    </row>
    <row r="293" spans="1:73" ht="15" x14ac:dyDescent="0.15">
      <c r="A293" s="166" t="s">
        <v>702</v>
      </c>
      <c r="B293" s="160" t="s">
        <v>649</v>
      </c>
      <c r="C293" s="161"/>
      <c r="D293" s="161" t="s">
        <v>703</v>
      </c>
      <c r="E293" s="161" t="s">
        <v>90</v>
      </c>
      <c r="F293" s="161"/>
      <c r="G293" s="162">
        <v>0.4</v>
      </c>
      <c r="H293" s="163">
        <v>0.4</v>
      </c>
      <c r="I293" s="161" t="s">
        <v>91</v>
      </c>
      <c r="J293" s="164">
        <f t="shared" si="14"/>
        <v>32</v>
      </c>
      <c r="K293" s="164">
        <f t="shared" si="14"/>
        <v>32</v>
      </c>
      <c r="L293" s="165"/>
      <c r="M293" s="56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>
        <v>1</v>
      </c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8">
        <f t="shared" si="15"/>
        <v>1</v>
      </c>
    </row>
    <row r="294" spans="1:73" ht="15" x14ac:dyDescent="0.15">
      <c r="A294" s="166" t="s">
        <v>704</v>
      </c>
      <c r="B294" s="160" t="s">
        <v>649</v>
      </c>
      <c r="C294" s="161"/>
      <c r="D294" s="161" t="s">
        <v>705</v>
      </c>
      <c r="E294" s="161" t="s">
        <v>115</v>
      </c>
      <c r="F294" s="161"/>
      <c r="G294" s="162">
        <v>0.4</v>
      </c>
      <c r="H294" s="163">
        <v>0.7</v>
      </c>
      <c r="I294" s="161" t="s">
        <v>116</v>
      </c>
      <c r="J294" s="164">
        <f t="shared" si="14"/>
        <v>32</v>
      </c>
      <c r="K294" s="164">
        <f t="shared" si="14"/>
        <v>56</v>
      </c>
      <c r="L294" s="165"/>
      <c r="M294" s="56"/>
      <c r="N294" s="57"/>
      <c r="O294" s="57"/>
      <c r="P294" s="57"/>
      <c r="Q294" s="57">
        <v>1</v>
      </c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>
        <v>1</v>
      </c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>
        <v>4</v>
      </c>
      <c r="BL294" s="57"/>
      <c r="BM294" s="57"/>
      <c r="BN294" s="57"/>
      <c r="BO294" s="57"/>
      <c r="BP294" s="57"/>
      <c r="BQ294" s="57"/>
      <c r="BR294" s="57"/>
      <c r="BS294" s="57"/>
      <c r="BT294" s="57"/>
      <c r="BU294" s="58">
        <f t="shared" si="15"/>
        <v>6</v>
      </c>
    </row>
    <row r="295" spans="1:73" ht="15" x14ac:dyDescent="0.15">
      <c r="A295" s="164" t="s">
        <v>706</v>
      </c>
      <c r="B295" s="160" t="s">
        <v>649</v>
      </c>
      <c r="C295" s="164" t="s">
        <v>174</v>
      </c>
      <c r="D295" s="167" t="s">
        <v>707</v>
      </c>
      <c r="E295" s="164" t="s">
        <v>90</v>
      </c>
      <c r="F295" s="164"/>
      <c r="G295" s="162">
        <v>0.2</v>
      </c>
      <c r="H295" s="163">
        <v>0.2</v>
      </c>
      <c r="I295" s="164" t="s">
        <v>91</v>
      </c>
      <c r="J295" s="164">
        <f t="shared" ref="J295:K301" si="16">G295*80</f>
        <v>16</v>
      </c>
      <c r="K295" s="164">
        <f t="shared" si="16"/>
        <v>16</v>
      </c>
      <c r="L295" s="165"/>
      <c r="M295" s="56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>
        <v>1</v>
      </c>
      <c r="AG295" s="57">
        <f>1+1</f>
        <v>2</v>
      </c>
      <c r="AH295" s="57">
        <v>1</v>
      </c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8">
        <f t="shared" si="15"/>
        <v>4</v>
      </c>
    </row>
    <row r="296" spans="1:73" ht="15" x14ac:dyDescent="0.15">
      <c r="A296" s="166" t="s">
        <v>708</v>
      </c>
      <c r="B296" s="160" t="s">
        <v>649</v>
      </c>
      <c r="C296" s="164" t="s">
        <v>174</v>
      </c>
      <c r="D296" s="167" t="s">
        <v>709</v>
      </c>
      <c r="E296" s="164" t="s">
        <v>90</v>
      </c>
      <c r="F296" s="164"/>
      <c r="G296" s="162">
        <v>0.35</v>
      </c>
      <c r="H296" s="163">
        <v>0.35</v>
      </c>
      <c r="I296" s="164" t="s">
        <v>91</v>
      </c>
      <c r="J296" s="164">
        <f t="shared" si="16"/>
        <v>28</v>
      </c>
      <c r="K296" s="164">
        <f t="shared" si="16"/>
        <v>28</v>
      </c>
      <c r="L296" s="165"/>
      <c r="M296" s="56"/>
      <c r="N296" s="57"/>
      <c r="O296" s="57"/>
      <c r="P296" s="57"/>
      <c r="Q296" s="57"/>
      <c r="R296" s="57"/>
      <c r="S296" s="57"/>
      <c r="T296" s="57">
        <v>4</v>
      </c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>
        <f>1+1</f>
        <v>2</v>
      </c>
      <c r="AR296" s="57">
        <v>8</v>
      </c>
      <c r="AS296" s="57">
        <f>1+4</f>
        <v>5</v>
      </c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>
        <v>2</v>
      </c>
      <c r="BL296" s="57"/>
      <c r="BM296" s="57"/>
      <c r="BN296" s="57">
        <v>8</v>
      </c>
      <c r="BO296" s="57"/>
      <c r="BP296" s="57"/>
      <c r="BQ296" s="57"/>
      <c r="BR296" s="57"/>
      <c r="BS296" s="57"/>
      <c r="BT296" s="57"/>
      <c r="BU296" s="58">
        <f t="shared" si="15"/>
        <v>29</v>
      </c>
    </row>
    <row r="297" spans="1:73" ht="15" x14ac:dyDescent="0.15">
      <c r="A297" s="166" t="s">
        <v>710</v>
      </c>
      <c r="B297" s="160" t="s">
        <v>649</v>
      </c>
      <c r="C297" s="164" t="s">
        <v>174</v>
      </c>
      <c r="D297" s="167" t="s">
        <v>711</v>
      </c>
      <c r="E297" s="164" t="s">
        <v>90</v>
      </c>
      <c r="F297" s="164"/>
      <c r="G297" s="162">
        <v>0.5</v>
      </c>
      <c r="H297" s="163">
        <v>0.5</v>
      </c>
      <c r="I297" s="164" t="s">
        <v>91</v>
      </c>
      <c r="J297" s="164">
        <f t="shared" si="16"/>
        <v>40</v>
      </c>
      <c r="K297" s="164">
        <f t="shared" si="16"/>
        <v>40</v>
      </c>
      <c r="L297" s="165"/>
      <c r="M297" s="56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>
        <v>3</v>
      </c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>
        <v>4</v>
      </c>
      <c r="BB297" s="57"/>
      <c r="BC297" s="57">
        <v>4</v>
      </c>
      <c r="BD297" s="57"/>
      <c r="BE297" s="57"/>
      <c r="BF297" s="57"/>
      <c r="BG297" s="57"/>
      <c r="BH297" s="57"/>
      <c r="BI297" s="57"/>
      <c r="BJ297" s="57"/>
      <c r="BK297" s="57">
        <f>14+1+1</f>
        <v>16</v>
      </c>
      <c r="BL297" s="57"/>
      <c r="BM297" s="57"/>
      <c r="BN297" s="57"/>
      <c r="BO297" s="57">
        <v>2</v>
      </c>
      <c r="BP297" s="57"/>
      <c r="BQ297" s="57"/>
      <c r="BR297" s="57"/>
      <c r="BS297" s="57"/>
      <c r="BT297" s="57"/>
      <c r="BU297" s="58">
        <f t="shared" si="15"/>
        <v>29</v>
      </c>
    </row>
    <row r="298" spans="1:73" ht="15" x14ac:dyDescent="0.15">
      <c r="A298" s="166" t="s">
        <v>712</v>
      </c>
      <c r="B298" s="160" t="s">
        <v>649</v>
      </c>
      <c r="C298" s="164" t="s">
        <v>174</v>
      </c>
      <c r="D298" s="167" t="s">
        <v>713</v>
      </c>
      <c r="E298" s="164" t="s">
        <v>90</v>
      </c>
      <c r="F298" s="164"/>
      <c r="G298" s="162">
        <v>0.6</v>
      </c>
      <c r="H298" s="162">
        <v>0.6</v>
      </c>
      <c r="I298" s="164" t="s">
        <v>91</v>
      </c>
      <c r="J298" s="164">
        <f t="shared" si="16"/>
        <v>48</v>
      </c>
      <c r="K298" s="164">
        <f t="shared" si="16"/>
        <v>48</v>
      </c>
      <c r="L298" s="165"/>
      <c r="M298" s="56"/>
      <c r="N298" s="57"/>
      <c r="O298" s="57"/>
      <c r="P298" s="57"/>
      <c r="Q298" s="57"/>
      <c r="R298" s="57"/>
      <c r="S298" s="57"/>
      <c r="T298" s="57"/>
      <c r="U298" s="57"/>
      <c r="V298" s="57"/>
      <c r="W298" s="57">
        <v>2</v>
      </c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>
        <v>4</v>
      </c>
      <c r="AY298" s="57"/>
      <c r="AZ298" s="57"/>
      <c r="BA298" s="57"/>
      <c r="BB298" s="57">
        <v>3</v>
      </c>
      <c r="BC298" s="57"/>
      <c r="BD298" s="57"/>
      <c r="BE298" s="57"/>
      <c r="BF298" s="57"/>
      <c r="BG298" s="57">
        <v>4</v>
      </c>
      <c r="BH298" s="57"/>
      <c r="BI298" s="57"/>
      <c r="BJ298" s="57"/>
      <c r="BK298" s="57">
        <v>1</v>
      </c>
      <c r="BL298" s="57"/>
      <c r="BM298" s="57"/>
      <c r="BN298" s="57"/>
      <c r="BO298" s="57"/>
      <c r="BP298" s="57"/>
      <c r="BQ298" s="57"/>
      <c r="BR298" s="57"/>
      <c r="BS298" s="57">
        <v>1</v>
      </c>
      <c r="BT298" s="57"/>
      <c r="BU298" s="58">
        <f t="shared" si="15"/>
        <v>15</v>
      </c>
    </row>
    <row r="299" spans="1:73" ht="15" x14ac:dyDescent="0.15">
      <c r="A299" s="166" t="s">
        <v>714</v>
      </c>
      <c r="B299" s="160" t="s">
        <v>649</v>
      </c>
      <c r="C299" s="164" t="s">
        <v>174</v>
      </c>
      <c r="D299" s="167" t="s">
        <v>715</v>
      </c>
      <c r="E299" s="164" t="s">
        <v>90</v>
      </c>
      <c r="F299" s="164"/>
      <c r="G299" s="162">
        <v>0.7</v>
      </c>
      <c r="H299" s="162">
        <v>0.7</v>
      </c>
      <c r="I299" s="164" t="s">
        <v>91</v>
      </c>
      <c r="J299" s="164">
        <f t="shared" si="16"/>
        <v>56</v>
      </c>
      <c r="K299" s="164">
        <f t="shared" si="16"/>
        <v>56</v>
      </c>
      <c r="L299" s="165"/>
      <c r="M299" s="56">
        <v>1</v>
      </c>
      <c r="N299" s="57"/>
      <c r="O299" s="57"/>
      <c r="P299" s="57"/>
      <c r="Q299" s="57"/>
      <c r="R299" s="57"/>
      <c r="S299" s="57"/>
      <c r="T299" s="57"/>
      <c r="U299" s="57"/>
      <c r="V299" s="57"/>
      <c r="W299" s="57">
        <v>3</v>
      </c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8">
        <f t="shared" si="15"/>
        <v>4</v>
      </c>
    </row>
    <row r="300" spans="1:73" ht="15" x14ac:dyDescent="0.15">
      <c r="A300" s="166" t="s">
        <v>716</v>
      </c>
      <c r="B300" s="160" t="s">
        <v>649</v>
      </c>
      <c r="C300" s="164" t="s">
        <v>174</v>
      </c>
      <c r="D300" s="167" t="s">
        <v>717</v>
      </c>
      <c r="E300" s="164" t="s">
        <v>90</v>
      </c>
      <c r="F300" s="164"/>
      <c r="G300" s="162">
        <v>0.8</v>
      </c>
      <c r="H300" s="162">
        <v>0.8</v>
      </c>
      <c r="I300" s="164" t="s">
        <v>91</v>
      </c>
      <c r="J300" s="164">
        <f t="shared" si="16"/>
        <v>64</v>
      </c>
      <c r="K300" s="164">
        <f t="shared" si="16"/>
        <v>64</v>
      </c>
      <c r="L300" s="165"/>
      <c r="M300" s="56"/>
      <c r="N300" s="57"/>
      <c r="O300" s="57"/>
      <c r="P300" s="57"/>
      <c r="Q300" s="57"/>
      <c r="R300" s="57"/>
      <c r="S300" s="57"/>
      <c r="T300" s="57"/>
      <c r="U300" s="57"/>
      <c r="V300" s="57"/>
      <c r="W300" s="57">
        <v>1</v>
      </c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>
        <v>1</v>
      </c>
      <c r="BG300" s="57"/>
      <c r="BH300" s="57"/>
      <c r="BI300" s="57">
        <v>1</v>
      </c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8">
        <f t="shared" si="15"/>
        <v>3</v>
      </c>
    </row>
    <row r="301" spans="1:73" ht="15" x14ac:dyDescent="0.15">
      <c r="A301" s="166" t="s">
        <v>718</v>
      </c>
      <c r="B301" s="160" t="s">
        <v>649</v>
      </c>
      <c r="C301" s="164" t="s">
        <v>174</v>
      </c>
      <c r="D301" s="167" t="s">
        <v>719</v>
      </c>
      <c r="E301" s="164" t="s">
        <v>90</v>
      </c>
      <c r="F301" s="164"/>
      <c r="G301" s="162">
        <v>1</v>
      </c>
      <c r="H301" s="163">
        <v>1</v>
      </c>
      <c r="I301" s="164" t="s">
        <v>91</v>
      </c>
      <c r="J301" s="164">
        <f t="shared" si="16"/>
        <v>80</v>
      </c>
      <c r="K301" s="164">
        <f t="shared" si="16"/>
        <v>80</v>
      </c>
      <c r="L301" s="165"/>
      <c r="M301" s="56"/>
      <c r="N301" s="57"/>
      <c r="O301" s="57">
        <v>1</v>
      </c>
      <c r="P301" s="57"/>
      <c r="Q301" s="57"/>
      <c r="R301" s="57"/>
      <c r="S301" s="57"/>
      <c r="T301" s="57"/>
      <c r="U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8">
        <f t="shared" si="15"/>
        <v>1</v>
      </c>
    </row>
    <row r="302" spans="1:73" ht="15" x14ac:dyDescent="0.2">
      <c r="A302" s="168" t="s">
        <v>720</v>
      </c>
      <c r="B302" s="160" t="s">
        <v>649</v>
      </c>
      <c r="C302" s="164" t="s">
        <v>174</v>
      </c>
      <c r="D302" s="167" t="s">
        <v>721</v>
      </c>
      <c r="E302" s="164" t="s">
        <v>90</v>
      </c>
      <c r="F302" s="164"/>
      <c r="G302" s="162"/>
      <c r="H302" s="163"/>
      <c r="I302" s="164" t="s">
        <v>91</v>
      </c>
      <c r="J302" s="164">
        <v>24.5</v>
      </c>
      <c r="K302" s="164">
        <v>24.5</v>
      </c>
      <c r="L302" s="169"/>
      <c r="M302" s="56">
        <v>18</v>
      </c>
      <c r="N302" s="57">
        <f>1+3</f>
        <v>4</v>
      </c>
      <c r="O302" s="57">
        <v>3</v>
      </c>
      <c r="P302" s="57">
        <v>3</v>
      </c>
      <c r="Q302" s="57">
        <v>3</v>
      </c>
      <c r="R302" s="57"/>
      <c r="S302" s="57"/>
      <c r="T302" s="57">
        <v>10</v>
      </c>
      <c r="U302" s="57">
        <f>8+6</f>
        <v>14</v>
      </c>
      <c r="V302" s="57">
        <v>11</v>
      </c>
      <c r="W302" s="57">
        <v>18</v>
      </c>
      <c r="X302" s="57">
        <v>7</v>
      </c>
      <c r="Y302" s="57">
        <v>6</v>
      </c>
      <c r="Z302" s="57">
        <v>12</v>
      </c>
      <c r="AA302" s="57">
        <v>32</v>
      </c>
      <c r="AB302" s="57">
        <v>4</v>
      </c>
      <c r="AC302" s="57">
        <v>2</v>
      </c>
      <c r="AD302" s="57">
        <v>3</v>
      </c>
      <c r="AE302" s="57">
        <v>8</v>
      </c>
      <c r="AF302" s="57">
        <v>9</v>
      </c>
      <c r="AG302" s="57">
        <f>35+5</f>
        <v>40</v>
      </c>
      <c r="AH302" s="57">
        <v>8</v>
      </c>
      <c r="AI302" s="57">
        <v>3</v>
      </c>
      <c r="AJ302" s="57"/>
      <c r="AK302" s="57">
        <v>5</v>
      </c>
      <c r="AL302" s="57"/>
      <c r="AM302" s="57"/>
      <c r="AN302" s="57">
        <v>4</v>
      </c>
      <c r="AO302" s="57"/>
      <c r="AP302" s="57"/>
      <c r="AQ302" s="57">
        <v>72</v>
      </c>
      <c r="AR302" s="57">
        <v>90</v>
      </c>
      <c r="AS302" s="57">
        <v>117</v>
      </c>
      <c r="AT302" s="57">
        <v>18</v>
      </c>
      <c r="AU302" s="57">
        <v>22</v>
      </c>
      <c r="AV302" s="57">
        <v>41</v>
      </c>
      <c r="AW302" s="57"/>
      <c r="AX302" s="57">
        <f>8+7</f>
        <v>15</v>
      </c>
      <c r="AY302" s="57">
        <v>28</v>
      </c>
      <c r="AZ302" s="57">
        <f>1+1+4</f>
        <v>6</v>
      </c>
      <c r="BA302" s="57">
        <v>35</v>
      </c>
      <c r="BB302" s="57">
        <f>1+5</f>
        <v>6</v>
      </c>
      <c r="BC302" s="57">
        <f>1+9+64</f>
        <v>74</v>
      </c>
      <c r="BD302" s="57">
        <v>11</v>
      </c>
      <c r="BE302" s="57">
        <v>48</v>
      </c>
      <c r="BF302" s="57">
        <v>22</v>
      </c>
      <c r="BG302" s="57">
        <v>83</v>
      </c>
      <c r="BH302" s="57">
        <v>49</v>
      </c>
      <c r="BI302" s="57">
        <v>67</v>
      </c>
      <c r="BJ302" s="57">
        <v>64</v>
      </c>
      <c r="BK302" s="57">
        <f>5+19+66</f>
        <v>90</v>
      </c>
      <c r="BL302" s="57">
        <f>32+12+1</f>
        <v>45</v>
      </c>
      <c r="BM302" s="57">
        <v>41</v>
      </c>
      <c r="BN302" s="57">
        <f>4+3+5</f>
        <v>12</v>
      </c>
      <c r="BO302" s="57">
        <f>1+1+3+3</f>
        <v>8</v>
      </c>
      <c r="BP302" s="57">
        <v>49</v>
      </c>
      <c r="BQ302" s="57">
        <v>14</v>
      </c>
      <c r="BR302" s="57">
        <v>28</v>
      </c>
      <c r="BS302" s="57">
        <v>20</v>
      </c>
      <c r="BT302" s="57">
        <v>27</v>
      </c>
      <c r="BU302" s="58">
        <f t="shared" si="15"/>
        <v>1429</v>
      </c>
    </row>
    <row r="303" spans="1:73" x14ac:dyDescent="0.15">
      <c r="L303" s="171"/>
    </row>
    <row r="304" spans="1:73" ht="15" x14ac:dyDescent="0.15">
      <c r="A304" s="172" t="s">
        <v>722</v>
      </c>
      <c r="L304" s="171"/>
      <c r="M304" s="173">
        <f>SUM(M12:M302)</f>
        <v>182</v>
      </c>
      <c r="N304" s="173">
        <f t="shared" ref="N304:BU304" si="17">SUM(N12:N302)</f>
        <v>209</v>
      </c>
      <c r="O304" s="173">
        <f t="shared" si="17"/>
        <v>45</v>
      </c>
      <c r="P304" s="173">
        <f t="shared" si="17"/>
        <v>265</v>
      </c>
      <c r="Q304" s="173">
        <f t="shared" si="17"/>
        <v>62</v>
      </c>
      <c r="R304" s="173">
        <f t="shared" si="17"/>
        <v>268</v>
      </c>
      <c r="S304" s="173">
        <f t="shared" si="17"/>
        <v>71</v>
      </c>
      <c r="T304" s="173">
        <f t="shared" si="17"/>
        <v>177</v>
      </c>
      <c r="U304" s="173">
        <f t="shared" si="17"/>
        <v>169</v>
      </c>
      <c r="V304" s="173">
        <f t="shared" si="17"/>
        <v>163</v>
      </c>
      <c r="W304" s="173">
        <f t="shared" si="17"/>
        <v>323</v>
      </c>
      <c r="X304" s="173">
        <f t="shared" si="17"/>
        <v>225</v>
      </c>
      <c r="Y304" s="173">
        <f t="shared" si="17"/>
        <v>69</v>
      </c>
      <c r="Z304" s="173">
        <f t="shared" si="17"/>
        <v>242</v>
      </c>
      <c r="AA304" s="173">
        <f t="shared" si="17"/>
        <v>119</v>
      </c>
      <c r="AB304" s="173">
        <f t="shared" si="17"/>
        <v>332</v>
      </c>
      <c r="AC304" s="173">
        <f t="shared" si="17"/>
        <v>52</v>
      </c>
      <c r="AD304" s="173">
        <f t="shared" si="17"/>
        <v>88</v>
      </c>
      <c r="AE304" s="173">
        <f t="shared" si="17"/>
        <v>146</v>
      </c>
      <c r="AF304" s="173">
        <f t="shared" si="17"/>
        <v>118</v>
      </c>
      <c r="AG304" s="173">
        <f t="shared" si="17"/>
        <v>95</v>
      </c>
      <c r="AH304" s="173">
        <f t="shared" si="17"/>
        <v>1069</v>
      </c>
      <c r="AI304" s="173">
        <f t="shared" si="17"/>
        <v>108</v>
      </c>
      <c r="AJ304" s="173">
        <f t="shared" si="17"/>
        <v>670</v>
      </c>
      <c r="AK304" s="173">
        <f t="shared" si="17"/>
        <v>142</v>
      </c>
      <c r="AL304" s="173">
        <f t="shared" si="17"/>
        <v>922</v>
      </c>
      <c r="AM304" s="173">
        <f t="shared" si="17"/>
        <v>242</v>
      </c>
      <c r="AN304" s="173">
        <f t="shared" si="17"/>
        <v>725</v>
      </c>
      <c r="AO304" s="173">
        <f t="shared" si="17"/>
        <v>832</v>
      </c>
      <c r="AP304" s="173">
        <f t="shared" si="17"/>
        <v>724</v>
      </c>
      <c r="AQ304" s="173">
        <f t="shared" si="17"/>
        <v>239</v>
      </c>
      <c r="AR304" s="173">
        <f t="shared" si="17"/>
        <v>380</v>
      </c>
      <c r="AS304" s="173">
        <f t="shared" si="17"/>
        <v>187</v>
      </c>
      <c r="AT304" s="173">
        <f t="shared" si="17"/>
        <v>285</v>
      </c>
      <c r="AU304" s="173">
        <f t="shared" si="17"/>
        <v>48</v>
      </c>
      <c r="AV304" s="173">
        <f t="shared" si="17"/>
        <v>302</v>
      </c>
      <c r="AW304" s="173">
        <f t="shared" si="17"/>
        <v>56</v>
      </c>
      <c r="AX304" s="173">
        <f t="shared" si="17"/>
        <v>180</v>
      </c>
      <c r="AY304" s="173">
        <f t="shared" si="17"/>
        <v>360</v>
      </c>
      <c r="AZ304" s="173">
        <f t="shared" si="17"/>
        <v>119</v>
      </c>
      <c r="BA304" s="173">
        <f t="shared" si="17"/>
        <v>1014</v>
      </c>
      <c r="BB304" s="173">
        <f t="shared" si="17"/>
        <v>596</v>
      </c>
      <c r="BC304" s="173">
        <f t="shared" si="17"/>
        <v>200</v>
      </c>
      <c r="BD304" s="173">
        <f t="shared" si="17"/>
        <v>200</v>
      </c>
      <c r="BE304" s="173">
        <f t="shared" si="17"/>
        <v>201</v>
      </c>
      <c r="BF304" s="173">
        <f t="shared" si="17"/>
        <v>436</v>
      </c>
      <c r="BG304" s="173">
        <f t="shared" si="17"/>
        <v>371</v>
      </c>
      <c r="BH304" s="173">
        <f t="shared" si="17"/>
        <v>682</v>
      </c>
      <c r="BI304" s="173">
        <f t="shared" si="17"/>
        <v>557</v>
      </c>
      <c r="BJ304" s="173">
        <f t="shared" si="17"/>
        <v>1009</v>
      </c>
      <c r="BK304" s="173">
        <f t="shared" si="17"/>
        <v>861</v>
      </c>
      <c r="BL304" s="173">
        <f t="shared" si="17"/>
        <v>241</v>
      </c>
      <c r="BM304" s="173">
        <f t="shared" si="17"/>
        <v>156</v>
      </c>
      <c r="BN304" s="173">
        <f t="shared" si="17"/>
        <v>439</v>
      </c>
      <c r="BO304" s="173">
        <f t="shared" si="17"/>
        <v>134</v>
      </c>
      <c r="BP304" s="173">
        <f t="shared" si="17"/>
        <v>687</v>
      </c>
      <c r="BQ304" s="173">
        <f t="shared" si="17"/>
        <v>345</v>
      </c>
      <c r="BR304" s="173">
        <f t="shared" si="17"/>
        <v>819</v>
      </c>
      <c r="BS304" s="173">
        <f t="shared" si="17"/>
        <v>802</v>
      </c>
      <c r="BT304" s="173">
        <f t="shared" si="17"/>
        <v>967</v>
      </c>
      <c r="BU304" s="173">
        <f t="shared" si="17"/>
        <v>21727</v>
      </c>
    </row>
    <row r="305" spans="1:73" ht="16" thickBot="1" x14ac:dyDescent="0.2">
      <c r="A305" s="174" t="s">
        <v>723</v>
      </c>
      <c r="B305" s="175"/>
      <c r="C305" s="175"/>
      <c r="D305" s="175"/>
      <c r="E305" s="175"/>
      <c r="G305" s="175"/>
      <c r="H305" s="175"/>
      <c r="I305" s="175"/>
      <c r="J305" s="175"/>
      <c r="K305" s="176"/>
      <c r="L305" s="177"/>
      <c r="M305" s="178">
        <v>182</v>
      </c>
      <c r="N305" s="178">
        <v>209</v>
      </c>
      <c r="O305" s="178">
        <v>45</v>
      </c>
      <c r="P305" s="178">
        <v>265</v>
      </c>
      <c r="Q305" s="178">
        <v>62</v>
      </c>
      <c r="R305" s="178">
        <v>268</v>
      </c>
      <c r="S305" s="178">
        <v>71</v>
      </c>
      <c r="T305" s="178">
        <v>177</v>
      </c>
      <c r="U305" s="178">
        <v>169</v>
      </c>
      <c r="V305" s="178">
        <v>163</v>
      </c>
      <c r="W305" s="178">
        <v>323</v>
      </c>
      <c r="X305" s="178">
        <v>225</v>
      </c>
      <c r="Y305" s="178">
        <v>69</v>
      </c>
      <c r="Z305" s="178">
        <v>242</v>
      </c>
      <c r="AA305" s="178">
        <v>119</v>
      </c>
      <c r="AB305" s="178">
        <v>332</v>
      </c>
      <c r="AC305" s="178">
        <v>52</v>
      </c>
      <c r="AD305" s="178">
        <v>88</v>
      </c>
      <c r="AE305" s="178">
        <v>142</v>
      </c>
      <c r="AF305" s="178">
        <v>118</v>
      </c>
      <c r="AG305" s="178">
        <v>95</v>
      </c>
      <c r="AH305" s="178">
        <v>1069</v>
      </c>
      <c r="AI305" s="178">
        <v>108</v>
      </c>
      <c r="AJ305" s="178">
        <v>670</v>
      </c>
      <c r="AK305" s="178">
        <v>142</v>
      </c>
      <c r="AL305" s="178">
        <v>922</v>
      </c>
      <c r="AM305" s="178">
        <v>242</v>
      </c>
      <c r="AN305" s="178">
        <v>725</v>
      </c>
      <c r="AO305" s="178">
        <v>832</v>
      </c>
      <c r="AP305" s="178">
        <v>724</v>
      </c>
      <c r="AQ305" s="178">
        <v>239</v>
      </c>
      <c r="AR305" s="178">
        <v>380</v>
      </c>
      <c r="AS305" s="178">
        <v>187</v>
      </c>
      <c r="AT305" s="178">
        <v>285</v>
      </c>
      <c r="AU305" s="178">
        <v>48</v>
      </c>
      <c r="AV305" s="178">
        <v>302</v>
      </c>
      <c r="AW305" s="178">
        <v>56</v>
      </c>
      <c r="AX305" s="178">
        <v>180</v>
      </c>
      <c r="AY305" s="178">
        <v>360</v>
      </c>
      <c r="AZ305" s="178">
        <v>119</v>
      </c>
      <c r="BA305" s="178">
        <v>1014</v>
      </c>
      <c r="BB305" s="178">
        <v>596</v>
      </c>
      <c r="BC305" s="178">
        <v>200</v>
      </c>
      <c r="BD305" s="178">
        <v>200</v>
      </c>
      <c r="BE305" s="178">
        <v>201</v>
      </c>
      <c r="BF305" s="178">
        <v>436</v>
      </c>
      <c r="BG305" s="178">
        <v>371</v>
      </c>
      <c r="BH305" s="178">
        <v>682</v>
      </c>
      <c r="BI305" s="178">
        <v>557</v>
      </c>
      <c r="BJ305" s="178">
        <v>1009</v>
      </c>
      <c r="BK305" s="178">
        <v>821</v>
      </c>
      <c r="BL305" s="178">
        <v>237</v>
      </c>
      <c r="BM305" s="178">
        <v>152</v>
      </c>
      <c r="BN305" s="178">
        <v>439</v>
      </c>
      <c r="BO305" s="178">
        <v>134</v>
      </c>
      <c r="BP305" s="178">
        <v>651</v>
      </c>
      <c r="BQ305" s="178">
        <v>341</v>
      </c>
      <c r="BR305" s="178">
        <v>788</v>
      </c>
      <c r="BS305" s="178">
        <v>786</v>
      </c>
      <c r="BT305" s="178">
        <v>951</v>
      </c>
      <c r="BU305" s="179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0567-6C29-2144-9AF0-DAA1DEDE33D5}">
  <dimension ref="A1:BQ265"/>
  <sheetViews>
    <sheetView zoomScale="140" zoomScaleNormal="140" workbookViewId="0">
      <selection sqref="A1:BP262"/>
    </sheetView>
  </sheetViews>
  <sheetFormatPr baseColWidth="10" defaultRowHeight="13" x14ac:dyDescent="0.15"/>
  <cols>
    <col min="1" max="1" width="32.33203125" bestFit="1" customWidth="1"/>
    <col min="2" max="2" width="12.83203125" customWidth="1"/>
    <col min="3" max="3" width="15.83203125" customWidth="1"/>
    <col min="4" max="4" width="10.33203125" customWidth="1"/>
    <col min="5" max="5" width="17.6640625" customWidth="1"/>
    <col min="6" max="6" width="6.83203125" customWidth="1"/>
    <col min="7" max="7" width="5.5" style="170" customWidth="1"/>
    <col min="8" max="8" width="5.83203125" customWidth="1"/>
  </cols>
  <sheetData>
    <row r="1" spans="1:69" ht="14" x14ac:dyDescent="0.15">
      <c r="A1" s="36" t="s">
        <v>68</v>
      </c>
      <c r="B1" s="36" t="s">
        <v>69</v>
      </c>
      <c r="C1" s="36" t="s">
        <v>888</v>
      </c>
      <c r="D1" s="47" t="s">
        <v>889</v>
      </c>
      <c r="E1" s="47" t="s">
        <v>890</v>
      </c>
      <c r="F1" s="36" t="s">
        <v>885</v>
      </c>
      <c r="G1" s="36" t="s">
        <v>886</v>
      </c>
      <c r="H1" s="48" t="s">
        <v>887</v>
      </c>
      <c r="I1" s="3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16</v>
      </c>
      <c r="U1" s="19" t="s">
        <v>17</v>
      </c>
      <c r="V1" s="19" t="s">
        <v>18</v>
      </c>
      <c r="W1" s="19" t="s">
        <v>19</v>
      </c>
      <c r="X1" s="19" t="s">
        <v>20</v>
      </c>
      <c r="Y1" s="19" t="s">
        <v>21</v>
      </c>
      <c r="Z1" s="19" t="s">
        <v>22</v>
      </c>
      <c r="AA1" s="19" t="s">
        <v>23</v>
      </c>
      <c r="AB1" s="19" t="s">
        <v>24</v>
      </c>
      <c r="AC1" s="19" t="s">
        <v>25</v>
      </c>
      <c r="AD1" s="19" t="s">
        <v>26</v>
      </c>
      <c r="AE1" s="19" t="s">
        <v>27</v>
      </c>
      <c r="AF1" s="19" t="s">
        <v>28</v>
      </c>
      <c r="AG1" s="19" t="s">
        <v>29</v>
      </c>
      <c r="AH1" s="19" t="s">
        <v>30</v>
      </c>
      <c r="AI1" s="19" t="s">
        <v>31</v>
      </c>
      <c r="AJ1" s="19" t="s">
        <v>32</v>
      </c>
      <c r="AK1" s="19" t="s">
        <v>33</v>
      </c>
      <c r="AL1" s="19" t="s">
        <v>34</v>
      </c>
      <c r="AM1" s="19" t="s">
        <v>35</v>
      </c>
      <c r="AN1" s="19" t="s">
        <v>36</v>
      </c>
      <c r="AO1" s="19" t="s">
        <v>37</v>
      </c>
      <c r="AP1" s="19" t="s">
        <v>38</v>
      </c>
      <c r="AQ1" s="19" t="s">
        <v>39</v>
      </c>
      <c r="AR1" s="19" t="s">
        <v>40</v>
      </c>
      <c r="AS1" s="19" t="s">
        <v>41</v>
      </c>
      <c r="AT1" s="19" t="s">
        <v>42</v>
      </c>
      <c r="AU1" s="19" t="s">
        <v>43</v>
      </c>
      <c r="AV1" s="19" t="s">
        <v>44</v>
      </c>
      <c r="AW1" s="19" t="s">
        <v>45</v>
      </c>
      <c r="AX1" s="19" t="s">
        <v>46</v>
      </c>
      <c r="AY1" s="19" t="s">
        <v>47</v>
      </c>
      <c r="AZ1" s="19" t="s">
        <v>48</v>
      </c>
      <c r="BA1" s="19" t="s">
        <v>49</v>
      </c>
      <c r="BB1" s="19" t="s">
        <v>50</v>
      </c>
      <c r="BC1" s="19" t="s">
        <v>51</v>
      </c>
      <c r="BD1" s="19" t="s">
        <v>52</v>
      </c>
      <c r="BE1" s="19" t="s">
        <v>53</v>
      </c>
      <c r="BF1" s="19" t="s">
        <v>54</v>
      </c>
      <c r="BG1" s="19" t="s">
        <v>55</v>
      </c>
      <c r="BH1" s="19" t="s">
        <v>56</v>
      </c>
      <c r="BI1" s="19" t="s">
        <v>57</v>
      </c>
      <c r="BJ1" s="19" t="s">
        <v>58</v>
      </c>
      <c r="BK1" s="19" t="s">
        <v>59</v>
      </c>
      <c r="BL1" s="19" t="s">
        <v>60</v>
      </c>
      <c r="BM1" s="19" t="s">
        <v>61</v>
      </c>
      <c r="BN1" s="19" t="s">
        <v>62</v>
      </c>
      <c r="BO1" s="19" t="s">
        <v>63</v>
      </c>
      <c r="BP1" s="19" t="s">
        <v>64</v>
      </c>
      <c r="BQ1" s="50"/>
    </row>
    <row r="2" spans="1:69" ht="15" x14ac:dyDescent="0.15">
      <c r="A2" s="51" t="s">
        <v>81</v>
      </c>
      <c r="B2" s="52" t="s">
        <v>82</v>
      </c>
      <c r="C2" s="52" t="s">
        <v>83</v>
      </c>
      <c r="D2" s="52" t="s">
        <v>84</v>
      </c>
      <c r="E2" s="52" t="s">
        <v>86</v>
      </c>
      <c r="F2" s="54">
        <v>24</v>
      </c>
      <c r="G2" s="54">
        <v>24</v>
      </c>
      <c r="H2" s="55"/>
      <c r="I2" s="56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AA2" s="57">
        <v>5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>
        <v>50</v>
      </c>
      <c r="BH2" s="57">
        <v>5</v>
      </c>
      <c r="BI2" s="57">
        <v>5</v>
      </c>
      <c r="BJ2" s="57"/>
      <c r="BK2" s="57"/>
      <c r="BL2" s="46">
        <v>45</v>
      </c>
      <c r="BM2" s="46">
        <v>5</v>
      </c>
      <c r="BN2" s="46">
        <v>40</v>
      </c>
      <c r="BO2" s="46">
        <v>20</v>
      </c>
      <c r="BP2" s="46">
        <v>20</v>
      </c>
      <c r="BQ2" s="58">
        <f>SUM(I2:BP2)</f>
        <v>195</v>
      </c>
    </row>
    <row r="3" spans="1:69" ht="15" x14ac:dyDescent="0.15">
      <c r="A3" s="51" t="s">
        <v>87</v>
      </c>
      <c r="B3" s="52" t="s">
        <v>82</v>
      </c>
      <c r="C3" s="52" t="s">
        <v>88</v>
      </c>
      <c r="D3" s="52" t="s">
        <v>89</v>
      </c>
      <c r="E3" s="52" t="s">
        <v>91</v>
      </c>
      <c r="F3" s="54">
        <v>16</v>
      </c>
      <c r="G3" s="54">
        <v>16</v>
      </c>
      <c r="H3" s="55"/>
      <c r="I3" s="56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>
        <v>1</v>
      </c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>
        <f>12+6</f>
        <v>18</v>
      </c>
      <c r="BH3" s="57"/>
      <c r="BI3" s="57"/>
      <c r="BJ3" s="57"/>
      <c r="BK3" s="57"/>
      <c r="BL3" s="57"/>
      <c r="BM3" s="57"/>
      <c r="BN3" s="57">
        <v>4</v>
      </c>
      <c r="BO3" s="57">
        <v>4</v>
      </c>
      <c r="BP3" s="57">
        <f>3+2</f>
        <v>5</v>
      </c>
      <c r="BQ3" s="58">
        <f t="shared" ref="BQ3:BQ59" si="0">SUM(I3:BP3)</f>
        <v>32</v>
      </c>
    </row>
    <row r="4" spans="1:69" ht="15" x14ac:dyDescent="0.15">
      <c r="A4" s="51" t="s">
        <v>92</v>
      </c>
      <c r="B4" s="52" t="s">
        <v>82</v>
      </c>
      <c r="C4" s="52" t="s">
        <v>88</v>
      </c>
      <c r="D4" s="52" t="s">
        <v>93</v>
      </c>
      <c r="E4" s="52" t="s">
        <v>91</v>
      </c>
      <c r="F4" s="54">
        <v>24</v>
      </c>
      <c r="G4" s="54">
        <v>24</v>
      </c>
      <c r="H4" s="55"/>
      <c r="I4" s="56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>
        <v>2</v>
      </c>
      <c r="BC4" s="57"/>
      <c r="BD4" s="57"/>
      <c r="BE4" s="57"/>
      <c r="BF4" s="57"/>
      <c r="BG4" s="57">
        <f>2+4</f>
        <v>6</v>
      </c>
      <c r="BH4" s="57"/>
      <c r="BI4" s="57"/>
      <c r="BJ4" s="57"/>
      <c r="BK4" s="57"/>
      <c r="BL4" s="57">
        <v>3</v>
      </c>
      <c r="BM4" s="57"/>
      <c r="BN4" s="57">
        <v>4</v>
      </c>
      <c r="BO4" s="57"/>
      <c r="BP4" s="57"/>
      <c r="BQ4" s="58">
        <f t="shared" si="0"/>
        <v>15</v>
      </c>
    </row>
    <row r="5" spans="1:69" ht="15" x14ac:dyDescent="0.15">
      <c r="A5" s="51" t="s">
        <v>94</v>
      </c>
      <c r="B5" s="52" t="s">
        <v>82</v>
      </c>
      <c r="C5" s="52" t="s">
        <v>88</v>
      </c>
      <c r="D5" s="52" t="s">
        <v>95</v>
      </c>
      <c r="E5" s="52" t="s">
        <v>91</v>
      </c>
      <c r="F5" s="54">
        <v>32</v>
      </c>
      <c r="G5" s="54">
        <v>32</v>
      </c>
      <c r="H5" s="55"/>
      <c r="I5" s="56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>
        <v>1</v>
      </c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>
        <v>1</v>
      </c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>
        <v>13</v>
      </c>
      <c r="BM5" s="57"/>
      <c r="BN5" s="57">
        <v>2</v>
      </c>
      <c r="BO5" s="57"/>
      <c r="BP5" s="57"/>
      <c r="BQ5" s="58">
        <f t="shared" si="0"/>
        <v>17</v>
      </c>
    </row>
    <row r="6" spans="1:69" ht="15" x14ac:dyDescent="0.15">
      <c r="A6" s="51" t="s">
        <v>96</v>
      </c>
      <c r="B6" s="52" t="s">
        <v>82</v>
      </c>
      <c r="C6" s="52" t="s">
        <v>88</v>
      </c>
      <c r="D6" s="52" t="s">
        <v>97</v>
      </c>
      <c r="E6" s="52" t="s">
        <v>91</v>
      </c>
      <c r="F6" s="54">
        <v>32</v>
      </c>
      <c r="G6" s="54">
        <v>104</v>
      </c>
      <c r="H6" s="55"/>
      <c r="I6" s="56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>
        <v>1</v>
      </c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>
        <v>2</v>
      </c>
      <c r="BQ6" s="58">
        <f t="shared" si="0"/>
        <v>3</v>
      </c>
    </row>
    <row r="7" spans="1:69" ht="15" x14ac:dyDescent="0.15">
      <c r="A7" s="51" t="s">
        <v>98</v>
      </c>
      <c r="B7" s="52" t="s">
        <v>82</v>
      </c>
      <c r="C7" s="52" t="s">
        <v>88</v>
      </c>
      <c r="D7" s="52" t="s">
        <v>99</v>
      </c>
      <c r="E7" s="52" t="s">
        <v>91</v>
      </c>
      <c r="F7" s="54">
        <v>40</v>
      </c>
      <c r="G7" s="54">
        <v>40</v>
      </c>
      <c r="H7" s="55"/>
      <c r="I7" s="56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>
        <v>1</v>
      </c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>
        <v>1</v>
      </c>
      <c r="BP7" s="57"/>
      <c r="BQ7" s="58">
        <f t="shared" si="0"/>
        <v>2</v>
      </c>
    </row>
    <row r="8" spans="1:69" ht="15" x14ac:dyDescent="0.15">
      <c r="A8" s="51" t="s">
        <v>100</v>
      </c>
      <c r="B8" s="52" t="s">
        <v>82</v>
      </c>
      <c r="C8" s="52" t="s">
        <v>88</v>
      </c>
      <c r="D8" s="52" t="s">
        <v>101</v>
      </c>
      <c r="E8" s="52" t="s">
        <v>91</v>
      </c>
      <c r="F8" s="54">
        <v>64</v>
      </c>
      <c r="G8" s="54">
        <v>64</v>
      </c>
      <c r="H8" s="55"/>
      <c r="I8" s="56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>
        <v>1</v>
      </c>
      <c r="BO8" s="57"/>
      <c r="BP8" s="57"/>
      <c r="BQ8" s="58">
        <f t="shared" si="0"/>
        <v>1</v>
      </c>
    </row>
    <row r="9" spans="1:69" ht="15" x14ac:dyDescent="0.15">
      <c r="A9" s="51" t="s">
        <v>102</v>
      </c>
      <c r="B9" s="52" t="s">
        <v>82</v>
      </c>
      <c r="C9" s="52" t="s">
        <v>103</v>
      </c>
      <c r="D9" s="52" t="s">
        <v>104</v>
      </c>
      <c r="E9" s="52" t="s">
        <v>91</v>
      </c>
      <c r="F9" s="54">
        <v>16</v>
      </c>
      <c r="G9" s="54">
        <v>16</v>
      </c>
      <c r="H9" s="55"/>
      <c r="I9" s="56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>
        <v>1</v>
      </c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>
        <f>1+7+2+27</f>
        <v>37</v>
      </c>
      <c r="BH9" s="57"/>
      <c r="BI9" s="57"/>
      <c r="BJ9" s="57"/>
      <c r="BK9" s="57"/>
      <c r="BL9" s="57"/>
      <c r="BM9" s="57"/>
      <c r="BN9" s="57"/>
      <c r="BO9" s="57"/>
      <c r="BP9" s="57"/>
      <c r="BQ9" s="58">
        <f t="shared" si="0"/>
        <v>38</v>
      </c>
    </row>
    <row r="10" spans="1:69" ht="15" x14ac:dyDescent="0.15">
      <c r="A10" s="51" t="s">
        <v>105</v>
      </c>
      <c r="B10" s="52" t="s">
        <v>82</v>
      </c>
      <c r="C10" s="52" t="s">
        <v>106</v>
      </c>
      <c r="D10" s="52" t="s">
        <v>107</v>
      </c>
      <c r="E10" s="52" t="s">
        <v>109</v>
      </c>
      <c r="F10" s="54">
        <v>16</v>
      </c>
      <c r="G10" s="54">
        <v>16</v>
      </c>
      <c r="H10" s="55">
        <v>16</v>
      </c>
      <c r="I10" s="56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>
        <v>1</v>
      </c>
      <c r="BH10" s="57">
        <v>6</v>
      </c>
      <c r="BI10" s="57"/>
      <c r="BJ10" s="57"/>
      <c r="BK10" s="57"/>
      <c r="BL10" s="57">
        <v>1</v>
      </c>
      <c r="BM10" s="57"/>
      <c r="BN10" s="57"/>
      <c r="BO10" s="57"/>
      <c r="BP10" s="57"/>
      <c r="BQ10" s="58">
        <f t="shared" si="0"/>
        <v>8</v>
      </c>
    </row>
    <row r="11" spans="1:69" ht="15" x14ac:dyDescent="0.15">
      <c r="A11" s="51" t="s">
        <v>110</v>
      </c>
      <c r="B11" s="52" t="s">
        <v>82</v>
      </c>
      <c r="C11" s="52" t="s">
        <v>106</v>
      </c>
      <c r="D11" s="52" t="s">
        <v>111</v>
      </c>
      <c r="E11" s="52" t="s">
        <v>109</v>
      </c>
      <c r="F11" s="54">
        <v>40</v>
      </c>
      <c r="G11" s="54">
        <v>40</v>
      </c>
      <c r="H11" s="55">
        <v>40</v>
      </c>
      <c r="I11" s="56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>
        <v>1</v>
      </c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>
        <v>3</v>
      </c>
      <c r="BP11" s="57"/>
      <c r="BQ11" s="58">
        <f t="shared" si="0"/>
        <v>4</v>
      </c>
    </row>
    <row r="12" spans="1:69" ht="15" x14ac:dyDescent="0.15">
      <c r="A12" s="51" t="s">
        <v>112</v>
      </c>
      <c r="B12" s="52" t="s">
        <v>82</v>
      </c>
      <c r="C12" s="52" t="s">
        <v>113</v>
      </c>
      <c r="D12" s="52" t="s">
        <v>114</v>
      </c>
      <c r="E12" s="52" t="s">
        <v>116</v>
      </c>
      <c r="F12" s="54">
        <v>12</v>
      </c>
      <c r="G12" s="54">
        <v>16</v>
      </c>
      <c r="H12" s="55"/>
      <c r="I12" s="56"/>
      <c r="J12" s="57"/>
      <c r="K12" s="57"/>
      <c r="L12" s="57"/>
      <c r="M12" s="57"/>
      <c r="N12" s="57">
        <v>1</v>
      </c>
      <c r="O12" s="57"/>
      <c r="P12" s="57"/>
      <c r="Q12" s="57"/>
      <c r="R12" s="57"/>
      <c r="S12" s="57">
        <v>1</v>
      </c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>
        <v>1</v>
      </c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>
        <v>11</v>
      </c>
      <c r="BH12" s="57"/>
      <c r="BI12" s="57"/>
      <c r="BJ12" s="57"/>
      <c r="BK12" s="57"/>
      <c r="BL12" s="57">
        <v>3</v>
      </c>
      <c r="BM12" s="57"/>
      <c r="BN12" s="57"/>
      <c r="BO12" s="57"/>
      <c r="BP12" s="57"/>
      <c r="BQ12" s="58">
        <f t="shared" si="0"/>
        <v>17</v>
      </c>
    </row>
    <row r="13" spans="1:69" ht="15" x14ac:dyDescent="0.15">
      <c r="A13" s="51" t="s">
        <v>117</v>
      </c>
      <c r="B13" s="52" t="s">
        <v>82</v>
      </c>
      <c r="C13" s="52" t="s">
        <v>113</v>
      </c>
      <c r="D13" s="52" t="s">
        <v>118</v>
      </c>
      <c r="E13" s="52" t="s">
        <v>116</v>
      </c>
      <c r="F13" s="54">
        <v>16</v>
      </c>
      <c r="G13" s="54">
        <v>24</v>
      </c>
      <c r="H13" s="55"/>
      <c r="I13" s="56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>
        <v>3</v>
      </c>
      <c r="AD13" s="57"/>
      <c r="AE13" s="57"/>
      <c r="AF13" s="57"/>
      <c r="AG13" s="57"/>
      <c r="AH13" s="57"/>
      <c r="AI13" s="57">
        <v>1</v>
      </c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>
        <v>2</v>
      </c>
      <c r="BK13" s="57"/>
      <c r="BL13" s="57"/>
      <c r="BM13" s="57"/>
      <c r="BN13" s="57">
        <f>1+2</f>
        <v>3</v>
      </c>
      <c r="BO13" s="57"/>
      <c r="BP13" s="57"/>
      <c r="BQ13" s="58">
        <f t="shared" si="0"/>
        <v>9</v>
      </c>
    </row>
    <row r="14" spans="1:69" ht="15" x14ac:dyDescent="0.15">
      <c r="A14" s="51" t="s">
        <v>119</v>
      </c>
      <c r="B14" s="52" t="s">
        <v>82</v>
      </c>
      <c r="C14" s="52" t="s">
        <v>113</v>
      </c>
      <c r="D14" s="52" t="s">
        <v>120</v>
      </c>
      <c r="E14" s="52" t="s">
        <v>116</v>
      </c>
      <c r="F14" s="54">
        <v>16</v>
      </c>
      <c r="G14" s="54">
        <v>32</v>
      </c>
      <c r="H14" s="55"/>
      <c r="I14" s="56"/>
      <c r="J14" s="57">
        <v>1</v>
      </c>
      <c r="K14" s="57"/>
      <c r="L14" s="57"/>
      <c r="M14" s="57"/>
      <c r="N14" s="57"/>
      <c r="O14" s="57"/>
      <c r="P14" s="57">
        <v>1</v>
      </c>
      <c r="Q14" s="57">
        <v>1</v>
      </c>
      <c r="R14" s="57"/>
      <c r="S14" s="57"/>
      <c r="T14" s="57">
        <v>1</v>
      </c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>
        <v>1</v>
      </c>
      <c r="BK14" s="57"/>
      <c r="BL14" s="57"/>
      <c r="BM14" s="57"/>
      <c r="BN14" s="57"/>
      <c r="BO14" s="57"/>
      <c r="BP14" s="57">
        <v>4</v>
      </c>
      <c r="BQ14" s="58">
        <f t="shared" si="0"/>
        <v>9</v>
      </c>
    </row>
    <row r="15" spans="1:69" ht="15" x14ac:dyDescent="0.15">
      <c r="A15" s="60" t="s">
        <v>121</v>
      </c>
      <c r="B15" s="61" t="s">
        <v>122</v>
      </c>
      <c r="C15" s="61" t="s">
        <v>123</v>
      </c>
      <c r="D15" s="61" t="s">
        <v>124</v>
      </c>
      <c r="E15" s="61" t="s">
        <v>902</v>
      </c>
      <c r="F15" s="64">
        <v>12</v>
      </c>
      <c r="G15" s="64">
        <v>20</v>
      </c>
      <c r="H15" s="55"/>
      <c r="I15" s="56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>
        <v>11</v>
      </c>
      <c r="BJ15" s="57"/>
      <c r="BK15" s="57"/>
      <c r="BL15" s="57"/>
      <c r="BM15" s="57"/>
      <c r="BN15" s="57"/>
      <c r="BO15" s="57"/>
      <c r="BP15" s="57"/>
      <c r="BQ15" s="58">
        <f t="shared" si="0"/>
        <v>11</v>
      </c>
    </row>
    <row r="16" spans="1:69" ht="15" x14ac:dyDescent="0.15">
      <c r="A16" s="60" t="s">
        <v>125</v>
      </c>
      <c r="B16" s="61" t="s">
        <v>122</v>
      </c>
      <c r="C16" s="61" t="s">
        <v>123</v>
      </c>
      <c r="D16" s="61" t="s">
        <v>126</v>
      </c>
      <c r="E16" s="61" t="s">
        <v>902</v>
      </c>
      <c r="F16" s="64">
        <v>16</v>
      </c>
      <c r="G16" s="64">
        <v>24</v>
      </c>
      <c r="H16" s="55"/>
      <c r="I16" s="56">
        <v>20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>
        <v>1</v>
      </c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>
        <v>13</v>
      </c>
      <c r="BI16" s="57"/>
      <c r="BJ16" s="57"/>
      <c r="BK16" s="57">
        <v>4</v>
      </c>
      <c r="BL16" s="57">
        <v>29</v>
      </c>
      <c r="BM16" s="57">
        <v>19</v>
      </c>
      <c r="BN16" s="57"/>
      <c r="BO16" s="57"/>
      <c r="BP16" s="57"/>
      <c r="BQ16" s="58">
        <f t="shared" si="0"/>
        <v>86</v>
      </c>
    </row>
    <row r="17" spans="1:69" ht="15" x14ac:dyDescent="0.15">
      <c r="A17" s="60" t="s">
        <v>127</v>
      </c>
      <c r="B17" s="61" t="s">
        <v>122</v>
      </c>
      <c r="C17" s="61" t="s">
        <v>123</v>
      </c>
      <c r="D17" s="61" t="s">
        <v>128</v>
      </c>
      <c r="E17" s="61" t="s">
        <v>902</v>
      </c>
      <c r="F17" s="64">
        <v>24</v>
      </c>
      <c r="G17" s="64">
        <v>24</v>
      </c>
      <c r="H17" s="55"/>
      <c r="I17" s="56"/>
      <c r="J17" s="57"/>
      <c r="K17" s="57"/>
      <c r="L17" s="57"/>
      <c r="M17" s="57"/>
      <c r="N17" s="57">
        <v>151</v>
      </c>
      <c r="O17" s="57">
        <v>47</v>
      </c>
      <c r="P17" s="57">
        <v>38</v>
      </c>
      <c r="Q17" s="57">
        <v>59</v>
      </c>
      <c r="R17" s="57">
        <v>36</v>
      </c>
      <c r="S17" s="57"/>
      <c r="T17" s="57">
        <v>129</v>
      </c>
      <c r="U17" s="57"/>
      <c r="V17" s="57">
        <v>169</v>
      </c>
      <c r="W17" s="57">
        <v>71</v>
      </c>
      <c r="X17" s="57">
        <v>131</v>
      </c>
      <c r="Y17" s="57">
        <v>34</v>
      </c>
      <c r="Z17" s="57">
        <v>30</v>
      </c>
      <c r="AA17" s="57">
        <v>29</v>
      </c>
      <c r="AB17" s="57">
        <v>26</v>
      </c>
      <c r="AC17" s="57"/>
      <c r="AD17" s="57">
        <v>207</v>
      </c>
      <c r="AE17" s="57">
        <v>17</v>
      </c>
      <c r="AF17" s="57">
        <v>156</v>
      </c>
      <c r="AG17" s="65">
        <v>20</v>
      </c>
      <c r="AH17" s="57">
        <v>212</v>
      </c>
      <c r="AI17" s="57">
        <v>65</v>
      </c>
      <c r="AJ17" s="57">
        <v>41</v>
      </c>
      <c r="AK17" s="57">
        <v>64</v>
      </c>
      <c r="AL17" s="57">
        <v>55</v>
      </c>
      <c r="AM17" s="57"/>
      <c r="AN17" s="57">
        <v>126</v>
      </c>
      <c r="AO17" s="57">
        <v>33</v>
      </c>
      <c r="AP17" s="57">
        <v>126</v>
      </c>
      <c r="AQ17" s="57">
        <v>16</v>
      </c>
      <c r="AR17" s="57">
        <v>99</v>
      </c>
      <c r="AS17" s="57">
        <v>27</v>
      </c>
      <c r="AT17" s="57">
        <v>27</v>
      </c>
      <c r="AU17" s="57">
        <v>26</v>
      </c>
      <c r="AV17" s="57">
        <v>10</v>
      </c>
      <c r="AW17" s="57"/>
      <c r="AX17" s="57">
        <v>116</v>
      </c>
      <c r="AY17" s="57">
        <v>22</v>
      </c>
      <c r="AZ17" s="57">
        <v>3</v>
      </c>
      <c r="BA17" s="57">
        <v>8</v>
      </c>
      <c r="BB17" s="57">
        <v>156</v>
      </c>
      <c r="BC17" s="57">
        <v>47</v>
      </c>
      <c r="BD17" s="57">
        <v>77</v>
      </c>
      <c r="BE17" s="57">
        <v>70</v>
      </c>
      <c r="BF17" s="57">
        <v>114</v>
      </c>
      <c r="BG17" s="57"/>
      <c r="BH17" s="57"/>
      <c r="BI17" s="57"/>
      <c r="BJ17" s="57"/>
      <c r="BK17" s="57"/>
      <c r="BL17" s="57"/>
      <c r="BN17" s="57">
        <v>110</v>
      </c>
      <c r="BO17" s="57"/>
      <c r="BP17" s="57">
        <v>100</v>
      </c>
      <c r="BQ17" s="58">
        <f t="shared" si="0"/>
        <v>3100</v>
      </c>
    </row>
    <row r="18" spans="1:69" ht="15" x14ac:dyDescent="0.15">
      <c r="A18" s="60" t="s">
        <v>129</v>
      </c>
      <c r="B18" s="61" t="s">
        <v>122</v>
      </c>
      <c r="C18" s="61" t="s">
        <v>123</v>
      </c>
      <c r="D18" s="61" t="s">
        <v>130</v>
      </c>
      <c r="E18" s="61" t="s">
        <v>902</v>
      </c>
      <c r="F18" s="64">
        <v>24</v>
      </c>
      <c r="G18" s="64">
        <v>40</v>
      </c>
      <c r="H18" s="55"/>
      <c r="I18" s="56"/>
      <c r="J18" s="57"/>
      <c r="K18" s="57"/>
      <c r="L18" s="57"/>
      <c r="M18" s="57"/>
      <c r="N18" s="57">
        <v>1</v>
      </c>
      <c r="O18" s="57"/>
      <c r="P18" s="57">
        <v>4</v>
      </c>
      <c r="Q18" s="57"/>
      <c r="R18" s="57"/>
      <c r="S18" s="57">
        <v>4</v>
      </c>
      <c r="T18" s="57"/>
      <c r="U18" s="57"/>
      <c r="V18" s="57"/>
      <c r="W18" s="57"/>
      <c r="X18" s="57">
        <v>131</v>
      </c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>
        <v>7</v>
      </c>
      <c r="AO18" s="57">
        <v>1</v>
      </c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8">
        <f t="shared" si="0"/>
        <v>148</v>
      </c>
    </row>
    <row r="19" spans="1:69" ht="15" x14ac:dyDescent="0.15">
      <c r="A19" s="60" t="s">
        <v>131</v>
      </c>
      <c r="B19" s="61" t="s">
        <v>122</v>
      </c>
      <c r="C19" s="61" t="s">
        <v>123</v>
      </c>
      <c r="D19" s="61" t="s">
        <v>132</v>
      </c>
      <c r="E19" s="61" t="s">
        <v>902</v>
      </c>
      <c r="F19" s="64">
        <v>32</v>
      </c>
      <c r="G19" s="64">
        <v>36</v>
      </c>
      <c r="H19" s="55"/>
      <c r="I19" s="56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>
        <v>2</v>
      </c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>
        <v>2</v>
      </c>
      <c r="AQ19" s="57"/>
      <c r="AR19" s="57"/>
      <c r="AS19" s="57"/>
      <c r="AT19" s="57"/>
      <c r="AU19" s="57"/>
      <c r="AV19" s="57"/>
      <c r="AW19" s="57">
        <v>2</v>
      </c>
      <c r="AX19" s="57"/>
      <c r="AY19" s="57"/>
      <c r="AZ19" s="57">
        <v>5</v>
      </c>
      <c r="BA19" s="57"/>
      <c r="BB19" s="57"/>
      <c r="BC19" s="57"/>
      <c r="BD19" s="57"/>
      <c r="BE19" s="57"/>
      <c r="BF19" s="57">
        <v>3</v>
      </c>
      <c r="BG19" s="57"/>
      <c r="BH19" s="57"/>
      <c r="BI19" s="57">
        <v>4</v>
      </c>
      <c r="BJ19" s="57"/>
      <c r="BK19" s="57"/>
      <c r="BL19" s="57"/>
      <c r="BM19" s="57"/>
      <c r="BN19" s="57"/>
      <c r="BO19" s="57"/>
      <c r="BP19" s="57"/>
      <c r="BQ19" s="58">
        <f t="shared" si="0"/>
        <v>18</v>
      </c>
    </row>
    <row r="20" spans="1:69" ht="15" x14ac:dyDescent="0.15">
      <c r="A20" s="60" t="s">
        <v>133</v>
      </c>
      <c r="B20" s="61" t="s">
        <v>122</v>
      </c>
      <c r="C20" s="61" t="s">
        <v>123</v>
      </c>
      <c r="D20" s="61" t="s">
        <v>134</v>
      </c>
      <c r="E20" s="61" t="s">
        <v>902</v>
      </c>
      <c r="F20" s="64">
        <v>32</v>
      </c>
      <c r="G20" s="64">
        <v>56</v>
      </c>
      <c r="H20" s="55"/>
      <c r="I20" s="56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>
        <v>1</v>
      </c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>
        <v>1</v>
      </c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>
        <v>1</v>
      </c>
      <c r="BK20" s="57"/>
      <c r="BL20" s="57"/>
      <c r="BM20" s="57"/>
      <c r="BN20" s="57"/>
      <c r="BO20" s="57"/>
      <c r="BP20" s="57"/>
      <c r="BQ20" s="58">
        <f t="shared" si="0"/>
        <v>3</v>
      </c>
    </row>
    <row r="21" spans="1:69" ht="15" x14ac:dyDescent="0.15">
      <c r="A21" s="60" t="s">
        <v>135</v>
      </c>
      <c r="B21" s="61" t="s">
        <v>122</v>
      </c>
      <c r="C21" s="61" t="s">
        <v>123</v>
      </c>
      <c r="D21" s="61" t="s">
        <v>136</v>
      </c>
      <c r="E21" s="61" t="s">
        <v>902</v>
      </c>
      <c r="F21" s="64">
        <v>40</v>
      </c>
      <c r="G21" s="64">
        <v>48</v>
      </c>
      <c r="H21" s="55"/>
      <c r="I21" s="56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>
        <v>1</v>
      </c>
      <c r="AG21" s="57"/>
      <c r="AH21" s="57">
        <v>4</v>
      </c>
      <c r="AI21" s="57"/>
      <c r="AJ21" s="57"/>
      <c r="AK21" s="57"/>
      <c r="AL21" s="57"/>
      <c r="AM21" s="57">
        <v>1</v>
      </c>
      <c r="AN21" s="57"/>
      <c r="AO21" s="57"/>
      <c r="AP21" s="57"/>
      <c r="AQ21" s="57"/>
      <c r="AR21" s="57"/>
      <c r="AS21" s="57">
        <v>1</v>
      </c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>
        <v>1</v>
      </c>
      <c r="BI21" s="57"/>
      <c r="BJ21" s="57"/>
      <c r="BK21" s="57"/>
      <c r="BL21" s="57">
        <v>1</v>
      </c>
      <c r="BM21" s="57">
        <v>3</v>
      </c>
      <c r="BN21" s="57"/>
      <c r="BO21" s="57"/>
      <c r="BP21" s="57"/>
      <c r="BQ21" s="58">
        <f t="shared" si="0"/>
        <v>12</v>
      </c>
    </row>
    <row r="22" spans="1:69" ht="15" x14ac:dyDescent="0.15">
      <c r="A22" s="60" t="s">
        <v>137</v>
      </c>
      <c r="B22" s="61" t="s">
        <v>122</v>
      </c>
      <c r="C22" s="61" t="s">
        <v>138</v>
      </c>
      <c r="D22" s="61" t="s">
        <v>139</v>
      </c>
      <c r="E22" s="61" t="s">
        <v>116</v>
      </c>
      <c r="F22" s="64">
        <v>8</v>
      </c>
      <c r="G22" s="64">
        <v>20</v>
      </c>
      <c r="H22" s="55"/>
      <c r="I22" s="56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>
        <v>6</v>
      </c>
      <c r="AS22" s="57">
        <v>1</v>
      </c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8">
        <f t="shared" si="0"/>
        <v>7</v>
      </c>
    </row>
    <row r="23" spans="1:69" ht="15" x14ac:dyDescent="0.15">
      <c r="A23" s="60" t="s">
        <v>140</v>
      </c>
      <c r="B23" s="61" t="s">
        <v>122</v>
      </c>
      <c r="C23" s="61" t="s">
        <v>138</v>
      </c>
      <c r="D23" s="61" t="s">
        <v>141</v>
      </c>
      <c r="E23" s="61" t="s">
        <v>116</v>
      </c>
      <c r="F23" s="64">
        <v>8</v>
      </c>
      <c r="G23" s="64">
        <v>40</v>
      </c>
      <c r="H23" s="55"/>
      <c r="I23" s="56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>
        <v>1</v>
      </c>
      <c r="AU23" s="57">
        <v>2</v>
      </c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>
        <v>1</v>
      </c>
      <c r="BH23" s="57"/>
      <c r="BI23" s="57"/>
      <c r="BJ23" s="57"/>
      <c r="BK23" s="57"/>
      <c r="BL23" s="57"/>
      <c r="BM23" s="57"/>
      <c r="BN23" s="57"/>
      <c r="BO23" s="57"/>
      <c r="BP23" s="57"/>
      <c r="BQ23" s="58">
        <f t="shared" si="0"/>
        <v>4</v>
      </c>
    </row>
    <row r="24" spans="1:69" ht="15" x14ac:dyDescent="0.15">
      <c r="A24" s="60" t="s">
        <v>142</v>
      </c>
      <c r="B24" s="61" t="s">
        <v>122</v>
      </c>
      <c r="C24" s="61" t="s">
        <v>138</v>
      </c>
      <c r="D24" s="61" t="s">
        <v>143</v>
      </c>
      <c r="E24" s="61" t="s">
        <v>116</v>
      </c>
      <c r="F24" s="64">
        <v>8</v>
      </c>
      <c r="G24" s="64">
        <v>72</v>
      </c>
      <c r="H24" s="55"/>
      <c r="I24" s="56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>
        <v>2</v>
      </c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8">
        <f t="shared" si="0"/>
        <v>2</v>
      </c>
    </row>
    <row r="25" spans="1:69" ht="15" x14ac:dyDescent="0.15">
      <c r="A25" s="60" t="s">
        <v>144</v>
      </c>
      <c r="B25" s="61" t="s">
        <v>122</v>
      </c>
      <c r="C25" s="61" t="s">
        <v>138</v>
      </c>
      <c r="D25" s="61" t="s">
        <v>145</v>
      </c>
      <c r="E25" s="61" t="s">
        <v>116</v>
      </c>
      <c r="F25" s="64">
        <v>12</v>
      </c>
      <c r="G25" s="64">
        <v>32</v>
      </c>
      <c r="H25" s="55"/>
      <c r="I25" s="56"/>
      <c r="J25" s="57"/>
      <c r="K25" s="57"/>
      <c r="L25" s="57"/>
      <c r="M25" s="57"/>
      <c r="N25" s="57"/>
      <c r="O25" s="57"/>
      <c r="P25" s="57">
        <v>1</v>
      </c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>
        <v>1</v>
      </c>
      <c r="AR25" s="57">
        <v>3</v>
      </c>
      <c r="AS25" s="57">
        <v>1</v>
      </c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8">
        <f t="shared" si="0"/>
        <v>6</v>
      </c>
    </row>
    <row r="26" spans="1:69" ht="15" x14ac:dyDescent="0.15">
      <c r="A26" s="60" t="s">
        <v>146</v>
      </c>
      <c r="B26" s="61" t="s">
        <v>122</v>
      </c>
      <c r="C26" s="61" t="s">
        <v>138</v>
      </c>
      <c r="D26" s="61" t="s">
        <v>147</v>
      </c>
      <c r="E26" s="61" t="s">
        <v>116</v>
      </c>
      <c r="F26" s="64">
        <v>12</v>
      </c>
      <c r="G26" s="64">
        <v>56</v>
      </c>
      <c r="H26" s="55"/>
      <c r="I26" s="56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>
        <v>1</v>
      </c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8">
        <f t="shared" si="0"/>
        <v>1</v>
      </c>
    </row>
    <row r="27" spans="1:69" ht="15" x14ac:dyDescent="0.15">
      <c r="A27" s="66" t="s">
        <v>148</v>
      </c>
      <c r="B27" s="61" t="s">
        <v>122</v>
      </c>
      <c r="C27" s="61" t="s">
        <v>138</v>
      </c>
      <c r="D27" s="66" t="s">
        <v>149</v>
      </c>
      <c r="E27" s="61" t="s">
        <v>116</v>
      </c>
      <c r="F27" s="64">
        <v>16</v>
      </c>
      <c r="G27" s="64">
        <v>24</v>
      </c>
      <c r="H27" s="55"/>
      <c r="I27" s="56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>
        <v>1</v>
      </c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>
        <v>11</v>
      </c>
      <c r="BH27" s="57">
        <f>2</f>
        <v>2</v>
      </c>
      <c r="BI27" s="57"/>
      <c r="BJ27" s="57"/>
      <c r="BK27" s="57">
        <v>1</v>
      </c>
      <c r="BL27" s="57">
        <v>4</v>
      </c>
      <c r="BM27" s="57"/>
      <c r="BN27" s="57"/>
      <c r="BO27" s="57"/>
      <c r="BP27" s="57"/>
      <c r="BQ27" s="58">
        <f t="shared" si="0"/>
        <v>19</v>
      </c>
    </row>
    <row r="28" spans="1:69" ht="15" x14ac:dyDescent="0.15">
      <c r="A28" s="60" t="s">
        <v>150</v>
      </c>
      <c r="B28" s="61" t="s">
        <v>122</v>
      </c>
      <c r="C28" s="61" t="s">
        <v>138</v>
      </c>
      <c r="D28" s="61" t="s">
        <v>151</v>
      </c>
      <c r="E28" s="61" t="s">
        <v>116</v>
      </c>
      <c r="F28" s="64">
        <v>16</v>
      </c>
      <c r="G28" s="64">
        <v>32</v>
      </c>
      <c r="H28" s="55"/>
      <c r="I28" s="56"/>
      <c r="J28" s="57"/>
      <c r="K28" s="57"/>
      <c r="L28" s="57"/>
      <c r="M28" s="57"/>
      <c r="N28" s="57"/>
      <c r="O28" s="57"/>
      <c r="P28" s="57"/>
      <c r="Q28" s="57"/>
      <c r="R28" s="57"/>
      <c r="S28" s="57">
        <v>1</v>
      </c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>
        <f>1+3</f>
        <v>4</v>
      </c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8">
        <f t="shared" si="0"/>
        <v>5</v>
      </c>
    </row>
    <row r="29" spans="1:69" ht="15" x14ac:dyDescent="0.15">
      <c r="A29" s="60" t="s">
        <v>152</v>
      </c>
      <c r="B29" s="61" t="s">
        <v>122</v>
      </c>
      <c r="C29" s="61" t="s">
        <v>138</v>
      </c>
      <c r="D29" s="61" t="s">
        <v>153</v>
      </c>
      <c r="E29" s="61" t="s">
        <v>116</v>
      </c>
      <c r="F29" s="64">
        <v>16</v>
      </c>
      <c r="G29" s="64">
        <v>48</v>
      </c>
      <c r="H29" s="55"/>
      <c r="I29" s="56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>
        <v>1</v>
      </c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>
        <v>4</v>
      </c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>
        <v>1</v>
      </c>
      <c r="BO29" s="57"/>
      <c r="BP29" s="57"/>
      <c r="BQ29" s="58">
        <f t="shared" si="0"/>
        <v>6</v>
      </c>
    </row>
    <row r="30" spans="1:69" ht="15" x14ac:dyDescent="0.15">
      <c r="A30" s="60" t="s">
        <v>154</v>
      </c>
      <c r="B30" s="61" t="s">
        <v>122</v>
      </c>
      <c r="C30" s="61" t="s">
        <v>138</v>
      </c>
      <c r="D30" s="61" t="s">
        <v>155</v>
      </c>
      <c r="E30" s="61" t="s">
        <v>116</v>
      </c>
      <c r="F30" s="64">
        <v>20</v>
      </c>
      <c r="G30" s="64">
        <v>64</v>
      </c>
      <c r="H30" s="55"/>
      <c r="I30" s="56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>
        <v>1</v>
      </c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>
        <v>1</v>
      </c>
      <c r="BM30" s="57"/>
      <c r="BN30" s="57">
        <v>1</v>
      </c>
      <c r="BO30" s="57"/>
      <c r="BP30" s="57"/>
      <c r="BQ30" s="58">
        <f t="shared" si="0"/>
        <v>3</v>
      </c>
    </row>
    <row r="31" spans="1:69" ht="15" x14ac:dyDescent="0.15">
      <c r="A31" s="60" t="s">
        <v>156</v>
      </c>
      <c r="B31" s="61" t="s">
        <v>122</v>
      </c>
      <c r="C31" s="61" t="s">
        <v>138</v>
      </c>
      <c r="D31" s="61" t="s">
        <v>157</v>
      </c>
      <c r="E31" s="61" t="s">
        <v>116</v>
      </c>
      <c r="F31" s="64">
        <v>40</v>
      </c>
      <c r="G31" s="64">
        <v>56</v>
      </c>
      <c r="H31" s="55"/>
      <c r="I31" s="56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>
        <v>1</v>
      </c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>
        <v>2</v>
      </c>
      <c r="BK31" s="57"/>
      <c r="BL31" s="57"/>
      <c r="BM31" s="57"/>
      <c r="BN31" s="57"/>
      <c r="BO31" s="57"/>
      <c r="BP31" s="57"/>
      <c r="BQ31" s="58">
        <f t="shared" si="0"/>
        <v>3</v>
      </c>
    </row>
    <row r="32" spans="1:69" ht="15" x14ac:dyDescent="0.15">
      <c r="A32" s="60" t="s">
        <v>158</v>
      </c>
      <c r="B32" s="61" t="s">
        <v>122</v>
      </c>
      <c r="C32" s="61" t="s">
        <v>138</v>
      </c>
      <c r="D32" s="61" t="s">
        <v>159</v>
      </c>
      <c r="E32" s="61" t="s">
        <v>116</v>
      </c>
      <c r="F32" s="64">
        <v>40</v>
      </c>
      <c r="G32" s="64">
        <v>72</v>
      </c>
      <c r="H32" s="55"/>
      <c r="I32" s="56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>
        <v>1</v>
      </c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>
        <v>1</v>
      </c>
      <c r="BM32" s="57"/>
      <c r="BN32" s="57"/>
      <c r="BO32" s="57"/>
      <c r="BP32" s="57"/>
      <c r="BQ32" s="58">
        <f t="shared" si="0"/>
        <v>2</v>
      </c>
    </row>
    <row r="33" spans="1:69" ht="15" x14ac:dyDescent="0.15">
      <c r="A33" s="60" t="s">
        <v>160</v>
      </c>
      <c r="B33" s="61" t="s">
        <v>122</v>
      </c>
      <c r="C33" s="61" t="s">
        <v>138</v>
      </c>
      <c r="D33" s="61" t="s">
        <v>161</v>
      </c>
      <c r="E33" s="61" t="s">
        <v>116</v>
      </c>
      <c r="F33" s="64">
        <v>72</v>
      </c>
      <c r="G33" s="64">
        <v>80</v>
      </c>
      <c r="H33" s="55"/>
      <c r="I33" s="56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>
        <v>1</v>
      </c>
      <c r="BP33" s="57"/>
      <c r="BQ33" s="58">
        <f t="shared" si="0"/>
        <v>1</v>
      </c>
    </row>
    <row r="34" spans="1:69" ht="15" x14ac:dyDescent="0.15">
      <c r="A34" s="60" t="s">
        <v>162</v>
      </c>
      <c r="B34" s="61" t="s">
        <v>122</v>
      </c>
      <c r="C34" s="61" t="s">
        <v>138</v>
      </c>
      <c r="D34" s="61" t="s">
        <v>163</v>
      </c>
      <c r="E34" s="61" t="s">
        <v>116</v>
      </c>
      <c r="F34" s="64">
        <v>80</v>
      </c>
      <c r="G34" s="64">
        <v>120</v>
      </c>
      <c r="H34" s="55"/>
      <c r="I34" s="56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>
        <v>1</v>
      </c>
      <c r="BO34" s="57"/>
      <c r="BP34" s="57"/>
      <c r="BQ34" s="58">
        <f t="shared" si="0"/>
        <v>1</v>
      </c>
    </row>
    <row r="35" spans="1:69" ht="15" x14ac:dyDescent="0.15">
      <c r="A35" s="60" t="s">
        <v>164</v>
      </c>
      <c r="B35" s="61" t="s">
        <v>122</v>
      </c>
      <c r="C35" s="61" t="s">
        <v>103</v>
      </c>
      <c r="D35" s="61" t="s">
        <v>165</v>
      </c>
      <c r="E35" s="61" t="s">
        <v>116</v>
      </c>
      <c r="F35" s="64">
        <v>16</v>
      </c>
      <c r="G35" s="64">
        <v>24</v>
      </c>
      <c r="H35" s="55"/>
      <c r="I35" s="56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>
        <v>2</v>
      </c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8">
        <f t="shared" si="0"/>
        <v>2</v>
      </c>
    </row>
    <row r="36" spans="1:69" ht="15" x14ac:dyDescent="0.15">
      <c r="A36" s="60" t="s">
        <v>166</v>
      </c>
      <c r="B36" s="61" t="s">
        <v>122</v>
      </c>
      <c r="C36" s="61" t="s">
        <v>103</v>
      </c>
      <c r="D36" s="61" t="s">
        <v>167</v>
      </c>
      <c r="E36" s="61" t="s">
        <v>116</v>
      </c>
      <c r="F36" s="64">
        <v>19.2</v>
      </c>
      <c r="G36" s="64">
        <v>32</v>
      </c>
      <c r="H36" s="55"/>
      <c r="I36" s="56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>
        <v>2</v>
      </c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8">
        <f t="shared" si="0"/>
        <v>2</v>
      </c>
    </row>
    <row r="37" spans="1:69" ht="15" x14ac:dyDescent="0.15">
      <c r="A37" s="60" t="s">
        <v>168</v>
      </c>
      <c r="B37" s="61" t="s">
        <v>122</v>
      </c>
      <c r="C37" s="61" t="s">
        <v>103</v>
      </c>
      <c r="D37" s="61" t="s">
        <v>169</v>
      </c>
      <c r="E37" s="61" t="s">
        <v>116</v>
      </c>
      <c r="F37" s="64">
        <v>32</v>
      </c>
      <c r="G37" s="64">
        <v>40</v>
      </c>
      <c r="H37" s="55"/>
      <c r="I37" s="56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>
        <v>1</v>
      </c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8">
        <f t="shared" si="0"/>
        <v>1</v>
      </c>
    </row>
    <row r="38" spans="1:69" ht="15" x14ac:dyDescent="0.15">
      <c r="A38" s="60" t="s">
        <v>170</v>
      </c>
      <c r="B38" s="61" t="s">
        <v>122</v>
      </c>
      <c r="C38" s="61" t="s">
        <v>171</v>
      </c>
      <c r="D38" s="61" t="s">
        <v>172</v>
      </c>
      <c r="E38" s="61" t="s">
        <v>116</v>
      </c>
      <c r="F38" s="64">
        <v>32</v>
      </c>
      <c r="G38" s="64">
        <v>136</v>
      </c>
      <c r="H38" s="55"/>
      <c r="I38" s="56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>
        <v>1</v>
      </c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>
        <v>1</v>
      </c>
      <c r="BF38" s="57"/>
      <c r="BG38" s="57"/>
      <c r="BH38" s="57"/>
      <c r="BI38" s="57"/>
      <c r="BJ38" s="57"/>
      <c r="BK38" s="57"/>
      <c r="BL38" s="57">
        <v>1</v>
      </c>
      <c r="BM38" s="57"/>
      <c r="BN38" s="57"/>
      <c r="BO38" s="57"/>
      <c r="BP38" s="57"/>
      <c r="BQ38" s="58">
        <f t="shared" si="0"/>
        <v>3</v>
      </c>
    </row>
    <row r="39" spans="1:69" ht="15" x14ac:dyDescent="0.15">
      <c r="A39" s="60" t="s">
        <v>173</v>
      </c>
      <c r="B39" s="61" t="s">
        <v>122</v>
      </c>
      <c r="C39" s="61" t="s">
        <v>174</v>
      </c>
      <c r="D39" s="61" t="s">
        <v>175</v>
      </c>
      <c r="E39" s="61" t="s">
        <v>91</v>
      </c>
      <c r="F39" s="64">
        <v>36</v>
      </c>
      <c r="G39" s="64">
        <v>36</v>
      </c>
      <c r="H39" s="55"/>
      <c r="I39" s="56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>
        <v>2</v>
      </c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>
        <v>1</v>
      </c>
      <c r="AU39" s="57"/>
      <c r="AV39" s="57"/>
      <c r="AW39" s="57">
        <v>3</v>
      </c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>
        <v>1</v>
      </c>
      <c r="BM39" s="57"/>
      <c r="BN39" s="57"/>
      <c r="BO39" s="57"/>
      <c r="BP39" s="57"/>
      <c r="BQ39" s="58">
        <f t="shared" si="0"/>
        <v>7</v>
      </c>
    </row>
    <row r="40" spans="1:69" ht="15" x14ac:dyDescent="0.15">
      <c r="A40" s="60" t="s">
        <v>176</v>
      </c>
      <c r="B40" s="61" t="s">
        <v>122</v>
      </c>
      <c r="C40" s="61" t="s">
        <v>174</v>
      </c>
      <c r="D40" s="61" t="s">
        <v>177</v>
      </c>
      <c r="E40" s="61" t="s">
        <v>91</v>
      </c>
      <c r="F40" s="64">
        <v>40</v>
      </c>
      <c r="G40" s="64">
        <v>40</v>
      </c>
      <c r="H40" s="55"/>
      <c r="I40" s="56"/>
      <c r="K40" s="57">
        <v>1</v>
      </c>
      <c r="L40" s="57">
        <v>3</v>
      </c>
      <c r="M40" s="57"/>
      <c r="N40" s="57"/>
      <c r="O40" s="57">
        <v>1</v>
      </c>
      <c r="P40" s="57"/>
      <c r="Q40" s="57">
        <v>1</v>
      </c>
      <c r="R40" s="57">
        <v>4</v>
      </c>
      <c r="S40" s="57"/>
      <c r="T40" s="57"/>
      <c r="U40" s="57"/>
      <c r="V40" s="57">
        <v>1</v>
      </c>
      <c r="W40" s="57">
        <v>2</v>
      </c>
      <c r="X40" s="57"/>
      <c r="Y40" s="57">
        <v>4</v>
      </c>
      <c r="Z40" s="57">
        <v>1</v>
      </c>
      <c r="AA40" s="57"/>
      <c r="AB40" s="57">
        <v>3</v>
      </c>
      <c r="AC40" s="57"/>
      <c r="AD40" s="57"/>
      <c r="AE40" s="57">
        <v>4</v>
      </c>
      <c r="AF40" s="57"/>
      <c r="AG40" s="57"/>
      <c r="AH40" s="57"/>
      <c r="AI40" s="57"/>
      <c r="AJ40" s="57"/>
      <c r="AK40" s="57"/>
      <c r="AL40" s="57"/>
      <c r="AM40" s="57"/>
      <c r="AN40" s="57">
        <v>2</v>
      </c>
      <c r="AO40" s="57"/>
      <c r="AP40" s="57">
        <v>1</v>
      </c>
      <c r="AQ40" s="57"/>
      <c r="AR40" s="57"/>
      <c r="AS40" s="57">
        <v>1</v>
      </c>
      <c r="AT40" s="57"/>
      <c r="AU40" s="57">
        <v>1</v>
      </c>
      <c r="AV40" s="57">
        <v>2</v>
      </c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>
        <v>6</v>
      </c>
      <c r="BI40" s="57"/>
      <c r="BJ40" s="57"/>
      <c r="BK40" s="57">
        <f>21</f>
        <v>21</v>
      </c>
      <c r="BL40" s="57">
        <v>3</v>
      </c>
      <c r="BM40" s="57"/>
      <c r="BN40" s="57">
        <v>1</v>
      </c>
      <c r="BO40" s="57">
        <v>1</v>
      </c>
      <c r="BP40" s="57"/>
      <c r="BQ40" s="58">
        <f t="shared" si="0"/>
        <v>64</v>
      </c>
    </row>
    <row r="41" spans="1:69" ht="15" x14ac:dyDescent="0.15">
      <c r="A41" s="60" t="s">
        <v>178</v>
      </c>
      <c r="B41" s="61" t="s">
        <v>122</v>
      </c>
      <c r="C41" s="61" t="s">
        <v>174</v>
      </c>
      <c r="D41" s="61" t="s">
        <v>179</v>
      </c>
      <c r="E41" s="61" t="s">
        <v>91</v>
      </c>
      <c r="F41" s="64">
        <v>48</v>
      </c>
      <c r="G41" s="64">
        <v>48</v>
      </c>
      <c r="H41" s="55"/>
      <c r="I41" s="56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>
        <v>1</v>
      </c>
      <c r="W41" s="57"/>
      <c r="X41" s="57"/>
      <c r="Y41" s="57"/>
      <c r="Z41" s="57"/>
      <c r="AA41" s="57">
        <v>1</v>
      </c>
      <c r="AC41" s="57"/>
      <c r="AD41" s="57"/>
      <c r="AE41" s="57"/>
      <c r="AF41" s="57"/>
      <c r="AG41" s="57">
        <v>3</v>
      </c>
      <c r="AH41" s="57"/>
      <c r="AI41" s="57"/>
      <c r="AJ41" s="57"/>
      <c r="AK41" s="57"/>
      <c r="AL41" s="57"/>
      <c r="AM41" s="57">
        <v>1</v>
      </c>
      <c r="AN41" s="57">
        <v>1</v>
      </c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>
        <v>1</v>
      </c>
      <c r="BC41" s="57"/>
      <c r="BD41" s="57"/>
      <c r="BE41" s="57"/>
      <c r="BF41" s="57">
        <v>1</v>
      </c>
      <c r="BG41" s="57"/>
      <c r="BH41" s="57"/>
      <c r="BI41" s="57">
        <v>1</v>
      </c>
      <c r="BJ41" s="57"/>
      <c r="BK41" s="57"/>
      <c r="BL41" s="57"/>
      <c r="BM41" s="57"/>
      <c r="BN41" s="57"/>
      <c r="BO41" s="57"/>
      <c r="BP41" s="57">
        <v>3</v>
      </c>
      <c r="BQ41" s="58">
        <f t="shared" si="0"/>
        <v>13</v>
      </c>
    </row>
    <row r="42" spans="1:69" ht="15" x14ac:dyDescent="0.15">
      <c r="A42" s="60" t="s">
        <v>180</v>
      </c>
      <c r="B42" s="61" t="s">
        <v>122</v>
      </c>
      <c r="C42" s="61" t="s">
        <v>174</v>
      </c>
      <c r="D42" s="61" t="s">
        <v>181</v>
      </c>
      <c r="E42" s="61" t="s">
        <v>91</v>
      </c>
      <c r="F42" s="64">
        <v>56</v>
      </c>
      <c r="G42" s="64">
        <v>56</v>
      </c>
      <c r="H42" s="55"/>
      <c r="I42" s="56"/>
      <c r="J42" s="57"/>
      <c r="K42" s="57"/>
      <c r="L42" s="57"/>
      <c r="M42" s="57"/>
      <c r="N42" s="57"/>
      <c r="O42" s="57"/>
      <c r="P42" s="57"/>
      <c r="Q42" s="57"/>
      <c r="R42" s="57"/>
      <c r="S42" s="57">
        <v>3</v>
      </c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>
        <v>2</v>
      </c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  <c r="BQ42" s="58">
        <f t="shared" si="0"/>
        <v>5</v>
      </c>
    </row>
    <row r="43" spans="1:69" ht="15" x14ac:dyDescent="0.15">
      <c r="A43" s="60" t="s">
        <v>182</v>
      </c>
      <c r="B43" s="61" t="s">
        <v>122</v>
      </c>
      <c r="C43" s="61" t="s">
        <v>174</v>
      </c>
      <c r="D43" s="61" t="s">
        <v>183</v>
      </c>
      <c r="E43" s="61" t="s">
        <v>91</v>
      </c>
      <c r="F43" s="64">
        <v>120</v>
      </c>
      <c r="G43" s="64">
        <v>120</v>
      </c>
      <c r="H43" s="55"/>
      <c r="I43" s="56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>
        <v>6</v>
      </c>
      <c r="BK43" s="57"/>
      <c r="BL43" s="57">
        <v>3</v>
      </c>
      <c r="BM43" s="57"/>
      <c r="BN43" s="57"/>
      <c r="BO43" s="57"/>
      <c r="BP43" s="57">
        <v>2</v>
      </c>
      <c r="BQ43" s="58">
        <f t="shared" si="0"/>
        <v>11</v>
      </c>
    </row>
    <row r="44" spans="1:69" ht="15" x14ac:dyDescent="0.2">
      <c r="A44" s="67" t="s">
        <v>184</v>
      </c>
      <c r="B44" s="61" t="s">
        <v>122</v>
      </c>
      <c r="C44" s="61" t="s">
        <v>174</v>
      </c>
      <c r="D44" s="68" t="s">
        <v>185</v>
      </c>
      <c r="E44" s="61" t="s">
        <v>91</v>
      </c>
      <c r="F44" s="64">
        <v>24</v>
      </c>
      <c r="G44" s="64">
        <v>24</v>
      </c>
      <c r="H44" s="55"/>
      <c r="I44" s="56">
        <v>4</v>
      </c>
      <c r="J44" s="57">
        <v>137</v>
      </c>
      <c r="K44" s="57">
        <v>22</v>
      </c>
      <c r="L44" s="57">
        <v>172</v>
      </c>
      <c r="M44" s="57">
        <v>47</v>
      </c>
      <c r="N44" s="57"/>
      <c r="O44" s="57"/>
      <c r="P44" s="57"/>
      <c r="Q44" s="57"/>
      <c r="R44" s="57"/>
      <c r="S44" s="57">
        <v>46</v>
      </c>
      <c r="T44" s="57">
        <v>8</v>
      </c>
      <c r="U44" s="57">
        <v>49</v>
      </c>
      <c r="V44" s="57"/>
      <c r="W44" s="57"/>
      <c r="X44" s="57">
        <v>7</v>
      </c>
      <c r="Y44" s="57"/>
      <c r="Z44" s="57"/>
      <c r="AA44" s="57">
        <v>7</v>
      </c>
      <c r="AB44">
        <v>8</v>
      </c>
      <c r="AC44" s="57">
        <v>12</v>
      </c>
      <c r="AD44" s="57">
        <v>13</v>
      </c>
      <c r="AE44" s="57">
        <v>3</v>
      </c>
      <c r="AF44" s="57"/>
      <c r="AG44" s="57"/>
      <c r="AH44" s="57">
        <v>5</v>
      </c>
      <c r="AI44" s="57"/>
      <c r="AJ44" s="57">
        <v>2</v>
      </c>
      <c r="AK44" s="57"/>
      <c r="AL44" s="57"/>
      <c r="AM44" s="57">
        <v>18</v>
      </c>
      <c r="AN44">
        <v>16</v>
      </c>
      <c r="AO44" s="57"/>
      <c r="AP44" s="57"/>
      <c r="AQ44" s="57"/>
      <c r="AR44" s="57">
        <v>9</v>
      </c>
      <c r="AS44" s="57"/>
      <c r="AT44" s="57">
        <v>2</v>
      </c>
      <c r="AU44" s="57">
        <v>11</v>
      </c>
      <c r="AV44" s="57">
        <v>2</v>
      </c>
      <c r="AW44" s="65">
        <v>40</v>
      </c>
      <c r="AX44" s="57"/>
      <c r="AY44" s="57">
        <v>1</v>
      </c>
      <c r="AZ44" s="57">
        <v>3</v>
      </c>
      <c r="BA44" s="57">
        <v>4</v>
      </c>
      <c r="BB44" s="57">
        <v>9</v>
      </c>
      <c r="BC44" s="57">
        <v>5</v>
      </c>
      <c r="BD44" s="57">
        <v>4</v>
      </c>
      <c r="BE44" s="57">
        <v>9</v>
      </c>
      <c r="BF44" s="57"/>
      <c r="BG44" s="57">
        <f>50+29</f>
        <v>79</v>
      </c>
      <c r="BH44" s="57">
        <f>38+10</f>
        <v>48</v>
      </c>
      <c r="BI44" s="57">
        <v>7</v>
      </c>
      <c r="BJ44" s="57">
        <f>1+16</f>
        <v>17</v>
      </c>
      <c r="BK44" s="57">
        <v>5</v>
      </c>
      <c r="BL44" s="57">
        <v>69</v>
      </c>
      <c r="BM44" s="57"/>
      <c r="BN44" s="57"/>
      <c r="BO44" s="57">
        <v>109</v>
      </c>
      <c r="BP44" s="57"/>
      <c r="BQ44" s="58">
        <f t="shared" si="0"/>
        <v>1009</v>
      </c>
    </row>
    <row r="45" spans="1:69" ht="15" x14ac:dyDescent="0.15">
      <c r="A45" s="76" t="s">
        <v>199</v>
      </c>
      <c r="B45" s="77" t="s">
        <v>200</v>
      </c>
      <c r="C45" s="77" t="s">
        <v>201</v>
      </c>
      <c r="D45" s="77" t="s">
        <v>202</v>
      </c>
      <c r="E45" s="77" t="s">
        <v>204</v>
      </c>
      <c r="F45" s="80">
        <v>4</v>
      </c>
      <c r="G45" s="80">
        <v>56</v>
      </c>
      <c r="H45" s="55"/>
      <c r="I45" s="56"/>
      <c r="J45" s="57">
        <v>14</v>
      </c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>
        <v>123</v>
      </c>
      <c r="BM45" s="57"/>
      <c r="BN45" s="57"/>
      <c r="BO45" s="57"/>
      <c r="BP45" s="57"/>
      <c r="BQ45" s="58">
        <f t="shared" si="0"/>
        <v>137</v>
      </c>
    </row>
    <row r="46" spans="1:69" ht="15" x14ac:dyDescent="0.15">
      <c r="A46" s="76" t="s">
        <v>205</v>
      </c>
      <c r="B46" s="77" t="s">
        <v>200</v>
      </c>
      <c r="C46" s="77" t="s">
        <v>201</v>
      </c>
      <c r="D46" s="77" t="s">
        <v>206</v>
      </c>
      <c r="E46" s="77" t="s">
        <v>204</v>
      </c>
      <c r="F46" s="80">
        <v>4</v>
      </c>
      <c r="G46" s="80">
        <v>72</v>
      </c>
      <c r="H46" s="55"/>
      <c r="I46" s="56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>
        <v>5</v>
      </c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8">
        <f t="shared" si="0"/>
        <v>5</v>
      </c>
    </row>
    <row r="47" spans="1:69" ht="15" x14ac:dyDescent="0.15">
      <c r="A47" s="76" t="s">
        <v>207</v>
      </c>
      <c r="B47" s="77" t="s">
        <v>200</v>
      </c>
      <c r="C47" s="77" t="s">
        <v>201</v>
      </c>
      <c r="D47" s="77" t="s">
        <v>208</v>
      </c>
      <c r="E47" s="77" t="s">
        <v>204</v>
      </c>
      <c r="F47" s="80">
        <v>4</v>
      </c>
      <c r="G47" s="80">
        <v>80</v>
      </c>
      <c r="H47" s="55"/>
      <c r="I47" s="56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>
        <v>5</v>
      </c>
      <c r="X47" s="57"/>
      <c r="Y47" s="57"/>
      <c r="Z47" s="57">
        <v>2</v>
      </c>
      <c r="AA47" s="57"/>
      <c r="AB47" s="57"/>
      <c r="AC47" s="57"/>
      <c r="AD47" s="57"/>
      <c r="AE47" s="57">
        <v>11</v>
      </c>
      <c r="AF47" s="57"/>
      <c r="AG47" s="57"/>
      <c r="AH47" s="57"/>
      <c r="AI47" s="57"/>
      <c r="AJ47" s="57">
        <v>10</v>
      </c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>
        <v>10</v>
      </c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8">
        <f t="shared" si="0"/>
        <v>38</v>
      </c>
    </row>
    <row r="48" spans="1:69" ht="15" x14ac:dyDescent="0.15">
      <c r="A48" s="76" t="s">
        <v>209</v>
      </c>
      <c r="B48" s="77" t="s">
        <v>200</v>
      </c>
      <c r="C48" s="77" t="s">
        <v>201</v>
      </c>
      <c r="D48" s="77" t="s">
        <v>210</v>
      </c>
      <c r="E48" s="77" t="s">
        <v>204</v>
      </c>
      <c r="F48" s="80">
        <v>4</v>
      </c>
      <c r="G48" s="80">
        <v>128</v>
      </c>
      <c r="H48" s="55"/>
      <c r="I48" s="56"/>
      <c r="J48" s="57"/>
      <c r="K48" s="57"/>
      <c r="L48" s="57"/>
      <c r="M48" s="57"/>
      <c r="N48" s="57"/>
      <c r="O48" s="57"/>
      <c r="P48" s="57"/>
      <c r="Q48" s="57"/>
      <c r="R48" s="57"/>
      <c r="S48" s="57">
        <v>3</v>
      </c>
      <c r="T48" s="57"/>
      <c r="U48" s="57"/>
      <c r="V48" s="57"/>
      <c r="W48" s="57"/>
      <c r="X48" s="57"/>
      <c r="Y48" s="57">
        <v>1</v>
      </c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>
        <v>4</v>
      </c>
      <c r="AZ48" s="57"/>
      <c r="BA48" s="57">
        <v>4</v>
      </c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8">
        <f t="shared" si="0"/>
        <v>12</v>
      </c>
    </row>
    <row r="49" spans="1:69" ht="15" x14ac:dyDescent="0.15">
      <c r="A49" s="76" t="s">
        <v>213</v>
      </c>
      <c r="B49" s="77" t="s">
        <v>200</v>
      </c>
      <c r="C49" s="77" t="s">
        <v>201</v>
      </c>
      <c r="D49" s="77" t="s">
        <v>214</v>
      </c>
      <c r="E49" s="77" t="s">
        <v>204</v>
      </c>
      <c r="F49" s="80">
        <v>6</v>
      </c>
      <c r="G49" s="80">
        <v>72</v>
      </c>
      <c r="H49" s="55"/>
      <c r="I49" s="56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>
        <v>1</v>
      </c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8">
        <f t="shared" si="0"/>
        <v>1</v>
      </c>
    </row>
    <row r="50" spans="1:69" ht="15" x14ac:dyDescent="0.15">
      <c r="A50" s="76" t="s">
        <v>215</v>
      </c>
      <c r="B50" s="77" t="s">
        <v>200</v>
      </c>
      <c r="C50" s="77" t="s">
        <v>201</v>
      </c>
      <c r="D50" s="77" t="s">
        <v>216</v>
      </c>
      <c r="E50" s="77" t="s">
        <v>204</v>
      </c>
      <c r="F50" s="80">
        <v>6</v>
      </c>
      <c r="G50" s="80">
        <v>160</v>
      </c>
      <c r="H50" s="55"/>
      <c r="I50" s="56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>
        <v>3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>
        <v>44</v>
      </c>
      <c r="BH50" s="57"/>
      <c r="BI50" s="57"/>
      <c r="BJ50" s="57"/>
      <c r="BK50" s="57"/>
      <c r="BL50" s="57"/>
      <c r="BM50" s="57"/>
      <c r="BN50" s="57"/>
      <c r="BO50" s="57"/>
      <c r="BP50" s="57"/>
      <c r="BQ50" s="58">
        <f t="shared" si="0"/>
        <v>47</v>
      </c>
    </row>
    <row r="51" spans="1:69" ht="15" x14ac:dyDescent="0.15">
      <c r="A51" s="76" t="s">
        <v>217</v>
      </c>
      <c r="B51" s="77" t="s">
        <v>200</v>
      </c>
      <c r="C51" s="77" t="s">
        <v>201</v>
      </c>
      <c r="D51" s="77" t="s">
        <v>218</v>
      </c>
      <c r="E51" s="77" t="s">
        <v>204</v>
      </c>
      <c r="F51" s="80">
        <v>8</v>
      </c>
      <c r="G51" s="80">
        <v>32</v>
      </c>
      <c r="H51" s="55"/>
      <c r="I51" s="56"/>
      <c r="J51" s="57"/>
      <c r="K51" s="57"/>
      <c r="L51" s="57"/>
      <c r="M51" s="57"/>
      <c r="N51" s="57"/>
      <c r="O51" s="57"/>
      <c r="P51" s="57"/>
      <c r="Q51" s="57"/>
      <c r="R51" s="57"/>
      <c r="S51" s="57">
        <f>13+3</f>
        <v>16</v>
      </c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>
        <v>143</v>
      </c>
      <c r="BK51" s="57"/>
      <c r="BL51" s="57"/>
      <c r="BM51" s="57"/>
      <c r="BN51" s="57"/>
      <c r="BO51" s="57"/>
      <c r="BP51" s="57"/>
      <c r="BQ51" s="58">
        <f t="shared" si="0"/>
        <v>159</v>
      </c>
    </row>
    <row r="52" spans="1:69" ht="15" x14ac:dyDescent="0.15">
      <c r="A52" s="81" t="s">
        <v>219</v>
      </c>
      <c r="B52" s="82" t="s">
        <v>200</v>
      </c>
      <c r="C52" s="82" t="s">
        <v>201</v>
      </c>
      <c r="D52" s="82" t="s">
        <v>220</v>
      </c>
      <c r="E52" s="77" t="s">
        <v>204</v>
      </c>
      <c r="F52" s="85">
        <v>8</v>
      </c>
      <c r="G52" s="85">
        <v>80</v>
      </c>
      <c r="H52" s="86"/>
      <c r="I52" s="56"/>
      <c r="K52" s="57">
        <v>15</v>
      </c>
      <c r="L52" s="57">
        <v>30</v>
      </c>
      <c r="M52" s="57">
        <v>7</v>
      </c>
      <c r="N52" s="57"/>
      <c r="O52" s="57">
        <v>6</v>
      </c>
      <c r="P52" s="57">
        <v>27</v>
      </c>
      <c r="Q52" s="57">
        <v>20</v>
      </c>
      <c r="R52" s="57">
        <v>33</v>
      </c>
      <c r="S52" s="57"/>
      <c r="T52" s="57">
        <v>17</v>
      </c>
      <c r="U52" s="57"/>
      <c r="V52" s="57"/>
      <c r="W52" s="57"/>
      <c r="X52" s="57"/>
      <c r="Y52" s="57"/>
      <c r="Z52" s="57">
        <v>7</v>
      </c>
      <c r="AA52" s="57">
        <v>20</v>
      </c>
      <c r="AB52">
        <v>8</v>
      </c>
      <c r="AC52" s="57"/>
      <c r="AD52" s="57">
        <v>12</v>
      </c>
      <c r="AE52" s="57"/>
      <c r="AF52" s="57"/>
      <c r="AG52" s="57"/>
      <c r="AH52" s="57"/>
      <c r="AI52" s="57">
        <v>5</v>
      </c>
      <c r="AJ52" s="57"/>
      <c r="AK52" s="57"/>
      <c r="AL52" s="57"/>
      <c r="AM52" s="57"/>
      <c r="AN52" s="57">
        <v>54</v>
      </c>
      <c r="AO52" s="57">
        <v>18</v>
      </c>
      <c r="AP52" s="57">
        <v>43</v>
      </c>
      <c r="AQ52" s="57"/>
      <c r="AR52" s="57">
        <v>51</v>
      </c>
      <c r="AS52" s="57">
        <v>23</v>
      </c>
      <c r="AT52" s="57">
        <v>28</v>
      </c>
      <c r="AU52" s="57">
        <v>50</v>
      </c>
      <c r="AV52" s="57">
        <v>28</v>
      </c>
      <c r="AW52" s="57"/>
      <c r="AX52" s="57"/>
      <c r="AY52" s="57"/>
      <c r="AZ52" s="57"/>
      <c r="BA52" s="57"/>
      <c r="BB52" s="57">
        <v>3</v>
      </c>
      <c r="BC52" s="57"/>
      <c r="BD52" s="57"/>
      <c r="BE52" s="57"/>
      <c r="BF52" s="57">
        <v>16</v>
      </c>
      <c r="BG52" s="57"/>
      <c r="BH52" s="57">
        <v>7</v>
      </c>
      <c r="BI52" s="57">
        <v>48</v>
      </c>
      <c r="BJ52" s="57"/>
      <c r="BK52" s="57">
        <v>57</v>
      </c>
      <c r="BL52" s="57"/>
      <c r="BM52" s="57"/>
      <c r="BN52" s="57">
        <v>129</v>
      </c>
      <c r="BO52" s="57">
        <v>117</v>
      </c>
      <c r="BP52" s="57">
        <v>169</v>
      </c>
      <c r="BQ52" s="58">
        <f t="shared" si="0"/>
        <v>1048</v>
      </c>
    </row>
    <row r="53" spans="1:69" ht="15" x14ac:dyDescent="0.15">
      <c r="A53" s="76" t="s">
        <v>221</v>
      </c>
      <c r="B53" s="77" t="s">
        <v>200</v>
      </c>
      <c r="C53" s="77" t="s">
        <v>201</v>
      </c>
      <c r="D53" s="77" t="s">
        <v>222</v>
      </c>
      <c r="E53" s="77" t="s">
        <v>204</v>
      </c>
      <c r="F53" s="80">
        <v>8</v>
      </c>
      <c r="G53" s="80">
        <v>120</v>
      </c>
      <c r="H53" s="55"/>
      <c r="I53" s="56"/>
      <c r="J53" s="57"/>
      <c r="K53" s="57"/>
      <c r="L53" s="57"/>
      <c r="M53" s="57"/>
      <c r="N53" s="57">
        <v>64</v>
      </c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>
        <v>1</v>
      </c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>
        <v>6</v>
      </c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>
        <v>130</v>
      </c>
      <c r="BN53" s="57"/>
      <c r="BO53" s="57"/>
      <c r="BP53" s="57"/>
      <c r="BQ53" s="58">
        <f t="shared" si="0"/>
        <v>201</v>
      </c>
    </row>
    <row r="54" spans="1:69" ht="15" x14ac:dyDescent="0.15">
      <c r="A54" s="76" t="s">
        <v>223</v>
      </c>
      <c r="B54" s="77" t="s">
        <v>200</v>
      </c>
      <c r="C54" s="77" t="s">
        <v>201</v>
      </c>
      <c r="D54" s="77" t="s">
        <v>224</v>
      </c>
      <c r="E54" s="77" t="s">
        <v>204</v>
      </c>
      <c r="F54" s="80">
        <v>8</v>
      </c>
      <c r="G54" s="80">
        <v>320</v>
      </c>
      <c r="H54" s="55"/>
      <c r="I54" s="56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>
        <v>1</v>
      </c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>
        <v>4</v>
      </c>
      <c r="BJ54" s="57"/>
      <c r="BK54" s="57"/>
      <c r="BL54" s="57"/>
      <c r="BM54" s="57"/>
      <c r="BN54" s="57"/>
      <c r="BO54" s="57"/>
      <c r="BP54" s="57"/>
      <c r="BQ54" s="58">
        <f t="shared" si="0"/>
        <v>5</v>
      </c>
    </row>
    <row r="55" spans="1:69" ht="15" x14ac:dyDescent="0.15">
      <c r="A55" s="76" t="s">
        <v>225</v>
      </c>
      <c r="B55" s="77" t="s">
        <v>200</v>
      </c>
      <c r="C55" s="77" t="s">
        <v>226</v>
      </c>
      <c r="D55" s="77" t="s">
        <v>227</v>
      </c>
      <c r="E55" s="77" t="s">
        <v>204</v>
      </c>
      <c r="F55" s="80">
        <v>4</v>
      </c>
      <c r="G55" s="80">
        <v>16</v>
      </c>
      <c r="H55" s="55"/>
      <c r="I55" s="56"/>
      <c r="J55" s="57"/>
      <c r="K55" s="57"/>
      <c r="L55" s="57"/>
      <c r="M55" s="57"/>
      <c r="N55" s="57"/>
      <c r="O55" s="57"/>
      <c r="P55" s="57"/>
      <c r="Q55" s="57"/>
      <c r="R55" s="57"/>
      <c r="S55" s="57">
        <v>7</v>
      </c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8">
        <f t="shared" si="0"/>
        <v>7</v>
      </c>
    </row>
    <row r="56" spans="1:69" ht="15" x14ac:dyDescent="0.15">
      <c r="A56" s="76" t="s">
        <v>228</v>
      </c>
      <c r="B56" s="77" t="s">
        <v>200</v>
      </c>
      <c r="C56" s="77" t="s">
        <v>226</v>
      </c>
      <c r="D56" s="77" t="s">
        <v>229</v>
      </c>
      <c r="E56" s="77" t="s">
        <v>204</v>
      </c>
      <c r="F56" s="80">
        <v>4</v>
      </c>
      <c r="G56" s="80">
        <v>40</v>
      </c>
      <c r="H56" s="55"/>
      <c r="I56" s="56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>
        <v>22</v>
      </c>
      <c r="BM56" s="57"/>
      <c r="BN56" s="57"/>
      <c r="BO56" s="57"/>
      <c r="BP56" s="57">
        <v>76</v>
      </c>
      <c r="BQ56" s="58">
        <f t="shared" si="0"/>
        <v>98</v>
      </c>
    </row>
    <row r="57" spans="1:69" ht="15" x14ac:dyDescent="0.15">
      <c r="A57" s="76" t="s">
        <v>230</v>
      </c>
      <c r="B57" s="77" t="s">
        <v>200</v>
      </c>
      <c r="C57" s="77" t="s">
        <v>226</v>
      </c>
      <c r="D57" s="77" t="s">
        <v>231</v>
      </c>
      <c r="E57" s="77" t="s">
        <v>204</v>
      </c>
      <c r="F57" s="80">
        <v>4</v>
      </c>
      <c r="G57" s="80">
        <v>48</v>
      </c>
      <c r="H57" s="55"/>
      <c r="I57" s="56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>
        <v>3</v>
      </c>
      <c r="X57" s="57"/>
      <c r="Y57" s="57"/>
      <c r="Z57" s="57"/>
      <c r="AA57" s="57"/>
      <c r="AB57" s="57">
        <v>3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>
        <v>1</v>
      </c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8">
        <f t="shared" si="0"/>
        <v>7</v>
      </c>
    </row>
    <row r="58" spans="1:69" ht="15" x14ac:dyDescent="0.15">
      <c r="A58" s="76" t="s">
        <v>232</v>
      </c>
      <c r="B58" s="77" t="s">
        <v>200</v>
      </c>
      <c r="C58" s="77" t="s">
        <v>226</v>
      </c>
      <c r="D58" s="77" t="s">
        <v>233</v>
      </c>
      <c r="E58" s="77" t="s">
        <v>204</v>
      </c>
      <c r="F58" s="80">
        <v>4</v>
      </c>
      <c r="G58" s="80">
        <v>64</v>
      </c>
      <c r="H58" s="55"/>
      <c r="I58" s="56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AA58" s="57">
        <v>13</v>
      </c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>
        <v>3</v>
      </c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>
        <v>123</v>
      </c>
      <c r="BM58" s="57"/>
      <c r="BN58" s="57"/>
      <c r="BO58" s="57"/>
      <c r="BP58" s="57"/>
      <c r="BQ58" s="58">
        <f t="shared" si="0"/>
        <v>139</v>
      </c>
    </row>
    <row r="59" spans="1:69" ht="15" x14ac:dyDescent="0.15">
      <c r="A59" s="76" t="s">
        <v>234</v>
      </c>
      <c r="B59" s="77" t="s">
        <v>200</v>
      </c>
      <c r="C59" s="77" t="s">
        <v>226</v>
      </c>
      <c r="D59" s="77" t="s">
        <v>235</v>
      </c>
      <c r="E59" s="77" t="s">
        <v>204</v>
      </c>
      <c r="F59" s="80">
        <v>4</v>
      </c>
      <c r="G59" s="80">
        <v>80</v>
      </c>
      <c r="H59" s="55"/>
      <c r="I59" s="56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>
        <v>1</v>
      </c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>
        <v>1</v>
      </c>
      <c r="AN59" s="57"/>
      <c r="AO59" s="57"/>
      <c r="AP59" s="57"/>
      <c r="AQ59" s="57"/>
      <c r="AR59" s="57"/>
      <c r="AS59" s="57"/>
      <c r="AT59" s="57"/>
      <c r="AU59" s="57">
        <v>9</v>
      </c>
      <c r="AV59" s="57"/>
      <c r="AW59" s="57"/>
      <c r="AX59" s="57"/>
      <c r="AY59" s="57"/>
      <c r="AZ59" s="57"/>
      <c r="BA59" s="57"/>
      <c r="BB59" s="57"/>
      <c r="BC59" s="57"/>
      <c r="BD59" s="57"/>
      <c r="BE59" s="57">
        <v>15</v>
      </c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  <c r="BQ59" s="58">
        <f t="shared" si="0"/>
        <v>26</v>
      </c>
    </row>
    <row r="60" spans="1:69" ht="15" x14ac:dyDescent="0.15">
      <c r="A60" s="76" t="s">
        <v>236</v>
      </c>
      <c r="B60" s="77" t="s">
        <v>200</v>
      </c>
      <c r="C60" s="77" t="s">
        <v>226</v>
      </c>
      <c r="D60" s="77" t="s">
        <v>237</v>
      </c>
      <c r="E60" s="77" t="s">
        <v>204</v>
      </c>
      <c r="F60" s="80">
        <v>4</v>
      </c>
      <c r="G60" s="80">
        <v>120</v>
      </c>
      <c r="H60" s="55"/>
      <c r="I60" s="56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>
        <v>28</v>
      </c>
      <c r="BP60" s="57"/>
      <c r="BQ60" s="58">
        <f t="shared" ref="BQ60:BQ121" si="1">SUM(I60:BP60)</f>
        <v>28</v>
      </c>
    </row>
    <row r="61" spans="1:69" ht="15" x14ac:dyDescent="0.15">
      <c r="A61" s="76" t="s">
        <v>238</v>
      </c>
      <c r="B61" s="77" t="s">
        <v>200</v>
      </c>
      <c r="C61" s="77" t="s">
        <v>226</v>
      </c>
      <c r="D61" s="77" t="s">
        <v>239</v>
      </c>
      <c r="E61" s="77" t="s">
        <v>204</v>
      </c>
      <c r="F61" s="80">
        <v>4</v>
      </c>
      <c r="G61" s="80">
        <v>160</v>
      </c>
      <c r="H61" s="55"/>
      <c r="I61" s="56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>
        <v>1</v>
      </c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  <c r="BQ61" s="58">
        <f t="shared" si="1"/>
        <v>1</v>
      </c>
    </row>
    <row r="62" spans="1:69" ht="15" x14ac:dyDescent="0.15">
      <c r="A62" s="76" t="s">
        <v>240</v>
      </c>
      <c r="B62" s="77" t="s">
        <v>200</v>
      </c>
      <c r="C62" s="77" t="s">
        <v>226</v>
      </c>
      <c r="D62" s="77" t="s">
        <v>241</v>
      </c>
      <c r="E62" s="77" t="s">
        <v>204</v>
      </c>
      <c r="F62" s="80">
        <v>4</v>
      </c>
      <c r="G62" s="80">
        <v>240</v>
      </c>
      <c r="H62" s="55"/>
      <c r="I62" s="56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>
        <v>1</v>
      </c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  <c r="BQ62" s="58">
        <f t="shared" si="1"/>
        <v>1</v>
      </c>
    </row>
    <row r="63" spans="1:69" ht="15" x14ac:dyDescent="0.15">
      <c r="A63" s="76" t="s">
        <v>242</v>
      </c>
      <c r="B63" s="77" t="s">
        <v>200</v>
      </c>
      <c r="C63" s="77" t="s">
        <v>226</v>
      </c>
      <c r="D63" s="77" t="s">
        <v>243</v>
      </c>
      <c r="E63" s="77" t="s">
        <v>204</v>
      </c>
      <c r="F63" s="80">
        <v>6</v>
      </c>
      <c r="G63" s="80">
        <v>40</v>
      </c>
      <c r="H63" s="55"/>
      <c r="I63" s="56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>
        <v>1</v>
      </c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8">
        <f t="shared" si="1"/>
        <v>1</v>
      </c>
    </row>
    <row r="64" spans="1:69" ht="15" x14ac:dyDescent="0.15">
      <c r="A64" s="76" t="s">
        <v>244</v>
      </c>
      <c r="B64" s="77" t="s">
        <v>200</v>
      </c>
      <c r="C64" s="77" t="s">
        <v>226</v>
      </c>
      <c r="D64" s="77" t="s">
        <v>245</v>
      </c>
      <c r="E64" s="77" t="s">
        <v>204</v>
      </c>
      <c r="F64" s="80">
        <v>6</v>
      </c>
      <c r="G64" s="80">
        <v>56</v>
      </c>
      <c r="H64" s="55"/>
      <c r="I64" s="56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X64" s="57">
        <v>3</v>
      </c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>
        <v>2</v>
      </c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  <c r="BQ64" s="58">
        <f t="shared" si="1"/>
        <v>5</v>
      </c>
    </row>
    <row r="65" spans="1:69" ht="15" x14ac:dyDescent="0.15">
      <c r="A65" s="76" t="s">
        <v>246</v>
      </c>
      <c r="B65" s="77" t="s">
        <v>200</v>
      </c>
      <c r="C65" s="77" t="s">
        <v>226</v>
      </c>
      <c r="D65" s="77" t="s">
        <v>247</v>
      </c>
      <c r="E65" s="77" t="s">
        <v>204</v>
      </c>
      <c r="F65" s="80">
        <v>6</v>
      </c>
      <c r="G65" s="80">
        <v>64</v>
      </c>
      <c r="H65" s="55"/>
      <c r="I65" s="56"/>
      <c r="J65" s="57">
        <v>5</v>
      </c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8">
        <f t="shared" si="1"/>
        <v>5</v>
      </c>
    </row>
    <row r="66" spans="1:69" ht="15" x14ac:dyDescent="0.15">
      <c r="A66" s="76" t="s">
        <v>248</v>
      </c>
      <c r="B66" s="77" t="s">
        <v>200</v>
      </c>
      <c r="C66" s="77" t="s">
        <v>226</v>
      </c>
      <c r="D66" s="77" t="s">
        <v>249</v>
      </c>
      <c r="E66" s="77" t="s">
        <v>204</v>
      </c>
      <c r="F66" s="80">
        <v>6</v>
      </c>
      <c r="G66" s="80">
        <v>80</v>
      </c>
      <c r="H66" s="55"/>
      <c r="I66" s="56"/>
      <c r="J66" s="57"/>
      <c r="K66" s="57"/>
      <c r="L66" s="57"/>
      <c r="M66" s="57"/>
      <c r="N66" s="57"/>
      <c r="O66" s="57">
        <v>9</v>
      </c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>
        <v>11</v>
      </c>
      <c r="BH66" s="57"/>
      <c r="BI66" s="57"/>
      <c r="BJ66" s="57"/>
      <c r="BK66" s="57"/>
      <c r="BL66" s="57"/>
      <c r="BM66" s="57"/>
      <c r="BN66" s="57"/>
      <c r="BO66" s="57"/>
      <c r="BP66" s="57"/>
      <c r="BQ66" s="58">
        <f t="shared" si="1"/>
        <v>20</v>
      </c>
    </row>
    <row r="67" spans="1:69" ht="15" x14ac:dyDescent="0.15">
      <c r="A67" s="76" t="s">
        <v>250</v>
      </c>
      <c r="B67" s="77" t="s">
        <v>200</v>
      </c>
      <c r="C67" s="77" t="s">
        <v>226</v>
      </c>
      <c r="D67" s="77" t="s">
        <v>251</v>
      </c>
      <c r="E67" s="77" t="s">
        <v>204</v>
      </c>
      <c r="F67" s="80">
        <v>6</v>
      </c>
      <c r="G67" s="80">
        <v>200</v>
      </c>
      <c r="H67" s="55"/>
      <c r="I67" s="56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>
        <v>6</v>
      </c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>
        <v>2</v>
      </c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>
        <v>5</v>
      </c>
      <c r="BN67" s="57"/>
      <c r="BO67" s="57"/>
      <c r="BP67" s="57"/>
      <c r="BQ67" s="58">
        <f t="shared" si="1"/>
        <v>13</v>
      </c>
    </row>
    <row r="68" spans="1:69" ht="15" x14ac:dyDescent="0.15">
      <c r="A68" s="76" t="s">
        <v>252</v>
      </c>
      <c r="B68" s="77" t="s">
        <v>200</v>
      </c>
      <c r="C68" s="77" t="s">
        <v>226</v>
      </c>
      <c r="D68" s="77" t="s">
        <v>253</v>
      </c>
      <c r="E68" s="77" t="s">
        <v>204</v>
      </c>
      <c r="F68" s="80">
        <v>8</v>
      </c>
      <c r="G68" s="80">
        <v>40</v>
      </c>
      <c r="H68" s="55"/>
      <c r="I68" s="56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>
        <v>1</v>
      </c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>
        <v>11</v>
      </c>
      <c r="BD68" s="57"/>
      <c r="BE68" s="57">
        <v>1</v>
      </c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  <c r="BQ68" s="58">
        <f t="shared" si="1"/>
        <v>13</v>
      </c>
    </row>
    <row r="69" spans="1:69" ht="15" x14ac:dyDescent="0.15">
      <c r="A69" s="76" t="s">
        <v>254</v>
      </c>
      <c r="B69" s="77" t="s">
        <v>200</v>
      </c>
      <c r="C69" s="77" t="s">
        <v>226</v>
      </c>
      <c r="D69" s="77" t="s">
        <v>255</v>
      </c>
      <c r="E69" s="77" t="s">
        <v>204</v>
      </c>
      <c r="F69" s="80">
        <v>8</v>
      </c>
      <c r="G69" s="80">
        <v>80</v>
      </c>
      <c r="H69" s="55"/>
      <c r="I69" s="56"/>
      <c r="J69" s="57"/>
      <c r="K69" s="57"/>
      <c r="L69" s="57">
        <v>10</v>
      </c>
      <c r="M69" s="57"/>
      <c r="N69" s="57"/>
      <c r="O69" s="57"/>
      <c r="P69" s="57">
        <v>28</v>
      </c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>
        <v>1</v>
      </c>
      <c r="BK69" s="57"/>
      <c r="BL69" s="57"/>
      <c r="BM69" s="57"/>
      <c r="BN69" s="57">
        <v>16</v>
      </c>
      <c r="BO69" s="57"/>
      <c r="BP69" s="57"/>
      <c r="BQ69" s="58">
        <f t="shared" si="1"/>
        <v>55</v>
      </c>
    </row>
    <row r="70" spans="1:69" ht="15" x14ac:dyDescent="0.15">
      <c r="A70" s="76" t="s">
        <v>256</v>
      </c>
      <c r="B70" s="77" t="s">
        <v>200</v>
      </c>
      <c r="C70" s="77" t="s">
        <v>226</v>
      </c>
      <c r="D70" s="77" t="s">
        <v>257</v>
      </c>
      <c r="E70" s="77" t="s">
        <v>204</v>
      </c>
      <c r="F70" s="80">
        <v>8</v>
      </c>
      <c r="G70" s="80">
        <v>144</v>
      </c>
      <c r="H70" s="55"/>
      <c r="I70" s="56"/>
      <c r="J70" s="57"/>
      <c r="K70" s="57"/>
      <c r="L70" s="57"/>
      <c r="M70" s="57"/>
      <c r="N70" s="57"/>
      <c r="O70" s="57"/>
      <c r="P70" s="57"/>
      <c r="Q70" s="57"/>
      <c r="R70" s="57"/>
      <c r="S70" s="57">
        <v>4</v>
      </c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>
        <v>2</v>
      </c>
      <c r="BI70" s="57"/>
      <c r="BJ70" s="57"/>
      <c r="BK70" s="57"/>
      <c r="BL70" s="57"/>
      <c r="BM70" s="57"/>
      <c r="BN70" s="57"/>
      <c r="BO70" s="57"/>
      <c r="BP70" s="57"/>
      <c r="BQ70" s="58">
        <f t="shared" si="1"/>
        <v>6</v>
      </c>
    </row>
    <row r="71" spans="1:69" ht="15" x14ac:dyDescent="0.15">
      <c r="A71" s="76" t="s">
        <v>258</v>
      </c>
      <c r="B71" s="77" t="s">
        <v>200</v>
      </c>
      <c r="C71" s="77" t="s">
        <v>103</v>
      </c>
      <c r="D71" s="77" t="s">
        <v>259</v>
      </c>
      <c r="E71" s="77" t="s">
        <v>204</v>
      </c>
      <c r="F71" s="80">
        <v>1.6</v>
      </c>
      <c r="G71" s="80">
        <v>80</v>
      </c>
      <c r="H71" s="55"/>
      <c r="I71" s="56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>
        <v>1</v>
      </c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  <c r="BQ71" s="58">
        <f t="shared" si="1"/>
        <v>1</v>
      </c>
    </row>
    <row r="72" spans="1:69" ht="15" x14ac:dyDescent="0.15">
      <c r="A72" s="76" t="s">
        <v>260</v>
      </c>
      <c r="B72" s="77" t="s">
        <v>200</v>
      </c>
      <c r="C72" s="77" t="s">
        <v>103</v>
      </c>
      <c r="D72" s="77" t="s">
        <v>261</v>
      </c>
      <c r="E72" s="77" t="s">
        <v>204</v>
      </c>
      <c r="F72" s="80">
        <v>4</v>
      </c>
      <c r="G72" s="80">
        <v>64</v>
      </c>
      <c r="H72" s="55"/>
      <c r="I72" s="56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>
        <v>1</v>
      </c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  <c r="BQ72" s="58">
        <f t="shared" si="1"/>
        <v>1</v>
      </c>
    </row>
    <row r="73" spans="1:69" ht="15" x14ac:dyDescent="0.15">
      <c r="A73" s="76" t="s">
        <v>262</v>
      </c>
      <c r="B73" s="77" t="s">
        <v>200</v>
      </c>
      <c r="C73" s="77" t="s">
        <v>103</v>
      </c>
      <c r="D73" s="87" t="s">
        <v>263</v>
      </c>
      <c r="E73" s="77" t="s">
        <v>204</v>
      </c>
      <c r="F73" s="90">
        <v>4</v>
      </c>
      <c r="G73" s="80">
        <v>80</v>
      </c>
      <c r="H73" s="91"/>
      <c r="I73" s="56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>
        <v>42</v>
      </c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  <c r="BQ73" s="58">
        <f t="shared" si="1"/>
        <v>42</v>
      </c>
    </row>
    <row r="74" spans="1:69" ht="15" x14ac:dyDescent="0.15">
      <c r="A74" s="76" t="s">
        <v>264</v>
      </c>
      <c r="B74" s="77" t="s">
        <v>200</v>
      </c>
      <c r="C74" s="77" t="s">
        <v>103</v>
      </c>
      <c r="D74" s="87" t="s">
        <v>265</v>
      </c>
      <c r="E74" s="77" t="s">
        <v>204</v>
      </c>
      <c r="F74" s="90">
        <v>4</v>
      </c>
      <c r="G74" s="80">
        <v>96</v>
      </c>
      <c r="H74" s="91"/>
      <c r="I74" s="56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>
        <v>11</v>
      </c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8">
        <f t="shared" si="1"/>
        <v>11</v>
      </c>
    </row>
    <row r="75" spans="1:69" ht="15" x14ac:dyDescent="0.15">
      <c r="A75" s="76" t="s">
        <v>266</v>
      </c>
      <c r="B75" s="77" t="s">
        <v>200</v>
      </c>
      <c r="C75" s="77" t="s">
        <v>103</v>
      </c>
      <c r="D75" s="87" t="s">
        <v>267</v>
      </c>
      <c r="E75" s="77" t="s">
        <v>204</v>
      </c>
      <c r="F75" s="90">
        <v>4</v>
      </c>
      <c r="G75" s="80">
        <v>128</v>
      </c>
      <c r="H75" s="91"/>
      <c r="I75" s="56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>
        <v>11</v>
      </c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>
        <v>1</v>
      </c>
      <c r="BK75" s="57"/>
      <c r="BL75" s="57"/>
      <c r="BM75" s="57"/>
      <c r="BN75" s="57"/>
      <c r="BO75" s="57">
        <v>1</v>
      </c>
      <c r="BP75" s="57"/>
      <c r="BQ75" s="58">
        <f t="shared" si="1"/>
        <v>13</v>
      </c>
    </row>
    <row r="76" spans="1:69" ht="15" x14ac:dyDescent="0.15">
      <c r="A76" s="76" t="s">
        <v>268</v>
      </c>
      <c r="B76" s="77" t="s">
        <v>200</v>
      </c>
      <c r="C76" s="77" t="s">
        <v>103</v>
      </c>
      <c r="D76" s="87" t="s">
        <v>269</v>
      </c>
      <c r="E76" s="77" t="s">
        <v>204</v>
      </c>
      <c r="F76" s="90">
        <v>6</v>
      </c>
      <c r="G76" s="80">
        <v>80</v>
      </c>
      <c r="H76" s="91"/>
      <c r="I76" s="56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>
        <v>5</v>
      </c>
      <c r="AO76" s="57"/>
      <c r="AP76" s="57"/>
      <c r="AQ76" s="57"/>
      <c r="AR76" s="57">
        <v>8</v>
      </c>
      <c r="AT76" s="57"/>
      <c r="AU76" s="57"/>
      <c r="AV76" s="57">
        <v>14</v>
      </c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8">
        <f t="shared" si="1"/>
        <v>27</v>
      </c>
    </row>
    <row r="77" spans="1:69" ht="15" x14ac:dyDescent="0.15">
      <c r="A77" s="76" t="s">
        <v>270</v>
      </c>
      <c r="B77" s="77" t="s">
        <v>200</v>
      </c>
      <c r="C77" s="77" t="s">
        <v>103</v>
      </c>
      <c r="D77" s="77" t="s">
        <v>271</v>
      </c>
      <c r="E77" s="77" t="s">
        <v>204</v>
      </c>
      <c r="F77" s="80">
        <v>8</v>
      </c>
      <c r="G77" s="80">
        <v>40</v>
      </c>
      <c r="H77" s="55"/>
      <c r="I77" s="56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>
        <v>3</v>
      </c>
      <c r="BH77" s="57"/>
      <c r="BI77" s="57"/>
      <c r="BJ77" s="57"/>
      <c r="BK77" s="57"/>
      <c r="BL77" s="57"/>
      <c r="BM77" s="57"/>
      <c r="BN77" s="57"/>
      <c r="BO77" s="57"/>
      <c r="BP77" s="57"/>
      <c r="BQ77" s="58">
        <f t="shared" si="1"/>
        <v>3</v>
      </c>
    </row>
    <row r="78" spans="1:69" ht="15" x14ac:dyDescent="0.15">
      <c r="A78" s="76" t="s">
        <v>272</v>
      </c>
      <c r="B78" s="77" t="s">
        <v>200</v>
      </c>
      <c r="C78" s="77" t="s">
        <v>103</v>
      </c>
      <c r="D78" s="77" t="s">
        <v>273</v>
      </c>
      <c r="E78" s="77" t="s">
        <v>204</v>
      </c>
      <c r="F78" s="80">
        <v>8</v>
      </c>
      <c r="G78" s="80">
        <v>72</v>
      </c>
      <c r="H78" s="55"/>
      <c r="I78" s="56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>
        <v>1</v>
      </c>
      <c r="AU78" s="57"/>
      <c r="AV78" s="57"/>
      <c r="AW78" s="57">
        <v>15</v>
      </c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>
        <v>1</v>
      </c>
      <c r="BL78" s="57"/>
      <c r="BM78" s="57"/>
      <c r="BN78" s="57"/>
      <c r="BO78" s="57"/>
      <c r="BP78" s="57"/>
      <c r="BQ78" s="58">
        <f t="shared" si="1"/>
        <v>17</v>
      </c>
    </row>
    <row r="79" spans="1:69" ht="15" x14ac:dyDescent="0.15">
      <c r="A79" s="76" t="s">
        <v>274</v>
      </c>
      <c r="B79" s="77" t="s">
        <v>200</v>
      </c>
      <c r="C79" s="77" t="s">
        <v>103</v>
      </c>
      <c r="D79" s="77" t="s">
        <v>275</v>
      </c>
      <c r="E79" s="77" t="s">
        <v>204</v>
      </c>
      <c r="F79" s="80">
        <v>8</v>
      </c>
      <c r="G79" s="80">
        <v>168</v>
      </c>
      <c r="H79" s="55"/>
      <c r="I79" s="56">
        <v>8</v>
      </c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>
        <v>17</v>
      </c>
      <c r="BI79" s="57"/>
      <c r="BJ79" s="57">
        <v>5</v>
      </c>
      <c r="BK79" s="57"/>
      <c r="BL79" s="57">
        <v>1</v>
      </c>
      <c r="BM79" s="57"/>
      <c r="BN79" s="57"/>
      <c r="BO79" s="57"/>
      <c r="BP79" s="57"/>
      <c r="BQ79" s="58">
        <f t="shared" si="1"/>
        <v>31</v>
      </c>
    </row>
    <row r="80" spans="1:69" ht="15" x14ac:dyDescent="0.15">
      <c r="A80" s="92" t="s">
        <v>276</v>
      </c>
      <c r="B80" s="93" t="s">
        <v>277</v>
      </c>
      <c r="C80" s="93" t="s">
        <v>278</v>
      </c>
      <c r="D80" s="93" t="s">
        <v>279</v>
      </c>
      <c r="E80" s="77" t="s">
        <v>204</v>
      </c>
      <c r="F80" s="97">
        <v>32</v>
      </c>
      <c r="G80" s="97">
        <v>32</v>
      </c>
      <c r="H80" s="98"/>
      <c r="I80" s="56"/>
      <c r="J80" s="57"/>
      <c r="K80" s="57">
        <v>1</v>
      </c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8">
        <f t="shared" si="1"/>
        <v>1</v>
      </c>
    </row>
    <row r="81" spans="1:69" ht="15" x14ac:dyDescent="0.15">
      <c r="A81" s="92" t="s">
        <v>280</v>
      </c>
      <c r="B81" s="93" t="s">
        <v>277</v>
      </c>
      <c r="C81" s="93" t="s">
        <v>278</v>
      </c>
      <c r="D81" s="93" t="s">
        <v>281</v>
      </c>
      <c r="E81" s="77" t="s">
        <v>204</v>
      </c>
      <c r="F81" s="97">
        <v>40</v>
      </c>
      <c r="G81" s="97">
        <v>40</v>
      </c>
      <c r="H81" s="98"/>
      <c r="I81" s="56"/>
      <c r="J81" s="57"/>
      <c r="K81" s="57"/>
      <c r="L81" s="57"/>
      <c r="M81" s="57"/>
      <c r="N81" s="57"/>
      <c r="O81" s="57"/>
      <c r="P81" s="57">
        <v>2</v>
      </c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>
        <v>12</v>
      </c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>
        <v>1</v>
      </c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>
        <v>40</v>
      </c>
      <c r="BO81" s="57"/>
      <c r="BP81" s="57"/>
      <c r="BQ81" s="58">
        <f t="shared" si="1"/>
        <v>55</v>
      </c>
    </row>
    <row r="82" spans="1:69" ht="15" x14ac:dyDescent="0.15">
      <c r="A82" s="92" t="s">
        <v>282</v>
      </c>
      <c r="B82" s="93" t="s">
        <v>277</v>
      </c>
      <c r="C82" s="93" t="s">
        <v>278</v>
      </c>
      <c r="D82" s="93" t="s">
        <v>283</v>
      </c>
      <c r="E82" s="77" t="s">
        <v>204</v>
      </c>
      <c r="F82" s="97">
        <v>48</v>
      </c>
      <c r="G82" s="97">
        <v>48</v>
      </c>
      <c r="H82" s="98"/>
      <c r="I82" s="56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>
        <v>3</v>
      </c>
      <c r="BA82" s="57"/>
      <c r="BB82" s="57"/>
      <c r="BC82" s="57"/>
      <c r="BD82" s="57">
        <v>4</v>
      </c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8">
        <f t="shared" si="1"/>
        <v>7</v>
      </c>
    </row>
    <row r="83" spans="1:69" ht="15" x14ac:dyDescent="0.15">
      <c r="A83" s="99" t="s">
        <v>284</v>
      </c>
      <c r="B83" s="93" t="s">
        <v>277</v>
      </c>
      <c r="C83" s="93" t="s">
        <v>278</v>
      </c>
      <c r="D83" s="93" t="s">
        <v>285</v>
      </c>
      <c r="E83" s="77" t="s">
        <v>204</v>
      </c>
      <c r="F83" s="102">
        <v>24.5</v>
      </c>
      <c r="G83" s="102">
        <v>24.5</v>
      </c>
      <c r="H83" s="103"/>
      <c r="I83" s="56">
        <v>30</v>
      </c>
      <c r="J83" s="57">
        <v>17</v>
      </c>
      <c r="K83" s="57"/>
      <c r="L83" s="57">
        <v>14</v>
      </c>
      <c r="M83" s="57">
        <v>2</v>
      </c>
      <c r="N83" s="57">
        <v>19</v>
      </c>
      <c r="O83" s="57">
        <v>2</v>
      </c>
      <c r="P83" s="57">
        <v>19</v>
      </c>
      <c r="Q83" s="57">
        <v>32</v>
      </c>
      <c r="R83" s="57">
        <f>3+24</f>
        <v>27</v>
      </c>
      <c r="S83" s="57">
        <v>28</v>
      </c>
      <c r="T83" s="57">
        <v>14</v>
      </c>
      <c r="U83" s="57">
        <v>3</v>
      </c>
      <c r="V83" s="57">
        <v>13</v>
      </c>
      <c r="W83" s="57"/>
      <c r="X83" s="57">
        <v>13</v>
      </c>
      <c r="Y83" s="57"/>
      <c r="Z83" s="57">
        <v>9</v>
      </c>
      <c r="AA83" s="57">
        <v>18</v>
      </c>
      <c r="AB83" s="57">
        <f>10+2</f>
        <v>12</v>
      </c>
      <c r="AC83" s="57"/>
      <c r="AD83" s="57">
        <v>754</v>
      </c>
      <c r="AE83" s="57">
        <v>67</v>
      </c>
      <c r="AF83" s="57">
        <v>474</v>
      </c>
      <c r="AG83" s="65">
        <v>111</v>
      </c>
      <c r="AH83" s="57">
        <v>669</v>
      </c>
      <c r="AI83" s="57">
        <v>169</v>
      </c>
      <c r="AJ83" s="57">
        <v>604</v>
      </c>
      <c r="AK83" s="57">
        <v>730</v>
      </c>
      <c r="AL83" s="57">
        <v>622</v>
      </c>
      <c r="AM83" s="57">
        <v>14</v>
      </c>
      <c r="AN83" s="57">
        <v>7</v>
      </c>
      <c r="AO83" s="57">
        <v>3</v>
      </c>
      <c r="AP83" s="57">
        <v>12</v>
      </c>
      <c r="AQ83" s="57">
        <v>4</v>
      </c>
      <c r="AR83" s="57">
        <v>5</v>
      </c>
      <c r="AS83" s="57"/>
      <c r="AT83" s="57"/>
      <c r="AU83" s="57">
        <f>4+4</f>
        <v>8</v>
      </c>
      <c r="AV83" s="57">
        <v>2</v>
      </c>
      <c r="AW83" s="57">
        <v>791</v>
      </c>
      <c r="AX83" s="57">
        <v>467</v>
      </c>
      <c r="AY83" s="57">
        <v>77</v>
      </c>
      <c r="AZ83" s="57">
        <v>167</v>
      </c>
      <c r="BA83" s="57">
        <v>120</v>
      </c>
      <c r="BB83" s="57">
        <v>237</v>
      </c>
      <c r="BC83" s="57">
        <v>179</v>
      </c>
      <c r="BD83" s="57">
        <v>542</v>
      </c>
      <c r="BE83" s="57">
        <v>356</v>
      </c>
      <c r="BF83" s="57">
        <v>802</v>
      </c>
      <c r="BG83" s="57">
        <v>46</v>
      </c>
      <c r="BH83" s="57">
        <v>11</v>
      </c>
      <c r="BI83" s="57">
        <v>10</v>
      </c>
      <c r="BJ83" s="57">
        <v>15</v>
      </c>
      <c r="BK83" s="57">
        <v>3</v>
      </c>
      <c r="BL83" s="57">
        <v>11</v>
      </c>
      <c r="BM83" s="57">
        <v>8</v>
      </c>
      <c r="BN83" s="57"/>
      <c r="BO83" s="57">
        <v>29</v>
      </c>
      <c r="BP83" s="57">
        <v>29</v>
      </c>
      <c r="BQ83" s="58">
        <f t="shared" si="1"/>
        <v>8427</v>
      </c>
    </row>
    <row r="84" spans="1:69" ht="15" x14ac:dyDescent="0.15">
      <c r="A84" s="92" t="s">
        <v>286</v>
      </c>
      <c r="B84" s="93" t="s">
        <v>277</v>
      </c>
      <c r="C84" s="93" t="s">
        <v>287</v>
      </c>
      <c r="D84" s="93" t="s">
        <v>288</v>
      </c>
      <c r="E84" s="77" t="s">
        <v>204</v>
      </c>
      <c r="F84" s="97">
        <v>4</v>
      </c>
      <c r="G84" s="97">
        <v>20</v>
      </c>
      <c r="H84" s="98"/>
      <c r="I84" s="56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>
        <v>3</v>
      </c>
      <c r="BH84" s="57"/>
      <c r="BI84" s="57"/>
      <c r="BJ84" s="57"/>
      <c r="BK84" s="57"/>
      <c r="BL84" s="57">
        <v>7</v>
      </c>
      <c r="BM84" s="57"/>
      <c r="BN84" s="57"/>
      <c r="BO84" s="57"/>
      <c r="BP84" s="57"/>
      <c r="BQ84" s="58">
        <f t="shared" si="1"/>
        <v>10</v>
      </c>
    </row>
    <row r="85" spans="1:69" ht="15" x14ac:dyDescent="0.15">
      <c r="A85" s="92" t="s">
        <v>289</v>
      </c>
      <c r="B85" s="93" t="s">
        <v>277</v>
      </c>
      <c r="C85" s="93" t="s">
        <v>287</v>
      </c>
      <c r="D85" s="93" t="s">
        <v>290</v>
      </c>
      <c r="E85" s="77" t="s">
        <v>204</v>
      </c>
      <c r="F85" s="97">
        <v>4</v>
      </c>
      <c r="G85" s="97">
        <v>32</v>
      </c>
      <c r="H85" s="98"/>
      <c r="I85" s="56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>
        <v>1</v>
      </c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>
        <v>105</v>
      </c>
      <c r="BH85" s="57"/>
      <c r="BI85" s="57"/>
      <c r="BJ85" s="57"/>
      <c r="BK85" s="57"/>
      <c r="BL85" s="57"/>
      <c r="BM85" s="57"/>
      <c r="BN85" s="57"/>
      <c r="BO85" s="57"/>
      <c r="BP85" s="57"/>
      <c r="BQ85" s="58">
        <f t="shared" si="1"/>
        <v>106</v>
      </c>
    </row>
    <row r="86" spans="1:69" ht="15" x14ac:dyDescent="0.15">
      <c r="A86" s="92" t="s">
        <v>291</v>
      </c>
      <c r="B86" s="93" t="s">
        <v>277</v>
      </c>
      <c r="C86" s="93" t="s">
        <v>287</v>
      </c>
      <c r="D86" s="93" t="s">
        <v>292</v>
      </c>
      <c r="E86" s="77" t="s">
        <v>204</v>
      </c>
      <c r="F86" s="97">
        <v>4</v>
      </c>
      <c r="G86" s="97">
        <v>64</v>
      </c>
      <c r="H86" s="98"/>
      <c r="I86" s="56">
        <v>1</v>
      </c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>
        <v>3</v>
      </c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>
        <v>2</v>
      </c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8">
        <f t="shared" si="1"/>
        <v>6</v>
      </c>
    </row>
    <row r="87" spans="1:69" ht="15" x14ac:dyDescent="0.15">
      <c r="A87" s="92" t="s">
        <v>293</v>
      </c>
      <c r="B87" s="93" t="s">
        <v>277</v>
      </c>
      <c r="C87" s="93" t="s">
        <v>287</v>
      </c>
      <c r="D87" s="93" t="s">
        <v>294</v>
      </c>
      <c r="E87" s="77" t="s">
        <v>204</v>
      </c>
      <c r="F87" s="97">
        <v>4</v>
      </c>
      <c r="G87" s="97">
        <v>104</v>
      </c>
      <c r="H87" s="98"/>
      <c r="I87" s="56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>
        <v>1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>
        <v>1</v>
      </c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8">
        <f t="shared" si="1"/>
        <v>2</v>
      </c>
    </row>
    <row r="88" spans="1:69" ht="15" x14ac:dyDescent="0.15">
      <c r="A88" s="92" t="s">
        <v>295</v>
      </c>
      <c r="B88" s="93" t="s">
        <v>277</v>
      </c>
      <c r="C88" s="93" t="s">
        <v>287</v>
      </c>
      <c r="D88" s="93" t="s">
        <v>296</v>
      </c>
      <c r="E88" s="77" t="s">
        <v>204</v>
      </c>
      <c r="F88" s="97">
        <v>4</v>
      </c>
      <c r="G88" s="97">
        <v>160</v>
      </c>
      <c r="H88" s="98"/>
      <c r="I88" s="56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>
        <v>6</v>
      </c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>
        <v>1</v>
      </c>
      <c r="BL88" s="57"/>
      <c r="BM88" s="57"/>
      <c r="BN88" s="57"/>
      <c r="BO88" s="57"/>
      <c r="BP88" s="57">
        <v>49</v>
      </c>
      <c r="BQ88" s="58">
        <f t="shared" si="1"/>
        <v>56</v>
      </c>
    </row>
    <row r="89" spans="1:69" ht="15" x14ac:dyDescent="0.15">
      <c r="A89" s="92" t="s">
        <v>297</v>
      </c>
      <c r="B89" s="93" t="s">
        <v>277</v>
      </c>
      <c r="C89" s="93" t="s">
        <v>287</v>
      </c>
      <c r="D89" s="93" t="s">
        <v>298</v>
      </c>
      <c r="E89" s="77" t="s">
        <v>204</v>
      </c>
      <c r="F89" s="97">
        <v>6</v>
      </c>
      <c r="G89" s="97">
        <v>176</v>
      </c>
      <c r="H89" s="98"/>
      <c r="I89" s="56"/>
      <c r="J89" s="57"/>
      <c r="K89" s="57"/>
      <c r="L89" s="57"/>
      <c r="M89" s="57"/>
      <c r="N89" s="57"/>
      <c r="O89" s="57"/>
      <c r="P89" s="57"/>
      <c r="Q89" s="57"/>
      <c r="R89" s="57"/>
      <c r="S89" s="57">
        <v>3</v>
      </c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>
        <v>58</v>
      </c>
      <c r="BM89" s="57"/>
      <c r="BN89" s="57"/>
      <c r="BO89" s="57"/>
      <c r="BP89" s="57"/>
      <c r="BQ89" s="58">
        <f t="shared" si="1"/>
        <v>61</v>
      </c>
    </row>
    <row r="90" spans="1:69" ht="15" x14ac:dyDescent="0.15">
      <c r="A90" s="92" t="s">
        <v>299</v>
      </c>
      <c r="B90" s="93" t="s">
        <v>277</v>
      </c>
      <c r="C90" s="93" t="s">
        <v>287</v>
      </c>
      <c r="D90" s="93" t="s">
        <v>300</v>
      </c>
      <c r="E90" s="77" t="s">
        <v>204</v>
      </c>
      <c r="F90" s="97">
        <v>6</v>
      </c>
      <c r="G90" s="97">
        <v>248</v>
      </c>
      <c r="H90" s="98"/>
      <c r="I90" s="56">
        <v>1</v>
      </c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>
        <v>1</v>
      </c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8">
        <f t="shared" si="1"/>
        <v>2</v>
      </c>
    </row>
    <row r="91" spans="1:69" ht="15" x14ac:dyDescent="0.15">
      <c r="A91" s="92" t="s">
        <v>301</v>
      </c>
      <c r="B91" s="93" t="s">
        <v>277</v>
      </c>
      <c r="C91" s="93" t="s">
        <v>287</v>
      </c>
      <c r="D91" s="93" t="s">
        <v>302</v>
      </c>
      <c r="E91" s="77" t="s">
        <v>204</v>
      </c>
      <c r="F91" s="97">
        <v>8</v>
      </c>
      <c r="G91" s="97">
        <v>80</v>
      </c>
      <c r="H91" s="98"/>
      <c r="I91" s="56"/>
      <c r="J91" s="57"/>
      <c r="K91" s="57"/>
      <c r="L91" s="57">
        <v>1</v>
      </c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>
        <v>2</v>
      </c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>
        <v>4</v>
      </c>
      <c r="BH91" s="57"/>
      <c r="BI91" s="57">
        <v>2</v>
      </c>
      <c r="BJ91" s="57"/>
      <c r="BK91" s="57"/>
      <c r="BL91" s="57"/>
      <c r="BM91" s="57"/>
      <c r="BN91" s="57"/>
      <c r="BO91" s="57"/>
      <c r="BP91" s="57"/>
      <c r="BQ91" s="58">
        <f t="shared" si="1"/>
        <v>9</v>
      </c>
    </row>
    <row r="92" spans="1:69" ht="15" x14ac:dyDescent="0.15">
      <c r="A92" s="92" t="s">
        <v>303</v>
      </c>
      <c r="B92" s="93" t="s">
        <v>277</v>
      </c>
      <c r="C92" s="93" t="s">
        <v>287</v>
      </c>
      <c r="D92" s="93" t="s">
        <v>304</v>
      </c>
      <c r="E92" s="77" t="s">
        <v>204</v>
      </c>
      <c r="F92" s="97">
        <v>8</v>
      </c>
      <c r="G92" s="97">
        <v>120</v>
      </c>
      <c r="H92" s="98"/>
      <c r="I92" s="56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>
        <v>1</v>
      </c>
      <c r="AD92" s="57"/>
      <c r="AE92" s="57"/>
      <c r="AF92" s="57">
        <v>6</v>
      </c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>
        <v>1</v>
      </c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8">
        <f t="shared" si="1"/>
        <v>8</v>
      </c>
    </row>
    <row r="93" spans="1:69" ht="14" x14ac:dyDescent="0.15">
      <c r="A93" s="92" t="s">
        <v>305</v>
      </c>
      <c r="B93" s="93" t="s">
        <v>277</v>
      </c>
      <c r="C93" s="93" t="s">
        <v>287</v>
      </c>
      <c r="D93" s="93" t="s">
        <v>306</v>
      </c>
      <c r="E93" s="93" t="s">
        <v>307</v>
      </c>
      <c r="F93" s="97">
        <v>8</v>
      </c>
      <c r="G93" s="97">
        <v>136</v>
      </c>
      <c r="H93" s="98">
        <v>8</v>
      </c>
      <c r="I93" s="56"/>
      <c r="J93" s="57"/>
      <c r="K93" s="57"/>
      <c r="L93" s="57"/>
      <c r="M93" s="57"/>
      <c r="N93" s="57"/>
      <c r="O93" s="57"/>
      <c r="P93" s="57">
        <v>3</v>
      </c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>
        <v>2</v>
      </c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8">
        <f t="shared" si="1"/>
        <v>5</v>
      </c>
    </row>
    <row r="94" spans="1:69" ht="14" x14ac:dyDescent="0.15">
      <c r="A94" s="92" t="s">
        <v>308</v>
      </c>
      <c r="B94" s="93" t="s">
        <v>277</v>
      </c>
      <c r="C94" s="93" t="s">
        <v>287</v>
      </c>
      <c r="D94" s="93" t="s">
        <v>309</v>
      </c>
      <c r="E94" s="93" t="s">
        <v>204</v>
      </c>
      <c r="F94" s="97">
        <v>8</v>
      </c>
      <c r="G94" s="97">
        <v>144</v>
      </c>
      <c r="H94" s="98"/>
      <c r="I94" s="56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>
        <v>10</v>
      </c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8">
        <f t="shared" si="1"/>
        <v>10</v>
      </c>
    </row>
    <row r="95" spans="1:69" ht="14" x14ac:dyDescent="0.15">
      <c r="A95" s="92" t="s">
        <v>310</v>
      </c>
      <c r="B95" s="93" t="s">
        <v>277</v>
      </c>
      <c r="C95" s="93" t="s">
        <v>287</v>
      </c>
      <c r="D95" s="93" t="s">
        <v>311</v>
      </c>
      <c r="E95" s="93" t="s">
        <v>307</v>
      </c>
      <c r="F95" s="97">
        <v>8</v>
      </c>
      <c r="G95" s="97">
        <v>160</v>
      </c>
      <c r="H95" s="98">
        <v>8</v>
      </c>
      <c r="I95" s="56"/>
      <c r="J95" s="57"/>
      <c r="K95" s="57"/>
      <c r="L95" s="57"/>
      <c r="M95" s="57"/>
      <c r="N95" s="57"/>
      <c r="O95" s="57"/>
      <c r="P95" s="57"/>
      <c r="R95" s="57">
        <v>4</v>
      </c>
      <c r="S95" s="57">
        <v>1</v>
      </c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>
        <v>9</v>
      </c>
      <c r="AE95" s="57"/>
      <c r="AF95" s="57">
        <v>2</v>
      </c>
      <c r="AH95" s="57">
        <v>3</v>
      </c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>
        <v>1</v>
      </c>
      <c r="BI95" s="57"/>
      <c r="BJ95" s="57">
        <v>28</v>
      </c>
      <c r="BK95" s="57"/>
      <c r="BL95" s="57"/>
      <c r="BM95" s="57"/>
      <c r="BN95" s="57"/>
      <c r="BO95" s="57"/>
      <c r="BP95" s="57"/>
      <c r="BQ95" s="58">
        <f t="shared" si="1"/>
        <v>48</v>
      </c>
    </row>
    <row r="96" spans="1:69" ht="14" x14ac:dyDescent="0.15">
      <c r="A96" s="92" t="s">
        <v>313</v>
      </c>
      <c r="B96" s="93" t="s">
        <v>277</v>
      </c>
      <c r="C96" s="93" t="s">
        <v>287</v>
      </c>
      <c r="D96" s="93" t="s">
        <v>314</v>
      </c>
      <c r="E96" s="93" t="s">
        <v>204</v>
      </c>
      <c r="F96" s="97">
        <v>8</v>
      </c>
      <c r="G96" s="97">
        <v>200</v>
      </c>
      <c r="H96" s="98"/>
      <c r="I96" s="56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>
        <v>7</v>
      </c>
      <c r="AK96" s="57"/>
      <c r="AL96" s="57">
        <v>3</v>
      </c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>
        <v>1</v>
      </c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8">
        <f t="shared" si="1"/>
        <v>11</v>
      </c>
    </row>
    <row r="97" spans="1:69" ht="14" x14ac:dyDescent="0.15">
      <c r="A97" s="92" t="s">
        <v>315</v>
      </c>
      <c r="B97" s="93" t="s">
        <v>277</v>
      </c>
      <c r="C97" s="93" t="s">
        <v>287</v>
      </c>
      <c r="D97" s="93" t="s">
        <v>316</v>
      </c>
      <c r="E97" s="93" t="s">
        <v>204</v>
      </c>
      <c r="F97" s="97">
        <v>8</v>
      </c>
      <c r="G97" s="97">
        <v>256</v>
      </c>
      <c r="H97" s="98"/>
      <c r="I97" s="56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>
        <v>1</v>
      </c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>
        <v>3</v>
      </c>
      <c r="BN97" s="57"/>
      <c r="BO97" s="57">
        <v>12</v>
      </c>
      <c r="BP97" s="57">
        <v>14</v>
      </c>
      <c r="BQ97" s="58">
        <f t="shared" si="1"/>
        <v>30</v>
      </c>
    </row>
    <row r="98" spans="1:69" ht="14" x14ac:dyDescent="0.15">
      <c r="A98" s="92" t="s">
        <v>317</v>
      </c>
      <c r="B98" s="93" t="s">
        <v>277</v>
      </c>
      <c r="C98" s="93" t="s">
        <v>287</v>
      </c>
      <c r="D98" s="93" t="s">
        <v>318</v>
      </c>
      <c r="E98" s="93" t="s">
        <v>204</v>
      </c>
      <c r="F98" s="97">
        <v>8</v>
      </c>
      <c r="G98" s="97">
        <v>408</v>
      </c>
      <c r="H98" s="98"/>
      <c r="I98" s="56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>
        <v>1</v>
      </c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8">
        <f t="shared" si="1"/>
        <v>1</v>
      </c>
    </row>
    <row r="99" spans="1:69" ht="14" x14ac:dyDescent="0.15">
      <c r="A99" s="92" t="s">
        <v>319</v>
      </c>
      <c r="B99" s="93" t="s">
        <v>277</v>
      </c>
      <c r="C99" s="93" t="s">
        <v>287</v>
      </c>
      <c r="D99" s="93" t="s">
        <v>320</v>
      </c>
      <c r="E99" s="93" t="s">
        <v>204</v>
      </c>
      <c r="F99" s="97">
        <v>12</v>
      </c>
      <c r="G99" s="97">
        <v>128</v>
      </c>
      <c r="H99" s="98"/>
      <c r="I99" s="56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>
        <v>1</v>
      </c>
      <c r="AE99" s="57"/>
      <c r="AF99" s="57"/>
      <c r="AG99" s="57"/>
      <c r="AH99" s="57"/>
      <c r="AI99" s="57"/>
      <c r="AJ99" s="57"/>
      <c r="AK99" s="57"/>
      <c r="AL99" s="57"/>
      <c r="AM99" s="57">
        <v>1</v>
      </c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8">
        <f t="shared" si="1"/>
        <v>2</v>
      </c>
    </row>
    <row r="100" spans="1:69" ht="14" x14ac:dyDescent="0.15">
      <c r="A100" s="92" t="s">
        <v>321</v>
      </c>
      <c r="B100" s="93" t="s">
        <v>277</v>
      </c>
      <c r="C100" s="93" t="s">
        <v>287</v>
      </c>
      <c r="D100" s="93" t="s">
        <v>322</v>
      </c>
      <c r="E100" s="93" t="s">
        <v>204</v>
      </c>
      <c r="F100" s="97">
        <v>16</v>
      </c>
      <c r="G100" s="97">
        <v>160</v>
      </c>
      <c r="H100" s="98"/>
      <c r="I100" s="56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>
        <v>1</v>
      </c>
      <c r="BF100" s="57"/>
      <c r="BG100" s="57">
        <v>14</v>
      </c>
      <c r="BH100" s="57"/>
      <c r="BI100" s="57"/>
      <c r="BJ100" s="57"/>
      <c r="BK100" s="57"/>
      <c r="BL100" s="57">
        <v>1</v>
      </c>
      <c r="BM100" s="57">
        <v>1</v>
      </c>
      <c r="BN100" s="57"/>
      <c r="BO100" s="57"/>
      <c r="BP100" s="57"/>
      <c r="BQ100" s="58">
        <f t="shared" si="1"/>
        <v>17</v>
      </c>
    </row>
    <row r="101" spans="1:69" ht="14" x14ac:dyDescent="0.15">
      <c r="A101" s="92" t="s">
        <v>323</v>
      </c>
      <c r="B101" s="93" t="s">
        <v>277</v>
      </c>
      <c r="C101" s="93" t="s">
        <v>287</v>
      </c>
      <c r="D101" s="93" t="s">
        <v>324</v>
      </c>
      <c r="E101" s="93" t="s">
        <v>204</v>
      </c>
      <c r="F101" s="97">
        <v>16</v>
      </c>
      <c r="G101" s="97">
        <v>240</v>
      </c>
      <c r="H101" s="98"/>
      <c r="I101" s="56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X101" s="57">
        <v>2</v>
      </c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>
        <v>1</v>
      </c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>
        <v>1</v>
      </c>
      <c r="BH101" s="57"/>
      <c r="BI101" s="57"/>
      <c r="BJ101" s="57"/>
      <c r="BK101" s="57"/>
      <c r="BL101" s="57"/>
      <c r="BM101" s="57"/>
      <c r="BN101" s="57">
        <v>4</v>
      </c>
      <c r="BO101" s="57">
        <v>2</v>
      </c>
      <c r="BP101" s="57">
        <v>5</v>
      </c>
      <c r="BQ101" s="58">
        <f t="shared" si="1"/>
        <v>15</v>
      </c>
    </row>
    <row r="102" spans="1:69" ht="14" x14ac:dyDescent="0.15">
      <c r="A102" s="92" t="s">
        <v>325</v>
      </c>
      <c r="B102" s="93" t="s">
        <v>277</v>
      </c>
      <c r="C102" s="93" t="s">
        <v>287</v>
      </c>
      <c r="D102" s="93" t="s">
        <v>326</v>
      </c>
      <c r="E102" s="93" t="s">
        <v>204</v>
      </c>
      <c r="F102" s="97">
        <v>24</v>
      </c>
      <c r="G102" s="97">
        <v>64</v>
      </c>
      <c r="H102" s="98"/>
      <c r="I102" s="56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>
        <v>2</v>
      </c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>
        <v>1</v>
      </c>
      <c r="BG102" s="57">
        <v>4</v>
      </c>
      <c r="BH102" s="57"/>
      <c r="BI102" s="57"/>
      <c r="BJ102" s="57"/>
      <c r="BK102" s="57"/>
      <c r="BL102" s="57"/>
      <c r="BM102" s="57"/>
      <c r="BN102" s="57"/>
      <c r="BO102" s="57"/>
      <c r="BP102" s="57"/>
      <c r="BQ102" s="58">
        <f t="shared" si="1"/>
        <v>7</v>
      </c>
    </row>
    <row r="103" spans="1:69" ht="14" x14ac:dyDescent="0.15">
      <c r="A103" s="92" t="s">
        <v>327</v>
      </c>
      <c r="B103" s="93" t="s">
        <v>277</v>
      </c>
      <c r="C103" s="93" t="s">
        <v>287</v>
      </c>
      <c r="D103" s="93" t="s">
        <v>328</v>
      </c>
      <c r="E103" s="93" t="s">
        <v>204</v>
      </c>
      <c r="F103" s="97">
        <v>32</v>
      </c>
      <c r="G103" s="97">
        <v>1400</v>
      </c>
      <c r="H103" s="98"/>
      <c r="I103" s="56">
        <v>1</v>
      </c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8">
        <f t="shared" si="1"/>
        <v>1</v>
      </c>
    </row>
    <row r="104" spans="1:69" ht="14" x14ac:dyDescent="0.15">
      <c r="A104" s="92" t="s">
        <v>332</v>
      </c>
      <c r="B104" s="93" t="s">
        <v>277</v>
      </c>
      <c r="C104" s="93" t="s">
        <v>330</v>
      </c>
      <c r="D104" s="93" t="s">
        <v>333</v>
      </c>
      <c r="E104" s="93" t="s">
        <v>116</v>
      </c>
      <c r="F104" s="97">
        <v>16</v>
      </c>
      <c r="G104" s="97">
        <v>32</v>
      </c>
      <c r="H104" s="98"/>
      <c r="I104" s="56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>
        <v>1</v>
      </c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>
        <v>1</v>
      </c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>
        <v>1</v>
      </c>
      <c r="BH104" s="57"/>
      <c r="BI104" s="57">
        <v>1</v>
      </c>
      <c r="BJ104" s="57"/>
      <c r="BK104" s="57">
        <v>1</v>
      </c>
      <c r="BL104" s="57"/>
      <c r="BM104" s="57"/>
      <c r="BN104" s="57">
        <v>1</v>
      </c>
      <c r="BO104" s="57"/>
      <c r="BP104" s="57"/>
      <c r="BQ104" s="58">
        <f t="shared" si="1"/>
        <v>6</v>
      </c>
    </row>
    <row r="105" spans="1:69" ht="14" x14ac:dyDescent="0.15">
      <c r="A105" s="92" t="s">
        <v>334</v>
      </c>
      <c r="B105" s="93" t="s">
        <v>277</v>
      </c>
      <c r="C105" s="93" t="s">
        <v>330</v>
      </c>
      <c r="D105" s="93" t="s">
        <v>335</v>
      </c>
      <c r="E105" s="93" t="s">
        <v>116</v>
      </c>
      <c r="F105" s="97">
        <v>32</v>
      </c>
      <c r="G105" s="97">
        <v>48</v>
      </c>
      <c r="H105" s="98"/>
      <c r="I105" s="56"/>
      <c r="J105" s="57"/>
      <c r="K105" s="57"/>
      <c r="L105" s="57"/>
      <c r="M105" s="57"/>
      <c r="N105" s="57"/>
      <c r="O105" s="57"/>
      <c r="P105" s="57"/>
      <c r="Q105" s="57"/>
      <c r="R105" s="57"/>
      <c r="S105" s="57">
        <v>5</v>
      </c>
      <c r="T105" s="57"/>
      <c r="U105" s="57"/>
      <c r="V105" s="57"/>
      <c r="W105" s="57"/>
      <c r="X105" s="57">
        <v>1</v>
      </c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>
        <v>2</v>
      </c>
      <c r="BJ105" s="57"/>
      <c r="BK105" s="57"/>
      <c r="BL105" s="57"/>
      <c r="BM105" s="57"/>
      <c r="BN105" s="57">
        <v>3</v>
      </c>
      <c r="BO105" s="57">
        <v>4</v>
      </c>
      <c r="BP105" s="57"/>
      <c r="BQ105" s="58">
        <f t="shared" si="1"/>
        <v>15</v>
      </c>
    </row>
    <row r="106" spans="1:69" ht="14" x14ac:dyDescent="0.15">
      <c r="A106" s="92" t="s">
        <v>336</v>
      </c>
      <c r="B106" s="93" t="s">
        <v>277</v>
      </c>
      <c r="C106" s="93" t="s">
        <v>330</v>
      </c>
      <c r="D106" s="93" t="s">
        <v>337</v>
      </c>
      <c r="E106" s="93" t="s">
        <v>116</v>
      </c>
      <c r="F106" s="97">
        <v>32</v>
      </c>
      <c r="G106" s="97">
        <v>80</v>
      </c>
      <c r="H106" s="98"/>
      <c r="I106" s="56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>
        <v>1</v>
      </c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>
        <v>4</v>
      </c>
      <c r="BH106" s="57">
        <v>1</v>
      </c>
      <c r="BI106" s="57"/>
      <c r="BJ106" s="57">
        <v>1</v>
      </c>
      <c r="BK106" s="57"/>
      <c r="BL106" s="57"/>
      <c r="BM106" s="57"/>
      <c r="BN106" s="57"/>
      <c r="BO106" s="57"/>
      <c r="BP106" s="57">
        <v>3</v>
      </c>
      <c r="BQ106" s="58">
        <f t="shared" si="1"/>
        <v>10</v>
      </c>
    </row>
    <row r="107" spans="1:69" ht="14" x14ac:dyDescent="0.15">
      <c r="A107" s="92" t="s">
        <v>338</v>
      </c>
      <c r="B107" s="93" t="s">
        <v>277</v>
      </c>
      <c r="C107" s="93" t="s">
        <v>103</v>
      </c>
      <c r="D107" s="93" t="s">
        <v>339</v>
      </c>
      <c r="E107" s="93" t="s">
        <v>116</v>
      </c>
      <c r="F107" s="97">
        <v>8</v>
      </c>
      <c r="G107" s="97">
        <v>24</v>
      </c>
      <c r="H107" s="98"/>
      <c r="I107" s="56"/>
      <c r="J107" s="57"/>
      <c r="K107" s="57"/>
      <c r="L107" s="57"/>
      <c r="M107" s="57">
        <v>1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>
        <v>2</v>
      </c>
      <c r="BM107" s="57"/>
      <c r="BN107" s="57"/>
      <c r="BO107" s="57"/>
      <c r="BP107" s="57"/>
      <c r="BQ107" s="58">
        <f t="shared" si="1"/>
        <v>3</v>
      </c>
    </row>
    <row r="108" spans="1:69" ht="14" x14ac:dyDescent="0.15">
      <c r="A108" s="92" t="s">
        <v>340</v>
      </c>
      <c r="B108" s="93" t="s">
        <v>277</v>
      </c>
      <c r="C108" s="93" t="s">
        <v>103</v>
      </c>
      <c r="D108" s="93" t="s">
        <v>341</v>
      </c>
      <c r="E108" s="93" t="s">
        <v>116</v>
      </c>
      <c r="F108" s="97">
        <v>9.6</v>
      </c>
      <c r="G108" s="97">
        <v>24</v>
      </c>
      <c r="H108" s="98"/>
      <c r="I108" s="56"/>
      <c r="J108" s="57"/>
      <c r="K108" s="57"/>
      <c r="L108" s="57"/>
      <c r="M108" s="57"/>
      <c r="N108" s="57"/>
      <c r="O108" s="57"/>
      <c r="P108" s="57"/>
      <c r="Q108" s="57"/>
      <c r="R108" s="57"/>
      <c r="S108" s="57">
        <v>3</v>
      </c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8">
        <f t="shared" si="1"/>
        <v>3</v>
      </c>
    </row>
    <row r="109" spans="1:69" ht="14" x14ac:dyDescent="0.15">
      <c r="A109" s="92" t="s">
        <v>342</v>
      </c>
      <c r="B109" s="93" t="s">
        <v>277</v>
      </c>
      <c r="C109" s="93" t="s">
        <v>103</v>
      </c>
      <c r="D109" s="93" t="s">
        <v>343</v>
      </c>
      <c r="E109" s="93" t="s">
        <v>109</v>
      </c>
      <c r="F109" s="97">
        <v>16</v>
      </c>
      <c r="G109" s="97">
        <v>32</v>
      </c>
      <c r="H109" s="104">
        <v>16</v>
      </c>
      <c r="I109" s="56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>
        <v>1</v>
      </c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8">
        <f t="shared" si="1"/>
        <v>1</v>
      </c>
    </row>
    <row r="110" spans="1:69" ht="14" x14ac:dyDescent="0.15">
      <c r="A110" s="92" t="s">
        <v>348</v>
      </c>
      <c r="B110" s="93" t="s">
        <v>277</v>
      </c>
      <c r="C110" s="93" t="s">
        <v>349</v>
      </c>
      <c r="D110" s="93" t="s">
        <v>350</v>
      </c>
      <c r="E110" s="93" t="s">
        <v>109</v>
      </c>
      <c r="F110" s="97">
        <v>2</v>
      </c>
      <c r="G110" s="97">
        <v>96</v>
      </c>
      <c r="H110" s="104">
        <v>2</v>
      </c>
      <c r="I110" s="56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>
        <v>1</v>
      </c>
      <c r="BN110" s="57">
        <v>1</v>
      </c>
      <c r="BO110" s="57"/>
      <c r="BP110" s="57">
        <v>4</v>
      </c>
      <c r="BQ110" s="58">
        <f t="shared" si="1"/>
        <v>6</v>
      </c>
    </row>
    <row r="111" spans="1:69" ht="14" x14ac:dyDescent="0.15">
      <c r="A111" s="92" t="s">
        <v>351</v>
      </c>
      <c r="B111" s="93" t="s">
        <v>277</v>
      </c>
      <c r="C111" s="93" t="s">
        <v>349</v>
      </c>
      <c r="D111" s="93" t="s">
        <v>352</v>
      </c>
      <c r="E111" s="93" t="s">
        <v>204</v>
      </c>
      <c r="F111" s="97">
        <v>4</v>
      </c>
      <c r="G111" s="97">
        <v>16</v>
      </c>
      <c r="H111" s="98"/>
      <c r="I111" s="56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>
        <v>8</v>
      </c>
      <c r="BH111" s="57"/>
      <c r="BI111" s="57"/>
      <c r="BJ111" s="57"/>
      <c r="BK111" s="57"/>
      <c r="BL111" s="57"/>
      <c r="BM111" s="57"/>
      <c r="BN111" s="57"/>
      <c r="BO111" s="57"/>
      <c r="BP111" s="57"/>
      <c r="BQ111" s="58">
        <f t="shared" si="1"/>
        <v>8</v>
      </c>
    </row>
    <row r="112" spans="1:69" ht="14" x14ac:dyDescent="0.15">
      <c r="A112" s="92" t="s">
        <v>353</v>
      </c>
      <c r="B112" s="93" t="s">
        <v>277</v>
      </c>
      <c r="C112" s="93" t="s">
        <v>349</v>
      </c>
      <c r="D112" s="93" t="s">
        <v>354</v>
      </c>
      <c r="E112" s="93" t="s">
        <v>204</v>
      </c>
      <c r="F112" s="97">
        <v>4</v>
      </c>
      <c r="G112" s="97">
        <v>24</v>
      </c>
      <c r="H112" s="98"/>
      <c r="I112" s="56"/>
      <c r="J112" s="57"/>
      <c r="K112" s="57"/>
      <c r="L112" s="57"/>
      <c r="M112" s="57"/>
      <c r="N112" s="57"/>
      <c r="O112" s="57"/>
      <c r="P112" s="57"/>
      <c r="Q112" s="57"/>
      <c r="R112" s="57"/>
      <c r="S112" s="57">
        <v>2</v>
      </c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>
        <v>4</v>
      </c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>
        <v>33</v>
      </c>
      <c r="BH112" s="57"/>
      <c r="BI112" s="57"/>
      <c r="BJ112" s="57"/>
      <c r="BK112" s="57"/>
      <c r="BL112" s="57"/>
      <c r="BM112" s="57"/>
      <c r="BN112" s="57"/>
      <c r="BO112" s="57"/>
      <c r="BP112" s="57"/>
      <c r="BQ112" s="58">
        <f t="shared" si="1"/>
        <v>39</v>
      </c>
    </row>
    <row r="113" spans="1:69" ht="14" x14ac:dyDescent="0.15">
      <c r="A113" s="92" t="s">
        <v>355</v>
      </c>
      <c r="B113" s="93" t="s">
        <v>277</v>
      </c>
      <c r="C113" s="93" t="s">
        <v>349</v>
      </c>
      <c r="D113" s="93" t="s">
        <v>356</v>
      </c>
      <c r="E113" s="93" t="s">
        <v>204</v>
      </c>
      <c r="F113" s="97">
        <v>4</v>
      </c>
      <c r="G113" s="97">
        <v>32</v>
      </c>
      <c r="H113" s="115"/>
      <c r="I113" s="56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>
        <v>4</v>
      </c>
      <c r="BO113" s="57">
        <v>12</v>
      </c>
      <c r="BP113" s="57"/>
      <c r="BQ113" s="58">
        <f t="shared" si="1"/>
        <v>16</v>
      </c>
    </row>
    <row r="114" spans="1:69" ht="14" x14ac:dyDescent="0.15">
      <c r="A114" s="92" t="s">
        <v>357</v>
      </c>
      <c r="B114" s="93" t="s">
        <v>277</v>
      </c>
      <c r="C114" s="93" t="s">
        <v>349</v>
      </c>
      <c r="D114" s="93" t="s">
        <v>358</v>
      </c>
      <c r="E114" s="93" t="s">
        <v>109</v>
      </c>
      <c r="F114" s="97">
        <v>4</v>
      </c>
      <c r="G114" s="97">
        <v>40</v>
      </c>
      <c r="H114" s="104">
        <v>4</v>
      </c>
      <c r="I114" s="56"/>
      <c r="J114" s="57"/>
      <c r="K114" s="57"/>
      <c r="L114" s="57">
        <v>2</v>
      </c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>
        <v>17</v>
      </c>
      <c r="AN114" s="57"/>
      <c r="AO114" s="57">
        <f>1+1</f>
        <v>2</v>
      </c>
      <c r="AP114" s="57"/>
      <c r="AQ114" s="57"/>
      <c r="AR114" s="57"/>
      <c r="AS114" s="57"/>
      <c r="AT114" s="57"/>
      <c r="AU114" s="57">
        <f>4+11</f>
        <v>15</v>
      </c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8">
        <f t="shared" si="1"/>
        <v>36</v>
      </c>
    </row>
    <row r="115" spans="1:69" ht="14" x14ac:dyDescent="0.15">
      <c r="A115" s="92" t="s">
        <v>359</v>
      </c>
      <c r="B115" s="93" t="s">
        <v>277</v>
      </c>
      <c r="C115" s="93" t="s">
        <v>349</v>
      </c>
      <c r="D115" s="93" t="s">
        <v>360</v>
      </c>
      <c r="E115" s="93" t="s">
        <v>109</v>
      </c>
      <c r="F115" s="97">
        <v>4</v>
      </c>
      <c r="G115" s="97">
        <v>56</v>
      </c>
      <c r="H115" s="104">
        <v>4</v>
      </c>
      <c r="I115" s="56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>
        <v>8</v>
      </c>
      <c r="BN115" s="57"/>
      <c r="BO115" s="57"/>
      <c r="BP115" s="57">
        <v>81</v>
      </c>
      <c r="BQ115" s="58">
        <f t="shared" si="1"/>
        <v>89</v>
      </c>
    </row>
    <row r="116" spans="1:69" ht="14" x14ac:dyDescent="0.15">
      <c r="A116" s="92" t="s">
        <v>361</v>
      </c>
      <c r="B116" s="93" t="s">
        <v>277</v>
      </c>
      <c r="C116" s="93" t="s">
        <v>349</v>
      </c>
      <c r="D116" s="93" t="s">
        <v>362</v>
      </c>
      <c r="E116" s="93" t="s">
        <v>109</v>
      </c>
      <c r="F116" s="97">
        <v>4</v>
      </c>
      <c r="G116" s="97">
        <v>64</v>
      </c>
      <c r="H116" s="104">
        <v>4</v>
      </c>
      <c r="I116" s="56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>
        <v>1</v>
      </c>
      <c r="AO116" s="57">
        <v>1</v>
      </c>
      <c r="AP116" s="57">
        <v>1</v>
      </c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>
        <v>1</v>
      </c>
      <c r="BL116" s="57"/>
      <c r="BM116" s="57"/>
      <c r="BN116" s="57"/>
      <c r="BO116" s="57">
        <f>74+12</f>
        <v>86</v>
      </c>
      <c r="BP116" s="57">
        <v>15</v>
      </c>
      <c r="BQ116" s="58">
        <f t="shared" si="1"/>
        <v>105</v>
      </c>
    </row>
    <row r="117" spans="1:69" ht="14" x14ac:dyDescent="0.15">
      <c r="A117" s="92" t="s">
        <v>363</v>
      </c>
      <c r="B117" s="93" t="s">
        <v>277</v>
      </c>
      <c r="C117" s="93" t="s">
        <v>349</v>
      </c>
      <c r="D117" s="93" t="s">
        <v>364</v>
      </c>
      <c r="E117" s="93" t="s">
        <v>109</v>
      </c>
      <c r="F117" s="97">
        <v>4</v>
      </c>
      <c r="G117" s="97">
        <v>96</v>
      </c>
      <c r="H117" s="104">
        <v>4</v>
      </c>
      <c r="I117" s="56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>
        <v>1</v>
      </c>
      <c r="AD117" s="57"/>
      <c r="AE117" s="57">
        <v>1</v>
      </c>
      <c r="AF117" s="57"/>
      <c r="AG117" s="57"/>
      <c r="AH117" s="57"/>
      <c r="AI117" s="57"/>
      <c r="AJ117" s="57"/>
      <c r="AK117" s="57"/>
      <c r="AL117" s="57"/>
      <c r="AM117" s="57">
        <v>7</v>
      </c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>
        <v>14</v>
      </c>
      <c r="BO117" s="57"/>
      <c r="BP117" s="57"/>
      <c r="BQ117" s="58">
        <f t="shared" si="1"/>
        <v>23</v>
      </c>
    </row>
    <row r="118" spans="1:69" ht="14" x14ac:dyDescent="0.15">
      <c r="A118" s="92" t="s">
        <v>365</v>
      </c>
      <c r="B118" s="93" t="s">
        <v>277</v>
      </c>
      <c r="C118" s="93" t="s">
        <v>349</v>
      </c>
      <c r="D118" s="93" t="s">
        <v>366</v>
      </c>
      <c r="E118" s="93" t="s">
        <v>109</v>
      </c>
      <c r="F118" s="97">
        <v>4</v>
      </c>
      <c r="G118" s="97">
        <v>120</v>
      </c>
      <c r="H118" s="104">
        <v>4</v>
      </c>
      <c r="I118" s="56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>
        <v>1</v>
      </c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8">
        <f t="shared" si="1"/>
        <v>1</v>
      </c>
    </row>
    <row r="119" spans="1:69" ht="14" x14ac:dyDescent="0.15">
      <c r="A119" s="92" t="s">
        <v>367</v>
      </c>
      <c r="B119" s="93" t="s">
        <v>277</v>
      </c>
      <c r="C119" s="93" t="s">
        <v>349</v>
      </c>
      <c r="D119" s="93" t="s">
        <v>368</v>
      </c>
      <c r="E119" s="93" t="s">
        <v>109</v>
      </c>
      <c r="F119" s="97">
        <v>4</v>
      </c>
      <c r="G119" s="97">
        <v>160</v>
      </c>
      <c r="H119" s="104">
        <v>4</v>
      </c>
      <c r="I119" s="56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>
        <v>1</v>
      </c>
      <c r="BL119" s="57"/>
      <c r="BM119" s="57"/>
      <c r="BN119" s="57">
        <v>34</v>
      </c>
      <c r="BO119" s="57">
        <v>5</v>
      </c>
      <c r="BP119" s="57"/>
      <c r="BQ119" s="58">
        <f t="shared" si="1"/>
        <v>40</v>
      </c>
    </row>
    <row r="120" spans="1:69" ht="14" x14ac:dyDescent="0.15">
      <c r="A120" s="92" t="s">
        <v>369</v>
      </c>
      <c r="B120" s="93" t="s">
        <v>277</v>
      </c>
      <c r="C120" s="93" t="s">
        <v>349</v>
      </c>
      <c r="D120" s="93" t="s">
        <v>370</v>
      </c>
      <c r="E120" s="93" t="s">
        <v>109</v>
      </c>
      <c r="F120" s="97">
        <v>4</v>
      </c>
      <c r="G120" s="97">
        <v>200</v>
      </c>
      <c r="H120" s="104">
        <v>4</v>
      </c>
      <c r="I120" s="56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>
        <v>1</v>
      </c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>
        <v>7</v>
      </c>
      <c r="BI120" s="57"/>
      <c r="BJ120" s="57"/>
      <c r="BK120" s="57"/>
      <c r="BL120" s="57"/>
      <c r="BM120" s="57"/>
      <c r="BN120" s="57"/>
      <c r="BO120" s="57"/>
      <c r="BP120" s="57"/>
      <c r="BQ120" s="58">
        <f t="shared" si="1"/>
        <v>8</v>
      </c>
    </row>
    <row r="121" spans="1:69" ht="14" x14ac:dyDescent="0.15">
      <c r="A121" s="92" t="s">
        <v>371</v>
      </c>
      <c r="B121" s="93" t="s">
        <v>277</v>
      </c>
      <c r="C121" s="93" t="s">
        <v>349</v>
      </c>
      <c r="D121" s="93" t="s">
        <v>372</v>
      </c>
      <c r="E121" s="93" t="s">
        <v>116</v>
      </c>
      <c r="F121" s="97">
        <v>4</v>
      </c>
      <c r="G121" s="97">
        <v>240</v>
      </c>
      <c r="H121" s="98"/>
      <c r="I121" s="56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>
        <v>2</v>
      </c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>
        <v>30</v>
      </c>
      <c r="BP121" s="57"/>
      <c r="BQ121" s="58">
        <f t="shared" si="1"/>
        <v>32</v>
      </c>
    </row>
    <row r="122" spans="1:69" ht="14" x14ac:dyDescent="0.15">
      <c r="A122" s="92" t="s">
        <v>373</v>
      </c>
      <c r="B122" s="93" t="s">
        <v>277</v>
      </c>
      <c r="C122" s="93" t="s">
        <v>349</v>
      </c>
      <c r="D122" s="93" t="s">
        <v>374</v>
      </c>
      <c r="E122" s="93" t="s">
        <v>204</v>
      </c>
      <c r="F122" s="97">
        <v>6</v>
      </c>
      <c r="G122" s="97">
        <v>40</v>
      </c>
      <c r="H122" s="98"/>
      <c r="I122" s="56"/>
      <c r="J122" s="57"/>
      <c r="K122" s="57"/>
      <c r="L122" s="57"/>
      <c r="M122" s="57"/>
      <c r="N122" s="57"/>
      <c r="O122" s="57">
        <v>1</v>
      </c>
      <c r="P122" s="57"/>
      <c r="Q122" s="57"/>
      <c r="R122" s="57">
        <v>2</v>
      </c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>
        <v>7</v>
      </c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8">
        <f t="shared" ref="BQ122:BQ184" si="2">SUM(I122:BP122)</f>
        <v>10</v>
      </c>
    </row>
    <row r="123" spans="1:69" ht="14" x14ac:dyDescent="0.15">
      <c r="A123" s="92" t="s">
        <v>375</v>
      </c>
      <c r="B123" s="93" t="s">
        <v>277</v>
      </c>
      <c r="C123" s="93" t="s">
        <v>349</v>
      </c>
      <c r="D123" s="93" t="s">
        <v>376</v>
      </c>
      <c r="E123" s="93" t="s">
        <v>204</v>
      </c>
      <c r="F123" s="97">
        <v>6</v>
      </c>
      <c r="G123" s="97">
        <v>48</v>
      </c>
      <c r="H123" s="98"/>
      <c r="I123" s="56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>
        <v>11</v>
      </c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>
        <v>41</v>
      </c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>
        <v>8</v>
      </c>
      <c r="BM123" s="57"/>
      <c r="BN123" s="57"/>
      <c r="BO123" s="57"/>
      <c r="BP123" s="57"/>
      <c r="BQ123" s="58">
        <f t="shared" si="2"/>
        <v>60</v>
      </c>
    </row>
    <row r="124" spans="1:69" ht="14" x14ac:dyDescent="0.15">
      <c r="A124" s="92" t="s">
        <v>377</v>
      </c>
      <c r="B124" s="93" t="s">
        <v>277</v>
      </c>
      <c r="C124" s="93" t="s">
        <v>349</v>
      </c>
      <c r="D124" s="93" t="s">
        <v>378</v>
      </c>
      <c r="E124" s="93" t="s">
        <v>109</v>
      </c>
      <c r="F124" s="97">
        <v>6</v>
      </c>
      <c r="G124" s="97">
        <v>56</v>
      </c>
      <c r="H124" s="104">
        <v>6</v>
      </c>
      <c r="I124" s="56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U124" s="57">
        <v>6</v>
      </c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>
        <v>1</v>
      </c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8">
        <f t="shared" si="2"/>
        <v>7</v>
      </c>
    </row>
    <row r="125" spans="1:69" ht="14" x14ac:dyDescent="0.15">
      <c r="A125" s="92" t="s">
        <v>379</v>
      </c>
      <c r="B125" s="93" t="s">
        <v>277</v>
      </c>
      <c r="C125" s="93" t="s">
        <v>349</v>
      </c>
      <c r="D125" s="93" t="s">
        <v>380</v>
      </c>
      <c r="E125" s="93" t="s">
        <v>109</v>
      </c>
      <c r="F125" s="97">
        <v>6</v>
      </c>
      <c r="G125" s="97">
        <v>64</v>
      </c>
      <c r="H125" s="104">
        <v>6</v>
      </c>
      <c r="I125" s="56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>
        <v>7</v>
      </c>
      <c r="AA125" s="57"/>
      <c r="AB125" s="57">
        <v>19</v>
      </c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>
        <v>10</v>
      </c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8">
        <f t="shared" si="2"/>
        <v>36</v>
      </c>
    </row>
    <row r="126" spans="1:69" ht="14" x14ac:dyDescent="0.15">
      <c r="A126" s="92" t="s">
        <v>381</v>
      </c>
      <c r="B126" s="93" t="s">
        <v>277</v>
      </c>
      <c r="C126" s="93" t="s">
        <v>349</v>
      </c>
      <c r="D126" s="93" t="s">
        <v>382</v>
      </c>
      <c r="E126" s="93" t="s">
        <v>109</v>
      </c>
      <c r="F126" s="97">
        <v>6</v>
      </c>
      <c r="G126" s="97">
        <v>72</v>
      </c>
      <c r="H126" s="104">
        <v>6</v>
      </c>
      <c r="I126" s="56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>
        <v>6</v>
      </c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>
        <v>1</v>
      </c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8">
        <f t="shared" si="2"/>
        <v>7</v>
      </c>
    </row>
    <row r="127" spans="1:69" ht="14" x14ac:dyDescent="0.15">
      <c r="A127" s="92" t="s">
        <v>383</v>
      </c>
      <c r="B127" s="93" t="s">
        <v>277</v>
      </c>
      <c r="C127" s="93" t="s">
        <v>349</v>
      </c>
      <c r="D127" s="93" t="s">
        <v>384</v>
      </c>
      <c r="E127" s="93" t="s">
        <v>204</v>
      </c>
      <c r="F127" s="97">
        <v>6</v>
      </c>
      <c r="G127" s="97">
        <v>80</v>
      </c>
      <c r="H127" s="98"/>
      <c r="I127" s="56"/>
      <c r="J127" s="57"/>
      <c r="K127" s="57"/>
      <c r="L127" s="57"/>
      <c r="M127" s="57"/>
      <c r="N127" s="57"/>
      <c r="O127" s="57"/>
      <c r="P127" s="57"/>
      <c r="Q127" s="57">
        <v>3</v>
      </c>
      <c r="R127" s="57"/>
      <c r="S127" s="57"/>
      <c r="T127" s="57">
        <v>3</v>
      </c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>
        <v>3</v>
      </c>
      <c r="AL127" s="57">
        <v>1</v>
      </c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8">
        <f t="shared" si="2"/>
        <v>10</v>
      </c>
    </row>
    <row r="128" spans="1:69" ht="14" x14ac:dyDescent="0.15">
      <c r="A128" s="92" t="s">
        <v>385</v>
      </c>
      <c r="B128" s="93" t="s">
        <v>277</v>
      </c>
      <c r="C128" s="93" t="s">
        <v>349</v>
      </c>
      <c r="D128" s="93" t="s">
        <v>386</v>
      </c>
      <c r="E128" s="93" t="s">
        <v>204</v>
      </c>
      <c r="F128" s="97">
        <v>6</v>
      </c>
      <c r="G128" s="97">
        <v>120</v>
      </c>
      <c r="H128" s="98"/>
      <c r="I128" s="56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U128" s="57">
        <v>2</v>
      </c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>
        <v>2</v>
      </c>
      <c r="AL128" s="57"/>
      <c r="AM128" s="57"/>
      <c r="AN128" s="57"/>
      <c r="AO128" s="57"/>
      <c r="AP128" s="57"/>
      <c r="AQ128" s="57"/>
      <c r="AR128" s="57"/>
      <c r="AS128" s="57"/>
      <c r="AT128" s="57">
        <v>3</v>
      </c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8">
        <f t="shared" si="2"/>
        <v>7</v>
      </c>
    </row>
    <row r="129" spans="1:69" ht="14" x14ac:dyDescent="0.15">
      <c r="A129" s="92" t="s">
        <v>387</v>
      </c>
      <c r="B129" s="93" t="s">
        <v>277</v>
      </c>
      <c r="C129" s="93" t="s">
        <v>349</v>
      </c>
      <c r="D129" s="93" t="s">
        <v>388</v>
      </c>
      <c r="E129" s="93" t="s">
        <v>109</v>
      </c>
      <c r="F129" s="97">
        <v>6</v>
      </c>
      <c r="G129" s="97">
        <v>160</v>
      </c>
      <c r="H129" s="97">
        <v>6</v>
      </c>
      <c r="I129" s="56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>
        <v>1</v>
      </c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>
        <v>27</v>
      </c>
      <c r="BH129" s="57"/>
      <c r="BI129" s="57"/>
      <c r="BJ129" s="57"/>
      <c r="BK129" s="57"/>
      <c r="BL129" s="57"/>
      <c r="BM129" s="57"/>
      <c r="BN129" s="57">
        <v>11</v>
      </c>
      <c r="BO129" s="57">
        <v>16</v>
      </c>
      <c r="BP129" s="57"/>
      <c r="BQ129" s="58">
        <f t="shared" si="2"/>
        <v>55</v>
      </c>
    </row>
    <row r="130" spans="1:69" ht="14" x14ac:dyDescent="0.15">
      <c r="A130" s="92" t="s">
        <v>389</v>
      </c>
      <c r="B130" s="93" t="s">
        <v>277</v>
      </c>
      <c r="C130" s="93" t="s">
        <v>349</v>
      </c>
      <c r="D130" s="93" t="s">
        <v>390</v>
      </c>
      <c r="E130" s="93" t="s">
        <v>109</v>
      </c>
      <c r="F130" s="97">
        <v>6.4</v>
      </c>
      <c r="G130" s="97">
        <v>36</v>
      </c>
      <c r="H130" s="97">
        <v>6.4</v>
      </c>
      <c r="I130" s="56"/>
      <c r="J130" s="57"/>
      <c r="K130" s="57"/>
      <c r="L130" s="57"/>
      <c r="M130" s="57"/>
      <c r="N130" s="57"/>
      <c r="O130" s="57"/>
      <c r="P130" s="57"/>
      <c r="Q130" s="57"/>
      <c r="R130" s="57"/>
      <c r="S130" s="57">
        <v>24</v>
      </c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8">
        <f t="shared" si="2"/>
        <v>24</v>
      </c>
    </row>
    <row r="131" spans="1:69" ht="14" x14ac:dyDescent="0.15">
      <c r="A131" s="92" t="s">
        <v>391</v>
      </c>
      <c r="B131" s="93" t="s">
        <v>277</v>
      </c>
      <c r="C131" s="93" t="s">
        <v>349</v>
      </c>
      <c r="D131" s="93" t="s">
        <v>392</v>
      </c>
      <c r="E131" s="93" t="s">
        <v>116</v>
      </c>
      <c r="F131" s="97">
        <v>8</v>
      </c>
      <c r="G131" s="97">
        <v>24</v>
      </c>
      <c r="H131" s="98"/>
      <c r="I131" s="56"/>
      <c r="J131" s="57"/>
      <c r="K131" s="57"/>
      <c r="L131" s="57">
        <v>1</v>
      </c>
      <c r="M131" s="57"/>
      <c r="N131" s="57"/>
      <c r="O131" s="57"/>
      <c r="P131" s="57"/>
      <c r="Q131" s="57"/>
      <c r="R131" s="57"/>
      <c r="S131" s="57">
        <v>17</v>
      </c>
      <c r="T131" s="57"/>
      <c r="U131" s="57"/>
      <c r="V131" s="57"/>
      <c r="W131" s="57"/>
      <c r="X131" s="57"/>
      <c r="Y131" s="57"/>
      <c r="Z131" s="57"/>
      <c r="AA131" s="57">
        <v>3</v>
      </c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>
        <v>3</v>
      </c>
      <c r="AO131" s="57"/>
      <c r="AP131" s="57"/>
      <c r="AQ131" s="57"/>
      <c r="AR131" s="57">
        <v>4</v>
      </c>
      <c r="AS131" s="57"/>
      <c r="AT131" s="57"/>
      <c r="AU131" s="57">
        <v>5</v>
      </c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>
        <v>3</v>
      </c>
      <c r="BH131" s="57"/>
      <c r="BI131" s="57"/>
      <c r="BJ131" s="57"/>
      <c r="BK131" s="57"/>
      <c r="BL131" s="57"/>
      <c r="BM131" s="57"/>
      <c r="BN131" s="57"/>
      <c r="BO131" s="57">
        <v>3</v>
      </c>
      <c r="BP131" s="57">
        <v>3</v>
      </c>
      <c r="BQ131" s="58">
        <f t="shared" si="2"/>
        <v>42</v>
      </c>
    </row>
    <row r="132" spans="1:69" ht="14" x14ac:dyDescent="0.15">
      <c r="A132" s="92" t="s">
        <v>393</v>
      </c>
      <c r="B132" s="93" t="s">
        <v>277</v>
      </c>
      <c r="C132" s="93" t="s">
        <v>349</v>
      </c>
      <c r="D132" s="93" t="s">
        <v>394</v>
      </c>
      <c r="E132" s="93" t="s">
        <v>109</v>
      </c>
      <c r="F132" s="97">
        <v>8</v>
      </c>
      <c r="G132" s="97">
        <v>32</v>
      </c>
      <c r="H132" s="104">
        <v>8</v>
      </c>
      <c r="I132" s="56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>
        <v>1</v>
      </c>
      <c r="AU132" s="57"/>
      <c r="AV132" s="57"/>
      <c r="AW132" s="57"/>
      <c r="AX132" s="57">
        <v>1</v>
      </c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>
        <v>6</v>
      </c>
      <c r="BK132" s="57"/>
      <c r="BL132" s="57"/>
      <c r="BM132" s="57"/>
      <c r="BN132" s="57"/>
      <c r="BO132" s="57"/>
      <c r="BP132" s="57"/>
      <c r="BQ132" s="58">
        <f t="shared" si="2"/>
        <v>8</v>
      </c>
    </row>
    <row r="133" spans="1:69" ht="14" x14ac:dyDescent="0.15">
      <c r="A133" s="92" t="s">
        <v>395</v>
      </c>
      <c r="B133" s="93" t="s">
        <v>277</v>
      </c>
      <c r="C133" s="93" t="s">
        <v>349</v>
      </c>
      <c r="D133" s="93" t="s">
        <v>396</v>
      </c>
      <c r="E133" s="93" t="s">
        <v>109</v>
      </c>
      <c r="F133" s="97">
        <v>8</v>
      </c>
      <c r="G133" s="97">
        <v>40</v>
      </c>
      <c r="H133" s="104">
        <v>8</v>
      </c>
      <c r="I133" s="56"/>
      <c r="J133" s="57"/>
      <c r="K133" s="57"/>
      <c r="L133" s="57"/>
      <c r="M133" s="57"/>
      <c r="N133" s="57"/>
      <c r="O133" s="57"/>
      <c r="P133" s="57">
        <v>1</v>
      </c>
      <c r="Q133" s="57"/>
      <c r="R133" s="57"/>
      <c r="S133" s="57"/>
      <c r="T133" s="57"/>
      <c r="U133" s="57"/>
      <c r="V133" s="57"/>
      <c r="W133" s="57">
        <v>2</v>
      </c>
      <c r="X133" s="57">
        <v>3</v>
      </c>
      <c r="Y133" s="57"/>
      <c r="Z133" s="57"/>
      <c r="AA133" s="57"/>
      <c r="AB133" s="57"/>
      <c r="AC133" s="57">
        <v>1</v>
      </c>
      <c r="AD133" s="57"/>
      <c r="AE133" s="57"/>
      <c r="AF133" s="57"/>
      <c r="AG133" s="57"/>
      <c r="AH133" s="57"/>
      <c r="AI133" s="57"/>
      <c r="AJ133" s="57"/>
      <c r="AK133" s="57"/>
      <c r="AL133" s="57"/>
      <c r="AM133" s="57">
        <v>2</v>
      </c>
      <c r="AN133" s="57">
        <v>1</v>
      </c>
      <c r="AO133" s="57"/>
      <c r="AP133" s="57"/>
      <c r="AQ133" s="57">
        <v>1</v>
      </c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>
        <v>5</v>
      </c>
      <c r="BJ133" s="57"/>
      <c r="BK133" s="57"/>
      <c r="BL133" s="57"/>
      <c r="BM133" s="57"/>
      <c r="BN133" s="57"/>
      <c r="BO133" s="57"/>
      <c r="BP133" s="57">
        <f>8+1</f>
        <v>9</v>
      </c>
      <c r="BQ133" s="58">
        <f t="shared" si="2"/>
        <v>25</v>
      </c>
    </row>
    <row r="134" spans="1:69" ht="14" x14ac:dyDescent="0.15">
      <c r="A134" s="92" t="s">
        <v>397</v>
      </c>
      <c r="B134" s="93" t="s">
        <v>277</v>
      </c>
      <c r="C134" s="93" t="s">
        <v>349</v>
      </c>
      <c r="D134" s="93" t="s">
        <v>398</v>
      </c>
      <c r="E134" s="93" t="s">
        <v>204</v>
      </c>
      <c r="F134" s="97">
        <v>8</v>
      </c>
      <c r="G134" s="97">
        <v>48</v>
      </c>
      <c r="H134" s="104"/>
      <c r="I134" s="56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>
        <v>6</v>
      </c>
      <c r="U134" s="57"/>
      <c r="V134" s="57"/>
      <c r="W134" s="57"/>
      <c r="X134" s="57"/>
      <c r="Z134" s="57">
        <v>2</v>
      </c>
      <c r="AA134" s="57"/>
      <c r="AB134" s="57"/>
      <c r="AC134" s="57"/>
      <c r="AD134" s="57"/>
      <c r="AE134" s="57"/>
      <c r="AF134" s="57"/>
      <c r="AG134" s="57">
        <v>1</v>
      </c>
      <c r="AH134" s="57"/>
      <c r="AI134" s="57"/>
      <c r="AJ134" s="57"/>
      <c r="AK134" s="57"/>
      <c r="AL134" s="57"/>
      <c r="AM134" s="57"/>
      <c r="AN134" s="57"/>
      <c r="AO134" s="57"/>
      <c r="AP134" s="57">
        <v>9</v>
      </c>
      <c r="AQ134" s="57"/>
      <c r="AR134" s="57">
        <f>11+3</f>
        <v>14</v>
      </c>
      <c r="AS134" s="57"/>
      <c r="AT134" s="57"/>
      <c r="AU134" s="57">
        <v>62</v>
      </c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>
        <v>91</v>
      </c>
      <c r="BK134" s="57"/>
      <c r="BL134" s="57">
        <v>8</v>
      </c>
      <c r="BM134" s="57"/>
      <c r="BN134" s="57"/>
      <c r="BO134" s="57">
        <v>6</v>
      </c>
      <c r="BP134" s="57"/>
      <c r="BQ134" s="58">
        <f t="shared" si="2"/>
        <v>199</v>
      </c>
    </row>
    <row r="135" spans="1:69" ht="14" x14ac:dyDescent="0.15">
      <c r="A135" s="92" t="s">
        <v>399</v>
      </c>
      <c r="B135" s="93" t="s">
        <v>277</v>
      </c>
      <c r="C135" s="93" t="s">
        <v>349</v>
      </c>
      <c r="D135" s="93" t="s">
        <v>400</v>
      </c>
      <c r="E135" s="93" t="s">
        <v>116</v>
      </c>
      <c r="F135" s="97">
        <v>8</v>
      </c>
      <c r="G135" s="97">
        <v>56</v>
      </c>
      <c r="H135" s="104"/>
      <c r="I135" s="56"/>
      <c r="J135" s="57">
        <f>3</f>
        <v>3</v>
      </c>
      <c r="K135" s="57">
        <v>2</v>
      </c>
      <c r="L135" s="57">
        <v>1</v>
      </c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>
        <v>2</v>
      </c>
      <c r="AN135" s="57"/>
      <c r="AO135" s="57"/>
      <c r="AP135" s="57"/>
      <c r="AQ135" s="57"/>
      <c r="AR135" s="57"/>
      <c r="AS135" s="57"/>
      <c r="AT135" s="57">
        <v>2</v>
      </c>
      <c r="AU135" s="57"/>
      <c r="AV135" s="57">
        <v>5</v>
      </c>
      <c r="AW135" s="57"/>
      <c r="AX135" s="57"/>
      <c r="AY135" s="57"/>
      <c r="AZ135" s="57"/>
      <c r="BA135" s="57"/>
      <c r="BB135" s="57">
        <v>2</v>
      </c>
      <c r="BC135" s="57"/>
      <c r="BD135" s="57"/>
      <c r="BE135" s="57"/>
      <c r="BF135" s="57"/>
      <c r="BG135" s="57"/>
      <c r="BH135" s="57"/>
      <c r="BI135" s="57"/>
      <c r="BJ135" s="57">
        <v>14</v>
      </c>
      <c r="BK135" s="57"/>
      <c r="BL135" s="57"/>
      <c r="BM135" s="57">
        <v>5</v>
      </c>
      <c r="BN135" s="57">
        <v>6</v>
      </c>
      <c r="BO135" s="57"/>
      <c r="BP135" s="57">
        <v>7</v>
      </c>
      <c r="BQ135" s="58">
        <f t="shared" si="2"/>
        <v>49</v>
      </c>
    </row>
    <row r="136" spans="1:69" ht="14" x14ac:dyDescent="0.15">
      <c r="A136" s="92" t="s">
        <v>401</v>
      </c>
      <c r="B136" s="93" t="s">
        <v>277</v>
      </c>
      <c r="C136" s="93" t="s">
        <v>349</v>
      </c>
      <c r="D136" s="93" t="s">
        <v>402</v>
      </c>
      <c r="E136" s="93" t="s">
        <v>109</v>
      </c>
      <c r="F136" s="97">
        <v>8</v>
      </c>
      <c r="G136" s="97">
        <v>64</v>
      </c>
      <c r="H136" s="116">
        <v>8</v>
      </c>
      <c r="I136" s="56"/>
      <c r="J136" s="57"/>
      <c r="K136" s="57"/>
      <c r="L136" s="57"/>
      <c r="M136" s="57"/>
      <c r="N136" s="57"/>
      <c r="O136" s="57"/>
      <c r="P136" s="57"/>
      <c r="Q136" s="57">
        <v>1</v>
      </c>
      <c r="R136" s="57"/>
      <c r="S136" s="57">
        <v>7</v>
      </c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>
        <v>1</v>
      </c>
      <c r="BA136" s="57"/>
      <c r="BB136" s="57"/>
      <c r="BC136" s="57"/>
      <c r="BD136" s="57"/>
      <c r="BE136" s="57"/>
      <c r="BF136" s="57"/>
      <c r="BG136" s="57">
        <v>12</v>
      </c>
      <c r="BH136" s="57"/>
      <c r="BI136" s="57"/>
      <c r="BJ136" s="57"/>
      <c r="BK136" s="57">
        <v>1</v>
      </c>
      <c r="BL136" s="57">
        <v>20</v>
      </c>
      <c r="BM136" s="57"/>
      <c r="BN136" s="57"/>
      <c r="BO136" s="57"/>
      <c r="BP136" s="57">
        <v>3</v>
      </c>
      <c r="BQ136" s="58">
        <f t="shared" si="2"/>
        <v>45</v>
      </c>
    </row>
    <row r="137" spans="1:69" ht="14" x14ac:dyDescent="0.15">
      <c r="A137" s="92" t="s">
        <v>403</v>
      </c>
      <c r="B137" s="93" t="s">
        <v>404</v>
      </c>
      <c r="C137" s="93" t="s">
        <v>349</v>
      </c>
      <c r="D137" s="93" t="s">
        <v>405</v>
      </c>
      <c r="E137" s="93" t="s">
        <v>116</v>
      </c>
      <c r="F137" s="97">
        <v>8</v>
      </c>
      <c r="G137" s="97">
        <v>72</v>
      </c>
      <c r="H137" s="104"/>
      <c r="I137" s="56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X137" s="57">
        <v>12</v>
      </c>
      <c r="Y137" s="57">
        <v>6</v>
      </c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>
        <v>13</v>
      </c>
      <c r="BI137" s="57">
        <f>7+1</f>
        <v>8</v>
      </c>
      <c r="BJ137" s="57">
        <f>31+10</f>
        <v>41</v>
      </c>
      <c r="BK137" s="57">
        <v>4</v>
      </c>
      <c r="BL137" s="57">
        <v>22</v>
      </c>
      <c r="BM137" s="57">
        <v>2</v>
      </c>
      <c r="BN137" s="57">
        <v>15</v>
      </c>
      <c r="BO137" s="57">
        <v>16</v>
      </c>
      <c r="BP137" s="57">
        <v>11</v>
      </c>
      <c r="BQ137" s="58">
        <f t="shared" si="2"/>
        <v>150</v>
      </c>
    </row>
    <row r="138" spans="1:69" ht="14" x14ac:dyDescent="0.15">
      <c r="A138" s="92" t="s">
        <v>407</v>
      </c>
      <c r="B138" s="93" t="s">
        <v>277</v>
      </c>
      <c r="C138" s="93" t="s">
        <v>349</v>
      </c>
      <c r="D138" s="93" t="s">
        <v>408</v>
      </c>
      <c r="E138" s="93" t="s">
        <v>109</v>
      </c>
      <c r="F138" s="97">
        <v>8</v>
      </c>
      <c r="G138" s="97">
        <v>80</v>
      </c>
      <c r="H138" s="116">
        <v>8</v>
      </c>
      <c r="I138" s="56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>
        <v>1</v>
      </c>
      <c r="AO138" s="57"/>
      <c r="AP138" s="57"/>
      <c r="AQ138" s="57"/>
      <c r="AR138" s="57">
        <v>3</v>
      </c>
      <c r="AS138" s="57"/>
      <c r="AT138" s="57"/>
      <c r="AU138" s="57"/>
      <c r="AV138" s="57">
        <v>18</v>
      </c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>
        <v>5</v>
      </c>
      <c r="BK138" s="57">
        <f>2+4</f>
        <v>6</v>
      </c>
      <c r="BL138" s="57">
        <v>6</v>
      </c>
      <c r="BM138" s="57"/>
      <c r="BN138" s="57"/>
      <c r="BO138" s="57"/>
      <c r="BP138" s="57"/>
      <c r="BQ138" s="58">
        <f t="shared" si="2"/>
        <v>39</v>
      </c>
    </row>
    <row r="139" spans="1:69" ht="14" x14ac:dyDescent="0.15">
      <c r="A139" s="92" t="s">
        <v>409</v>
      </c>
      <c r="B139" s="93" t="s">
        <v>277</v>
      </c>
      <c r="C139" s="93" t="s">
        <v>349</v>
      </c>
      <c r="D139" s="93" t="s">
        <v>410</v>
      </c>
      <c r="E139" s="93" t="s">
        <v>412</v>
      </c>
      <c r="F139" s="97">
        <v>8</v>
      </c>
      <c r="G139" s="97">
        <v>120</v>
      </c>
      <c r="H139" s="104">
        <v>8</v>
      </c>
      <c r="I139" s="56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>
        <v>3</v>
      </c>
      <c r="BI139" s="57">
        <v>1</v>
      </c>
      <c r="BJ139" s="57"/>
      <c r="BK139" s="57"/>
      <c r="BL139" s="57"/>
      <c r="BM139" s="57"/>
      <c r="BN139" s="57"/>
      <c r="BO139" s="57">
        <v>4</v>
      </c>
      <c r="BP139" s="57">
        <v>5</v>
      </c>
      <c r="BQ139" s="58">
        <f t="shared" si="2"/>
        <v>13</v>
      </c>
    </row>
    <row r="140" spans="1:69" ht="14" x14ac:dyDescent="0.15">
      <c r="A140" s="92" t="s">
        <v>413</v>
      </c>
      <c r="B140" s="93" t="s">
        <v>277</v>
      </c>
      <c r="C140" s="93" t="s">
        <v>349</v>
      </c>
      <c r="D140" s="93" t="s">
        <v>414</v>
      </c>
      <c r="E140" s="93" t="s">
        <v>109</v>
      </c>
      <c r="F140" s="97">
        <v>8</v>
      </c>
      <c r="G140" s="97">
        <v>144</v>
      </c>
      <c r="H140" s="104">
        <v>8</v>
      </c>
      <c r="I140" s="56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>
        <v>4</v>
      </c>
      <c r="AK140" s="57"/>
      <c r="AL140" s="57">
        <v>1</v>
      </c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8">
        <f t="shared" si="2"/>
        <v>5</v>
      </c>
    </row>
    <row r="141" spans="1:69" ht="14" x14ac:dyDescent="0.15">
      <c r="A141" s="92" t="s">
        <v>415</v>
      </c>
      <c r="B141" s="93" t="s">
        <v>277</v>
      </c>
      <c r="C141" s="93" t="s">
        <v>349</v>
      </c>
      <c r="D141" s="93" t="s">
        <v>416</v>
      </c>
      <c r="E141" s="93" t="s">
        <v>109</v>
      </c>
      <c r="F141" s="97">
        <v>8</v>
      </c>
      <c r="G141" s="97">
        <v>168</v>
      </c>
      <c r="H141" s="104">
        <v>8</v>
      </c>
      <c r="I141" s="56"/>
      <c r="J141" s="57">
        <v>1</v>
      </c>
      <c r="K141" s="57"/>
      <c r="L141" s="57">
        <v>1</v>
      </c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>
        <v>11</v>
      </c>
      <c r="BH141" s="57"/>
      <c r="BI141" s="57"/>
      <c r="BJ141" s="57"/>
      <c r="BK141" s="57"/>
      <c r="BL141" s="57"/>
      <c r="BM141" s="57"/>
      <c r="BN141" s="57"/>
      <c r="BO141" s="57">
        <v>6</v>
      </c>
      <c r="BP141" s="57">
        <v>1</v>
      </c>
      <c r="BQ141" s="58">
        <f t="shared" si="2"/>
        <v>20</v>
      </c>
    </row>
    <row r="142" spans="1:69" ht="14" x14ac:dyDescent="0.15">
      <c r="A142" s="92" t="s">
        <v>417</v>
      </c>
      <c r="B142" s="93" t="s">
        <v>277</v>
      </c>
      <c r="C142" s="93" t="s">
        <v>349</v>
      </c>
      <c r="D142" s="93" t="s">
        <v>418</v>
      </c>
      <c r="E142" s="93" t="s">
        <v>204</v>
      </c>
      <c r="F142" s="97">
        <v>8</v>
      </c>
      <c r="G142" s="97">
        <v>184</v>
      </c>
      <c r="H142" s="104"/>
      <c r="I142" s="56"/>
      <c r="J142" s="57"/>
      <c r="K142" s="57"/>
      <c r="L142" s="57"/>
      <c r="M142" s="57"/>
      <c r="N142" s="57"/>
      <c r="O142" s="57"/>
      <c r="P142" s="57"/>
      <c r="Q142" s="57"/>
      <c r="R142" s="57">
        <v>2</v>
      </c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>
        <v>5</v>
      </c>
      <c r="BH142" s="57">
        <v>12</v>
      </c>
      <c r="BI142" s="57"/>
      <c r="BJ142" s="57">
        <v>13</v>
      </c>
      <c r="BK142" s="57"/>
      <c r="BL142" s="57">
        <v>11</v>
      </c>
      <c r="BM142" s="57"/>
      <c r="BN142" s="57"/>
      <c r="BO142" s="57"/>
      <c r="BP142" s="57">
        <f>23+7</f>
        <v>30</v>
      </c>
      <c r="BQ142" s="58">
        <f t="shared" si="2"/>
        <v>73</v>
      </c>
    </row>
    <row r="143" spans="1:69" ht="14" x14ac:dyDescent="0.15">
      <c r="A143" s="92" t="s">
        <v>419</v>
      </c>
      <c r="B143" s="93" t="s">
        <v>277</v>
      </c>
      <c r="C143" s="93" t="s">
        <v>349</v>
      </c>
      <c r="D143" s="93" t="s">
        <v>420</v>
      </c>
      <c r="E143" s="93" t="s">
        <v>109</v>
      </c>
      <c r="F143" s="97">
        <v>8</v>
      </c>
      <c r="G143" s="97">
        <v>256</v>
      </c>
      <c r="H143" s="117">
        <v>8</v>
      </c>
      <c r="I143" s="56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>
        <v>7</v>
      </c>
      <c r="BM143" s="57"/>
      <c r="BN143" s="57"/>
      <c r="BO143" s="57">
        <v>1</v>
      </c>
      <c r="BP143" s="57"/>
      <c r="BQ143" s="58">
        <f t="shared" si="2"/>
        <v>8</v>
      </c>
    </row>
    <row r="144" spans="1:69" ht="14" x14ac:dyDescent="0.15">
      <c r="A144" s="92" t="s">
        <v>421</v>
      </c>
      <c r="B144" s="93" t="s">
        <v>277</v>
      </c>
      <c r="C144" s="93" t="s">
        <v>349</v>
      </c>
      <c r="D144" s="93" t="s">
        <v>422</v>
      </c>
      <c r="E144" s="93" t="s">
        <v>109</v>
      </c>
      <c r="F144" s="97">
        <v>8</v>
      </c>
      <c r="G144" s="97">
        <v>320</v>
      </c>
      <c r="H144" s="117">
        <v>8</v>
      </c>
      <c r="I144" s="56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>
        <v>13</v>
      </c>
      <c r="BH144" s="57"/>
      <c r="BI144" s="57"/>
      <c r="BJ144" s="57">
        <v>7</v>
      </c>
      <c r="BK144" s="57"/>
      <c r="BL144" s="57"/>
      <c r="BM144" s="57"/>
      <c r="BN144" s="57"/>
      <c r="BO144" s="57"/>
      <c r="BP144" s="57"/>
      <c r="BQ144" s="58">
        <f t="shared" si="2"/>
        <v>20</v>
      </c>
    </row>
    <row r="145" spans="1:69" ht="14" x14ac:dyDescent="0.15">
      <c r="A145" s="92" t="s">
        <v>423</v>
      </c>
      <c r="B145" s="93" t="s">
        <v>277</v>
      </c>
      <c r="C145" s="93" t="s">
        <v>349</v>
      </c>
      <c r="D145" s="93" t="s">
        <v>424</v>
      </c>
      <c r="E145" s="93" t="s">
        <v>109</v>
      </c>
      <c r="F145" s="97">
        <v>12</v>
      </c>
      <c r="G145" s="97">
        <v>48</v>
      </c>
      <c r="H145" s="117">
        <v>12</v>
      </c>
      <c r="I145" s="56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>
        <v>3</v>
      </c>
      <c r="AN145" s="57"/>
      <c r="AO145" s="57"/>
      <c r="AP145" s="57"/>
      <c r="AQ145" s="57"/>
      <c r="AR145" s="57"/>
      <c r="AS145" s="57"/>
      <c r="AT145" s="57"/>
      <c r="AU145" s="57"/>
      <c r="AV145" s="57">
        <v>1</v>
      </c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8">
        <f t="shared" si="2"/>
        <v>4</v>
      </c>
    </row>
    <row r="146" spans="1:69" ht="14" x14ac:dyDescent="0.15">
      <c r="A146" s="92" t="s">
        <v>425</v>
      </c>
      <c r="B146" s="93" t="s">
        <v>277</v>
      </c>
      <c r="C146" s="93" t="s">
        <v>349</v>
      </c>
      <c r="D146" s="93" t="s">
        <v>426</v>
      </c>
      <c r="E146" s="93" t="s">
        <v>109</v>
      </c>
      <c r="F146" s="97">
        <v>12</v>
      </c>
      <c r="G146" s="97">
        <v>56</v>
      </c>
      <c r="H146" s="117">
        <v>12</v>
      </c>
      <c r="I146" s="56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>
        <v>1</v>
      </c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>
        <v>4</v>
      </c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8">
        <f t="shared" si="2"/>
        <v>5</v>
      </c>
    </row>
    <row r="147" spans="1:69" ht="14" x14ac:dyDescent="0.15">
      <c r="A147" s="92" t="s">
        <v>427</v>
      </c>
      <c r="B147" s="93" t="s">
        <v>277</v>
      </c>
      <c r="C147" s="93" t="s">
        <v>349</v>
      </c>
      <c r="D147" s="93" t="s">
        <v>428</v>
      </c>
      <c r="E147" s="93" t="s">
        <v>116</v>
      </c>
      <c r="F147" s="97">
        <v>12</v>
      </c>
      <c r="G147" s="97">
        <v>80</v>
      </c>
      <c r="H147" s="98"/>
      <c r="I147" s="56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>
        <v>2</v>
      </c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8">
        <f t="shared" si="2"/>
        <v>2</v>
      </c>
    </row>
    <row r="148" spans="1:69" ht="14" x14ac:dyDescent="0.15">
      <c r="A148" s="92" t="s">
        <v>429</v>
      </c>
      <c r="B148" s="93" t="s">
        <v>277</v>
      </c>
      <c r="C148" s="93" t="s">
        <v>349</v>
      </c>
      <c r="D148" s="93" t="s">
        <v>430</v>
      </c>
      <c r="E148" s="93" t="s">
        <v>109</v>
      </c>
      <c r="F148" s="97">
        <v>12</v>
      </c>
      <c r="G148" s="97">
        <v>128</v>
      </c>
      <c r="H148" s="98">
        <v>12</v>
      </c>
      <c r="I148" s="56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>
        <v>11</v>
      </c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8">
        <f t="shared" si="2"/>
        <v>11</v>
      </c>
    </row>
    <row r="149" spans="1:69" ht="14" x14ac:dyDescent="0.15">
      <c r="A149" s="92" t="s">
        <v>431</v>
      </c>
      <c r="B149" s="93" t="s">
        <v>277</v>
      </c>
      <c r="C149" s="93" t="s">
        <v>349</v>
      </c>
      <c r="D149" s="93" t="s">
        <v>432</v>
      </c>
      <c r="E149" s="93" t="s">
        <v>109</v>
      </c>
      <c r="F149" s="97">
        <v>16</v>
      </c>
      <c r="G149" s="97">
        <v>40</v>
      </c>
      <c r="H149" s="98">
        <v>16</v>
      </c>
      <c r="I149" s="56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>
        <v>1</v>
      </c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8">
        <f t="shared" si="2"/>
        <v>1</v>
      </c>
    </row>
    <row r="150" spans="1:69" ht="14" x14ac:dyDescent="0.15">
      <c r="A150" s="92" t="s">
        <v>433</v>
      </c>
      <c r="B150" s="93" t="s">
        <v>404</v>
      </c>
      <c r="C150" s="93" t="s">
        <v>349</v>
      </c>
      <c r="D150" s="93" t="s">
        <v>434</v>
      </c>
      <c r="E150" s="93" t="s">
        <v>116</v>
      </c>
      <c r="F150" s="97">
        <v>16</v>
      </c>
      <c r="G150" s="97">
        <v>48</v>
      </c>
      <c r="H150" s="98"/>
      <c r="I150" s="56"/>
      <c r="J150" s="57"/>
      <c r="K150" s="57"/>
      <c r="L150" s="57"/>
      <c r="M150" s="57"/>
      <c r="N150" s="57"/>
      <c r="O150" s="57"/>
      <c r="P150" s="57"/>
      <c r="Q150" s="57"/>
      <c r="R150" s="57"/>
      <c r="S150" s="57">
        <f>5+4</f>
        <v>9</v>
      </c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8">
        <f t="shared" si="2"/>
        <v>9</v>
      </c>
    </row>
    <row r="151" spans="1:69" ht="14" x14ac:dyDescent="0.15">
      <c r="A151" s="92" t="s">
        <v>435</v>
      </c>
      <c r="B151" s="93" t="s">
        <v>277</v>
      </c>
      <c r="C151" s="93" t="s">
        <v>349</v>
      </c>
      <c r="D151" s="93" t="s">
        <v>436</v>
      </c>
      <c r="E151" s="118" t="s">
        <v>307</v>
      </c>
      <c r="F151" s="97">
        <v>16</v>
      </c>
      <c r="G151" s="97">
        <v>64</v>
      </c>
      <c r="H151" s="98">
        <v>16</v>
      </c>
      <c r="I151" s="56">
        <v>1</v>
      </c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>
        <v>1</v>
      </c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>
        <v>1</v>
      </c>
      <c r="BP151" s="57"/>
      <c r="BQ151" s="58">
        <f t="shared" si="2"/>
        <v>3</v>
      </c>
    </row>
    <row r="152" spans="1:69" ht="14" x14ac:dyDescent="0.15">
      <c r="A152" s="92" t="s">
        <v>437</v>
      </c>
      <c r="B152" s="93" t="s">
        <v>277</v>
      </c>
      <c r="C152" s="93" t="s">
        <v>349</v>
      </c>
      <c r="D152" s="93" t="s">
        <v>438</v>
      </c>
      <c r="E152" s="93" t="s">
        <v>109</v>
      </c>
      <c r="F152" s="97">
        <v>16</v>
      </c>
      <c r="G152" s="97">
        <v>104</v>
      </c>
      <c r="H152" s="98">
        <v>16</v>
      </c>
      <c r="I152" s="56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>
        <v>1</v>
      </c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8">
        <f t="shared" si="2"/>
        <v>1</v>
      </c>
    </row>
    <row r="153" spans="1:69" ht="14" x14ac:dyDescent="0.15">
      <c r="A153" s="119" t="s">
        <v>439</v>
      </c>
      <c r="B153" s="93" t="s">
        <v>277</v>
      </c>
      <c r="C153" s="93" t="s">
        <v>349</v>
      </c>
      <c r="D153" s="118" t="s">
        <v>440</v>
      </c>
      <c r="E153" s="118" t="s">
        <v>307</v>
      </c>
      <c r="F153" s="122">
        <v>16</v>
      </c>
      <c r="G153" s="97">
        <v>160</v>
      </c>
      <c r="H153" s="98">
        <v>16</v>
      </c>
      <c r="I153" s="56">
        <v>3</v>
      </c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>
        <v>2</v>
      </c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>
        <v>1</v>
      </c>
      <c r="BI153" s="57"/>
      <c r="BJ153" s="57"/>
      <c r="BK153" s="57"/>
      <c r="BL153" s="57"/>
      <c r="BM153" s="57"/>
      <c r="BN153" s="57"/>
      <c r="BO153" s="57"/>
      <c r="BP153" s="57"/>
      <c r="BQ153" s="58">
        <f t="shared" si="2"/>
        <v>6</v>
      </c>
    </row>
    <row r="154" spans="1:69" ht="14" x14ac:dyDescent="0.15">
      <c r="A154" s="119" t="s">
        <v>441</v>
      </c>
      <c r="B154" s="93" t="s">
        <v>277</v>
      </c>
      <c r="C154" s="93" t="s">
        <v>349</v>
      </c>
      <c r="D154" s="118" t="s">
        <v>442</v>
      </c>
      <c r="E154" s="118" t="s">
        <v>307</v>
      </c>
      <c r="F154" s="122">
        <v>16</v>
      </c>
      <c r="G154" s="97">
        <v>360</v>
      </c>
      <c r="H154" s="98">
        <v>16</v>
      </c>
      <c r="I154" s="56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>
        <v>2</v>
      </c>
      <c r="BQ154" s="58">
        <f t="shared" si="2"/>
        <v>2</v>
      </c>
    </row>
    <row r="155" spans="1:69" ht="14" x14ac:dyDescent="0.15">
      <c r="A155" s="92" t="s">
        <v>443</v>
      </c>
      <c r="B155" s="93" t="s">
        <v>277</v>
      </c>
      <c r="C155" s="93" t="s">
        <v>349</v>
      </c>
      <c r="D155" s="93" t="s">
        <v>444</v>
      </c>
      <c r="E155" s="93" t="s">
        <v>109</v>
      </c>
      <c r="F155" s="97">
        <v>20</v>
      </c>
      <c r="G155" s="97">
        <v>56</v>
      </c>
      <c r="H155" s="98">
        <v>20</v>
      </c>
      <c r="I155" s="56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>
        <v>3</v>
      </c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>
        <v>2</v>
      </c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8">
        <f t="shared" si="2"/>
        <v>5</v>
      </c>
    </row>
    <row r="156" spans="1:69" ht="14" x14ac:dyDescent="0.15">
      <c r="A156" s="92" t="s">
        <v>445</v>
      </c>
      <c r="B156" s="93" t="s">
        <v>277</v>
      </c>
      <c r="C156" s="93" t="s">
        <v>349</v>
      </c>
      <c r="D156" s="93" t="s">
        <v>446</v>
      </c>
      <c r="E156" s="93" t="s">
        <v>109</v>
      </c>
      <c r="F156" s="97">
        <v>20</v>
      </c>
      <c r="G156" s="97">
        <v>112</v>
      </c>
      <c r="H156" s="98">
        <v>20</v>
      </c>
      <c r="I156" s="56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>
        <v>1</v>
      </c>
      <c r="BO156" s="57"/>
      <c r="BP156" s="57"/>
      <c r="BQ156" s="58">
        <f t="shared" si="2"/>
        <v>1</v>
      </c>
    </row>
    <row r="157" spans="1:69" ht="14" x14ac:dyDescent="0.15">
      <c r="A157" s="92" t="s">
        <v>447</v>
      </c>
      <c r="B157" s="93" t="s">
        <v>277</v>
      </c>
      <c r="C157" s="93" t="s">
        <v>349</v>
      </c>
      <c r="D157" s="93" t="s">
        <v>448</v>
      </c>
      <c r="E157" s="93" t="s">
        <v>116</v>
      </c>
      <c r="F157" s="97">
        <v>24</v>
      </c>
      <c r="G157" s="97">
        <v>32</v>
      </c>
      <c r="H157" s="98"/>
      <c r="I157" s="56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>
        <v>10</v>
      </c>
      <c r="BH157" s="57"/>
      <c r="BI157" s="57"/>
      <c r="BJ157" s="57"/>
      <c r="BK157" s="57"/>
      <c r="BL157" s="57"/>
      <c r="BM157" s="57">
        <v>5</v>
      </c>
      <c r="BN157" s="57"/>
      <c r="BO157" s="57"/>
      <c r="BP157" s="57"/>
      <c r="BQ157" s="58">
        <f t="shared" si="2"/>
        <v>15</v>
      </c>
    </row>
    <row r="158" spans="1:69" ht="14" x14ac:dyDescent="0.15">
      <c r="A158" s="92" t="s">
        <v>449</v>
      </c>
      <c r="B158" s="93" t="s">
        <v>277</v>
      </c>
      <c r="C158" s="93" t="s">
        <v>349</v>
      </c>
      <c r="D158" s="93" t="s">
        <v>450</v>
      </c>
      <c r="E158" s="93" t="s">
        <v>109</v>
      </c>
      <c r="F158" s="97">
        <v>24</v>
      </c>
      <c r="G158" s="97">
        <v>72</v>
      </c>
      <c r="H158" s="98">
        <v>24</v>
      </c>
      <c r="I158" s="56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>
        <v>1</v>
      </c>
      <c r="BM158" s="57">
        <v>1</v>
      </c>
      <c r="BN158" s="57">
        <v>1</v>
      </c>
      <c r="BO158" s="57"/>
      <c r="BP158" s="57"/>
      <c r="BQ158" s="58">
        <f t="shared" si="2"/>
        <v>3</v>
      </c>
    </row>
    <row r="159" spans="1:69" ht="14" x14ac:dyDescent="0.2">
      <c r="A159" s="92" t="s">
        <v>451</v>
      </c>
      <c r="B159" s="93" t="s">
        <v>277</v>
      </c>
      <c r="C159" s="93" t="s">
        <v>349</v>
      </c>
      <c r="D159" s="93" t="s">
        <v>452</v>
      </c>
      <c r="E159" s="93" t="s">
        <v>307</v>
      </c>
      <c r="F159" s="125">
        <v>104</v>
      </c>
      <c r="G159" s="125">
        <v>200</v>
      </c>
      <c r="H159" s="126">
        <v>104</v>
      </c>
      <c r="I159" s="56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>
        <v>2</v>
      </c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8">
        <f t="shared" si="2"/>
        <v>2</v>
      </c>
    </row>
    <row r="160" spans="1:69" ht="14" x14ac:dyDescent="0.15">
      <c r="A160" s="92" t="s">
        <v>453</v>
      </c>
      <c r="B160" s="93" t="s">
        <v>277</v>
      </c>
      <c r="C160" s="93" t="s">
        <v>454</v>
      </c>
      <c r="D160" s="93" t="s">
        <v>455</v>
      </c>
      <c r="E160" s="93" t="s">
        <v>109</v>
      </c>
      <c r="F160" s="97">
        <v>16</v>
      </c>
      <c r="G160" s="97">
        <v>48</v>
      </c>
      <c r="H160" s="98">
        <v>16</v>
      </c>
      <c r="I160" s="56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>
        <v>1</v>
      </c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8">
        <f t="shared" si="2"/>
        <v>1</v>
      </c>
    </row>
    <row r="161" spans="1:69" ht="14" x14ac:dyDescent="0.15">
      <c r="A161" s="92" t="s">
        <v>456</v>
      </c>
      <c r="B161" s="93" t="s">
        <v>277</v>
      </c>
      <c r="C161" s="93" t="s">
        <v>454</v>
      </c>
      <c r="D161" s="93" t="s">
        <v>457</v>
      </c>
      <c r="E161" s="93" t="s">
        <v>109</v>
      </c>
      <c r="F161" s="97">
        <v>16</v>
      </c>
      <c r="G161" s="97">
        <v>96</v>
      </c>
      <c r="H161" s="98">
        <v>16</v>
      </c>
      <c r="I161" s="56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>
        <v>1</v>
      </c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8">
        <f t="shared" si="2"/>
        <v>1</v>
      </c>
    </row>
    <row r="162" spans="1:69" ht="14" x14ac:dyDescent="0.15">
      <c r="A162" s="92" t="s">
        <v>458</v>
      </c>
      <c r="B162" s="93" t="s">
        <v>277</v>
      </c>
      <c r="C162" s="93" t="s">
        <v>454</v>
      </c>
      <c r="D162" s="93" t="s">
        <v>459</v>
      </c>
      <c r="E162" s="93" t="s">
        <v>109</v>
      </c>
      <c r="F162" s="97">
        <v>24</v>
      </c>
      <c r="G162" s="97">
        <v>64</v>
      </c>
      <c r="H162" s="98">
        <v>24</v>
      </c>
      <c r="I162" s="56"/>
      <c r="J162" s="57"/>
      <c r="K162" s="57"/>
      <c r="L162" s="57">
        <v>1</v>
      </c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8">
        <f t="shared" si="2"/>
        <v>1</v>
      </c>
    </row>
    <row r="163" spans="1:69" ht="14" x14ac:dyDescent="0.15">
      <c r="A163" s="92" t="s">
        <v>460</v>
      </c>
      <c r="B163" s="93" t="s">
        <v>277</v>
      </c>
      <c r="C163" s="93" t="s">
        <v>454</v>
      </c>
      <c r="D163" s="93" t="s">
        <v>461</v>
      </c>
      <c r="E163" s="93" t="s">
        <v>109</v>
      </c>
      <c r="F163" s="97">
        <v>48</v>
      </c>
      <c r="G163" s="97">
        <v>64</v>
      </c>
      <c r="H163" s="98">
        <v>48</v>
      </c>
      <c r="I163" s="56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>
        <v>1</v>
      </c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8">
        <f t="shared" si="2"/>
        <v>1</v>
      </c>
    </row>
    <row r="164" spans="1:69" ht="14" x14ac:dyDescent="0.15">
      <c r="A164" s="92" t="s">
        <v>462</v>
      </c>
      <c r="B164" s="93" t="s">
        <v>277</v>
      </c>
      <c r="C164" s="93" t="s">
        <v>454</v>
      </c>
      <c r="D164" s="93" t="s">
        <v>463</v>
      </c>
      <c r="E164" s="93" t="s">
        <v>109</v>
      </c>
      <c r="F164" s="97">
        <v>64</v>
      </c>
      <c r="G164" s="97">
        <v>80</v>
      </c>
      <c r="H164" s="98">
        <v>64</v>
      </c>
      <c r="I164" s="56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>
        <v>1</v>
      </c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>
        <v>6</v>
      </c>
      <c r="BN164" s="57"/>
      <c r="BO164" s="57"/>
      <c r="BP164" s="57"/>
      <c r="BQ164" s="58">
        <f t="shared" si="2"/>
        <v>7</v>
      </c>
    </row>
    <row r="165" spans="1:69" ht="14" x14ac:dyDescent="0.15">
      <c r="A165" s="92" t="s">
        <v>464</v>
      </c>
      <c r="B165" s="93" t="s">
        <v>277</v>
      </c>
      <c r="C165" s="93" t="s">
        <v>465</v>
      </c>
      <c r="D165" s="93" t="s">
        <v>466</v>
      </c>
      <c r="E165" s="93" t="s">
        <v>412</v>
      </c>
      <c r="F165" s="97">
        <v>4</v>
      </c>
      <c r="G165" s="97">
        <v>64</v>
      </c>
      <c r="H165" s="98">
        <v>4</v>
      </c>
      <c r="I165" s="56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>
        <v>1</v>
      </c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8">
        <f t="shared" si="2"/>
        <v>1</v>
      </c>
    </row>
    <row r="166" spans="1:69" ht="14" x14ac:dyDescent="0.15">
      <c r="A166" s="92" t="s">
        <v>467</v>
      </c>
      <c r="B166" s="93" t="s">
        <v>277</v>
      </c>
      <c r="C166" s="93" t="s">
        <v>465</v>
      </c>
      <c r="D166" s="93" t="s">
        <v>468</v>
      </c>
      <c r="E166" s="93" t="s">
        <v>412</v>
      </c>
      <c r="F166" s="97">
        <v>4</v>
      </c>
      <c r="G166" s="97">
        <v>160</v>
      </c>
      <c r="H166" s="98">
        <v>4</v>
      </c>
      <c r="I166" s="56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>
        <v>7</v>
      </c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8">
        <f t="shared" si="2"/>
        <v>7</v>
      </c>
    </row>
    <row r="167" spans="1:69" ht="14" x14ac:dyDescent="0.15">
      <c r="A167" s="92" t="s">
        <v>469</v>
      </c>
      <c r="B167" s="93" t="s">
        <v>277</v>
      </c>
      <c r="C167" s="93" t="s">
        <v>465</v>
      </c>
      <c r="D167" s="93" t="s">
        <v>470</v>
      </c>
      <c r="E167" s="93" t="s">
        <v>412</v>
      </c>
      <c r="F167" s="97">
        <v>6</v>
      </c>
      <c r="G167" s="97">
        <v>56</v>
      </c>
      <c r="H167" s="98">
        <v>6</v>
      </c>
      <c r="I167" s="56"/>
      <c r="J167" s="57"/>
      <c r="K167" s="57"/>
      <c r="L167" s="57"/>
      <c r="M167" s="57"/>
      <c r="N167" s="57"/>
      <c r="O167" s="57"/>
      <c r="P167" s="57">
        <v>12</v>
      </c>
      <c r="Q167" s="57"/>
      <c r="R167" s="57"/>
      <c r="S167" s="57"/>
      <c r="T167" s="57">
        <v>9</v>
      </c>
      <c r="U167" s="57"/>
      <c r="V167" s="57"/>
      <c r="W167" s="57"/>
      <c r="X167" s="57"/>
      <c r="Y167" s="57"/>
      <c r="Z167" s="57">
        <v>7</v>
      </c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8">
        <f t="shared" si="2"/>
        <v>28</v>
      </c>
    </row>
    <row r="168" spans="1:69" ht="14" x14ac:dyDescent="0.15">
      <c r="A168" s="92" t="s">
        <v>471</v>
      </c>
      <c r="B168" s="93" t="s">
        <v>277</v>
      </c>
      <c r="C168" s="93" t="s">
        <v>465</v>
      </c>
      <c r="D168" s="93" t="s">
        <v>472</v>
      </c>
      <c r="E168" s="93" t="s">
        <v>412</v>
      </c>
      <c r="F168" s="97">
        <v>6</v>
      </c>
      <c r="G168" s="97">
        <v>88</v>
      </c>
      <c r="H168" s="98">
        <v>6</v>
      </c>
      <c r="I168" s="56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>
        <v>2</v>
      </c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8">
        <f t="shared" si="2"/>
        <v>2</v>
      </c>
    </row>
    <row r="169" spans="1:69" ht="14" x14ac:dyDescent="0.15">
      <c r="A169" s="92" t="s">
        <v>473</v>
      </c>
      <c r="B169" s="93" t="s">
        <v>277</v>
      </c>
      <c r="C169" s="93" t="s">
        <v>465</v>
      </c>
      <c r="D169" s="93" t="s">
        <v>474</v>
      </c>
      <c r="E169" s="93" t="s">
        <v>412</v>
      </c>
      <c r="F169" s="97">
        <v>8</v>
      </c>
      <c r="G169" s="97">
        <v>44</v>
      </c>
      <c r="H169" s="98">
        <v>8</v>
      </c>
      <c r="I169" s="56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AA169" s="57">
        <v>21</v>
      </c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>
        <v>5</v>
      </c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8">
        <f t="shared" si="2"/>
        <v>26</v>
      </c>
    </row>
    <row r="170" spans="1:69" ht="14" x14ac:dyDescent="0.15">
      <c r="A170" s="92" t="s">
        <v>475</v>
      </c>
      <c r="B170" s="93" t="s">
        <v>277</v>
      </c>
      <c r="C170" s="93" t="s">
        <v>465</v>
      </c>
      <c r="D170" s="93" t="s">
        <v>476</v>
      </c>
      <c r="E170" s="93" t="s">
        <v>412</v>
      </c>
      <c r="F170" s="97">
        <v>8</v>
      </c>
      <c r="G170" s="97">
        <v>64</v>
      </c>
      <c r="H170" s="98">
        <v>8</v>
      </c>
      <c r="I170" s="56"/>
      <c r="J170" s="57"/>
      <c r="K170" s="57"/>
      <c r="L170" s="57"/>
      <c r="M170" s="57"/>
      <c r="N170" s="57"/>
      <c r="O170" s="57">
        <v>3</v>
      </c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>
        <v>4</v>
      </c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8">
        <f t="shared" si="2"/>
        <v>7</v>
      </c>
    </row>
    <row r="171" spans="1:69" ht="14" x14ac:dyDescent="0.15">
      <c r="A171" s="92" t="s">
        <v>477</v>
      </c>
      <c r="B171" s="93" t="s">
        <v>277</v>
      </c>
      <c r="C171" s="93" t="s">
        <v>465</v>
      </c>
      <c r="D171" s="93" t="s">
        <v>478</v>
      </c>
      <c r="E171" s="93" t="s">
        <v>412</v>
      </c>
      <c r="F171" s="97">
        <v>8</v>
      </c>
      <c r="G171" s="97">
        <v>80</v>
      </c>
      <c r="H171" s="98">
        <v>8</v>
      </c>
      <c r="I171" s="56">
        <v>2</v>
      </c>
      <c r="J171" s="57"/>
      <c r="K171" s="57"/>
      <c r="L171" s="57">
        <v>3</v>
      </c>
      <c r="M171" s="57"/>
      <c r="N171" s="57"/>
      <c r="O171" s="57"/>
      <c r="P171" s="57"/>
      <c r="Q171" s="57">
        <v>3</v>
      </c>
      <c r="R171" s="57"/>
      <c r="S171" s="57"/>
      <c r="T171" s="57"/>
      <c r="U171" s="57"/>
      <c r="V171" s="57">
        <v>2</v>
      </c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>
        <v>1</v>
      </c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8">
        <f t="shared" si="2"/>
        <v>11</v>
      </c>
    </row>
    <row r="172" spans="1:69" ht="14" x14ac:dyDescent="0.15">
      <c r="A172" s="92" t="s">
        <v>479</v>
      </c>
      <c r="B172" s="93" t="s">
        <v>277</v>
      </c>
      <c r="C172" s="93" t="s">
        <v>465</v>
      </c>
      <c r="D172" s="93" t="s">
        <v>480</v>
      </c>
      <c r="E172" s="93" t="s">
        <v>412</v>
      </c>
      <c r="F172" s="97">
        <v>8</v>
      </c>
      <c r="G172" s="97">
        <v>96</v>
      </c>
      <c r="H172" s="98">
        <v>8</v>
      </c>
      <c r="I172" s="56"/>
      <c r="J172" s="57"/>
      <c r="K172" s="57"/>
      <c r="L172" s="57"/>
      <c r="M172" s="57"/>
      <c r="N172" s="57"/>
      <c r="O172" s="57"/>
      <c r="P172" s="57"/>
      <c r="Q172" s="57"/>
      <c r="R172" s="57"/>
      <c r="S172" s="57">
        <v>32</v>
      </c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8">
        <f t="shared" si="2"/>
        <v>32</v>
      </c>
    </row>
    <row r="173" spans="1:69" ht="14" x14ac:dyDescent="0.15">
      <c r="A173" s="92" t="s">
        <v>481</v>
      </c>
      <c r="B173" s="93" t="s">
        <v>277</v>
      </c>
      <c r="C173" s="93" t="s">
        <v>465</v>
      </c>
      <c r="D173" s="93" t="s">
        <v>482</v>
      </c>
      <c r="E173" s="93" t="s">
        <v>412</v>
      </c>
      <c r="F173" s="97">
        <v>8</v>
      </c>
      <c r="G173" s="97">
        <v>120</v>
      </c>
      <c r="H173" s="98">
        <v>8</v>
      </c>
      <c r="I173" s="56"/>
      <c r="J173" s="57"/>
      <c r="K173" s="57"/>
      <c r="L173" s="57"/>
      <c r="M173" s="57"/>
      <c r="N173" s="57"/>
      <c r="O173" s="57"/>
      <c r="P173" s="57"/>
      <c r="Q173" s="57"/>
      <c r="R173" s="57">
        <v>4</v>
      </c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>
        <v>1</v>
      </c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8">
        <f t="shared" si="2"/>
        <v>5</v>
      </c>
    </row>
    <row r="174" spans="1:69" ht="14" x14ac:dyDescent="0.15">
      <c r="A174" s="92" t="s">
        <v>483</v>
      </c>
      <c r="B174" s="93" t="s">
        <v>277</v>
      </c>
      <c r="C174" s="93" t="s">
        <v>465</v>
      </c>
      <c r="D174" s="93" t="s">
        <v>484</v>
      </c>
      <c r="E174" s="93" t="s">
        <v>412</v>
      </c>
      <c r="F174" s="97">
        <v>12</v>
      </c>
      <c r="G174" s="97">
        <v>96</v>
      </c>
      <c r="H174" s="98">
        <v>12</v>
      </c>
      <c r="I174" s="56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>
        <v>4</v>
      </c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8">
        <f t="shared" si="2"/>
        <v>4</v>
      </c>
    </row>
    <row r="175" spans="1:69" ht="14" x14ac:dyDescent="0.15">
      <c r="A175" s="92" t="s">
        <v>485</v>
      </c>
      <c r="B175" s="93" t="s">
        <v>277</v>
      </c>
      <c r="C175" s="93" t="s">
        <v>465</v>
      </c>
      <c r="D175" s="93" t="s">
        <v>486</v>
      </c>
      <c r="E175" s="93" t="s">
        <v>412</v>
      </c>
      <c r="F175" s="97">
        <v>16</v>
      </c>
      <c r="G175" s="97">
        <v>64</v>
      </c>
      <c r="H175" s="98">
        <v>16</v>
      </c>
      <c r="I175" s="56"/>
      <c r="J175" s="57"/>
      <c r="K175" s="57"/>
      <c r="L175" s="57"/>
      <c r="M175" s="57"/>
      <c r="N175" s="57">
        <v>7</v>
      </c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8">
        <f t="shared" si="2"/>
        <v>7</v>
      </c>
    </row>
    <row r="176" spans="1:69" ht="14" x14ac:dyDescent="0.15">
      <c r="A176" s="92" t="s">
        <v>487</v>
      </c>
      <c r="B176" s="93" t="s">
        <v>277</v>
      </c>
      <c r="C176" s="93" t="s">
        <v>465</v>
      </c>
      <c r="D176" s="93" t="s">
        <v>488</v>
      </c>
      <c r="E176" s="93" t="s">
        <v>412</v>
      </c>
      <c r="F176" s="97">
        <v>16</v>
      </c>
      <c r="G176" s="97">
        <v>88</v>
      </c>
      <c r="H176" s="98">
        <v>16</v>
      </c>
      <c r="I176" s="56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>
        <v>1</v>
      </c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>
        <v>3</v>
      </c>
      <c r="BI176" s="57"/>
      <c r="BJ176" s="57"/>
      <c r="BK176" s="57"/>
      <c r="BL176" s="57"/>
      <c r="BM176" s="57"/>
      <c r="BN176" s="57"/>
      <c r="BO176" s="57"/>
      <c r="BP176" s="57"/>
      <c r="BQ176" s="58">
        <f t="shared" si="2"/>
        <v>4</v>
      </c>
    </row>
    <row r="177" spans="1:69" ht="14" x14ac:dyDescent="0.15">
      <c r="A177" s="92" t="s">
        <v>489</v>
      </c>
      <c r="B177" s="93" t="s">
        <v>277</v>
      </c>
      <c r="C177" s="93" t="s">
        <v>465</v>
      </c>
      <c r="D177" s="93" t="s">
        <v>490</v>
      </c>
      <c r="E177" s="93" t="s">
        <v>412</v>
      </c>
      <c r="F177" s="97">
        <v>16</v>
      </c>
      <c r="G177" s="97">
        <v>144</v>
      </c>
      <c r="H177" s="98">
        <v>16</v>
      </c>
      <c r="I177" s="56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>
        <v>11</v>
      </c>
      <c r="BH177" s="57"/>
      <c r="BI177" s="57">
        <v>2</v>
      </c>
      <c r="BJ177" s="57"/>
      <c r="BK177" s="57"/>
      <c r="BL177" s="57"/>
      <c r="BM177" s="57"/>
      <c r="BN177" s="57">
        <v>4</v>
      </c>
      <c r="BO177" s="57"/>
      <c r="BP177" s="57"/>
      <c r="BQ177" s="58">
        <f t="shared" si="2"/>
        <v>17</v>
      </c>
    </row>
    <row r="178" spans="1:69" ht="14" x14ac:dyDescent="0.15">
      <c r="A178" s="92" t="s">
        <v>491</v>
      </c>
      <c r="B178" s="93" t="s">
        <v>277</v>
      </c>
      <c r="C178" s="93" t="s">
        <v>465</v>
      </c>
      <c r="D178" s="93" t="s">
        <v>492</v>
      </c>
      <c r="E178" s="93" t="s">
        <v>412</v>
      </c>
      <c r="F178" s="97">
        <v>16</v>
      </c>
      <c r="G178" s="97">
        <v>184</v>
      </c>
      <c r="H178" s="98">
        <v>16</v>
      </c>
      <c r="I178" s="56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>
        <v>3</v>
      </c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>
        <v>2</v>
      </c>
      <c r="BQ178" s="58">
        <f t="shared" si="2"/>
        <v>5</v>
      </c>
    </row>
    <row r="179" spans="1:69" ht="15" x14ac:dyDescent="0.15">
      <c r="A179" s="133" t="s">
        <v>498</v>
      </c>
      <c r="B179" s="134" t="s">
        <v>494</v>
      </c>
      <c r="C179" s="134" t="s">
        <v>499</v>
      </c>
      <c r="D179" s="134" t="s">
        <v>500</v>
      </c>
      <c r="E179" s="134" t="s">
        <v>502</v>
      </c>
      <c r="F179" s="137">
        <v>16</v>
      </c>
      <c r="G179" s="137">
        <v>16</v>
      </c>
      <c r="H179" s="138">
        <v>16</v>
      </c>
      <c r="I179" s="56"/>
      <c r="J179" s="57">
        <v>3</v>
      </c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>
        <v>1</v>
      </c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>
        <v>1</v>
      </c>
      <c r="BP179" s="57">
        <v>14</v>
      </c>
      <c r="BQ179" s="58">
        <f t="shared" si="2"/>
        <v>19</v>
      </c>
    </row>
    <row r="180" spans="1:69" ht="15" x14ac:dyDescent="0.15">
      <c r="A180" s="133" t="s">
        <v>503</v>
      </c>
      <c r="B180" s="134" t="s">
        <v>494</v>
      </c>
      <c r="C180" s="134" t="s">
        <v>499</v>
      </c>
      <c r="D180" s="134" t="s">
        <v>504</v>
      </c>
      <c r="E180" s="134" t="s">
        <v>502</v>
      </c>
      <c r="F180" s="137">
        <v>20</v>
      </c>
      <c r="G180" s="137">
        <v>20</v>
      </c>
      <c r="H180" s="138">
        <v>20</v>
      </c>
      <c r="I180" s="56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>
        <v>10</v>
      </c>
      <c r="AE180" s="57"/>
      <c r="AF180" s="57">
        <v>5</v>
      </c>
      <c r="AG180" s="57"/>
      <c r="AH180" s="57">
        <v>14</v>
      </c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8">
        <f t="shared" si="2"/>
        <v>29</v>
      </c>
    </row>
    <row r="181" spans="1:69" ht="15" x14ac:dyDescent="0.15">
      <c r="A181" s="133" t="s">
        <v>505</v>
      </c>
      <c r="B181" s="134" t="s">
        <v>494</v>
      </c>
      <c r="C181" s="134" t="s">
        <v>499</v>
      </c>
      <c r="D181" s="134" t="s">
        <v>506</v>
      </c>
      <c r="E181" s="134" t="s">
        <v>502</v>
      </c>
      <c r="F181" s="137">
        <v>20</v>
      </c>
      <c r="G181" s="137">
        <v>24</v>
      </c>
      <c r="H181" s="138">
        <v>20</v>
      </c>
      <c r="I181" s="56"/>
      <c r="J181" s="57"/>
      <c r="K181" s="57"/>
      <c r="L181" s="57">
        <v>6</v>
      </c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>
        <v>13</v>
      </c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8">
        <f t="shared" si="2"/>
        <v>19</v>
      </c>
    </row>
    <row r="182" spans="1:69" ht="15" x14ac:dyDescent="0.15">
      <c r="A182" s="133" t="s">
        <v>507</v>
      </c>
      <c r="B182" s="134" t="s">
        <v>494</v>
      </c>
      <c r="C182" s="134" t="s">
        <v>499</v>
      </c>
      <c r="D182" s="134" t="s">
        <v>508</v>
      </c>
      <c r="E182" s="134" t="s">
        <v>502</v>
      </c>
      <c r="F182" s="137">
        <v>24</v>
      </c>
      <c r="G182" s="137">
        <v>24</v>
      </c>
      <c r="H182" s="138">
        <v>24</v>
      </c>
      <c r="I182" s="56"/>
      <c r="J182" s="57"/>
      <c r="K182" s="57"/>
      <c r="L182" s="57"/>
      <c r="M182" s="57"/>
      <c r="N182" s="57"/>
      <c r="O182" s="57"/>
      <c r="P182" s="57">
        <v>7</v>
      </c>
      <c r="Q182" s="57">
        <v>5</v>
      </c>
      <c r="R182" s="57">
        <v>7</v>
      </c>
      <c r="S182" s="57"/>
      <c r="T182" s="57">
        <v>1</v>
      </c>
      <c r="U182" s="57"/>
      <c r="V182" s="57"/>
      <c r="W182" s="57"/>
      <c r="X182" s="57"/>
      <c r="Y182" s="57"/>
      <c r="Z182" s="57"/>
      <c r="AA182" s="57"/>
      <c r="AB182" s="57"/>
      <c r="AC182" s="57">
        <v>9</v>
      </c>
      <c r="AD182" s="57"/>
      <c r="AE182" s="57">
        <v>1</v>
      </c>
      <c r="AF182" s="57"/>
      <c r="AG182" s="57"/>
      <c r="AH182" s="57"/>
      <c r="AI182" s="57"/>
      <c r="AJ182" s="57">
        <v>9</v>
      </c>
      <c r="AK182" s="57">
        <v>7</v>
      </c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>
        <v>8</v>
      </c>
      <c r="BO182" s="57">
        <v>11</v>
      </c>
      <c r="BP182" s="57"/>
      <c r="BQ182" s="58">
        <f t="shared" si="2"/>
        <v>65</v>
      </c>
    </row>
    <row r="183" spans="1:69" ht="15" x14ac:dyDescent="0.15">
      <c r="A183" s="133" t="s">
        <v>509</v>
      </c>
      <c r="B183" s="134" t="s">
        <v>494</v>
      </c>
      <c r="C183" s="134" t="s">
        <v>510</v>
      </c>
      <c r="D183" s="134" t="s">
        <v>511</v>
      </c>
      <c r="E183" s="134" t="s">
        <v>502</v>
      </c>
      <c r="F183" s="137">
        <v>17.600000000000001</v>
      </c>
      <c r="G183" s="137">
        <v>17.600000000000001</v>
      </c>
      <c r="H183" s="138">
        <v>17.600000000000001</v>
      </c>
      <c r="I183" s="56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>
        <v>13</v>
      </c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8">
        <f t="shared" si="2"/>
        <v>13</v>
      </c>
    </row>
    <row r="184" spans="1:69" ht="15" x14ac:dyDescent="0.15">
      <c r="A184" s="99" t="s">
        <v>512</v>
      </c>
      <c r="B184" s="94" t="s">
        <v>277</v>
      </c>
      <c r="C184" s="94"/>
      <c r="D184" s="94" t="s">
        <v>513</v>
      </c>
      <c r="E184" s="94" t="s">
        <v>109</v>
      </c>
      <c r="F184" s="102">
        <v>16</v>
      </c>
      <c r="G184" s="102">
        <v>40</v>
      </c>
      <c r="H184" s="103">
        <v>16</v>
      </c>
      <c r="I184" s="56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>
        <v>9</v>
      </c>
      <c r="AD184" s="57"/>
      <c r="AE184" s="57"/>
      <c r="AF184" s="57"/>
      <c r="AG184" s="57"/>
      <c r="AH184" s="57"/>
      <c r="AI184" s="57"/>
      <c r="AJ184" s="57"/>
      <c r="AK184" s="57"/>
      <c r="AL184" s="57"/>
      <c r="AM184" s="57">
        <v>10</v>
      </c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>
        <v>1</v>
      </c>
      <c r="BH184" s="57"/>
      <c r="BI184" s="57"/>
      <c r="BJ184" s="57"/>
      <c r="BK184" s="57"/>
      <c r="BL184" s="57"/>
      <c r="BM184" s="57"/>
      <c r="BN184" s="57"/>
      <c r="BO184" s="57"/>
      <c r="BP184" s="57"/>
      <c r="BQ184" s="58">
        <f t="shared" si="2"/>
        <v>20</v>
      </c>
    </row>
    <row r="185" spans="1:69" ht="15" x14ac:dyDescent="0.15">
      <c r="A185" s="139" t="s">
        <v>514</v>
      </c>
      <c r="B185" s="140" t="s">
        <v>515</v>
      </c>
      <c r="C185" s="140"/>
      <c r="D185" s="140" t="s">
        <v>516</v>
      </c>
      <c r="E185" s="140" t="s">
        <v>116</v>
      </c>
      <c r="F185" s="143">
        <v>8</v>
      </c>
      <c r="G185" s="143">
        <v>16</v>
      </c>
      <c r="H185" s="144"/>
      <c r="I185" s="56">
        <v>12</v>
      </c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>
        <v>20</v>
      </c>
      <c r="BO185" s="57"/>
      <c r="BP185" s="57"/>
      <c r="BQ185" s="58">
        <f t="shared" ref="BQ185:BQ228" si="3">SUM(I185:BP185)</f>
        <v>32</v>
      </c>
    </row>
    <row r="186" spans="1:69" ht="15" x14ac:dyDescent="0.15">
      <c r="A186" s="139" t="s">
        <v>517</v>
      </c>
      <c r="B186" s="140" t="s">
        <v>515</v>
      </c>
      <c r="C186" s="140"/>
      <c r="D186" s="140" t="s">
        <v>518</v>
      </c>
      <c r="E186" s="140" t="s">
        <v>116</v>
      </c>
      <c r="F186" s="143">
        <v>12</v>
      </c>
      <c r="G186" s="143">
        <v>20</v>
      </c>
      <c r="H186" s="144"/>
      <c r="I186" s="56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>
        <v>3</v>
      </c>
      <c r="BP186" s="57"/>
      <c r="BQ186" s="58">
        <f t="shared" si="3"/>
        <v>3</v>
      </c>
    </row>
    <row r="187" spans="1:69" ht="15" x14ac:dyDescent="0.15">
      <c r="A187" s="139" t="s">
        <v>519</v>
      </c>
      <c r="B187" s="140" t="s">
        <v>515</v>
      </c>
      <c r="C187" s="140"/>
      <c r="D187" s="140" t="s">
        <v>520</v>
      </c>
      <c r="E187" s="140" t="s">
        <v>116</v>
      </c>
      <c r="F187" s="143">
        <v>16</v>
      </c>
      <c r="G187" s="143">
        <v>32</v>
      </c>
      <c r="H187" s="144"/>
      <c r="I187" s="56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>
        <v>1</v>
      </c>
      <c r="BD187" s="57"/>
      <c r="BE187" s="57">
        <v>1</v>
      </c>
      <c r="BF187" s="57"/>
      <c r="BG187" s="57"/>
      <c r="BH187" s="57"/>
      <c r="BI187" s="57"/>
      <c r="BJ187" s="57"/>
      <c r="BK187" s="57"/>
      <c r="BL187" s="57">
        <v>4</v>
      </c>
      <c r="BM187" s="57"/>
      <c r="BN187" s="57">
        <v>4</v>
      </c>
      <c r="BO187" s="57"/>
      <c r="BP187" s="57"/>
      <c r="BQ187" s="58">
        <f t="shared" si="3"/>
        <v>10</v>
      </c>
    </row>
    <row r="188" spans="1:69" ht="15" x14ac:dyDescent="0.15">
      <c r="A188" s="139" t="s">
        <v>521</v>
      </c>
      <c r="B188" s="140" t="s">
        <v>515</v>
      </c>
      <c r="C188" s="140"/>
      <c r="D188" s="140" t="s">
        <v>522</v>
      </c>
      <c r="E188" s="140" t="s">
        <v>116</v>
      </c>
      <c r="F188" s="143">
        <v>24</v>
      </c>
      <c r="G188" s="143">
        <v>32</v>
      </c>
      <c r="H188" s="144"/>
      <c r="I188" s="56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>
        <v>1</v>
      </c>
      <c r="BO188" s="57">
        <v>18</v>
      </c>
      <c r="BP188" s="57">
        <v>12</v>
      </c>
      <c r="BQ188" s="58">
        <f t="shared" si="3"/>
        <v>31</v>
      </c>
    </row>
    <row r="189" spans="1:69" ht="15" x14ac:dyDescent="0.15">
      <c r="A189" s="139" t="s">
        <v>523</v>
      </c>
      <c r="B189" s="140" t="s">
        <v>515</v>
      </c>
      <c r="C189" s="140" t="s">
        <v>88</v>
      </c>
      <c r="D189" s="140" t="s">
        <v>524</v>
      </c>
      <c r="E189" s="140" t="s">
        <v>116</v>
      </c>
      <c r="F189" s="143">
        <v>16</v>
      </c>
      <c r="G189" s="143">
        <v>16</v>
      </c>
      <c r="H189" s="144"/>
      <c r="I189" s="56"/>
      <c r="J189" s="57"/>
      <c r="K189" s="57"/>
      <c r="L189" s="57"/>
      <c r="M189" s="57"/>
      <c r="N189" s="57"/>
      <c r="O189" s="57"/>
      <c r="P189" s="57"/>
      <c r="Q189" s="57"/>
      <c r="R189" s="57">
        <v>1</v>
      </c>
      <c r="S189" s="57"/>
      <c r="T189" s="57"/>
      <c r="U189" s="57"/>
      <c r="V189" s="57"/>
      <c r="W189" s="57"/>
      <c r="X189" s="57"/>
      <c r="Y189" s="57"/>
      <c r="AA189" s="57">
        <v>1</v>
      </c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8">
        <f t="shared" si="3"/>
        <v>2</v>
      </c>
    </row>
    <row r="190" spans="1:69" ht="15" x14ac:dyDescent="0.15">
      <c r="A190" s="139" t="s">
        <v>525</v>
      </c>
      <c r="B190" s="140" t="s">
        <v>515</v>
      </c>
      <c r="C190" s="140" t="s">
        <v>526</v>
      </c>
      <c r="D190" s="145" t="s">
        <v>527</v>
      </c>
      <c r="E190" s="140" t="s">
        <v>116</v>
      </c>
      <c r="F190" s="143">
        <v>6</v>
      </c>
      <c r="G190" s="143">
        <v>16</v>
      </c>
      <c r="H190" s="144"/>
      <c r="I190" s="56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>
        <v>4</v>
      </c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8">
        <f t="shared" si="3"/>
        <v>4</v>
      </c>
    </row>
    <row r="191" spans="1:69" ht="15" x14ac:dyDescent="0.15">
      <c r="A191" s="139" t="s">
        <v>528</v>
      </c>
      <c r="B191" s="140" t="s">
        <v>515</v>
      </c>
      <c r="C191" s="140" t="s">
        <v>526</v>
      </c>
      <c r="D191" s="145" t="s">
        <v>529</v>
      </c>
      <c r="E191" s="140" t="s">
        <v>116</v>
      </c>
      <c r="F191" s="143">
        <v>8</v>
      </c>
      <c r="G191" s="143">
        <v>16</v>
      </c>
      <c r="H191" s="144"/>
      <c r="I191" s="56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>
        <v>8</v>
      </c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8">
        <f t="shared" si="3"/>
        <v>8</v>
      </c>
    </row>
    <row r="192" spans="1:69" ht="15" x14ac:dyDescent="0.15">
      <c r="A192" s="139" t="s">
        <v>530</v>
      </c>
      <c r="B192" s="140" t="s">
        <v>515</v>
      </c>
      <c r="C192" s="140" t="s">
        <v>526</v>
      </c>
      <c r="D192" s="145" t="s">
        <v>531</v>
      </c>
      <c r="E192" s="140" t="s">
        <v>116</v>
      </c>
      <c r="F192" s="143">
        <v>8</v>
      </c>
      <c r="G192" s="143">
        <v>24</v>
      </c>
      <c r="H192" s="144"/>
      <c r="I192" s="56">
        <v>23</v>
      </c>
      <c r="J192" s="57">
        <v>23</v>
      </c>
      <c r="K192" s="57"/>
      <c r="L192" s="57"/>
      <c r="M192" s="57"/>
      <c r="N192" s="57">
        <v>23</v>
      </c>
      <c r="O192" s="57">
        <v>2</v>
      </c>
      <c r="P192" s="57">
        <v>18</v>
      </c>
      <c r="Q192" s="57">
        <v>27</v>
      </c>
      <c r="R192" s="57">
        <v>30</v>
      </c>
      <c r="S192" s="57"/>
      <c r="T192" s="57"/>
      <c r="U192" s="57"/>
      <c r="V192" s="57"/>
      <c r="W192" s="57"/>
      <c r="X192" s="57"/>
      <c r="Y192" s="57"/>
      <c r="Z192" s="57">
        <v>3</v>
      </c>
      <c r="AA192" s="57"/>
      <c r="AB192" s="57">
        <v>13</v>
      </c>
      <c r="AC192" s="57"/>
      <c r="AD192" s="57"/>
      <c r="AE192" s="57"/>
      <c r="AF192" s="57">
        <v>16</v>
      </c>
      <c r="AG192" s="57"/>
      <c r="AH192" s="57"/>
      <c r="AI192" s="57"/>
      <c r="AJ192" s="57">
        <v>39</v>
      </c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>
        <v>20</v>
      </c>
      <c r="AV192" s="57">
        <v>3</v>
      </c>
      <c r="AX192" s="57"/>
      <c r="AY192" s="57"/>
      <c r="AZ192" s="57"/>
      <c r="BA192" s="57"/>
      <c r="BB192" s="57"/>
      <c r="BC192" s="57"/>
      <c r="BD192" s="57"/>
      <c r="BE192" s="57"/>
      <c r="BF192" s="57"/>
      <c r="BG192" s="57">
        <v>95</v>
      </c>
      <c r="BH192" s="57"/>
      <c r="BI192" s="57"/>
      <c r="BJ192" s="57"/>
      <c r="BK192" s="57"/>
      <c r="BL192" s="57"/>
      <c r="BM192" s="57"/>
      <c r="BN192" s="57"/>
      <c r="BO192" s="57">
        <v>80</v>
      </c>
      <c r="BP192" s="57">
        <v>94</v>
      </c>
      <c r="BQ192" s="58">
        <f t="shared" si="3"/>
        <v>509</v>
      </c>
    </row>
    <row r="193" spans="1:69" ht="15" x14ac:dyDescent="0.15">
      <c r="A193" s="139" t="s">
        <v>532</v>
      </c>
      <c r="B193" s="140" t="s">
        <v>515</v>
      </c>
      <c r="C193" s="140" t="s">
        <v>526</v>
      </c>
      <c r="D193" s="145" t="s">
        <v>533</v>
      </c>
      <c r="E193" s="140" t="s">
        <v>116</v>
      </c>
      <c r="F193" s="143">
        <v>12</v>
      </c>
      <c r="G193" s="143">
        <v>40</v>
      </c>
      <c r="H193" s="144"/>
      <c r="I193" s="56"/>
      <c r="J193" s="57"/>
      <c r="K193" s="57"/>
      <c r="L193" s="57"/>
      <c r="M193" s="57"/>
      <c r="N193" s="57"/>
      <c r="O193" s="57"/>
      <c r="P193" s="57"/>
      <c r="Q193" s="57">
        <v>1</v>
      </c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8">
        <f t="shared" si="3"/>
        <v>1</v>
      </c>
    </row>
    <row r="194" spans="1:69" ht="15" x14ac:dyDescent="0.15">
      <c r="A194" s="139" t="s">
        <v>534</v>
      </c>
      <c r="B194" s="140" t="s">
        <v>515</v>
      </c>
      <c r="C194" s="140" t="s">
        <v>526</v>
      </c>
      <c r="D194" s="146" t="s">
        <v>535</v>
      </c>
      <c r="E194" s="140" t="s">
        <v>116</v>
      </c>
      <c r="F194" s="143">
        <v>16</v>
      </c>
      <c r="G194" s="143">
        <v>24</v>
      </c>
      <c r="H194" s="144"/>
      <c r="I194" s="56"/>
      <c r="J194" s="57"/>
      <c r="K194" s="57"/>
      <c r="L194" s="57">
        <v>15</v>
      </c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>
        <v>10</v>
      </c>
      <c r="AC194" s="57"/>
      <c r="AD194" s="57">
        <v>26</v>
      </c>
      <c r="AE194" s="57"/>
      <c r="AF194" s="57"/>
      <c r="AG194" s="57"/>
      <c r="AH194" s="57">
        <v>7</v>
      </c>
      <c r="AI194" s="57"/>
      <c r="AJ194" s="57"/>
      <c r="AK194" s="57">
        <v>14</v>
      </c>
      <c r="AL194" s="57">
        <v>19</v>
      </c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>
        <v>96</v>
      </c>
      <c r="BO194" s="57"/>
      <c r="BP194" s="57"/>
      <c r="BQ194" s="58">
        <f t="shared" si="3"/>
        <v>187</v>
      </c>
    </row>
    <row r="195" spans="1:69" ht="15" x14ac:dyDescent="0.15">
      <c r="A195" s="139" t="s">
        <v>536</v>
      </c>
      <c r="B195" s="140" t="s">
        <v>515</v>
      </c>
      <c r="C195" s="140" t="s">
        <v>526</v>
      </c>
      <c r="D195" s="146" t="s">
        <v>537</v>
      </c>
      <c r="E195" s="140" t="s">
        <v>116</v>
      </c>
      <c r="F195" s="143">
        <v>16</v>
      </c>
      <c r="G195" s="143">
        <v>48</v>
      </c>
      <c r="H195" s="144"/>
      <c r="I195" s="56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>
        <v>14</v>
      </c>
      <c r="BH195" s="57">
        <v>1</v>
      </c>
      <c r="BI195" s="57"/>
      <c r="BJ195" s="57"/>
      <c r="BK195" s="57"/>
      <c r="BL195" s="57"/>
      <c r="BM195" s="57"/>
      <c r="BN195" s="57">
        <v>7</v>
      </c>
      <c r="BO195" s="57"/>
      <c r="BP195" s="57"/>
      <c r="BQ195" s="58">
        <f t="shared" si="3"/>
        <v>22</v>
      </c>
    </row>
    <row r="196" spans="1:69" ht="15" x14ac:dyDescent="0.15">
      <c r="A196" s="139" t="s">
        <v>538</v>
      </c>
      <c r="B196" s="140" t="s">
        <v>515</v>
      </c>
      <c r="C196" s="140" t="s">
        <v>539</v>
      </c>
      <c r="D196" s="140" t="s">
        <v>540</v>
      </c>
      <c r="E196" s="140" t="s">
        <v>116</v>
      </c>
      <c r="F196" s="143">
        <v>8</v>
      </c>
      <c r="G196" s="143">
        <v>20</v>
      </c>
      <c r="H196" s="144"/>
      <c r="I196" s="56"/>
      <c r="J196" s="57"/>
      <c r="K196" s="57"/>
      <c r="L196" s="57"/>
      <c r="M196" s="57"/>
      <c r="N196" s="57"/>
      <c r="O196" s="57"/>
      <c r="P196" s="57"/>
      <c r="Q196" s="57"/>
      <c r="R196" s="57"/>
      <c r="S196" s="57">
        <v>3</v>
      </c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8">
        <f t="shared" si="3"/>
        <v>3</v>
      </c>
    </row>
    <row r="197" spans="1:69" ht="15" x14ac:dyDescent="0.15">
      <c r="A197" s="139" t="s">
        <v>541</v>
      </c>
      <c r="B197" s="140" t="s">
        <v>515</v>
      </c>
      <c r="C197" s="140" t="s">
        <v>539</v>
      </c>
      <c r="D197" s="140" t="s">
        <v>542</v>
      </c>
      <c r="E197" s="140" t="s">
        <v>116</v>
      </c>
      <c r="F197" s="143">
        <v>8</v>
      </c>
      <c r="G197" s="143">
        <v>32</v>
      </c>
      <c r="H197" s="144"/>
      <c r="I197" s="56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>
        <v>2</v>
      </c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8">
        <f t="shared" si="3"/>
        <v>2</v>
      </c>
    </row>
    <row r="198" spans="1:69" ht="15" x14ac:dyDescent="0.15">
      <c r="A198" s="139" t="s">
        <v>543</v>
      </c>
      <c r="B198" s="140" t="s">
        <v>515</v>
      </c>
      <c r="C198" s="140" t="s">
        <v>539</v>
      </c>
      <c r="D198" s="140" t="s">
        <v>544</v>
      </c>
      <c r="E198" s="140" t="s">
        <v>116</v>
      </c>
      <c r="F198" s="143">
        <v>8</v>
      </c>
      <c r="G198" s="143">
        <v>40</v>
      </c>
      <c r="H198" s="144"/>
      <c r="I198" s="56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>
        <v>17</v>
      </c>
      <c r="BQ198" s="58">
        <f t="shared" si="3"/>
        <v>17</v>
      </c>
    </row>
    <row r="199" spans="1:69" ht="15" x14ac:dyDescent="0.15">
      <c r="A199" s="139" t="s">
        <v>545</v>
      </c>
      <c r="B199" s="140" t="s">
        <v>515</v>
      </c>
      <c r="C199" s="140" t="s">
        <v>539</v>
      </c>
      <c r="D199" s="140" t="s">
        <v>546</v>
      </c>
      <c r="E199" s="140" t="s">
        <v>116</v>
      </c>
      <c r="F199" s="143">
        <v>8</v>
      </c>
      <c r="G199" s="143">
        <v>136</v>
      </c>
      <c r="H199" s="144"/>
      <c r="I199" s="56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>
        <v>1</v>
      </c>
      <c r="BM199" s="57">
        <v>1</v>
      </c>
      <c r="BN199" s="57"/>
      <c r="BO199" s="57"/>
      <c r="BP199" s="57"/>
      <c r="BQ199" s="58">
        <f t="shared" si="3"/>
        <v>2</v>
      </c>
    </row>
    <row r="200" spans="1:69" ht="15" x14ac:dyDescent="0.15">
      <c r="A200" s="139" t="s">
        <v>547</v>
      </c>
      <c r="B200" s="140" t="s">
        <v>515</v>
      </c>
      <c r="C200" s="140" t="s">
        <v>539</v>
      </c>
      <c r="D200" s="140" t="s">
        <v>548</v>
      </c>
      <c r="E200" s="140" t="s">
        <v>116</v>
      </c>
      <c r="F200" s="143">
        <v>12</v>
      </c>
      <c r="G200" s="143">
        <v>80</v>
      </c>
      <c r="H200" s="144"/>
      <c r="I200" s="56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>
        <v>1</v>
      </c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>
        <v>4</v>
      </c>
      <c r="BO200" s="57">
        <v>6</v>
      </c>
      <c r="BP200" s="57"/>
      <c r="BQ200" s="58">
        <f t="shared" si="3"/>
        <v>11</v>
      </c>
    </row>
    <row r="201" spans="1:69" ht="15" x14ac:dyDescent="0.15">
      <c r="A201" s="139" t="s">
        <v>549</v>
      </c>
      <c r="B201" s="140" t="s">
        <v>515</v>
      </c>
      <c r="C201" s="140" t="s">
        <v>539</v>
      </c>
      <c r="D201" s="140" t="s">
        <v>550</v>
      </c>
      <c r="E201" s="140" t="s">
        <v>116</v>
      </c>
      <c r="F201" s="143">
        <v>16</v>
      </c>
      <c r="G201" s="143">
        <v>48</v>
      </c>
      <c r="H201" s="144"/>
      <c r="I201" s="56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>
        <f>1+1</f>
        <v>2</v>
      </c>
      <c r="BI201" s="57"/>
      <c r="BJ201" s="57">
        <v>2</v>
      </c>
      <c r="BK201" s="57">
        <v>1</v>
      </c>
      <c r="BL201" s="57"/>
      <c r="BM201" s="57"/>
      <c r="BN201" s="57">
        <v>1</v>
      </c>
      <c r="BO201" s="57"/>
      <c r="BP201" s="57"/>
      <c r="BQ201" s="58">
        <f t="shared" si="3"/>
        <v>6</v>
      </c>
    </row>
    <row r="202" spans="1:69" ht="15" x14ac:dyDescent="0.15">
      <c r="A202" s="139" t="s">
        <v>551</v>
      </c>
      <c r="B202" s="140" t="s">
        <v>515</v>
      </c>
      <c r="C202" s="140" t="s">
        <v>539</v>
      </c>
      <c r="D202" s="140" t="s">
        <v>552</v>
      </c>
      <c r="E202" s="140" t="s">
        <v>116</v>
      </c>
      <c r="F202" s="143">
        <v>16</v>
      </c>
      <c r="G202" s="143">
        <v>144</v>
      </c>
      <c r="H202" s="144"/>
      <c r="I202" s="56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>
        <v>1</v>
      </c>
      <c r="BJ202" s="57"/>
      <c r="BK202" s="57"/>
      <c r="BL202" s="57"/>
      <c r="BM202" s="57"/>
      <c r="BN202" s="57"/>
      <c r="BO202" s="57"/>
      <c r="BP202" s="57"/>
      <c r="BQ202" s="58">
        <f t="shared" si="3"/>
        <v>1</v>
      </c>
    </row>
    <row r="203" spans="1:69" ht="15" x14ac:dyDescent="0.15">
      <c r="A203" s="139" t="s">
        <v>553</v>
      </c>
      <c r="B203" s="140" t="s">
        <v>515</v>
      </c>
      <c r="C203" s="140" t="s">
        <v>539</v>
      </c>
      <c r="D203" s="140" t="s">
        <v>554</v>
      </c>
      <c r="E203" s="140" t="s">
        <v>116</v>
      </c>
      <c r="F203" s="143">
        <v>40</v>
      </c>
      <c r="G203" s="143">
        <v>40</v>
      </c>
      <c r="H203" s="144"/>
      <c r="I203" s="56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>
        <v>7</v>
      </c>
      <c r="BH203" s="57"/>
      <c r="BI203" s="57"/>
      <c r="BJ203" s="57"/>
      <c r="BK203" s="57"/>
      <c r="BL203" s="57">
        <v>3</v>
      </c>
      <c r="BM203" s="57"/>
      <c r="BN203" s="57"/>
      <c r="BO203" s="57"/>
      <c r="BP203" s="57"/>
      <c r="BQ203" s="58">
        <f t="shared" si="3"/>
        <v>10</v>
      </c>
    </row>
    <row r="204" spans="1:69" ht="15" x14ac:dyDescent="0.15">
      <c r="A204" s="99" t="s">
        <v>588</v>
      </c>
      <c r="B204" s="94" t="s">
        <v>589</v>
      </c>
      <c r="C204" s="94" t="s">
        <v>590</v>
      </c>
      <c r="D204" s="94" t="s">
        <v>591</v>
      </c>
      <c r="E204" s="94" t="s">
        <v>116</v>
      </c>
      <c r="F204" s="102">
        <v>16</v>
      </c>
      <c r="G204" s="102">
        <v>16</v>
      </c>
      <c r="H204" s="103"/>
      <c r="I204" s="56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>
        <v>14</v>
      </c>
      <c r="AX204" s="57"/>
      <c r="AY204" s="57"/>
      <c r="AZ204" s="57">
        <v>1</v>
      </c>
      <c r="BA204" s="57"/>
      <c r="BB204" s="57">
        <v>1</v>
      </c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8">
        <f t="shared" si="3"/>
        <v>16</v>
      </c>
    </row>
    <row r="205" spans="1:69" ht="15" x14ac:dyDescent="0.15">
      <c r="A205" s="99" t="s">
        <v>592</v>
      </c>
      <c r="B205" s="94" t="s">
        <v>589</v>
      </c>
      <c r="C205" s="94" t="s">
        <v>590</v>
      </c>
      <c r="D205" s="94" t="s">
        <v>593</v>
      </c>
      <c r="E205" s="94" t="s">
        <v>116</v>
      </c>
      <c r="F205" s="102">
        <v>32</v>
      </c>
      <c r="G205" s="102">
        <v>32</v>
      </c>
      <c r="H205" s="103"/>
      <c r="I205" s="56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>
        <v>1</v>
      </c>
      <c r="BF205" s="57"/>
      <c r="BG205" s="57"/>
      <c r="BH205" s="57"/>
      <c r="BI205" s="57"/>
      <c r="BJ205" s="57"/>
      <c r="BK205" s="57"/>
      <c r="BL205" s="57"/>
      <c r="BM205" s="57"/>
      <c r="BN205" s="57">
        <v>24</v>
      </c>
      <c r="BO205" s="57">
        <v>16</v>
      </c>
      <c r="BP205" s="57">
        <v>15</v>
      </c>
      <c r="BQ205" s="58">
        <f t="shared" si="3"/>
        <v>56</v>
      </c>
    </row>
    <row r="206" spans="1:69" ht="15" x14ac:dyDescent="0.15">
      <c r="A206" s="127" t="s">
        <v>603</v>
      </c>
      <c r="B206" s="128" t="s">
        <v>604</v>
      </c>
      <c r="C206" s="128" t="s">
        <v>605</v>
      </c>
      <c r="D206" s="128" t="s">
        <v>606</v>
      </c>
      <c r="E206" s="128" t="s">
        <v>116</v>
      </c>
      <c r="F206" s="131">
        <v>16</v>
      </c>
      <c r="G206" s="131">
        <v>24</v>
      </c>
      <c r="H206" s="132"/>
      <c r="I206" s="56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>
        <v>26</v>
      </c>
      <c r="W206" s="57"/>
      <c r="X206" s="57"/>
      <c r="Y206" s="57"/>
      <c r="Z206" s="57"/>
      <c r="AA206" s="57"/>
      <c r="AB206" s="57"/>
      <c r="AC206" s="57">
        <v>1</v>
      </c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8">
        <f t="shared" si="3"/>
        <v>27</v>
      </c>
    </row>
    <row r="207" spans="1:69" ht="15" x14ac:dyDescent="0.15">
      <c r="A207" s="127" t="s">
        <v>607</v>
      </c>
      <c r="B207" s="128" t="s">
        <v>604</v>
      </c>
      <c r="C207" s="128" t="s">
        <v>605</v>
      </c>
      <c r="D207" s="128" t="s">
        <v>608</v>
      </c>
      <c r="E207" s="128" t="s">
        <v>116</v>
      </c>
      <c r="F207" s="131">
        <v>16</v>
      </c>
      <c r="G207" s="131">
        <v>80</v>
      </c>
      <c r="H207" s="132"/>
      <c r="I207" s="56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>
        <v>1</v>
      </c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8">
        <f t="shared" si="3"/>
        <v>1</v>
      </c>
    </row>
    <row r="208" spans="1:69" ht="15" x14ac:dyDescent="0.15">
      <c r="A208" s="127" t="s">
        <v>609</v>
      </c>
      <c r="B208" s="128" t="s">
        <v>604</v>
      </c>
      <c r="C208" s="128" t="s">
        <v>605</v>
      </c>
      <c r="D208" s="128" t="s">
        <v>610</v>
      </c>
      <c r="E208" s="128" t="s">
        <v>116</v>
      </c>
      <c r="F208" s="131">
        <v>20</v>
      </c>
      <c r="G208" s="131">
        <v>40</v>
      </c>
      <c r="H208" s="132"/>
      <c r="I208" s="56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>
        <v>6</v>
      </c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8">
        <f t="shared" si="3"/>
        <v>6</v>
      </c>
    </row>
    <row r="209" spans="1:69" ht="15" x14ac:dyDescent="0.15">
      <c r="A209" s="127" t="s">
        <v>611</v>
      </c>
      <c r="B209" s="128" t="s">
        <v>604</v>
      </c>
      <c r="C209" s="128" t="s">
        <v>605</v>
      </c>
      <c r="D209" s="128" t="s">
        <v>612</v>
      </c>
      <c r="E209" s="128" t="s">
        <v>116</v>
      </c>
      <c r="F209" s="131">
        <v>20</v>
      </c>
      <c r="G209" s="131">
        <v>64</v>
      </c>
      <c r="H209" s="132"/>
      <c r="I209" s="56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>
        <v>26</v>
      </c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8">
        <f t="shared" si="3"/>
        <v>26</v>
      </c>
    </row>
    <row r="210" spans="1:69" ht="15" x14ac:dyDescent="0.15">
      <c r="A210" s="127" t="s">
        <v>613</v>
      </c>
      <c r="B210" s="128" t="s">
        <v>604</v>
      </c>
      <c r="C210" s="128" t="s">
        <v>605</v>
      </c>
      <c r="D210" s="128" t="s">
        <v>614</v>
      </c>
      <c r="E210" s="128" t="s">
        <v>116</v>
      </c>
      <c r="F210" s="131">
        <v>24</v>
      </c>
      <c r="G210" s="131">
        <v>32</v>
      </c>
      <c r="H210" s="132"/>
      <c r="I210" s="56"/>
      <c r="J210" s="57"/>
      <c r="K210" s="57"/>
      <c r="L210" s="57"/>
      <c r="M210" s="57"/>
      <c r="N210" s="57"/>
      <c r="O210" s="57"/>
      <c r="P210" s="57">
        <v>1</v>
      </c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>
        <v>21</v>
      </c>
      <c r="BH210" s="57"/>
      <c r="BI210" s="57"/>
      <c r="BJ210" s="57"/>
      <c r="BK210" s="57"/>
      <c r="BL210" s="57"/>
      <c r="BM210" s="57">
        <v>1</v>
      </c>
      <c r="BN210" s="57"/>
      <c r="BO210" s="57"/>
      <c r="BP210" s="57"/>
      <c r="BQ210" s="58">
        <f t="shared" si="3"/>
        <v>23</v>
      </c>
    </row>
    <row r="211" spans="1:69" ht="15" x14ac:dyDescent="0.15">
      <c r="A211" s="127" t="s">
        <v>615</v>
      </c>
      <c r="B211" s="128" t="s">
        <v>604</v>
      </c>
      <c r="C211" s="128" t="s">
        <v>605</v>
      </c>
      <c r="D211" s="128" t="s">
        <v>616</v>
      </c>
      <c r="E211" s="128" t="s">
        <v>116</v>
      </c>
      <c r="F211" s="131">
        <v>24</v>
      </c>
      <c r="G211" s="131">
        <v>40</v>
      </c>
      <c r="H211" s="132"/>
      <c r="I211" s="56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>
        <v>4</v>
      </c>
      <c r="Z211" s="57"/>
      <c r="AA211" s="57">
        <v>3</v>
      </c>
      <c r="AB211" s="57"/>
      <c r="AC211" s="57">
        <v>3</v>
      </c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8">
        <f t="shared" si="3"/>
        <v>10</v>
      </c>
    </row>
    <row r="212" spans="1:69" ht="15" x14ac:dyDescent="0.15">
      <c r="A212" s="127" t="s">
        <v>617</v>
      </c>
      <c r="B212" s="128" t="s">
        <v>604</v>
      </c>
      <c r="C212" s="128" t="s">
        <v>605</v>
      </c>
      <c r="D212" s="128" t="s">
        <v>618</v>
      </c>
      <c r="E212" s="128" t="s">
        <v>116</v>
      </c>
      <c r="F212" s="131">
        <v>24</v>
      </c>
      <c r="G212" s="131">
        <v>48</v>
      </c>
      <c r="H212" s="132"/>
      <c r="I212" s="56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>
        <v>3</v>
      </c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>
        <v>14</v>
      </c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8">
        <f t="shared" si="3"/>
        <v>17</v>
      </c>
    </row>
    <row r="213" spans="1:69" ht="15" x14ac:dyDescent="0.15">
      <c r="A213" s="127" t="s">
        <v>619</v>
      </c>
      <c r="B213" s="128" t="s">
        <v>604</v>
      </c>
      <c r="C213" s="128" t="s">
        <v>605</v>
      </c>
      <c r="D213" s="128" t="s">
        <v>620</v>
      </c>
      <c r="E213" s="128" t="s">
        <v>116</v>
      </c>
      <c r="F213" s="131">
        <v>24</v>
      </c>
      <c r="G213" s="131">
        <v>56</v>
      </c>
      <c r="H213" s="132"/>
      <c r="I213" s="56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>
        <v>22</v>
      </c>
      <c r="U213" s="57"/>
      <c r="V213" s="57"/>
      <c r="W213" s="57"/>
      <c r="X213" s="57"/>
      <c r="Y213" s="57"/>
      <c r="Z213" s="57"/>
      <c r="AA213" s="57"/>
      <c r="AB213" s="57"/>
      <c r="AC213" s="57"/>
      <c r="AD213" s="57">
        <v>6</v>
      </c>
      <c r="AE213" s="57"/>
      <c r="AF213" s="57">
        <v>7</v>
      </c>
      <c r="AG213" s="57"/>
      <c r="AH213" s="57"/>
      <c r="AI213" s="57"/>
      <c r="AJ213" s="57">
        <v>2</v>
      </c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>
        <v>2</v>
      </c>
      <c r="BH213" s="57"/>
      <c r="BI213" s="57"/>
      <c r="BJ213" s="57"/>
      <c r="BK213" s="57"/>
      <c r="BL213" s="57"/>
      <c r="BM213" s="57"/>
      <c r="BN213" s="57"/>
      <c r="BO213" s="57"/>
      <c r="BP213" s="57"/>
      <c r="BQ213" s="58">
        <f t="shared" si="3"/>
        <v>39</v>
      </c>
    </row>
    <row r="214" spans="1:69" ht="15" x14ac:dyDescent="0.15">
      <c r="A214" s="127" t="s">
        <v>621</v>
      </c>
      <c r="B214" s="128" t="s">
        <v>604</v>
      </c>
      <c r="C214" s="128" t="s">
        <v>605</v>
      </c>
      <c r="D214" s="128" t="s">
        <v>622</v>
      </c>
      <c r="E214" s="128" t="s">
        <v>116</v>
      </c>
      <c r="F214" s="131">
        <v>24</v>
      </c>
      <c r="G214" s="131">
        <v>64</v>
      </c>
      <c r="H214" s="132"/>
      <c r="I214" s="56"/>
      <c r="J214" s="57"/>
      <c r="K214" s="57"/>
      <c r="L214" s="57"/>
      <c r="M214" s="57"/>
      <c r="N214" s="57"/>
      <c r="O214" s="57"/>
      <c r="P214" s="57"/>
      <c r="Q214" s="57"/>
      <c r="R214" s="57">
        <v>1</v>
      </c>
      <c r="S214" s="57"/>
      <c r="T214" s="57"/>
      <c r="U214" s="57"/>
      <c r="V214" s="57"/>
      <c r="W214" s="57"/>
      <c r="X214" s="57">
        <v>14</v>
      </c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>
        <v>20</v>
      </c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>
        <v>8</v>
      </c>
      <c r="BM214" s="57"/>
      <c r="BN214" s="57"/>
      <c r="BO214" s="57"/>
      <c r="BP214" s="57"/>
      <c r="BQ214" s="58">
        <f t="shared" si="3"/>
        <v>43</v>
      </c>
    </row>
    <row r="215" spans="1:69" ht="15" x14ac:dyDescent="0.15">
      <c r="A215" s="127" t="s">
        <v>623</v>
      </c>
      <c r="B215" s="128" t="s">
        <v>604</v>
      </c>
      <c r="C215" s="128" t="s">
        <v>605</v>
      </c>
      <c r="D215" s="128" t="s">
        <v>624</v>
      </c>
      <c r="E215" s="128" t="s">
        <v>116</v>
      </c>
      <c r="F215" s="131">
        <v>24</v>
      </c>
      <c r="G215" s="131">
        <v>72</v>
      </c>
      <c r="H215" s="132"/>
      <c r="I215" s="56"/>
      <c r="J215" s="57"/>
      <c r="K215" s="57"/>
      <c r="L215" s="57"/>
      <c r="M215" s="57"/>
      <c r="N215" s="57"/>
      <c r="O215" s="57"/>
      <c r="P215" s="57"/>
      <c r="Q215" s="57"/>
      <c r="R215" s="57"/>
      <c r="S215" s="57">
        <v>4</v>
      </c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8">
        <f t="shared" si="3"/>
        <v>4</v>
      </c>
    </row>
    <row r="216" spans="1:69" ht="15" x14ac:dyDescent="0.15">
      <c r="A216" s="127" t="s">
        <v>625</v>
      </c>
      <c r="B216" s="128" t="s">
        <v>604</v>
      </c>
      <c r="C216" s="128" t="s">
        <v>605</v>
      </c>
      <c r="D216" s="128" t="s">
        <v>626</v>
      </c>
      <c r="E216" s="128" t="s">
        <v>116</v>
      </c>
      <c r="F216" s="131">
        <v>24</v>
      </c>
      <c r="G216" s="131">
        <v>96</v>
      </c>
      <c r="H216" s="132"/>
      <c r="I216" s="56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>
        <v>5</v>
      </c>
      <c r="BH216" s="57">
        <v>5</v>
      </c>
      <c r="BI216" s="57"/>
      <c r="BJ216" s="57">
        <v>2</v>
      </c>
      <c r="BK216" s="57"/>
      <c r="BL216" s="57"/>
      <c r="BM216" s="57"/>
      <c r="BN216" s="57">
        <v>167</v>
      </c>
      <c r="BO216" s="57"/>
      <c r="BP216" s="57">
        <v>121</v>
      </c>
      <c r="BQ216" s="58">
        <f t="shared" si="3"/>
        <v>300</v>
      </c>
    </row>
    <row r="217" spans="1:69" ht="15" x14ac:dyDescent="0.15">
      <c r="A217" s="127" t="s">
        <v>627</v>
      </c>
      <c r="B217" s="128" t="s">
        <v>604</v>
      </c>
      <c r="C217" s="128" t="s">
        <v>605</v>
      </c>
      <c r="D217" s="128" t="s">
        <v>628</v>
      </c>
      <c r="E217" s="128" t="s">
        <v>116</v>
      </c>
      <c r="F217" s="131">
        <v>24</v>
      </c>
      <c r="G217" s="131">
        <v>120</v>
      </c>
      <c r="H217" s="132"/>
      <c r="I217" s="56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>
        <v>120</v>
      </c>
      <c r="BP217" s="57"/>
      <c r="BQ217" s="58">
        <f t="shared" si="3"/>
        <v>120</v>
      </c>
    </row>
    <row r="218" spans="1:69" ht="15" x14ac:dyDescent="0.15">
      <c r="A218" s="127" t="s">
        <v>629</v>
      </c>
      <c r="B218" s="128" t="s">
        <v>604</v>
      </c>
      <c r="C218" s="128" t="s">
        <v>605</v>
      </c>
      <c r="D218" s="128" t="s">
        <v>630</v>
      </c>
      <c r="E218" s="128" t="s">
        <v>116</v>
      </c>
      <c r="F218" s="131">
        <v>32</v>
      </c>
      <c r="G218" s="131">
        <v>40</v>
      </c>
      <c r="H218" s="132"/>
      <c r="I218" s="56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>
        <v>2</v>
      </c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8">
        <f t="shared" si="3"/>
        <v>2</v>
      </c>
    </row>
    <row r="219" spans="1:69" ht="15" x14ac:dyDescent="0.15">
      <c r="A219" s="127" t="s">
        <v>631</v>
      </c>
      <c r="B219" s="128" t="s">
        <v>604</v>
      </c>
      <c r="C219" s="128" t="s">
        <v>605</v>
      </c>
      <c r="D219" s="128" t="s">
        <v>632</v>
      </c>
      <c r="E219" s="128" t="s">
        <v>116</v>
      </c>
      <c r="F219" s="131">
        <v>32</v>
      </c>
      <c r="G219" s="131">
        <v>48</v>
      </c>
      <c r="H219" s="132"/>
      <c r="I219" s="56"/>
      <c r="J219" s="57"/>
      <c r="K219" s="57"/>
      <c r="L219" s="57"/>
      <c r="M219" s="57"/>
      <c r="N219" s="57"/>
      <c r="O219" s="57"/>
      <c r="P219" s="57"/>
      <c r="Q219" s="57"/>
      <c r="R219" s="57"/>
      <c r="S219" s="57">
        <v>4</v>
      </c>
      <c r="T219" s="57"/>
      <c r="U219" s="57">
        <v>2</v>
      </c>
      <c r="V219" s="57"/>
      <c r="W219" s="57"/>
      <c r="X219" s="57"/>
      <c r="Y219" s="57"/>
      <c r="Z219" s="57"/>
      <c r="AA219" s="57"/>
      <c r="AB219" s="57">
        <v>8</v>
      </c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>
        <v>1</v>
      </c>
      <c r="BK219" s="57"/>
      <c r="BL219" s="57"/>
      <c r="BM219" s="57"/>
      <c r="BN219" s="57"/>
      <c r="BO219" s="57"/>
      <c r="BP219" s="57"/>
      <c r="BQ219" s="58">
        <f t="shared" si="3"/>
        <v>15</v>
      </c>
    </row>
    <row r="220" spans="1:69" ht="15" x14ac:dyDescent="0.15">
      <c r="A220" s="127" t="s">
        <v>633</v>
      </c>
      <c r="B220" s="128" t="s">
        <v>604</v>
      </c>
      <c r="C220" s="128" t="s">
        <v>605</v>
      </c>
      <c r="D220" s="128" t="s">
        <v>634</v>
      </c>
      <c r="E220" s="128" t="s">
        <v>116</v>
      </c>
      <c r="F220" s="131">
        <v>32</v>
      </c>
      <c r="G220" s="131">
        <v>56</v>
      </c>
      <c r="H220" s="132"/>
      <c r="I220" s="56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>
        <v>2</v>
      </c>
      <c r="BM220" s="57"/>
      <c r="BN220" s="57"/>
      <c r="BO220" s="57">
        <v>4</v>
      </c>
      <c r="BP220" s="57"/>
      <c r="BQ220" s="58">
        <f t="shared" si="3"/>
        <v>6</v>
      </c>
    </row>
    <row r="221" spans="1:69" ht="15" x14ac:dyDescent="0.15">
      <c r="A221" s="127" t="s">
        <v>635</v>
      </c>
      <c r="B221" s="128" t="s">
        <v>604</v>
      </c>
      <c r="C221" s="128" t="s">
        <v>605</v>
      </c>
      <c r="D221" s="128" t="s">
        <v>636</v>
      </c>
      <c r="E221" s="128" t="s">
        <v>116</v>
      </c>
      <c r="F221" s="131">
        <v>32</v>
      </c>
      <c r="G221" s="131">
        <v>64</v>
      </c>
      <c r="H221" s="132"/>
      <c r="I221" s="56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>
        <v>1</v>
      </c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>
        <v>2</v>
      </c>
      <c r="BQ221" s="58">
        <f t="shared" si="3"/>
        <v>3</v>
      </c>
    </row>
    <row r="222" spans="1:69" ht="15" x14ac:dyDescent="0.15">
      <c r="A222" s="127" t="s">
        <v>637</v>
      </c>
      <c r="B222" s="128" t="s">
        <v>604</v>
      </c>
      <c r="C222" s="128" t="s">
        <v>638</v>
      </c>
      <c r="D222" s="128" t="s">
        <v>639</v>
      </c>
      <c r="E222" s="128" t="s">
        <v>116</v>
      </c>
      <c r="F222" s="131">
        <v>12</v>
      </c>
      <c r="G222" s="131">
        <v>32</v>
      </c>
      <c r="H222" s="132"/>
      <c r="I222" s="56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>
        <v>1</v>
      </c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8">
        <f t="shared" si="3"/>
        <v>1</v>
      </c>
    </row>
    <row r="223" spans="1:69" ht="15" x14ac:dyDescent="0.15">
      <c r="A223" s="127" t="s">
        <v>640</v>
      </c>
      <c r="B223" s="128" t="s">
        <v>604</v>
      </c>
      <c r="C223" s="128" t="s">
        <v>638</v>
      </c>
      <c r="D223" s="128" t="s">
        <v>641</v>
      </c>
      <c r="E223" s="128" t="s">
        <v>116</v>
      </c>
      <c r="F223" s="131">
        <v>16</v>
      </c>
      <c r="G223" s="131">
        <v>20</v>
      </c>
      <c r="H223" s="132"/>
      <c r="I223" s="56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>
        <v>1</v>
      </c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>
        <v>2</v>
      </c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8">
        <f t="shared" si="3"/>
        <v>3</v>
      </c>
    </row>
    <row r="224" spans="1:69" ht="15" x14ac:dyDescent="0.15">
      <c r="A224" s="127" t="s">
        <v>642</v>
      </c>
      <c r="B224" s="128" t="s">
        <v>604</v>
      </c>
      <c r="C224" s="128" t="s">
        <v>638</v>
      </c>
      <c r="D224" s="128" t="s">
        <v>643</v>
      </c>
      <c r="E224" s="128" t="s">
        <v>116</v>
      </c>
      <c r="F224" s="131">
        <v>16</v>
      </c>
      <c r="G224" s="131">
        <v>24</v>
      </c>
      <c r="H224" s="132"/>
      <c r="I224" s="56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>
        <v>1</v>
      </c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8">
        <f t="shared" si="3"/>
        <v>1</v>
      </c>
    </row>
    <row r="225" spans="1:69" ht="15" x14ac:dyDescent="0.15">
      <c r="A225" s="127" t="s">
        <v>644</v>
      </c>
      <c r="B225" s="128" t="s">
        <v>604</v>
      </c>
      <c r="C225" s="128" t="s">
        <v>638</v>
      </c>
      <c r="D225" s="128" t="s">
        <v>645</v>
      </c>
      <c r="E225" s="128" t="s">
        <v>116</v>
      </c>
      <c r="F225" s="131">
        <v>16</v>
      </c>
      <c r="G225" s="131">
        <v>36</v>
      </c>
      <c r="H225" s="132"/>
      <c r="I225" s="56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>
        <v>1</v>
      </c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>
        <v>8</v>
      </c>
      <c r="BI225" s="57"/>
      <c r="BJ225" s="57"/>
      <c r="BK225" s="57"/>
      <c r="BL225" s="57"/>
      <c r="BM225" s="57"/>
      <c r="BN225" s="57"/>
      <c r="BO225" s="57"/>
      <c r="BP225" s="57"/>
      <c r="BQ225" s="58">
        <f t="shared" si="3"/>
        <v>9</v>
      </c>
    </row>
    <row r="226" spans="1:69" ht="15" x14ac:dyDescent="0.15">
      <c r="A226" s="127" t="s">
        <v>646</v>
      </c>
      <c r="B226" s="128" t="s">
        <v>604</v>
      </c>
      <c r="C226" s="128" t="s">
        <v>638</v>
      </c>
      <c r="D226" s="128" t="s">
        <v>647</v>
      </c>
      <c r="E226" s="128" t="s">
        <v>116</v>
      </c>
      <c r="F226" s="131">
        <v>32</v>
      </c>
      <c r="G226" s="131">
        <v>56</v>
      </c>
      <c r="H226" s="132"/>
      <c r="I226" s="56">
        <v>1</v>
      </c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8">
        <f t="shared" si="3"/>
        <v>1</v>
      </c>
    </row>
    <row r="227" spans="1:69" ht="15" x14ac:dyDescent="0.15">
      <c r="A227" s="159" t="s">
        <v>648</v>
      </c>
      <c r="B227" s="160" t="s">
        <v>649</v>
      </c>
      <c r="C227" s="160"/>
      <c r="D227" s="160" t="s">
        <v>650</v>
      </c>
      <c r="E227" s="161" t="s">
        <v>116</v>
      </c>
      <c r="F227" s="164">
        <v>8</v>
      </c>
      <c r="G227" s="164">
        <v>48</v>
      </c>
      <c r="H227" s="165"/>
      <c r="I227" s="56"/>
      <c r="J227" s="57"/>
      <c r="K227" s="57"/>
      <c r="L227" s="57"/>
      <c r="M227" s="57"/>
      <c r="N227" s="57">
        <v>2</v>
      </c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>
        <v>14</v>
      </c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8">
        <f t="shared" si="3"/>
        <v>16</v>
      </c>
    </row>
    <row r="228" spans="1:69" ht="15" x14ac:dyDescent="0.15">
      <c r="A228" s="159" t="s">
        <v>651</v>
      </c>
      <c r="B228" s="160" t="s">
        <v>649</v>
      </c>
      <c r="C228" s="160"/>
      <c r="D228" s="160" t="s">
        <v>652</v>
      </c>
      <c r="E228" s="161" t="s">
        <v>204</v>
      </c>
      <c r="F228" s="164">
        <v>8</v>
      </c>
      <c r="G228" s="164">
        <v>168</v>
      </c>
      <c r="H228" s="165"/>
      <c r="I228" s="56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>
        <v>1</v>
      </c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8">
        <f t="shared" si="3"/>
        <v>1</v>
      </c>
    </row>
    <row r="229" spans="1:69" ht="15" x14ac:dyDescent="0.15">
      <c r="A229" s="159" t="s">
        <v>653</v>
      </c>
      <c r="B229" s="160" t="s">
        <v>649</v>
      </c>
      <c r="C229" s="160"/>
      <c r="D229" s="160" t="s">
        <v>654</v>
      </c>
      <c r="E229" s="161" t="s">
        <v>116</v>
      </c>
      <c r="F229" s="164">
        <v>16</v>
      </c>
      <c r="G229" s="164">
        <v>80</v>
      </c>
      <c r="H229" s="165"/>
      <c r="I229" s="56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>
        <v>3</v>
      </c>
      <c r="AZ229" s="57"/>
      <c r="BA229" s="57"/>
      <c r="BB229" s="57">
        <v>1</v>
      </c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8">
        <f t="shared" ref="BQ229:BQ262" si="4">SUM(I229:BP229)</f>
        <v>4</v>
      </c>
    </row>
    <row r="230" spans="1:69" ht="15" x14ac:dyDescent="0.15">
      <c r="A230" s="159" t="s">
        <v>655</v>
      </c>
      <c r="B230" s="160" t="s">
        <v>649</v>
      </c>
      <c r="C230" s="160"/>
      <c r="D230" s="160" t="s">
        <v>656</v>
      </c>
      <c r="E230" s="161" t="s">
        <v>116</v>
      </c>
      <c r="F230" s="164">
        <v>32</v>
      </c>
      <c r="G230" s="164">
        <v>40</v>
      </c>
      <c r="H230" s="165"/>
      <c r="I230" s="56"/>
      <c r="J230" s="57"/>
      <c r="K230" s="57"/>
      <c r="L230" s="57">
        <v>1</v>
      </c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8">
        <f t="shared" si="4"/>
        <v>1</v>
      </c>
    </row>
    <row r="231" spans="1:69" ht="15" x14ac:dyDescent="0.15">
      <c r="A231" s="159" t="s">
        <v>657</v>
      </c>
      <c r="B231" s="160" t="s">
        <v>649</v>
      </c>
      <c r="C231" s="160"/>
      <c r="D231" s="160" t="s">
        <v>658</v>
      </c>
      <c r="E231" s="161" t="s">
        <v>116</v>
      </c>
      <c r="F231" s="164">
        <v>32</v>
      </c>
      <c r="G231" s="164">
        <v>56</v>
      </c>
      <c r="H231" s="165"/>
      <c r="I231" s="56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>
        <v>5</v>
      </c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>
        <v>4</v>
      </c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8">
        <f t="shared" si="4"/>
        <v>9</v>
      </c>
    </row>
    <row r="232" spans="1:69" ht="15" x14ac:dyDescent="0.15">
      <c r="A232" s="166" t="s">
        <v>659</v>
      </c>
      <c r="B232" s="160" t="s">
        <v>649</v>
      </c>
      <c r="C232" s="161"/>
      <c r="D232" s="160" t="s">
        <v>660</v>
      </c>
      <c r="E232" s="161" t="s">
        <v>116</v>
      </c>
      <c r="F232" s="164">
        <v>32</v>
      </c>
      <c r="G232" s="164">
        <v>80</v>
      </c>
      <c r="H232" s="165"/>
      <c r="I232" s="56">
        <f>1+6</f>
        <v>7</v>
      </c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>
        <f>15+1</f>
        <v>16</v>
      </c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8">
        <f t="shared" si="4"/>
        <v>23</v>
      </c>
    </row>
    <row r="233" spans="1:69" ht="15" x14ac:dyDescent="0.15">
      <c r="A233" s="159" t="s">
        <v>661</v>
      </c>
      <c r="B233" s="160" t="s">
        <v>649</v>
      </c>
      <c r="C233" s="160"/>
      <c r="D233" s="160" t="s">
        <v>662</v>
      </c>
      <c r="E233" s="161" t="s">
        <v>116</v>
      </c>
      <c r="F233" s="164">
        <v>40</v>
      </c>
      <c r="G233" s="164">
        <v>48</v>
      </c>
      <c r="H233" s="165"/>
      <c r="I233" s="56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>
        <v>54</v>
      </c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8">
        <f t="shared" si="4"/>
        <v>54</v>
      </c>
    </row>
    <row r="234" spans="1:69" ht="15" x14ac:dyDescent="0.15">
      <c r="A234" s="159" t="s">
        <v>663</v>
      </c>
      <c r="B234" s="160" t="s">
        <v>649</v>
      </c>
      <c r="C234" s="160"/>
      <c r="D234" s="160" t="s">
        <v>664</v>
      </c>
      <c r="E234" s="161" t="s">
        <v>116</v>
      </c>
      <c r="F234" s="164">
        <v>40</v>
      </c>
      <c r="G234" s="164">
        <v>72</v>
      </c>
      <c r="H234" s="165"/>
      <c r="I234" s="56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>
        <v>1</v>
      </c>
      <c r="BQ234" s="58">
        <f t="shared" si="4"/>
        <v>1</v>
      </c>
    </row>
    <row r="235" spans="1:69" ht="15" x14ac:dyDescent="0.15">
      <c r="A235" s="159" t="s">
        <v>665</v>
      </c>
      <c r="B235" s="160" t="s">
        <v>649</v>
      </c>
      <c r="C235" s="160" t="s">
        <v>666</v>
      </c>
      <c r="D235" s="160" t="s">
        <v>667</v>
      </c>
      <c r="E235" s="161" t="s">
        <v>116</v>
      </c>
      <c r="F235" s="164">
        <v>24</v>
      </c>
      <c r="G235" s="164">
        <v>40</v>
      </c>
      <c r="H235" s="165"/>
      <c r="I235" s="56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>
        <v>3</v>
      </c>
      <c r="BQ235" s="58">
        <f t="shared" si="4"/>
        <v>3</v>
      </c>
    </row>
    <row r="236" spans="1:69" ht="15" x14ac:dyDescent="0.15">
      <c r="A236" s="159" t="s">
        <v>668</v>
      </c>
      <c r="B236" s="160" t="s">
        <v>649</v>
      </c>
      <c r="C236" s="160" t="s">
        <v>666</v>
      </c>
      <c r="D236" s="160" t="s">
        <v>669</v>
      </c>
      <c r="E236" s="161" t="s">
        <v>116</v>
      </c>
      <c r="F236" s="164">
        <v>32</v>
      </c>
      <c r="G236" s="164">
        <v>48</v>
      </c>
      <c r="H236" s="165"/>
      <c r="I236" s="56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>
        <v>1</v>
      </c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>
        <v>1</v>
      </c>
      <c r="BP236" s="57"/>
      <c r="BQ236" s="58">
        <f t="shared" si="4"/>
        <v>2</v>
      </c>
    </row>
    <row r="237" spans="1:69" ht="15" x14ac:dyDescent="0.15">
      <c r="A237" s="159" t="s">
        <v>670</v>
      </c>
      <c r="B237" s="160" t="s">
        <v>649</v>
      </c>
      <c r="C237" s="160" t="s">
        <v>666</v>
      </c>
      <c r="D237" s="160" t="s">
        <v>671</v>
      </c>
      <c r="E237" s="161" t="s">
        <v>116</v>
      </c>
      <c r="F237" s="164">
        <v>40</v>
      </c>
      <c r="G237" s="164">
        <v>64</v>
      </c>
      <c r="H237" s="165"/>
      <c r="I237" s="56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>
        <v>1</v>
      </c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>
        <v>3</v>
      </c>
      <c r="BM237" s="57"/>
      <c r="BN237" s="57">
        <v>1</v>
      </c>
      <c r="BO237" s="57"/>
      <c r="BP237" s="57"/>
      <c r="BQ237" s="58">
        <f t="shared" si="4"/>
        <v>5</v>
      </c>
    </row>
    <row r="238" spans="1:69" ht="15" x14ac:dyDescent="0.15">
      <c r="A238" s="159" t="s">
        <v>672</v>
      </c>
      <c r="B238" s="160" t="s">
        <v>649</v>
      </c>
      <c r="C238" s="160" t="s">
        <v>666</v>
      </c>
      <c r="D238" s="160" t="s">
        <v>673</v>
      </c>
      <c r="E238" s="161" t="s">
        <v>116</v>
      </c>
      <c r="F238" s="164">
        <v>40</v>
      </c>
      <c r="G238" s="164">
        <v>112</v>
      </c>
      <c r="H238" s="165"/>
      <c r="I238" s="56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>
        <v>1</v>
      </c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>
        <v>1</v>
      </c>
      <c r="BP238" s="57"/>
      <c r="BQ238" s="58">
        <f t="shared" si="4"/>
        <v>2</v>
      </c>
    </row>
    <row r="239" spans="1:69" ht="15" x14ac:dyDescent="0.15">
      <c r="A239" s="159" t="s">
        <v>674</v>
      </c>
      <c r="B239" s="160" t="s">
        <v>649</v>
      </c>
      <c r="C239" s="160" t="s">
        <v>666</v>
      </c>
      <c r="D239" s="160" t="s">
        <v>675</v>
      </c>
      <c r="E239" s="161" t="s">
        <v>116</v>
      </c>
      <c r="F239" s="164">
        <v>48</v>
      </c>
      <c r="G239" s="164">
        <v>120</v>
      </c>
      <c r="H239" s="165"/>
      <c r="I239" s="56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>
        <v>3</v>
      </c>
      <c r="AS239" s="57"/>
      <c r="AT239" s="57">
        <v>2</v>
      </c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>
        <v>2</v>
      </c>
      <c r="BF239" s="57"/>
      <c r="BG239" s="57"/>
      <c r="BH239" s="57"/>
      <c r="BI239" s="57"/>
      <c r="BJ239" s="57"/>
      <c r="BK239" s="57"/>
      <c r="BL239" s="57">
        <v>1</v>
      </c>
      <c r="BM239" s="57"/>
      <c r="BN239" s="57"/>
      <c r="BO239" s="57"/>
      <c r="BP239" s="57"/>
      <c r="BQ239" s="58">
        <f t="shared" si="4"/>
        <v>8</v>
      </c>
    </row>
    <row r="240" spans="1:69" ht="15" x14ac:dyDescent="0.15">
      <c r="A240" s="159" t="s">
        <v>676</v>
      </c>
      <c r="B240" s="160" t="s">
        <v>649</v>
      </c>
      <c r="C240" s="160" t="s">
        <v>666</v>
      </c>
      <c r="D240" s="160" t="s">
        <v>677</v>
      </c>
      <c r="E240" s="161" t="s">
        <v>116</v>
      </c>
      <c r="F240" s="164">
        <v>56</v>
      </c>
      <c r="G240" s="164">
        <v>80</v>
      </c>
      <c r="H240" s="165"/>
      <c r="I240" s="56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>
        <v>1</v>
      </c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8">
        <f t="shared" si="4"/>
        <v>1</v>
      </c>
    </row>
    <row r="241" spans="1:69" ht="15" x14ac:dyDescent="0.15">
      <c r="A241" s="166" t="s">
        <v>678</v>
      </c>
      <c r="B241" s="160" t="s">
        <v>649</v>
      </c>
      <c r="C241" s="161"/>
      <c r="D241" s="161" t="s">
        <v>679</v>
      </c>
      <c r="E241" s="161" t="s">
        <v>116</v>
      </c>
      <c r="F241" s="164">
        <v>6</v>
      </c>
      <c r="G241" s="164">
        <v>32</v>
      </c>
      <c r="H241" s="165"/>
      <c r="I241" s="56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>
        <v>30</v>
      </c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8">
        <f t="shared" si="4"/>
        <v>30</v>
      </c>
    </row>
    <row r="242" spans="1:69" ht="15" x14ac:dyDescent="0.15">
      <c r="A242" s="166" t="s">
        <v>680</v>
      </c>
      <c r="B242" s="160" t="s">
        <v>649</v>
      </c>
      <c r="C242" s="161"/>
      <c r="D242" s="161" t="s">
        <v>681</v>
      </c>
      <c r="E242" s="161" t="s">
        <v>116</v>
      </c>
      <c r="F242" s="164">
        <v>8</v>
      </c>
      <c r="G242" s="164">
        <v>16</v>
      </c>
      <c r="H242" s="165"/>
      <c r="I242" s="56"/>
      <c r="J242" s="57"/>
      <c r="K242" s="57"/>
      <c r="L242" s="57"/>
      <c r="M242" s="57"/>
      <c r="N242" s="57"/>
      <c r="O242" s="57"/>
      <c r="P242" s="57"/>
      <c r="Q242" s="57"/>
      <c r="R242" s="57"/>
      <c r="S242" s="57">
        <v>2</v>
      </c>
      <c r="T242" s="57"/>
      <c r="U242" s="57"/>
      <c r="V242" s="57"/>
      <c r="W242" s="57"/>
      <c r="X242" s="57"/>
      <c r="Y242" s="57"/>
      <c r="Z242" s="57"/>
      <c r="AA242" s="57"/>
      <c r="AB242" s="57"/>
      <c r="AC242" s="57">
        <v>1</v>
      </c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8">
        <f t="shared" si="4"/>
        <v>3</v>
      </c>
    </row>
    <row r="243" spans="1:69" ht="15" x14ac:dyDescent="0.15">
      <c r="A243" s="166" t="s">
        <v>682</v>
      </c>
      <c r="B243" s="160" t="s">
        <v>649</v>
      </c>
      <c r="C243" s="161"/>
      <c r="D243" s="161" t="s">
        <v>683</v>
      </c>
      <c r="E243" s="161" t="s">
        <v>116</v>
      </c>
      <c r="F243" s="164">
        <v>8</v>
      </c>
      <c r="G243" s="164">
        <v>24</v>
      </c>
      <c r="H243" s="165"/>
      <c r="I243" s="56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>
        <v>15</v>
      </c>
      <c r="BB243" s="57"/>
      <c r="BC243" s="57"/>
      <c r="BD243" s="57"/>
      <c r="BE243" s="57"/>
      <c r="BF243" s="57"/>
      <c r="BG243" s="57">
        <v>10</v>
      </c>
      <c r="BH243" s="57">
        <v>19</v>
      </c>
      <c r="BI243" s="57"/>
      <c r="BJ243" s="57"/>
      <c r="BK243" s="57"/>
      <c r="BL243" s="57"/>
      <c r="BM243" s="57"/>
      <c r="BN243" s="57"/>
      <c r="BO243" s="57"/>
      <c r="BP243" s="57"/>
      <c r="BQ243" s="58">
        <f t="shared" si="4"/>
        <v>44</v>
      </c>
    </row>
    <row r="244" spans="1:69" ht="15" x14ac:dyDescent="0.15">
      <c r="A244" s="166" t="s">
        <v>684</v>
      </c>
      <c r="B244" s="160" t="s">
        <v>649</v>
      </c>
      <c r="C244" s="161"/>
      <c r="D244" s="161" t="s">
        <v>685</v>
      </c>
      <c r="E244" s="161" t="s">
        <v>204</v>
      </c>
      <c r="F244" s="164">
        <v>8</v>
      </c>
      <c r="G244" s="164">
        <v>32</v>
      </c>
      <c r="H244" s="165"/>
      <c r="I244" s="56"/>
      <c r="J244" s="57"/>
      <c r="K244" s="57"/>
      <c r="L244" s="57"/>
      <c r="M244" s="57"/>
      <c r="N244" s="57"/>
      <c r="O244" s="57"/>
      <c r="P244" s="57"/>
      <c r="Q244" s="57"/>
      <c r="R244" s="57"/>
      <c r="S244" s="57">
        <v>70</v>
      </c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>
        <v>15</v>
      </c>
      <c r="AX244" s="57"/>
      <c r="AY244" s="57"/>
      <c r="AZ244" s="57"/>
      <c r="BA244" s="57"/>
      <c r="BB244" s="57"/>
      <c r="BC244" s="57"/>
      <c r="BD244" s="57"/>
      <c r="BE244" s="57"/>
      <c r="BF244" s="57"/>
      <c r="BG244" s="57">
        <v>1</v>
      </c>
      <c r="BH244" s="57"/>
      <c r="BI244" s="57"/>
      <c r="BJ244" s="57"/>
      <c r="BK244" s="57"/>
      <c r="BL244" s="57"/>
      <c r="BM244" s="57"/>
      <c r="BN244" s="57"/>
      <c r="BO244" s="57"/>
      <c r="BP244" s="57"/>
      <c r="BQ244" s="58">
        <f t="shared" si="4"/>
        <v>86</v>
      </c>
    </row>
    <row r="245" spans="1:69" ht="15" x14ac:dyDescent="0.15">
      <c r="A245" s="166" t="s">
        <v>686</v>
      </c>
      <c r="B245" s="160" t="s">
        <v>649</v>
      </c>
      <c r="C245" s="161"/>
      <c r="D245" s="161" t="s">
        <v>687</v>
      </c>
      <c r="E245" s="161" t="s">
        <v>116</v>
      </c>
      <c r="F245" s="164">
        <v>12</v>
      </c>
      <c r="G245" s="164">
        <v>32</v>
      </c>
      <c r="H245" s="165"/>
      <c r="I245" s="56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>
        <v>1</v>
      </c>
      <c r="AM245" s="57"/>
      <c r="AN245" s="57">
        <v>7</v>
      </c>
      <c r="AO245" s="57"/>
      <c r="AP245" s="57"/>
      <c r="AQ245" s="57"/>
      <c r="AR245" s="57"/>
      <c r="AS245" s="57"/>
      <c r="AT245" s="57"/>
      <c r="AU245" s="57">
        <v>31</v>
      </c>
      <c r="AV245" s="57">
        <v>17</v>
      </c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8">
        <f t="shared" si="4"/>
        <v>56</v>
      </c>
    </row>
    <row r="246" spans="1:69" ht="15" x14ac:dyDescent="0.15">
      <c r="A246" s="166" t="s">
        <v>688</v>
      </c>
      <c r="B246" s="160" t="s">
        <v>649</v>
      </c>
      <c r="C246" s="161"/>
      <c r="D246" s="161" t="s">
        <v>689</v>
      </c>
      <c r="E246" s="161" t="s">
        <v>116</v>
      </c>
      <c r="F246" s="164">
        <v>16</v>
      </c>
      <c r="G246" s="164">
        <v>24</v>
      </c>
      <c r="H246" s="165"/>
      <c r="I246" s="56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>
        <v>1</v>
      </c>
      <c r="AC246" s="57">
        <f>1+1</f>
        <v>2</v>
      </c>
      <c r="AD246" s="57"/>
      <c r="AE246" s="57"/>
      <c r="AF246" s="57"/>
      <c r="AG246" s="57"/>
      <c r="AH246" s="57"/>
      <c r="AI246" s="57"/>
      <c r="AJ246" s="57"/>
      <c r="AK246" s="57"/>
      <c r="AL246" s="57"/>
      <c r="AM246" s="57">
        <v>1</v>
      </c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>
        <v>1</v>
      </c>
      <c r="BH246" s="57"/>
      <c r="BI246" s="57"/>
      <c r="BJ246" s="57">
        <v>12</v>
      </c>
      <c r="BK246" s="57">
        <v>3</v>
      </c>
      <c r="BL246" s="57"/>
      <c r="BM246" s="57">
        <v>120</v>
      </c>
      <c r="BN246" s="57"/>
      <c r="BO246" s="57"/>
      <c r="BP246" s="57"/>
      <c r="BQ246" s="58">
        <f t="shared" si="4"/>
        <v>140</v>
      </c>
    </row>
    <row r="247" spans="1:69" ht="15" x14ac:dyDescent="0.15">
      <c r="A247" s="166" t="s">
        <v>690</v>
      </c>
      <c r="B247" s="160" t="s">
        <v>649</v>
      </c>
      <c r="C247" s="161"/>
      <c r="D247" s="161" t="s">
        <v>691</v>
      </c>
      <c r="E247" s="161" t="s">
        <v>116</v>
      </c>
      <c r="F247" s="164">
        <v>16</v>
      </c>
      <c r="G247" s="164">
        <v>32</v>
      </c>
      <c r="H247" s="165"/>
      <c r="I247" s="56">
        <v>49</v>
      </c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>
        <v>1</v>
      </c>
      <c r="AN247" s="57"/>
      <c r="AO247" s="57"/>
      <c r="AP247" s="57"/>
      <c r="AQ247" s="57"/>
      <c r="AR247" s="57"/>
      <c r="AS247" s="57"/>
      <c r="AT247" s="57">
        <v>1</v>
      </c>
      <c r="AU247" s="57"/>
      <c r="AV247" s="57"/>
      <c r="AW247" s="57"/>
      <c r="AX247" s="57"/>
      <c r="AY247" s="57"/>
      <c r="AZ247" s="57"/>
      <c r="BA247" s="57"/>
      <c r="BB247" s="57"/>
      <c r="BC247" s="57">
        <v>29</v>
      </c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>
        <v>1</v>
      </c>
      <c r="BO247" s="57"/>
      <c r="BP247" s="57"/>
      <c r="BQ247" s="58">
        <f t="shared" si="4"/>
        <v>81</v>
      </c>
    </row>
    <row r="248" spans="1:69" ht="15" x14ac:dyDescent="0.15">
      <c r="A248" s="166" t="s">
        <v>692</v>
      </c>
      <c r="B248" s="160" t="s">
        <v>649</v>
      </c>
      <c r="C248" s="161"/>
      <c r="D248" s="161" t="s">
        <v>693</v>
      </c>
      <c r="E248" s="161" t="s">
        <v>116</v>
      </c>
      <c r="F248" s="164">
        <v>16</v>
      </c>
      <c r="G248" s="164">
        <v>40</v>
      </c>
      <c r="H248" s="165"/>
      <c r="I248" s="56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>
        <v>7</v>
      </c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>
        <v>3</v>
      </c>
      <c r="BG248" s="57"/>
      <c r="BH248" s="57"/>
      <c r="BI248" s="57"/>
      <c r="BJ248" s="57"/>
      <c r="BK248" s="57">
        <v>11</v>
      </c>
      <c r="BL248" s="57"/>
      <c r="BM248" s="57"/>
      <c r="BN248" s="57"/>
      <c r="BO248" s="57"/>
      <c r="BP248" s="57"/>
      <c r="BQ248" s="58">
        <f t="shared" si="4"/>
        <v>21</v>
      </c>
    </row>
    <row r="249" spans="1:69" ht="15" x14ac:dyDescent="0.15">
      <c r="A249" s="166" t="s">
        <v>694</v>
      </c>
      <c r="B249" s="160" t="s">
        <v>649</v>
      </c>
      <c r="C249" s="161"/>
      <c r="D249" s="161" t="s">
        <v>695</v>
      </c>
      <c r="E249" s="161" t="s">
        <v>116</v>
      </c>
      <c r="F249" s="164">
        <v>16</v>
      </c>
      <c r="G249" s="164">
        <v>72</v>
      </c>
      <c r="H249" s="165"/>
      <c r="I249" s="56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>
        <v>1</v>
      </c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8">
        <f t="shared" si="4"/>
        <v>1</v>
      </c>
    </row>
    <row r="250" spans="1:69" ht="15" x14ac:dyDescent="0.15">
      <c r="A250" s="166" t="s">
        <v>696</v>
      </c>
      <c r="B250" s="160" t="s">
        <v>649</v>
      </c>
      <c r="C250" s="161"/>
      <c r="D250" s="161" t="s">
        <v>697</v>
      </c>
      <c r="E250" s="161" t="s">
        <v>116</v>
      </c>
      <c r="F250" s="164">
        <v>20</v>
      </c>
      <c r="G250" s="164">
        <v>40</v>
      </c>
      <c r="H250" s="165"/>
      <c r="I250" s="56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>
        <v>1</v>
      </c>
      <c r="AE250" s="57"/>
      <c r="AF250" s="57"/>
      <c r="AG250" s="57"/>
      <c r="AH250" s="57"/>
      <c r="AI250" s="57"/>
      <c r="AJ250" s="57"/>
      <c r="AK250" s="57"/>
      <c r="AL250" s="57"/>
      <c r="AM250" s="57">
        <v>14</v>
      </c>
      <c r="AN250" s="57">
        <v>13</v>
      </c>
      <c r="AO250" s="57"/>
      <c r="AP250" s="57"/>
      <c r="AQ250" s="57"/>
      <c r="AR250" s="57"/>
      <c r="AS250" s="57"/>
      <c r="AT250" s="57">
        <v>18</v>
      </c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8">
        <f t="shared" si="4"/>
        <v>46</v>
      </c>
    </row>
    <row r="251" spans="1:69" ht="15" x14ac:dyDescent="0.15">
      <c r="A251" s="166" t="s">
        <v>698</v>
      </c>
      <c r="B251" s="160" t="s">
        <v>649</v>
      </c>
      <c r="C251" s="161"/>
      <c r="D251" s="161" t="s">
        <v>699</v>
      </c>
      <c r="E251" s="161" t="s">
        <v>116</v>
      </c>
      <c r="F251" s="164">
        <v>24</v>
      </c>
      <c r="G251" s="164">
        <v>32</v>
      </c>
      <c r="H251" s="165"/>
      <c r="I251" s="56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>
        <v>1</v>
      </c>
      <c r="AD251" s="57"/>
      <c r="AE251" s="57"/>
      <c r="AF251" s="57"/>
      <c r="AG251" s="57"/>
      <c r="AH251" s="57"/>
      <c r="AI251" s="57"/>
      <c r="AJ251" s="57"/>
      <c r="AK251" s="57"/>
      <c r="AL251" s="57"/>
      <c r="AM251" s="57">
        <v>10</v>
      </c>
      <c r="AN251" s="57"/>
      <c r="AO251" s="57"/>
      <c r="AP251" s="57">
        <v>6</v>
      </c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8">
        <f t="shared" si="4"/>
        <v>17</v>
      </c>
    </row>
    <row r="252" spans="1:69" ht="15" x14ac:dyDescent="0.15">
      <c r="A252" s="166" t="s">
        <v>700</v>
      </c>
      <c r="B252" s="160" t="s">
        <v>649</v>
      </c>
      <c r="C252" s="161"/>
      <c r="D252" s="161" t="s">
        <v>701</v>
      </c>
      <c r="E252" s="161" t="s">
        <v>116</v>
      </c>
      <c r="F252" s="164">
        <v>24</v>
      </c>
      <c r="G252" s="164">
        <v>40</v>
      </c>
      <c r="H252" s="165"/>
      <c r="I252" s="56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>
        <f>1+1</f>
        <v>2</v>
      </c>
      <c r="AP252" s="57"/>
      <c r="AQ252" s="57"/>
      <c r="AR252" s="57">
        <v>26</v>
      </c>
      <c r="AS252" s="57"/>
      <c r="AT252" s="57"/>
      <c r="AU252" s="57"/>
      <c r="AV252" s="57"/>
      <c r="AW252" s="57">
        <v>40</v>
      </c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>
        <f>1+4</f>
        <v>5</v>
      </c>
      <c r="BQ252" s="58">
        <f t="shared" si="4"/>
        <v>73</v>
      </c>
    </row>
    <row r="253" spans="1:69" ht="15" x14ac:dyDescent="0.15">
      <c r="A253" s="166" t="s">
        <v>702</v>
      </c>
      <c r="B253" s="160" t="s">
        <v>649</v>
      </c>
      <c r="C253" s="161"/>
      <c r="D253" s="161" t="s">
        <v>703</v>
      </c>
      <c r="E253" s="161" t="s">
        <v>91</v>
      </c>
      <c r="F253" s="164">
        <v>32</v>
      </c>
      <c r="G253" s="164">
        <v>32</v>
      </c>
      <c r="H253" s="165"/>
      <c r="I253" s="56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>
        <v>1</v>
      </c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8">
        <f t="shared" si="4"/>
        <v>1</v>
      </c>
    </row>
    <row r="254" spans="1:69" ht="15" x14ac:dyDescent="0.15">
      <c r="A254" s="166" t="s">
        <v>704</v>
      </c>
      <c r="B254" s="160" t="s">
        <v>649</v>
      </c>
      <c r="C254" s="161"/>
      <c r="D254" s="161" t="s">
        <v>705</v>
      </c>
      <c r="E254" s="161" t="s">
        <v>116</v>
      </c>
      <c r="F254" s="164">
        <v>32</v>
      </c>
      <c r="G254" s="164">
        <v>56</v>
      </c>
      <c r="H254" s="165"/>
      <c r="I254" s="56"/>
      <c r="J254" s="57"/>
      <c r="K254" s="57"/>
      <c r="L254" s="57"/>
      <c r="M254" s="57">
        <v>1</v>
      </c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>
        <v>1</v>
      </c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>
        <v>4</v>
      </c>
      <c r="BH254" s="57"/>
      <c r="BI254" s="57"/>
      <c r="BJ254" s="57"/>
      <c r="BK254" s="57"/>
      <c r="BL254" s="57"/>
      <c r="BM254" s="57"/>
      <c r="BN254" s="57"/>
      <c r="BO254" s="57"/>
      <c r="BP254" s="57"/>
      <c r="BQ254" s="58">
        <f t="shared" si="4"/>
        <v>6</v>
      </c>
    </row>
    <row r="255" spans="1:69" ht="15" x14ac:dyDescent="0.15">
      <c r="A255" s="164" t="s">
        <v>706</v>
      </c>
      <c r="B255" s="160" t="s">
        <v>649</v>
      </c>
      <c r="C255" s="164" t="s">
        <v>174</v>
      </c>
      <c r="D255" s="167" t="s">
        <v>707</v>
      </c>
      <c r="E255" s="164" t="s">
        <v>91</v>
      </c>
      <c r="F255" s="164">
        <v>16</v>
      </c>
      <c r="G255" s="164">
        <v>16</v>
      </c>
      <c r="H255" s="165"/>
      <c r="I255" s="56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>
        <v>1</v>
      </c>
      <c r="AC255" s="57">
        <f>1+1</f>
        <v>2</v>
      </c>
      <c r="AD255" s="57">
        <v>1</v>
      </c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8">
        <f t="shared" si="4"/>
        <v>4</v>
      </c>
    </row>
    <row r="256" spans="1:69" ht="15" x14ac:dyDescent="0.15">
      <c r="A256" s="166" t="s">
        <v>708</v>
      </c>
      <c r="B256" s="160" t="s">
        <v>649</v>
      </c>
      <c r="C256" s="164" t="s">
        <v>174</v>
      </c>
      <c r="D256" s="167" t="s">
        <v>709</v>
      </c>
      <c r="E256" s="164" t="s">
        <v>91</v>
      </c>
      <c r="F256" s="164">
        <v>28</v>
      </c>
      <c r="G256" s="164">
        <v>28</v>
      </c>
      <c r="H256" s="165"/>
      <c r="I256" s="56"/>
      <c r="J256" s="57"/>
      <c r="K256" s="57"/>
      <c r="L256" s="57"/>
      <c r="M256" s="57"/>
      <c r="N256" s="57"/>
      <c r="O256" s="57"/>
      <c r="P256" s="57">
        <v>4</v>
      </c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>
        <f>1+1</f>
        <v>2</v>
      </c>
      <c r="AN256" s="57">
        <v>8</v>
      </c>
      <c r="AO256" s="57">
        <f>1+4</f>
        <v>5</v>
      </c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>
        <v>2</v>
      </c>
      <c r="BH256" s="57"/>
      <c r="BI256" s="57"/>
      <c r="BJ256" s="57">
        <v>8</v>
      </c>
      <c r="BK256" s="57"/>
      <c r="BL256" s="57"/>
      <c r="BM256" s="57"/>
      <c r="BN256" s="57"/>
      <c r="BO256" s="57"/>
      <c r="BP256" s="57"/>
      <c r="BQ256" s="58">
        <f t="shared" si="4"/>
        <v>29</v>
      </c>
    </row>
    <row r="257" spans="1:69" ht="15" x14ac:dyDescent="0.15">
      <c r="A257" s="166" t="s">
        <v>710</v>
      </c>
      <c r="B257" s="160" t="s">
        <v>649</v>
      </c>
      <c r="C257" s="164" t="s">
        <v>174</v>
      </c>
      <c r="D257" s="167" t="s">
        <v>711</v>
      </c>
      <c r="E257" s="164" t="s">
        <v>91</v>
      </c>
      <c r="F257" s="164">
        <v>40</v>
      </c>
      <c r="G257" s="164">
        <v>40</v>
      </c>
      <c r="H257" s="165"/>
      <c r="I257" s="56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>
        <v>3</v>
      </c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>
        <v>4</v>
      </c>
      <c r="AX257" s="57"/>
      <c r="AY257" s="57">
        <v>4</v>
      </c>
      <c r="AZ257" s="57"/>
      <c r="BA257" s="57"/>
      <c r="BB257" s="57"/>
      <c r="BC257" s="57"/>
      <c r="BD257" s="57"/>
      <c r="BE257" s="57"/>
      <c r="BF257" s="57"/>
      <c r="BG257" s="57">
        <f>14+1+1</f>
        <v>16</v>
      </c>
      <c r="BH257" s="57"/>
      <c r="BI257" s="57"/>
      <c r="BJ257" s="57"/>
      <c r="BK257" s="57">
        <v>2</v>
      </c>
      <c r="BL257" s="57"/>
      <c r="BM257" s="57"/>
      <c r="BN257" s="57"/>
      <c r="BO257" s="57"/>
      <c r="BP257" s="57"/>
      <c r="BQ257" s="58">
        <f t="shared" si="4"/>
        <v>29</v>
      </c>
    </row>
    <row r="258" spans="1:69" ht="15" x14ac:dyDescent="0.15">
      <c r="A258" s="166" t="s">
        <v>712</v>
      </c>
      <c r="B258" s="160" t="s">
        <v>649</v>
      </c>
      <c r="C258" s="164" t="s">
        <v>174</v>
      </c>
      <c r="D258" s="167" t="s">
        <v>713</v>
      </c>
      <c r="E258" s="164" t="s">
        <v>91</v>
      </c>
      <c r="F258" s="164">
        <v>48</v>
      </c>
      <c r="G258" s="164">
        <v>48</v>
      </c>
      <c r="H258" s="165"/>
      <c r="I258" s="56"/>
      <c r="J258" s="57"/>
      <c r="K258" s="57"/>
      <c r="L258" s="57"/>
      <c r="M258" s="57"/>
      <c r="N258" s="57"/>
      <c r="O258" s="57"/>
      <c r="P258" s="57"/>
      <c r="Q258" s="57"/>
      <c r="R258" s="57"/>
      <c r="S258" s="57">
        <v>2</v>
      </c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>
        <v>4</v>
      </c>
      <c r="AU258" s="57"/>
      <c r="AV258" s="57"/>
      <c r="AW258" s="57"/>
      <c r="AX258" s="57">
        <v>3</v>
      </c>
      <c r="AY258" s="57"/>
      <c r="AZ258" s="57"/>
      <c r="BA258" s="57"/>
      <c r="BB258" s="57"/>
      <c r="BC258" s="57">
        <v>4</v>
      </c>
      <c r="BD258" s="57"/>
      <c r="BE258" s="57"/>
      <c r="BF258" s="57"/>
      <c r="BG258" s="57">
        <v>1</v>
      </c>
      <c r="BH258" s="57"/>
      <c r="BI258" s="57"/>
      <c r="BJ258" s="57"/>
      <c r="BK258" s="57"/>
      <c r="BL258" s="57"/>
      <c r="BM258" s="57"/>
      <c r="BN258" s="57"/>
      <c r="BO258" s="57">
        <v>1</v>
      </c>
      <c r="BP258" s="57"/>
      <c r="BQ258" s="58">
        <f t="shared" si="4"/>
        <v>15</v>
      </c>
    </row>
    <row r="259" spans="1:69" ht="15" x14ac:dyDescent="0.15">
      <c r="A259" s="166" t="s">
        <v>714</v>
      </c>
      <c r="B259" s="160" t="s">
        <v>649</v>
      </c>
      <c r="C259" s="164" t="s">
        <v>174</v>
      </c>
      <c r="D259" s="167" t="s">
        <v>715</v>
      </c>
      <c r="E259" s="164" t="s">
        <v>91</v>
      </c>
      <c r="F259" s="164">
        <v>56</v>
      </c>
      <c r="G259" s="164">
        <v>56</v>
      </c>
      <c r="H259" s="165"/>
      <c r="I259" s="56">
        <v>1</v>
      </c>
      <c r="J259" s="57"/>
      <c r="K259" s="57"/>
      <c r="L259" s="57"/>
      <c r="M259" s="57"/>
      <c r="N259" s="57"/>
      <c r="O259" s="57"/>
      <c r="P259" s="57"/>
      <c r="Q259" s="57"/>
      <c r="R259" s="57"/>
      <c r="S259" s="57">
        <v>3</v>
      </c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8">
        <f t="shared" si="4"/>
        <v>4</v>
      </c>
    </row>
    <row r="260" spans="1:69" ht="15" x14ac:dyDescent="0.15">
      <c r="A260" s="166" t="s">
        <v>716</v>
      </c>
      <c r="B260" s="160" t="s">
        <v>649</v>
      </c>
      <c r="C260" s="164" t="s">
        <v>174</v>
      </c>
      <c r="D260" s="167" t="s">
        <v>717</v>
      </c>
      <c r="E260" s="164" t="s">
        <v>91</v>
      </c>
      <c r="F260" s="164">
        <v>64</v>
      </c>
      <c r="G260" s="164">
        <v>64</v>
      </c>
      <c r="H260" s="165"/>
      <c r="I260" s="56"/>
      <c r="J260" s="57"/>
      <c r="K260" s="57"/>
      <c r="L260" s="57"/>
      <c r="M260" s="57"/>
      <c r="N260" s="57"/>
      <c r="O260" s="57"/>
      <c r="P260" s="57"/>
      <c r="Q260" s="57"/>
      <c r="R260" s="57"/>
      <c r="S260" s="57">
        <v>1</v>
      </c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>
        <v>1</v>
      </c>
      <c r="BC260" s="57"/>
      <c r="BD260" s="57"/>
      <c r="BE260" s="57">
        <v>1</v>
      </c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8">
        <f t="shared" si="4"/>
        <v>3</v>
      </c>
    </row>
    <row r="261" spans="1:69" ht="15" x14ac:dyDescent="0.15">
      <c r="A261" s="166" t="s">
        <v>718</v>
      </c>
      <c r="B261" s="160" t="s">
        <v>649</v>
      </c>
      <c r="C261" s="164" t="s">
        <v>174</v>
      </c>
      <c r="D261" s="167" t="s">
        <v>719</v>
      </c>
      <c r="E261" s="164" t="s">
        <v>91</v>
      </c>
      <c r="F261" s="164">
        <v>80</v>
      </c>
      <c r="G261" s="164">
        <v>80</v>
      </c>
      <c r="H261" s="165"/>
      <c r="I261" s="56"/>
      <c r="J261" s="57"/>
      <c r="K261" s="57">
        <v>1</v>
      </c>
      <c r="L261" s="57"/>
      <c r="M261" s="57"/>
      <c r="N261" s="57"/>
      <c r="O261" s="57"/>
      <c r="P261" s="57"/>
      <c r="Q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8">
        <f t="shared" si="4"/>
        <v>1</v>
      </c>
    </row>
    <row r="262" spans="1:69" ht="15" x14ac:dyDescent="0.2">
      <c r="A262" s="168" t="s">
        <v>720</v>
      </c>
      <c r="B262" s="160" t="s">
        <v>649</v>
      </c>
      <c r="C262" s="164" t="s">
        <v>174</v>
      </c>
      <c r="D262" s="167" t="s">
        <v>721</v>
      </c>
      <c r="E262" s="164" t="s">
        <v>91</v>
      </c>
      <c r="F262" s="164">
        <v>24.5</v>
      </c>
      <c r="G262" s="164">
        <v>24.5</v>
      </c>
      <c r="H262" s="169"/>
      <c r="I262" s="56">
        <v>18</v>
      </c>
      <c r="J262" s="57">
        <f>1+3</f>
        <v>4</v>
      </c>
      <c r="K262" s="57">
        <v>3</v>
      </c>
      <c r="L262" s="57">
        <v>3</v>
      </c>
      <c r="M262" s="57">
        <v>3</v>
      </c>
      <c r="N262" s="57"/>
      <c r="O262" s="57"/>
      <c r="P262" s="57">
        <v>10</v>
      </c>
      <c r="Q262" s="57">
        <f>8+6</f>
        <v>14</v>
      </c>
      <c r="R262" s="57">
        <v>11</v>
      </c>
      <c r="S262" s="57">
        <v>18</v>
      </c>
      <c r="T262" s="57">
        <v>7</v>
      </c>
      <c r="U262" s="57">
        <v>6</v>
      </c>
      <c r="V262" s="57">
        <v>12</v>
      </c>
      <c r="W262" s="57">
        <v>32</v>
      </c>
      <c r="X262" s="57">
        <v>4</v>
      </c>
      <c r="Y262" s="57">
        <v>2</v>
      </c>
      <c r="Z262" s="57">
        <v>3</v>
      </c>
      <c r="AA262" s="57">
        <v>8</v>
      </c>
      <c r="AB262" s="57">
        <v>9</v>
      </c>
      <c r="AC262" s="57">
        <f>35+5</f>
        <v>40</v>
      </c>
      <c r="AD262" s="57">
        <v>8</v>
      </c>
      <c r="AE262" s="57">
        <v>3</v>
      </c>
      <c r="AF262" s="57"/>
      <c r="AG262" s="57">
        <v>5</v>
      </c>
      <c r="AH262" s="57"/>
      <c r="AI262" s="57"/>
      <c r="AJ262" s="57">
        <v>4</v>
      </c>
      <c r="AK262" s="57"/>
      <c r="AL262" s="57"/>
      <c r="AM262" s="57">
        <v>72</v>
      </c>
      <c r="AN262" s="57">
        <v>90</v>
      </c>
      <c r="AO262" s="57">
        <v>117</v>
      </c>
      <c r="AP262" s="57">
        <v>18</v>
      </c>
      <c r="AQ262" s="57">
        <v>22</v>
      </c>
      <c r="AR262" s="57">
        <v>41</v>
      </c>
      <c r="AS262" s="57"/>
      <c r="AT262" s="57">
        <f>8+7</f>
        <v>15</v>
      </c>
      <c r="AU262" s="57">
        <v>28</v>
      </c>
      <c r="AV262" s="57">
        <f>1+1+4</f>
        <v>6</v>
      </c>
      <c r="AW262" s="57">
        <v>35</v>
      </c>
      <c r="AX262" s="57">
        <f>1+5</f>
        <v>6</v>
      </c>
      <c r="AY262" s="57">
        <f>1+9+64</f>
        <v>74</v>
      </c>
      <c r="AZ262" s="57">
        <v>11</v>
      </c>
      <c r="BA262" s="57">
        <v>48</v>
      </c>
      <c r="BB262" s="57">
        <v>22</v>
      </c>
      <c r="BC262" s="57">
        <v>83</v>
      </c>
      <c r="BD262" s="57">
        <v>49</v>
      </c>
      <c r="BE262" s="57">
        <v>67</v>
      </c>
      <c r="BF262" s="57">
        <v>64</v>
      </c>
      <c r="BG262" s="57">
        <f>5+19+66</f>
        <v>90</v>
      </c>
      <c r="BH262" s="57">
        <f>32+12+1</f>
        <v>45</v>
      </c>
      <c r="BI262" s="57">
        <v>41</v>
      </c>
      <c r="BJ262" s="57">
        <f>4+3+5</f>
        <v>12</v>
      </c>
      <c r="BK262" s="57">
        <f>1+1+3+3</f>
        <v>8</v>
      </c>
      <c r="BL262" s="57">
        <v>49</v>
      </c>
      <c r="BM262" s="57">
        <v>14</v>
      </c>
      <c r="BN262" s="57">
        <v>28</v>
      </c>
      <c r="BO262" s="57">
        <v>20</v>
      </c>
      <c r="BP262" s="57">
        <v>27</v>
      </c>
      <c r="BQ262" s="58">
        <f t="shared" si="4"/>
        <v>1429</v>
      </c>
    </row>
    <row r="263" spans="1:69" x14ac:dyDescent="0.15">
      <c r="H263" s="171"/>
    </row>
    <row r="264" spans="1:69" ht="15" x14ac:dyDescent="0.15">
      <c r="A264" s="172" t="s">
        <v>722</v>
      </c>
      <c r="H264" s="171"/>
      <c r="I264" s="173">
        <f>SUM(I2:I262)</f>
        <v>182</v>
      </c>
      <c r="J264" s="173">
        <f t="shared" ref="J264:BQ264" si="5">SUM(J2:J262)</f>
        <v>208</v>
      </c>
      <c r="K264" s="173">
        <f t="shared" si="5"/>
        <v>45</v>
      </c>
      <c r="L264" s="173">
        <f t="shared" si="5"/>
        <v>264</v>
      </c>
      <c r="M264" s="173">
        <f t="shared" si="5"/>
        <v>61</v>
      </c>
      <c r="N264" s="173">
        <f t="shared" si="5"/>
        <v>268</v>
      </c>
      <c r="O264" s="173">
        <f t="shared" si="5"/>
        <v>71</v>
      </c>
      <c r="P264" s="173">
        <f t="shared" si="5"/>
        <v>176</v>
      </c>
      <c r="Q264" s="173">
        <f t="shared" si="5"/>
        <v>167</v>
      </c>
      <c r="R264" s="173">
        <f t="shared" si="5"/>
        <v>162</v>
      </c>
      <c r="S264" s="173">
        <f t="shared" si="5"/>
        <v>323</v>
      </c>
      <c r="T264" s="173">
        <f t="shared" si="5"/>
        <v>224</v>
      </c>
      <c r="U264" s="173">
        <f t="shared" si="5"/>
        <v>68</v>
      </c>
      <c r="V264" s="173">
        <f t="shared" si="5"/>
        <v>242</v>
      </c>
      <c r="W264" s="173">
        <f t="shared" si="5"/>
        <v>119</v>
      </c>
      <c r="X264" s="173">
        <f t="shared" si="5"/>
        <v>329</v>
      </c>
      <c r="Y264" s="173">
        <f t="shared" si="5"/>
        <v>51</v>
      </c>
      <c r="Z264" s="173">
        <f t="shared" si="5"/>
        <v>87</v>
      </c>
      <c r="AA264" s="173">
        <f t="shared" si="5"/>
        <v>143</v>
      </c>
      <c r="AB264" s="173">
        <f t="shared" si="5"/>
        <v>115</v>
      </c>
      <c r="AC264" s="173">
        <f t="shared" si="5"/>
        <v>93</v>
      </c>
      <c r="AD264" s="173">
        <f t="shared" si="5"/>
        <v>1069</v>
      </c>
      <c r="AE264" s="173">
        <f t="shared" si="5"/>
        <v>108</v>
      </c>
      <c r="AF264" s="173">
        <f t="shared" si="5"/>
        <v>670</v>
      </c>
      <c r="AG264" s="173">
        <f t="shared" si="5"/>
        <v>142</v>
      </c>
      <c r="AH264" s="173">
        <f t="shared" si="5"/>
        <v>922</v>
      </c>
      <c r="AI264" s="173">
        <f t="shared" si="5"/>
        <v>242</v>
      </c>
      <c r="AJ264" s="173">
        <f t="shared" si="5"/>
        <v>725</v>
      </c>
      <c r="AK264" s="173">
        <f t="shared" si="5"/>
        <v>832</v>
      </c>
      <c r="AL264" s="173">
        <f t="shared" si="5"/>
        <v>724</v>
      </c>
      <c r="AM264" s="173">
        <f t="shared" si="5"/>
        <v>238</v>
      </c>
      <c r="AN264" s="173">
        <f t="shared" si="5"/>
        <v>376</v>
      </c>
      <c r="AO264" s="173">
        <f t="shared" si="5"/>
        <v>187</v>
      </c>
      <c r="AP264" s="173">
        <f t="shared" si="5"/>
        <v>276</v>
      </c>
      <c r="AQ264" s="173">
        <f t="shared" si="5"/>
        <v>48</v>
      </c>
      <c r="AR264" s="173">
        <f t="shared" si="5"/>
        <v>299</v>
      </c>
      <c r="AS264" s="173">
        <f t="shared" si="5"/>
        <v>56</v>
      </c>
      <c r="AT264" s="173">
        <f t="shared" si="5"/>
        <v>167</v>
      </c>
      <c r="AU264" s="173">
        <f t="shared" si="5"/>
        <v>350</v>
      </c>
      <c r="AV264" s="173">
        <f t="shared" si="5"/>
        <v>113</v>
      </c>
      <c r="AW264" s="173">
        <f t="shared" si="5"/>
        <v>1014</v>
      </c>
      <c r="AX264" s="173">
        <f t="shared" si="5"/>
        <v>595</v>
      </c>
      <c r="AY264" s="173">
        <f t="shared" si="5"/>
        <v>200</v>
      </c>
      <c r="AZ264" s="173">
        <f t="shared" si="5"/>
        <v>200</v>
      </c>
      <c r="BA264" s="173">
        <f t="shared" si="5"/>
        <v>201</v>
      </c>
      <c r="BB264" s="173">
        <f t="shared" si="5"/>
        <v>435</v>
      </c>
      <c r="BC264" s="173">
        <f t="shared" si="5"/>
        <v>371</v>
      </c>
      <c r="BD264" s="173">
        <f t="shared" si="5"/>
        <v>681</v>
      </c>
      <c r="BE264" s="173">
        <f t="shared" si="5"/>
        <v>557</v>
      </c>
      <c r="BF264" s="173">
        <f t="shared" si="5"/>
        <v>1009</v>
      </c>
      <c r="BG264" s="173">
        <f t="shared" si="5"/>
        <v>857</v>
      </c>
      <c r="BH264" s="173">
        <f t="shared" si="5"/>
        <v>239</v>
      </c>
      <c r="BI264" s="173">
        <f t="shared" si="5"/>
        <v>153</v>
      </c>
      <c r="BJ264" s="173">
        <f t="shared" si="5"/>
        <v>437</v>
      </c>
      <c r="BK264" s="173">
        <f t="shared" si="5"/>
        <v>132</v>
      </c>
      <c r="BL264" s="173">
        <f t="shared" si="5"/>
        <v>680</v>
      </c>
      <c r="BM264" s="173">
        <f t="shared" si="5"/>
        <v>338</v>
      </c>
      <c r="BN264" s="173">
        <f t="shared" si="5"/>
        <v>814</v>
      </c>
      <c r="BO264" s="173">
        <f t="shared" si="5"/>
        <v>800</v>
      </c>
      <c r="BP264" s="173">
        <f t="shared" si="5"/>
        <v>965</v>
      </c>
      <c r="BQ264" s="173">
        <f t="shared" si="5"/>
        <v>21620</v>
      </c>
    </row>
    <row r="265" spans="1:69" ht="16" thickBot="1" x14ac:dyDescent="0.2">
      <c r="A265" s="174" t="s">
        <v>723</v>
      </c>
      <c r="B265" s="175"/>
      <c r="C265" s="175"/>
      <c r="D265" s="175"/>
      <c r="E265" s="175"/>
      <c r="F265" s="175"/>
      <c r="G265" s="176"/>
      <c r="H265" s="177"/>
      <c r="I265" s="178">
        <v>182</v>
      </c>
      <c r="J265" s="178">
        <v>209</v>
      </c>
      <c r="K265" s="178">
        <v>45</v>
      </c>
      <c r="L265" s="178">
        <v>265</v>
      </c>
      <c r="M265" s="178">
        <v>62</v>
      </c>
      <c r="N265" s="178">
        <v>268</v>
      </c>
      <c r="O265" s="178">
        <v>71</v>
      </c>
      <c r="P265" s="178">
        <v>177</v>
      </c>
      <c r="Q265" s="178">
        <v>169</v>
      </c>
      <c r="R265" s="178">
        <v>163</v>
      </c>
      <c r="S265" s="178">
        <v>323</v>
      </c>
      <c r="T265" s="178">
        <v>225</v>
      </c>
      <c r="U265" s="178">
        <v>69</v>
      </c>
      <c r="V265" s="178">
        <v>242</v>
      </c>
      <c r="W265" s="178">
        <v>119</v>
      </c>
      <c r="X265" s="178">
        <v>332</v>
      </c>
      <c r="Y265" s="178">
        <v>52</v>
      </c>
      <c r="Z265" s="178">
        <v>88</v>
      </c>
      <c r="AA265" s="178">
        <v>142</v>
      </c>
      <c r="AB265" s="178">
        <v>118</v>
      </c>
      <c r="AC265" s="178">
        <v>95</v>
      </c>
      <c r="AD265" s="178">
        <v>1069</v>
      </c>
      <c r="AE265" s="178">
        <v>108</v>
      </c>
      <c r="AF265" s="178">
        <v>670</v>
      </c>
      <c r="AG265" s="178">
        <v>142</v>
      </c>
      <c r="AH265" s="178">
        <v>922</v>
      </c>
      <c r="AI265" s="178">
        <v>242</v>
      </c>
      <c r="AJ265" s="178">
        <v>725</v>
      </c>
      <c r="AK265" s="178">
        <v>832</v>
      </c>
      <c r="AL265" s="178">
        <v>724</v>
      </c>
      <c r="AM265" s="178">
        <v>239</v>
      </c>
      <c r="AN265" s="178">
        <v>380</v>
      </c>
      <c r="AO265" s="178">
        <v>187</v>
      </c>
      <c r="AP265" s="178">
        <v>285</v>
      </c>
      <c r="AQ265" s="178">
        <v>48</v>
      </c>
      <c r="AR265" s="178">
        <v>302</v>
      </c>
      <c r="AS265" s="178">
        <v>56</v>
      </c>
      <c r="AT265" s="178">
        <v>180</v>
      </c>
      <c r="AU265" s="178">
        <v>360</v>
      </c>
      <c r="AV265" s="178">
        <v>119</v>
      </c>
      <c r="AW265" s="178">
        <v>1014</v>
      </c>
      <c r="AX265" s="178">
        <v>596</v>
      </c>
      <c r="AY265" s="178">
        <v>200</v>
      </c>
      <c r="AZ265" s="178">
        <v>200</v>
      </c>
      <c r="BA265" s="178">
        <v>201</v>
      </c>
      <c r="BB265" s="178">
        <v>436</v>
      </c>
      <c r="BC265" s="178">
        <v>371</v>
      </c>
      <c r="BD265" s="178">
        <v>682</v>
      </c>
      <c r="BE265" s="178">
        <v>557</v>
      </c>
      <c r="BF265" s="178">
        <v>1009</v>
      </c>
      <c r="BG265" s="178">
        <v>821</v>
      </c>
      <c r="BH265" s="178">
        <v>237</v>
      </c>
      <c r="BI265" s="178">
        <v>152</v>
      </c>
      <c r="BJ265" s="178">
        <v>439</v>
      </c>
      <c r="BK265" s="178">
        <v>134</v>
      </c>
      <c r="BL265" s="178">
        <v>651</v>
      </c>
      <c r="BM265" s="178">
        <v>341</v>
      </c>
      <c r="BN265" s="178">
        <v>788</v>
      </c>
      <c r="BO265" s="178">
        <v>786</v>
      </c>
      <c r="BP265" s="178">
        <v>951</v>
      </c>
      <c r="BQ265" s="179"/>
    </row>
  </sheetData>
  <phoneticPr fontId="19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3EA58-2CCE-2240-B966-E0B9909F1E04}">
  <dimension ref="A1:BP262"/>
  <sheetViews>
    <sheetView tabSelected="1" topLeftCell="A7" workbookViewId="0">
      <selection activeCell="F9" sqref="F9"/>
    </sheetView>
  </sheetViews>
  <sheetFormatPr baseColWidth="10" defaultRowHeight="13" x14ac:dyDescent="0.15"/>
  <cols>
    <col min="1" max="1" width="33.5" bestFit="1" customWidth="1"/>
    <col min="2" max="2" width="15" bestFit="1" customWidth="1"/>
    <col min="3" max="3" width="15.1640625" bestFit="1" customWidth="1"/>
    <col min="4" max="4" width="6.5" bestFit="1" customWidth="1"/>
    <col min="5" max="5" width="5.83203125" bestFit="1" customWidth="1"/>
    <col min="6" max="6" width="4.1640625" bestFit="1" customWidth="1"/>
    <col min="7" max="7" width="4.5" bestFit="1" customWidth="1"/>
    <col min="8" max="8" width="4.1640625" bestFit="1" customWidth="1"/>
  </cols>
  <sheetData>
    <row r="1" spans="1:68" ht="14" x14ac:dyDescent="0.15">
      <c r="A1" s="36" t="s">
        <v>68</v>
      </c>
      <c r="B1" s="36" t="s">
        <v>69</v>
      </c>
      <c r="C1" s="36" t="s">
        <v>888</v>
      </c>
      <c r="D1" s="47" t="s">
        <v>889</v>
      </c>
      <c r="E1" s="47" t="s">
        <v>890</v>
      </c>
      <c r="F1" s="36" t="s">
        <v>885</v>
      </c>
      <c r="G1" s="295" t="s">
        <v>886</v>
      </c>
      <c r="H1" s="300" t="s">
        <v>887</v>
      </c>
      <c r="I1" s="39" t="s">
        <v>5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19" t="s">
        <v>14</v>
      </c>
      <c r="S1" s="19" t="s">
        <v>15</v>
      </c>
      <c r="T1" s="19" t="s">
        <v>16</v>
      </c>
      <c r="U1" s="19" t="s">
        <v>17</v>
      </c>
      <c r="V1" s="19" t="s">
        <v>18</v>
      </c>
      <c r="W1" s="19" t="s">
        <v>19</v>
      </c>
      <c r="X1" s="19" t="s">
        <v>20</v>
      </c>
      <c r="Y1" s="19" t="s">
        <v>21</v>
      </c>
      <c r="Z1" s="19" t="s">
        <v>22</v>
      </c>
      <c r="AA1" s="19" t="s">
        <v>23</v>
      </c>
      <c r="AB1" s="19" t="s">
        <v>24</v>
      </c>
      <c r="AC1" s="19" t="s">
        <v>25</v>
      </c>
      <c r="AD1" s="19" t="s">
        <v>26</v>
      </c>
      <c r="AE1" s="19" t="s">
        <v>27</v>
      </c>
      <c r="AF1" s="19" t="s">
        <v>28</v>
      </c>
      <c r="AG1" s="19" t="s">
        <v>29</v>
      </c>
      <c r="AH1" s="19" t="s">
        <v>30</v>
      </c>
      <c r="AI1" s="19" t="s">
        <v>31</v>
      </c>
      <c r="AJ1" s="19" t="s">
        <v>32</v>
      </c>
      <c r="AK1" s="19" t="s">
        <v>33</v>
      </c>
      <c r="AL1" s="19" t="s">
        <v>34</v>
      </c>
      <c r="AM1" s="19" t="s">
        <v>35</v>
      </c>
      <c r="AN1" s="19" t="s">
        <v>36</v>
      </c>
      <c r="AO1" s="19" t="s">
        <v>37</v>
      </c>
      <c r="AP1" s="19" t="s">
        <v>38</v>
      </c>
      <c r="AQ1" s="19" t="s">
        <v>39</v>
      </c>
      <c r="AR1" s="19" t="s">
        <v>40</v>
      </c>
      <c r="AS1" s="19" t="s">
        <v>41</v>
      </c>
      <c r="AT1" s="19" t="s">
        <v>42</v>
      </c>
      <c r="AU1" s="19" t="s">
        <v>43</v>
      </c>
      <c r="AV1" s="19" t="s">
        <v>44</v>
      </c>
      <c r="AW1" s="19" t="s">
        <v>45</v>
      </c>
      <c r="AX1" s="19" t="s">
        <v>46</v>
      </c>
      <c r="AY1" s="19" t="s">
        <v>47</v>
      </c>
      <c r="AZ1" s="19" t="s">
        <v>48</v>
      </c>
      <c r="BA1" s="19" t="s">
        <v>49</v>
      </c>
      <c r="BB1" s="19" t="s">
        <v>50</v>
      </c>
      <c r="BC1" s="19" t="s">
        <v>51</v>
      </c>
      <c r="BD1" s="19" t="s">
        <v>52</v>
      </c>
      <c r="BE1" s="19" t="s">
        <v>53</v>
      </c>
      <c r="BF1" s="19" t="s">
        <v>54</v>
      </c>
      <c r="BG1" s="19" t="s">
        <v>55</v>
      </c>
      <c r="BH1" s="19" t="s">
        <v>56</v>
      </c>
      <c r="BI1" s="19" t="s">
        <v>57</v>
      </c>
      <c r="BJ1" s="19" t="s">
        <v>58</v>
      </c>
      <c r="BK1" s="19" t="s">
        <v>59</v>
      </c>
      <c r="BL1" s="19" t="s">
        <v>60</v>
      </c>
      <c r="BM1" s="19" t="s">
        <v>61</v>
      </c>
      <c r="BN1" s="19" t="s">
        <v>62</v>
      </c>
      <c r="BO1" s="19" t="s">
        <v>63</v>
      </c>
      <c r="BP1" s="19" t="s">
        <v>64</v>
      </c>
    </row>
    <row r="2" spans="1:68" ht="15" x14ac:dyDescent="0.15">
      <c r="A2" s="273" t="s">
        <v>81</v>
      </c>
      <c r="B2" s="274" t="s">
        <v>82</v>
      </c>
      <c r="C2" s="274" t="s">
        <v>83</v>
      </c>
      <c r="D2" s="274" t="s">
        <v>84</v>
      </c>
      <c r="E2" s="274" t="s">
        <v>86</v>
      </c>
      <c r="F2" s="275">
        <v>24</v>
      </c>
      <c r="G2" s="296">
        <v>24</v>
      </c>
      <c r="H2" s="294"/>
      <c r="I2" s="56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AA2" s="57">
        <v>5</v>
      </c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>
        <v>50</v>
      </c>
      <c r="BH2" s="57">
        <v>5</v>
      </c>
      <c r="BI2" s="57">
        <v>5</v>
      </c>
      <c r="BJ2" s="57"/>
      <c r="BK2" s="57"/>
      <c r="BL2" s="46">
        <v>45</v>
      </c>
      <c r="BM2" s="46">
        <v>5</v>
      </c>
      <c r="BN2" s="46">
        <v>40</v>
      </c>
      <c r="BO2" s="46">
        <v>20</v>
      </c>
      <c r="BP2" s="46">
        <v>20</v>
      </c>
    </row>
    <row r="3" spans="1:68" ht="15" x14ac:dyDescent="0.15">
      <c r="A3" s="273" t="s">
        <v>87</v>
      </c>
      <c r="B3" s="274" t="s">
        <v>82</v>
      </c>
      <c r="C3" s="274" t="s">
        <v>88</v>
      </c>
      <c r="D3" s="274" t="s">
        <v>89</v>
      </c>
      <c r="E3" s="274" t="s">
        <v>91</v>
      </c>
      <c r="F3" s="275">
        <v>16</v>
      </c>
      <c r="G3" s="296">
        <v>16</v>
      </c>
      <c r="H3" s="294"/>
      <c r="I3" s="56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>
        <v>1</v>
      </c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>
        <f>12+6</f>
        <v>18</v>
      </c>
      <c r="BH3" s="57"/>
      <c r="BI3" s="57"/>
      <c r="BJ3" s="57"/>
      <c r="BK3" s="57"/>
      <c r="BL3" s="57"/>
      <c r="BM3" s="57"/>
      <c r="BN3" s="57">
        <v>4</v>
      </c>
      <c r="BO3" s="57">
        <v>4</v>
      </c>
      <c r="BP3" s="57">
        <f>3+2</f>
        <v>5</v>
      </c>
    </row>
    <row r="4" spans="1:68" ht="15" x14ac:dyDescent="0.15">
      <c r="A4" s="273" t="s">
        <v>92</v>
      </c>
      <c r="B4" s="274" t="s">
        <v>82</v>
      </c>
      <c r="C4" s="274" t="s">
        <v>88</v>
      </c>
      <c r="D4" s="274" t="s">
        <v>93</v>
      </c>
      <c r="E4" s="274" t="s">
        <v>91</v>
      </c>
      <c r="F4" s="275">
        <v>24</v>
      </c>
      <c r="G4" s="296">
        <v>24</v>
      </c>
      <c r="H4" s="294"/>
      <c r="I4" s="56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>
        <v>2</v>
      </c>
      <c r="BC4" s="57"/>
      <c r="BD4" s="57"/>
      <c r="BE4" s="57"/>
      <c r="BF4" s="57"/>
      <c r="BG4" s="57">
        <f>2+4</f>
        <v>6</v>
      </c>
      <c r="BH4" s="57"/>
      <c r="BI4" s="57"/>
      <c r="BJ4" s="57"/>
      <c r="BK4" s="57"/>
      <c r="BL4" s="57">
        <v>3</v>
      </c>
      <c r="BM4" s="57"/>
      <c r="BN4" s="57">
        <v>4</v>
      </c>
      <c r="BO4" s="57"/>
      <c r="BP4" s="57"/>
    </row>
    <row r="5" spans="1:68" ht="15" x14ac:dyDescent="0.15">
      <c r="A5" s="273" t="s">
        <v>94</v>
      </c>
      <c r="B5" s="274" t="s">
        <v>82</v>
      </c>
      <c r="C5" s="274" t="s">
        <v>88</v>
      </c>
      <c r="D5" s="274" t="s">
        <v>95</v>
      </c>
      <c r="E5" s="274" t="s">
        <v>91</v>
      </c>
      <c r="F5" s="275">
        <v>32</v>
      </c>
      <c r="G5" s="296">
        <v>32</v>
      </c>
      <c r="H5" s="294"/>
      <c r="I5" s="56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>
        <v>1</v>
      </c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>
        <v>1</v>
      </c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>
        <v>13</v>
      </c>
      <c r="BM5" s="57"/>
      <c r="BN5" s="57">
        <v>2</v>
      </c>
      <c r="BO5" s="57"/>
      <c r="BP5" s="57"/>
    </row>
    <row r="6" spans="1:68" ht="15" x14ac:dyDescent="0.15">
      <c r="A6" s="273" t="s">
        <v>96</v>
      </c>
      <c r="B6" s="274" t="s">
        <v>82</v>
      </c>
      <c r="C6" s="274" t="s">
        <v>88</v>
      </c>
      <c r="D6" s="274" t="s">
        <v>97</v>
      </c>
      <c r="E6" s="274" t="s">
        <v>91</v>
      </c>
      <c r="F6" s="275">
        <v>32</v>
      </c>
      <c r="G6" s="296">
        <v>104</v>
      </c>
      <c r="H6" s="294"/>
      <c r="I6" s="56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>
        <v>1</v>
      </c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>
        <v>2</v>
      </c>
    </row>
    <row r="7" spans="1:68" ht="15" x14ac:dyDescent="0.15">
      <c r="A7" s="273" t="s">
        <v>98</v>
      </c>
      <c r="B7" s="274" t="s">
        <v>82</v>
      </c>
      <c r="C7" s="274" t="s">
        <v>88</v>
      </c>
      <c r="D7" s="274" t="s">
        <v>99</v>
      </c>
      <c r="E7" s="274" t="s">
        <v>91</v>
      </c>
      <c r="F7" s="275">
        <v>40</v>
      </c>
      <c r="G7" s="296">
        <v>40</v>
      </c>
      <c r="H7" s="294"/>
      <c r="I7" s="56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>
        <v>1</v>
      </c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>
        <v>1</v>
      </c>
      <c r="BP7" s="57"/>
    </row>
    <row r="8" spans="1:68" ht="15" x14ac:dyDescent="0.15">
      <c r="A8" s="273" t="s">
        <v>100</v>
      </c>
      <c r="B8" s="274" t="s">
        <v>82</v>
      </c>
      <c r="C8" s="274" t="s">
        <v>88</v>
      </c>
      <c r="D8" s="274" t="s">
        <v>101</v>
      </c>
      <c r="E8" s="274" t="s">
        <v>91</v>
      </c>
      <c r="F8" s="275">
        <v>64</v>
      </c>
      <c r="G8" s="296">
        <v>64</v>
      </c>
      <c r="H8" s="294"/>
      <c r="I8" s="56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>
        <v>1</v>
      </c>
      <c r="BO8" s="57"/>
      <c r="BP8" s="57"/>
    </row>
    <row r="9" spans="1:68" ht="15" x14ac:dyDescent="0.15">
      <c r="A9" s="273" t="s">
        <v>102</v>
      </c>
      <c r="B9" s="274" t="s">
        <v>82</v>
      </c>
      <c r="C9" s="274" t="s">
        <v>103</v>
      </c>
      <c r="D9" s="274" t="s">
        <v>104</v>
      </c>
      <c r="E9" s="274" t="s">
        <v>91</v>
      </c>
      <c r="F9" s="275">
        <v>16</v>
      </c>
      <c r="G9" s="296">
        <v>16</v>
      </c>
      <c r="H9" s="294"/>
      <c r="I9" s="56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>
        <v>1</v>
      </c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>
        <f>1+7+2+27</f>
        <v>37</v>
      </c>
      <c r="BH9" s="57"/>
      <c r="BI9" s="57"/>
      <c r="BJ9" s="57"/>
      <c r="BK9" s="57"/>
      <c r="BL9" s="57"/>
      <c r="BM9" s="57"/>
      <c r="BN9" s="57"/>
      <c r="BO9" s="57"/>
      <c r="BP9" s="57"/>
    </row>
    <row r="10" spans="1:68" ht="15" x14ac:dyDescent="0.15">
      <c r="A10" s="273" t="s">
        <v>105</v>
      </c>
      <c r="B10" s="274" t="s">
        <v>82</v>
      </c>
      <c r="C10" s="274" t="s">
        <v>106</v>
      </c>
      <c r="D10" s="274" t="s">
        <v>107</v>
      </c>
      <c r="E10" s="274" t="s">
        <v>109</v>
      </c>
      <c r="F10" s="275">
        <v>16</v>
      </c>
      <c r="G10" s="296">
        <v>16</v>
      </c>
      <c r="H10" s="294">
        <v>16</v>
      </c>
      <c r="I10" s="56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>
        <v>1</v>
      </c>
      <c r="BH10" s="57">
        <v>6</v>
      </c>
      <c r="BI10" s="57"/>
      <c r="BJ10" s="57"/>
      <c r="BK10" s="57"/>
      <c r="BL10" s="57">
        <v>1</v>
      </c>
      <c r="BM10" s="57"/>
      <c r="BN10" s="57"/>
      <c r="BO10" s="57"/>
      <c r="BP10" s="57"/>
    </row>
    <row r="11" spans="1:68" ht="15" x14ac:dyDescent="0.15">
      <c r="A11" s="273" t="s">
        <v>110</v>
      </c>
      <c r="B11" s="274" t="s">
        <v>82</v>
      </c>
      <c r="C11" s="274" t="s">
        <v>106</v>
      </c>
      <c r="D11" s="274" t="s">
        <v>111</v>
      </c>
      <c r="E11" s="274" t="s">
        <v>109</v>
      </c>
      <c r="F11" s="275">
        <v>40</v>
      </c>
      <c r="G11" s="296">
        <v>40</v>
      </c>
      <c r="H11" s="294">
        <v>40</v>
      </c>
      <c r="I11" s="56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>
        <v>1</v>
      </c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>
        <v>3</v>
      </c>
      <c r="BP11" s="57"/>
    </row>
    <row r="12" spans="1:68" ht="15" x14ac:dyDescent="0.15">
      <c r="A12" s="273" t="s">
        <v>112</v>
      </c>
      <c r="B12" s="274" t="s">
        <v>82</v>
      </c>
      <c r="C12" s="274" t="s">
        <v>113</v>
      </c>
      <c r="D12" s="274" t="s">
        <v>114</v>
      </c>
      <c r="E12" s="274" t="s">
        <v>116</v>
      </c>
      <c r="F12" s="275">
        <v>12</v>
      </c>
      <c r="G12" s="296">
        <v>16</v>
      </c>
      <c r="H12" s="294"/>
      <c r="I12" s="56"/>
      <c r="J12" s="57"/>
      <c r="K12" s="57"/>
      <c r="L12" s="57"/>
      <c r="M12" s="57"/>
      <c r="N12" s="57">
        <v>1</v>
      </c>
      <c r="O12" s="57"/>
      <c r="P12" s="57"/>
      <c r="Q12" s="57"/>
      <c r="R12" s="57"/>
      <c r="S12" s="57">
        <v>1</v>
      </c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>
        <v>1</v>
      </c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>
        <v>11</v>
      </c>
      <c r="BH12" s="57"/>
      <c r="BI12" s="57"/>
      <c r="BJ12" s="57"/>
      <c r="BK12" s="57"/>
      <c r="BL12" s="57">
        <v>3</v>
      </c>
      <c r="BM12" s="57"/>
      <c r="BN12" s="57"/>
      <c r="BO12" s="57"/>
      <c r="BP12" s="57"/>
    </row>
    <row r="13" spans="1:68" ht="15" x14ac:dyDescent="0.15">
      <c r="A13" s="273" t="s">
        <v>117</v>
      </c>
      <c r="B13" s="274" t="s">
        <v>82</v>
      </c>
      <c r="C13" s="274" t="s">
        <v>113</v>
      </c>
      <c r="D13" s="274" t="s">
        <v>118</v>
      </c>
      <c r="E13" s="274" t="s">
        <v>116</v>
      </c>
      <c r="F13" s="275">
        <v>16</v>
      </c>
      <c r="G13" s="296">
        <v>24</v>
      </c>
      <c r="H13" s="294"/>
      <c r="I13" s="56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>
        <v>3</v>
      </c>
      <c r="AD13" s="57"/>
      <c r="AE13" s="57"/>
      <c r="AF13" s="57"/>
      <c r="AG13" s="57"/>
      <c r="AH13" s="57"/>
      <c r="AI13" s="57">
        <v>1</v>
      </c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>
        <v>2</v>
      </c>
      <c r="BK13" s="57"/>
      <c r="BL13" s="57"/>
      <c r="BM13" s="57"/>
      <c r="BN13" s="57">
        <f>1+2</f>
        <v>3</v>
      </c>
      <c r="BO13" s="57"/>
      <c r="BP13" s="57"/>
    </row>
    <row r="14" spans="1:68" ht="15" x14ac:dyDescent="0.15">
      <c r="A14" s="273" t="s">
        <v>119</v>
      </c>
      <c r="B14" s="274" t="s">
        <v>82</v>
      </c>
      <c r="C14" s="274" t="s">
        <v>113</v>
      </c>
      <c r="D14" s="274" t="s">
        <v>120</v>
      </c>
      <c r="E14" s="274" t="s">
        <v>116</v>
      </c>
      <c r="F14" s="275">
        <v>16</v>
      </c>
      <c r="G14" s="296">
        <v>32</v>
      </c>
      <c r="H14" s="294"/>
      <c r="I14" s="56"/>
      <c r="J14" s="57">
        <v>1</v>
      </c>
      <c r="K14" s="57"/>
      <c r="L14" s="57"/>
      <c r="M14" s="57"/>
      <c r="N14" s="57"/>
      <c r="O14" s="57"/>
      <c r="P14" s="57">
        <v>1</v>
      </c>
      <c r="Q14" s="57">
        <v>1</v>
      </c>
      <c r="R14" s="57"/>
      <c r="S14" s="57"/>
      <c r="T14" s="57">
        <v>1</v>
      </c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>
        <v>1</v>
      </c>
      <c r="BK14" s="57"/>
      <c r="BL14" s="57"/>
      <c r="BM14" s="57"/>
      <c r="BN14" s="57"/>
      <c r="BO14" s="57"/>
      <c r="BP14" s="57">
        <v>4</v>
      </c>
    </row>
    <row r="15" spans="1:68" ht="15" x14ac:dyDescent="0.15">
      <c r="A15" s="273" t="s">
        <v>121</v>
      </c>
      <c r="B15" s="274" t="s">
        <v>122</v>
      </c>
      <c r="C15" s="274" t="s">
        <v>123</v>
      </c>
      <c r="D15" s="274" t="s">
        <v>124</v>
      </c>
      <c r="E15" s="274" t="s">
        <v>902</v>
      </c>
      <c r="F15" s="275">
        <v>12</v>
      </c>
      <c r="G15" s="296">
        <v>20</v>
      </c>
      <c r="H15" s="294"/>
      <c r="I15" s="56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>
        <v>11</v>
      </c>
      <c r="BJ15" s="57"/>
      <c r="BK15" s="57"/>
      <c r="BL15" s="57"/>
      <c r="BM15" s="57"/>
      <c r="BN15" s="57"/>
      <c r="BO15" s="57"/>
      <c r="BP15" s="57"/>
    </row>
    <row r="16" spans="1:68" ht="15" x14ac:dyDescent="0.15">
      <c r="A16" s="273" t="s">
        <v>125</v>
      </c>
      <c r="B16" s="274" t="s">
        <v>122</v>
      </c>
      <c r="C16" s="274" t="s">
        <v>123</v>
      </c>
      <c r="D16" s="274" t="s">
        <v>126</v>
      </c>
      <c r="E16" s="274" t="s">
        <v>902</v>
      </c>
      <c r="F16" s="275">
        <v>16</v>
      </c>
      <c r="G16" s="296">
        <v>24</v>
      </c>
      <c r="H16" s="294"/>
      <c r="I16" s="56">
        <v>20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>
        <v>1</v>
      </c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>
        <v>13</v>
      </c>
      <c r="BI16" s="57"/>
      <c r="BJ16" s="57"/>
      <c r="BK16" s="57">
        <v>4</v>
      </c>
      <c r="BL16" s="57">
        <v>29</v>
      </c>
      <c r="BM16" s="57">
        <v>19</v>
      </c>
      <c r="BN16" s="57"/>
      <c r="BO16" s="57"/>
      <c r="BP16" s="57"/>
    </row>
    <row r="17" spans="1:68" ht="15" x14ac:dyDescent="0.15">
      <c r="A17" s="273" t="s">
        <v>127</v>
      </c>
      <c r="B17" s="274" t="s">
        <v>122</v>
      </c>
      <c r="C17" s="274" t="s">
        <v>123</v>
      </c>
      <c r="D17" s="274" t="s">
        <v>128</v>
      </c>
      <c r="E17" s="274" t="s">
        <v>902</v>
      </c>
      <c r="F17" s="275">
        <v>24</v>
      </c>
      <c r="G17" s="296">
        <v>24</v>
      </c>
      <c r="H17" s="294"/>
      <c r="I17" s="56"/>
      <c r="J17" s="57"/>
      <c r="K17" s="57"/>
      <c r="L17" s="57"/>
      <c r="M17" s="57"/>
      <c r="N17" s="57">
        <v>151</v>
      </c>
      <c r="O17" s="57">
        <v>47</v>
      </c>
      <c r="P17" s="57">
        <v>38</v>
      </c>
      <c r="Q17" s="57">
        <v>59</v>
      </c>
      <c r="R17" s="57">
        <v>36</v>
      </c>
      <c r="S17" s="57"/>
      <c r="T17" s="57">
        <v>129</v>
      </c>
      <c r="U17" s="57"/>
      <c r="V17" s="57">
        <v>169</v>
      </c>
      <c r="W17" s="57">
        <v>71</v>
      </c>
      <c r="X17" s="57">
        <v>131</v>
      </c>
      <c r="Y17" s="57">
        <v>34</v>
      </c>
      <c r="Z17" s="57">
        <v>30</v>
      </c>
      <c r="AA17" s="57">
        <v>29</v>
      </c>
      <c r="AB17" s="57">
        <v>26</v>
      </c>
      <c r="AC17" s="57"/>
      <c r="AD17" s="57">
        <v>207</v>
      </c>
      <c r="AE17" s="57">
        <v>17</v>
      </c>
      <c r="AF17" s="57">
        <v>156</v>
      </c>
      <c r="AG17" s="65">
        <v>20</v>
      </c>
      <c r="AH17" s="57">
        <v>212</v>
      </c>
      <c r="AI17" s="57">
        <v>65</v>
      </c>
      <c r="AJ17" s="57">
        <v>41</v>
      </c>
      <c r="AK17" s="57">
        <v>64</v>
      </c>
      <c r="AL17" s="57">
        <v>55</v>
      </c>
      <c r="AM17" s="57"/>
      <c r="AN17" s="57">
        <v>126</v>
      </c>
      <c r="AO17" s="57">
        <v>33</v>
      </c>
      <c r="AP17" s="57">
        <v>126</v>
      </c>
      <c r="AQ17" s="57">
        <v>16</v>
      </c>
      <c r="AR17" s="57">
        <v>99</v>
      </c>
      <c r="AS17" s="57">
        <v>27</v>
      </c>
      <c r="AT17" s="57">
        <v>27</v>
      </c>
      <c r="AU17" s="57">
        <v>26</v>
      </c>
      <c r="AV17" s="57">
        <v>10</v>
      </c>
      <c r="AW17" s="57"/>
      <c r="AX17" s="57">
        <v>116</v>
      </c>
      <c r="AY17" s="57">
        <v>22</v>
      </c>
      <c r="AZ17" s="57">
        <v>3</v>
      </c>
      <c r="BA17" s="57">
        <v>8</v>
      </c>
      <c r="BB17" s="57">
        <v>156</v>
      </c>
      <c r="BC17" s="57">
        <v>47</v>
      </c>
      <c r="BD17" s="57">
        <v>77</v>
      </c>
      <c r="BE17" s="57">
        <v>70</v>
      </c>
      <c r="BF17" s="57">
        <v>114</v>
      </c>
      <c r="BG17" s="57"/>
      <c r="BH17" s="57"/>
      <c r="BI17" s="57"/>
      <c r="BJ17" s="57"/>
      <c r="BK17" s="57"/>
      <c r="BL17" s="57"/>
      <c r="BN17" s="57">
        <v>110</v>
      </c>
      <c r="BO17" s="57"/>
      <c r="BP17" s="57">
        <v>100</v>
      </c>
    </row>
    <row r="18" spans="1:68" ht="15" x14ac:dyDescent="0.15">
      <c r="A18" s="273" t="s">
        <v>129</v>
      </c>
      <c r="B18" s="274" t="s">
        <v>122</v>
      </c>
      <c r="C18" s="274" t="s">
        <v>123</v>
      </c>
      <c r="D18" s="274" t="s">
        <v>130</v>
      </c>
      <c r="E18" s="274" t="s">
        <v>902</v>
      </c>
      <c r="F18" s="275">
        <v>24</v>
      </c>
      <c r="G18" s="296">
        <v>40</v>
      </c>
      <c r="H18" s="294"/>
      <c r="I18" s="56"/>
      <c r="J18" s="57"/>
      <c r="K18" s="57"/>
      <c r="L18" s="57"/>
      <c r="M18" s="57"/>
      <c r="N18" s="57">
        <v>1</v>
      </c>
      <c r="O18" s="57"/>
      <c r="P18" s="57">
        <v>4</v>
      </c>
      <c r="Q18" s="57"/>
      <c r="R18" s="57"/>
      <c r="S18" s="57">
        <v>4</v>
      </c>
      <c r="T18" s="57"/>
      <c r="U18" s="57"/>
      <c r="V18" s="57"/>
      <c r="W18" s="57"/>
      <c r="X18" s="57">
        <v>131</v>
      </c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>
        <v>7</v>
      </c>
      <c r="AO18" s="57">
        <v>1</v>
      </c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</row>
    <row r="19" spans="1:68" ht="15" x14ac:dyDescent="0.15">
      <c r="A19" s="273" t="s">
        <v>131</v>
      </c>
      <c r="B19" s="274" t="s">
        <v>122</v>
      </c>
      <c r="C19" s="274" t="s">
        <v>123</v>
      </c>
      <c r="D19" s="274" t="s">
        <v>132</v>
      </c>
      <c r="E19" s="274" t="s">
        <v>902</v>
      </c>
      <c r="F19" s="275">
        <v>32</v>
      </c>
      <c r="G19" s="296">
        <v>36</v>
      </c>
      <c r="H19" s="294"/>
      <c r="I19" s="56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>
        <v>2</v>
      </c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>
        <v>2</v>
      </c>
      <c r="AQ19" s="57"/>
      <c r="AR19" s="57"/>
      <c r="AS19" s="57"/>
      <c r="AT19" s="57"/>
      <c r="AU19" s="57"/>
      <c r="AV19" s="57"/>
      <c r="AW19" s="57">
        <v>2</v>
      </c>
      <c r="AX19" s="57"/>
      <c r="AY19" s="57"/>
      <c r="AZ19" s="57">
        <v>5</v>
      </c>
      <c r="BA19" s="57"/>
      <c r="BB19" s="57"/>
      <c r="BC19" s="57"/>
      <c r="BD19" s="57"/>
      <c r="BE19" s="57"/>
      <c r="BF19" s="57">
        <v>3</v>
      </c>
      <c r="BG19" s="57"/>
      <c r="BH19" s="57"/>
      <c r="BI19" s="57">
        <v>4</v>
      </c>
      <c r="BJ19" s="57"/>
      <c r="BK19" s="57"/>
      <c r="BL19" s="57"/>
      <c r="BM19" s="57"/>
      <c r="BN19" s="57"/>
      <c r="BO19" s="57"/>
      <c r="BP19" s="57"/>
    </row>
    <row r="20" spans="1:68" ht="15" x14ac:dyDescent="0.15">
      <c r="A20" s="273" t="s">
        <v>133</v>
      </c>
      <c r="B20" s="274" t="s">
        <v>122</v>
      </c>
      <c r="C20" s="274" t="s">
        <v>123</v>
      </c>
      <c r="D20" s="274" t="s">
        <v>134</v>
      </c>
      <c r="E20" s="274" t="s">
        <v>902</v>
      </c>
      <c r="F20" s="275">
        <v>32</v>
      </c>
      <c r="G20" s="296">
        <v>56</v>
      </c>
      <c r="H20" s="294"/>
      <c r="I20" s="56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>
        <v>1</v>
      </c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>
        <v>1</v>
      </c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>
        <v>1</v>
      </c>
      <c r="BK20" s="57"/>
      <c r="BL20" s="57"/>
      <c r="BM20" s="57"/>
      <c r="BN20" s="57"/>
      <c r="BO20" s="57"/>
      <c r="BP20" s="57"/>
    </row>
    <row r="21" spans="1:68" ht="15" x14ac:dyDescent="0.15">
      <c r="A21" s="273" t="s">
        <v>135</v>
      </c>
      <c r="B21" s="274" t="s">
        <v>122</v>
      </c>
      <c r="C21" s="274" t="s">
        <v>123</v>
      </c>
      <c r="D21" s="274" t="s">
        <v>136</v>
      </c>
      <c r="E21" s="274" t="s">
        <v>902</v>
      </c>
      <c r="F21" s="275">
        <v>40</v>
      </c>
      <c r="G21" s="296">
        <v>48</v>
      </c>
      <c r="H21" s="294"/>
      <c r="I21" s="56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>
        <v>1</v>
      </c>
      <c r="AG21" s="57"/>
      <c r="AH21" s="57">
        <v>4</v>
      </c>
      <c r="AI21" s="57"/>
      <c r="AJ21" s="57"/>
      <c r="AK21" s="57"/>
      <c r="AL21" s="57"/>
      <c r="AM21" s="57">
        <v>1</v>
      </c>
      <c r="AN21" s="57"/>
      <c r="AO21" s="57"/>
      <c r="AP21" s="57"/>
      <c r="AQ21" s="57"/>
      <c r="AR21" s="57"/>
      <c r="AS21" s="57">
        <v>1</v>
      </c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>
        <v>1</v>
      </c>
      <c r="BI21" s="57"/>
      <c r="BJ21" s="57"/>
      <c r="BK21" s="57"/>
      <c r="BL21" s="57">
        <v>1</v>
      </c>
      <c r="BM21" s="57">
        <v>3</v>
      </c>
      <c r="BN21" s="57"/>
      <c r="BO21" s="57"/>
      <c r="BP21" s="57"/>
    </row>
    <row r="22" spans="1:68" ht="15" x14ac:dyDescent="0.15">
      <c r="A22" s="273" t="s">
        <v>137</v>
      </c>
      <c r="B22" s="274" t="s">
        <v>122</v>
      </c>
      <c r="C22" s="274" t="s">
        <v>138</v>
      </c>
      <c r="D22" s="274" t="s">
        <v>139</v>
      </c>
      <c r="E22" s="274" t="s">
        <v>116</v>
      </c>
      <c r="F22" s="275">
        <v>8</v>
      </c>
      <c r="G22" s="296">
        <v>20</v>
      </c>
      <c r="H22" s="294"/>
      <c r="I22" s="56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>
        <v>6</v>
      </c>
      <c r="AS22" s="57">
        <v>1</v>
      </c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</row>
    <row r="23" spans="1:68" ht="15" x14ac:dyDescent="0.15">
      <c r="A23" s="273" t="s">
        <v>140</v>
      </c>
      <c r="B23" s="274" t="s">
        <v>122</v>
      </c>
      <c r="C23" s="274" t="s">
        <v>138</v>
      </c>
      <c r="D23" s="274" t="s">
        <v>141</v>
      </c>
      <c r="E23" s="274" t="s">
        <v>116</v>
      </c>
      <c r="F23" s="275">
        <v>8</v>
      </c>
      <c r="G23" s="296">
        <v>40</v>
      </c>
      <c r="H23" s="294"/>
      <c r="I23" s="56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>
        <v>1</v>
      </c>
      <c r="AU23" s="57">
        <v>2</v>
      </c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>
        <v>1</v>
      </c>
      <c r="BH23" s="57"/>
      <c r="BI23" s="57"/>
      <c r="BJ23" s="57"/>
      <c r="BK23" s="57"/>
      <c r="BL23" s="57"/>
      <c r="BM23" s="57"/>
      <c r="BN23" s="57"/>
      <c r="BO23" s="57"/>
      <c r="BP23" s="57"/>
    </row>
    <row r="24" spans="1:68" ht="15" x14ac:dyDescent="0.15">
      <c r="A24" s="273" t="s">
        <v>142</v>
      </c>
      <c r="B24" s="274" t="s">
        <v>122</v>
      </c>
      <c r="C24" s="274" t="s">
        <v>138</v>
      </c>
      <c r="D24" s="274" t="s">
        <v>143</v>
      </c>
      <c r="E24" s="274" t="s">
        <v>116</v>
      </c>
      <c r="F24" s="275">
        <v>8</v>
      </c>
      <c r="G24" s="296">
        <v>72</v>
      </c>
      <c r="H24" s="294"/>
      <c r="I24" s="56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>
        <v>2</v>
      </c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</row>
    <row r="25" spans="1:68" ht="15" x14ac:dyDescent="0.15">
      <c r="A25" s="273" t="s">
        <v>144</v>
      </c>
      <c r="B25" s="274" t="s">
        <v>122</v>
      </c>
      <c r="C25" s="274" t="s">
        <v>138</v>
      </c>
      <c r="D25" s="274" t="s">
        <v>145</v>
      </c>
      <c r="E25" s="274" t="s">
        <v>116</v>
      </c>
      <c r="F25" s="275">
        <v>12</v>
      </c>
      <c r="G25" s="296">
        <v>32</v>
      </c>
      <c r="H25" s="294"/>
      <c r="I25" s="56"/>
      <c r="J25" s="57"/>
      <c r="K25" s="57"/>
      <c r="L25" s="57"/>
      <c r="M25" s="57"/>
      <c r="N25" s="57"/>
      <c r="O25" s="57"/>
      <c r="P25" s="57">
        <v>1</v>
      </c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>
        <v>1</v>
      </c>
      <c r="AR25" s="57">
        <v>3</v>
      </c>
      <c r="AS25" s="57">
        <v>1</v>
      </c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</row>
    <row r="26" spans="1:68" ht="15" x14ac:dyDescent="0.15">
      <c r="A26" s="273" t="s">
        <v>146</v>
      </c>
      <c r="B26" s="274" t="s">
        <v>122</v>
      </c>
      <c r="C26" s="274" t="s">
        <v>138</v>
      </c>
      <c r="D26" s="274" t="s">
        <v>147</v>
      </c>
      <c r="E26" s="274" t="s">
        <v>116</v>
      </c>
      <c r="F26" s="275">
        <v>12</v>
      </c>
      <c r="G26" s="296">
        <v>56</v>
      </c>
      <c r="H26" s="294"/>
      <c r="I26" s="56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>
        <v>1</v>
      </c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</row>
    <row r="27" spans="1:68" ht="15" x14ac:dyDescent="0.15">
      <c r="A27" s="276" t="s">
        <v>148</v>
      </c>
      <c r="B27" s="274" t="s">
        <v>122</v>
      </c>
      <c r="C27" s="274" t="s">
        <v>138</v>
      </c>
      <c r="D27" s="276" t="s">
        <v>149</v>
      </c>
      <c r="E27" s="274" t="s">
        <v>116</v>
      </c>
      <c r="F27" s="275">
        <v>16</v>
      </c>
      <c r="G27" s="296">
        <v>24</v>
      </c>
      <c r="H27" s="294"/>
      <c r="I27" s="56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>
        <v>1</v>
      </c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>
        <v>11</v>
      </c>
      <c r="BH27" s="57">
        <f>2</f>
        <v>2</v>
      </c>
      <c r="BI27" s="57"/>
      <c r="BJ27" s="57"/>
      <c r="BK27" s="57">
        <v>1</v>
      </c>
      <c r="BL27" s="57">
        <v>4</v>
      </c>
      <c r="BM27" s="57"/>
      <c r="BN27" s="57"/>
      <c r="BO27" s="57"/>
      <c r="BP27" s="57"/>
    </row>
    <row r="28" spans="1:68" ht="15" x14ac:dyDescent="0.15">
      <c r="A28" s="273" t="s">
        <v>150</v>
      </c>
      <c r="B28" s="274" t="s">
        <v>122</v>
      </c>
      <c r="C28" s="274" t="s">
        <v>138</v>
      </c>
      <c r="D28" s="274" t="s">
        <v>151</v>
      </c>
      <c r="E28" s="274" t="s">
        <v>116</v>
      </c>
      <c r="F28" s="275">
        <v>16</v>
      </c>
      <c r="G28" s="296">
        <v>32</v>
      </c>
      <c r="H28" s="294"/>
      <c r="I28" s="56"/>
      <c r="J28" s="57"/>
      <c r="K28" s="57"/>
      <c r="L28" s="57"/>
      <c r="M28" s="57"/>
      <c r="N28" s="57"/>
      <c r="O28" s="57"/>
      <c r="P28" s="57"/>
      <c r="Q28" s="57"/>
      <c r="R28" s="57"/>
      <c r="S28" s="57">
        <v>1</v>
      </c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>
        <f>1+3</f>
        <v>4</v>
      </c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</row>
    <row r="29" spans="1:68" ht="15" x14ac:dyDescent="0.15">
      <c r="A29" s="273" t="s">
        <v>152</v>
      </c>
      <c r="B29" s="274" t="s">
        <v>122</v>
      </c>
      <c r="C29" s="274" t="s">
        <v>138</v>
      </c>
      <c r="D29" s="274" t="s">
        <v>153</v>
      </c>
      <c r="E29" s="274" t="s">
        <v>116</v>
      </c>
      <c r="F29" s="275">
        <v>16</v>
      </c>
      <c r="G29" s="296">
        <v>48</v>
      </c>
      <c r="H29" s="294"/>
      <c r="I29" s="56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>
        <v>1</v>
      </c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>
        <v>4</v>
      </c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>
        <v>1</v>
      </c>
      <c r="BO29" s="57"/>
      <c r="BP29" s="57"/>
    </row>
    <row r="30" spans="1:68" ht="15" x14ac:dyDescent="0.15">
      <c r="A30" s="273" t="s">
        <v>154</v>
      </c>
      <c r="B30" s="274" t="s">
        <v>122</v>
      </c>
      <c r="C30" s="274" t="s">
        <v>138</v>
      </c>
      <c r="D30" s="274" t="s">
        <v>155</v>
      </c>
      <c r="E30" s="274" t="s">
        <v>116</v>
      </c>
      <c r="F30" s="275">
        <v>20</v>
      </c>
      <c r="G30" s="296">
        <v>64</v>
      </c>
      <c r="H30" s="294"/>
      <c r="I30" s="56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>
        <v>1</v>
      </c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>
        <v>1</v>
      </c>
      <c r="BM30" s="57"/>
      <c r="BN30" s="57">
        <v>1</v>
      </c>
      <c r="BO30" s="57"/>
      <c r="BP30" s="57"/>
    </row>
    <row r="31" spans="1:68" ht="15" x14ac:dyDescent="0.15">
      <c r="A31" s="273" t="s">
        <v>156</v>
      </c>
      <c r="B31" s="274" t="s">
        <v>122</v>
      </c>
      <c r="C31" s="274" t="s">
        <v>138</v>
      </c>
      <c r="D31" s="274" t="s">
        <v>157</v>
      </c>
      <c r="E31" s="274" t="s">
        <v>116</v>
      </c>
      <c r="F31" s="275">
        <v>40</v>
      </c>
      <c r="G31" s="296">
        <v>56</v>
      </c>
      <c r="H31" s="294"/>
      <c r="I31" s="56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>
        <v>1</v>
      </c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>
        <v>2</v>
      </c>
      <c r="BK31" s="57"/>
      <c r="BL31" s="57"/>
      <c r="BM31" s="57"/>
      <c r="BN31" s="57"/>
      <c r="BO31" s="57"/>
      <c r="BP31" s="57"/>
    </row>
    <row r="32" spans="1:68" ht="15" x14ac:dyDescent="0.15">
      <c r="A32" s="273" t="s">
        <v>158</v>
      </c>
      <c r="B32" s="274" t="s">
        <v>122</v>
      </c>
      <c r="C32" s="274" t="s">
        <v>138</v>
      </c>
      <c r="D32" s="274" t="s">
        <v>159</v>
      </c>
      <c r="E32" s="274" t="s">
        <v>116</v>
      </c>
      <c r="F32" s="275">
        <v>40</v>
      </c>
      <c r="G32" s="296">
        <v>72</v>
      </c>
      <c r="H32" s="294"/>
      <c r="I32" s="56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>
        <v>1</v>
      </c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>
        <v>1</v>
      </c>
      <c r="BM32" s="57"/>
      <c r="BN32" s="57"/>
      <c r="BO32" s="57"/>
      <c r="BP32" s="57"/>
    </row>
    <row r="33" spans="1:68" ht="15" x14ac:dyDescent="0.15">
      <c r="A33" s="273" t="s">
        <v>160</v>
      </c>
      <c r="B33" s="274" t="s">
        <v>122</v>
      </c>
      <c r="C33" s="274" t="s">
        <v>138</v>
      </c>
      <c r="D33" s="274" t="s">
        <v>161</v>
      </c>
      <c r="E33" s="274" t="s">
        <v>116</v>
      </c>
      <c r="F33" s="275">
        <v>72</v>
      </c>
      <c r="G33" s="296">
        <v>80</v>
      </c>
      <c r="H33" s="294"/>
      <c r="I33" s="56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>
        <v>1</v>
      </c>
      <c r="BP33" s="57"/>
    </row>
    <row r="34" spans="1:68" ht="15" x14ac:dyDescent="0.15">
      <c r="A34" s="273" t="s">
        <v>162</v>
      </c>
      <c r="B34" s="274" t="s">
        <v>122</v>
      </c>
      <c r="C34" s="274" t="s">
        <v>138</v>
      </c>
      <c r="D34" s="274" t="s">
        <v>163</v>
      </c>
      <c r="E34" s="274" t="s">
        <v>116</v>
      </c>
      <c r="F34" s="275">
        <v>80</v>
      </c>
      <c r="G34" s="296">
        <v>120</v>
      </c>
      <c r="H34" s="294"/>
      <c r="I34" s="56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>
        <v>1</v>
      </c>
      <c r="BO34" s="57"/>
      <c r="BP34" s="57"/>
    </row>
    <row r="35" spans="1:68" ht="15" x14ac:dyDescent="0.15">
      <c r="A35" s="273" t="s">
        <v>164</v>
      </c>
      <c r="B35" s="274" t="s">
        <v>122</v>
      </c>
      <c r="C35" s="274" t="s">
        <v>103</v>
      </c>
      <c r="D35" s="274" t="s">
        <v>165</v>
      </c>
      <c r="E35" s="274" t="s">
        <v>116</v>
      </c>
      <c r="F35" s="275">
        <v>16</v>
      </c>
      <c r="G35" s="296">
        <v>24</v>
      </c>
      <c r="H35" s="294"/>
      <c r="I35" s="56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>
        <v>2</v>
      </c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</row>
    <row r="36" spans="1:68" ht="15" x14ac:dyDescent="0.15">
      <c r="A36" s="273" t="s">
        <v>166</v>
      </c>
      <c r="B36" s="274" t="s">
        <v>122</v>
      </c>
      <c r="C36" s="274" t="s">
        <v>103</v>
      </c>
      <c r="D36" s="274" t="s">
        <v>167</v>
      </c>
      <c r="E36" s="274" t="s">
        <v>116</v>
      </c>
      <c r="F36" s="275">
        <v>19.2</v>
      </c>
      <c r="G36" s="296">
        <v>32</v>
      </c>
      <c r="H36" s="294"/>
      <c r="I36" s="56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>
        <v>2</v>
      </c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</row>
    <row r="37" spans="1:68" ht="15" x14ac:dyDescent="0.15">
      <c r="A37" s="273" t="s">
        <v>168</v>
      </c>
      <c r="B37" s="274" t="s">
        <v>122</v>
      </c>
      <c r="C37" s="274" t="s">
        <v>103</v>
      </c>
      <c r="D37" s="274" t="s">
        <v>169</v>
      </c>
      <c r="E37" s="274" t="s">
        <v>116</v>
      </c>
      <c r="F37" s="275">
        <v>32</v>
      </c>
      <c r="G37" s="296">
        <v>40</v>
      </c>
      <c r="H37" s="294"/>
      <c r="I37" s="56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>
        <v>1</v>
      </c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</row>
    <row r="38" spans="1:68" ht="15" x14ac:dyDescent="0.15">
      <c r="A38" s="273" t="s">
        <v>170</v>
      </c>
      <c r="B38" s="274" t="s">
        <v>122</v>
      </c>
      <c r="C38" s="274" t="s">
        <v>171</v>
      </c>
      <c r="D38" s="274" t="s">
        <v>172</v>
      </c>
      <c r="E38" s="274" t="s">
        <v>116</v>
      </c>
      <c r="F38" s="275">
        <v>32</v>
      </c>
      <c r="G38" s="296">
        <v>136</v>
      </c>
      <c r="H38" s="294"/>
      <c r="I38" s="56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>
        <v>1</v>
      </c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>
        <v>1</v>
      </c>
      <c r="BF38" s="57"/>
      <c r="BG38" s="57"/>
      <c r="BH38" s="57"/>
      <c r="BI38" s="57"/>
      <c r="BJ38" s="57"/>
      <c r="BK38" s="57"/>
      <c r="BL38" s="57">
        <v>1</v>
      </c>
      <c r="BM38" s="57"/>
      <c r="BN38" s="57"/>
      <c r="BO38" s="57"/>
      <c r="BP38" s="57"/>
    </row>
    <row r="39" spans="1:68" ht="15" x14ac:dyDescent="0.15">
      <c r="A39" s="273" t="s">
        <v>173</v>
      </c>
      <c r="B39" s="274" t="s">
        <v>122</v>
      </c>
      <c r="C39" s="274" t="s">
        <v>174</v>
      </c>
      <c r="D39" s="274" t="s">
        <v>175</v>
      </c>
      <c r="E39" s="274" t="s">
        <v>91</v>
      </c>
      <c r="F39" s="275">
        <v>36</v>
      </c>
      <c r="G39" s="296">
        <v>36</v>
      </c>
      <c r="H39" s="294"/>
      <c r="I39" s="56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>
        <v>2</v>
      </c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>
        <v>1</v>
      </c>
      <c r="AU39" s="57"/>
      <c r="AV39" s="57"/>
      <c r="AW39" s="57">
        <v>3</v>
      </c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>
        <v>1</v>
      </c>
      <c r="BM39" s="57"/>
      <c r="BN39" s="57"/>
      <c r="BO39" s="57"/>
      <c r="BP39" s="57"/>
    </row>
    <row r="40" spans="1:68" ht="15" x14ac:dyDescent="0.15">
      <c r="A40" s="273" t="s">
        <v>176</v>
      </c>
      <c r="B40" s="274" t="s">
        <v>122</v>
      </c>
      <c r="C40" s="274" t="s">
        <v>174</v>
      </c>
      <c r="D40" s="274" t="s">
        <v>177</v>
      </c>
      <c r="E40" s="274" t="s">
        <v>91</v>
      </c>
      <c r="F40" s="275">
        <v>40</v>
      </c>
      <c r="G40" s="296">
        <v>40</v>
      </c>
      <c r="H40" s="294"/>
      <c r="I40" s="56"/>
      <c r="K40" s="57">
        <v>1</v>
      </c>
      <c r="L40" s="57">
        <v>3</v>
      </c>
      <c r="M40" s="57"/>
      <c r="N40" s="57"/>
      <c r="O40" s="57">
        <v>1</v>
      </c>
      <c r="P40" s="57"/>
      <c r="Q40" s="57">
        <v>1</v>
      </c>
      <c r="R40" s="57">
        <v>4</v>
      </c>
      <c r="S40" s="57"/>
      <c r="T40" s="57"/>
      <c r="U40" s="57"/>
      <c r="V40" s="57">
        <v>1</v>
      </c>
      <c r="W40" s="57">
        <v>2</v>
      </c>
      <c r="X40" s="57"/>
      <c r="Y40" s="57">
        <v>4</v>
      </c>
      <c r="Z40" s="57">
        <v>1</v>
      </c>
      <c r="AA40" s="57"/>
      <c r="AB40" s="57">
        <v>3</v>
      </c>
      <c r="AC40" s="57"/>
      <c r="AD40" s="57"/>
      <c r="AE40" s="57">
        <v>4</v>
      </c>
      <c r="AF40" s="57"/>
      <c r="AG40" s="57"/>
      <c r="AH40" s="57"/>
      <c r="AI40" s="57"/>
      <c r="AJ40" s="57"/>
      <c r="AK40" s="57"/>
      <c r="AL40" s="57"/>
      <c r="AM40" s="57"/>
      <c r="AN40" s="57">
        <v>2</v>
      </c>
      <c r="AO40" s="57"/>
      <c r="AP40" s="57">
        <v>1</v>
      </c>
      <c r="AQ40" s="57"/>
      <c r="AR40" s="57"/>
      <c r="AS40" s="57">
        <v>1</v>
      </c>
      <c r="AT40" s="57"/>
      <c r="AU40" s="57">
        <v>1</v>
      </c>
      <c r="AV40" s="57">
        <v>2</v>
      </c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>
        <v>6</v>
      </c>
      <c r="BI40" s="57"/>
      <c r="BJ40" s="57"/>
      <c r="BK40" s="57">
        <f>21</f>
        <v>21</v>
      </c>
      <c r="BL40" s="57">
        <v>3</v>
      </c>
      <c r="BM40" s="57"/>
      <c r="BN40" s="57">
        <v>1</v>
      </c>
      <c r="BO40" s="57">
        <v>1</v>
      </c>
      <c r="BP40" s="57"/>
    </row>
    <row r="41" spans="1:68" ht="15" x14ac:dyDescent="0.15">
      <c r="A41" s="273" t="s">
        <v>178</v>
      </c>
      <c r="B41" s="274" t="s">
        <v>122</v>
      </c>
      <c r="C41" s="274" t="s">
        <v>174</v>
      </c>
      <c r="D41" s="274" t="s">
        <v>179</v>
      </c>
      <c r="E41" s="274" t="s">
        <v>91</v>
      </c>
      <c r="F41" s="275">
        <v>48</v>
      </c>
      <c r="G41" s="296">
        <v>48</v>
      </c>
      <c r="H41" s="294"/>
      <c r="I41" s="56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>
        <v>1</v>
      </c>
      <c r="W41" s="57"/>
      <c r="X41" s="57"/>
      <c r="Y41" s="57"/>
      <c r="Z41" s="57"/>
      <c r="AA41" s="57">
        <v>1</v>
      </c>
      <c r="AC41" s="57"/>
      <c r="AD41" s="57"/>
      <c r="AE41" s="57"/>
      <c r="AF41" s="57"/>
      <c r="AG41" s="57">
        <v>3</v>
      </c>
      <c r="AH41" s="57"/>
      <c r="AI41" s="57"/>
      <c r="AJ41" s="57"/>
      <c r="AK41" s="57"/>
      <c r="AL41" s="57"/>
      <c r="AM41" s="57">
        <v>1</v>
      </c>
      <c r="AN41" s="57">
        <v>1</v>
      </c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>
        <v>1</v>
      </c>
      <c r="BC41" s="57"/>
      <c r="BD41" s="57"/>
      <c r="BE41" s="57"/>
      <c r="BF41" s="57">
        <v>1</v>
      </c>
      <c r="BG41" s="57"/>
      <c r="BH41" s="57"/>
      <c r="BI41" s="57">
        <v>1</v>
      </c>
      <c r="BJ41" s="57"/>
      <c r="BK41" s="57"/>
      <c r="BL41" s="57"/>
      <c r="BM41" s="57"/>
      <c r="BN41" s="57"/>
      <c r="BO41" s="57"/>
      <c r="BP41" s="57">
        <v>3</v>
      </c>
    </row>
    <row r="42" spans="1:68" ht="15" x14ac:dyDescent="0.15">
      <c r="A42" s="273" t="s">
        <v>180</v>
      </c>
      <c r="B42" s="274" t="s">
        <v>122</v>
      </c>
      <c r="C42" s="274" t="s">
        <v>174</v>
      </c>
      <c r="D42" s="274" t="s">
        <v>181</v>
      </c>
      <c r="E42" s="274" t="s">
        <v>91</v>
      </c>
      <c r="F42" s="275">
        <v>56</v>
      </c>
      <c r="G42" s="296">
        <v>56</v>
      </c>
      <c r="H42" s="294"/>
      <c r="I42" s="56"/>
      <c r="J42" s="57"/>
      <c r="K42" s="57"/>
      <c r="L42" s="57"/>
      <c r="M42" s="57"/>
      <c r="N42" s="57"/>
      <c r="O42" s="57"/>
      <c r="P42" s="57"/>
      <c r="Q42" s="57"/>
      <c r="R42" s="57"/>
      <c r="S42" s="57">
        <v>3</v>
      </c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>
        <v>2</v>
      </c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57"/>
    </row>
    <row r="43" spans="1:68" ht="15" x14ac:dyDescent="0.15">
      <c r="A43" s="273" t="s">
        <v>182</v>
      </c>
      <c r="B43" s="274" t="s">
        <v>122</v>
      </c>
      <c r="C43" s="274" t="s">
        <v>174</v>
      </c>
      <c r="D43" s="274" t="s">
        <v>183</v>
      </c>
      <c r="E43" s="274" t="s">
        <v>91</v>
      </c>
      <c r="F43" s="275">
        <v>120</v>
      </c>
      <c r="G43" s="296">
        <v>120</v>
      </c>
      <c r="H43" s="294"/>
      <c r="I43" s="56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>
        <v>6</v>
      </c>
      <c r="BK43" s="57"/>
      <c r="BL43" s="57">
        <v>3</v>
      </c>
      <c r="BM43" s="57"/>
      <c r="BN43" s="57"/>
      <c r="BO43" s="57"/>
      <c r="BP43" s="57">
        <v>2</v>
      </c>
    </row>
    <row r="44" spans="1:68" ht="15" x14ac:dyDescent="0.2">
      <c r="A44" s="277" t="s">
        <v>184</v>
      </c>
      <c r="B44" s="274" t="s">
        <v>122</v>
      </c>
      <c r="C44" s="274" t="s">
        <v>174</v>
      </c>
      <c r="D44" s="278" t="s">
        <v>185</v>
      </c>
      <c r="E44" s="274" t="s">
        <v>91</v>
      </c>
      <c r="F44" s="275">
        <v>24</v>
      </c>
      <c r="G44" s="296">
        <v>24</v>
      </c>
      <c r="H44" s="294"/>
      <c r="I44" s="56">
        <v>4</v>
      </c>
      <c r="J44" s="57">
        <v>137</v>
      </c>
      <c r="K44" s="57">
        <v>22</v>
      </c>
      <c r="L44" s="57">
        <v>172</v>
      </c>
      <c r="M44" s="57">
        <v>47</v>
      </c>
      <c r="N44" s="57"/>
      <c r="O44" s="57"/>
      <c r="P44" s="57"/>
      <c r="Q44" s="57"/>
      <c r="R44" s="57"/>
      <c r="S44" s="57">
        <v>46</v>
      </c>
      <c r="T44" s="57">
        <v>8</v>
      </c>
      <c r="U44" s="57">
        <v>49</v>
      </c>
      <c r="V44" s="57"/>
      <c r="W44" s="57"/>
      <c r="X44" s="57">
        <v>7</v>
      </c>
      <c r="Y44" s="57"/>
      <c r="Z44" s="57"/>
      <c r="AA44" s="57">
        <v>7</v>
      </c>
      <c r="AB44">
        <v>8</v>
      </c>
      <c r="AC44" s="57">
        <v>12</v>
      </c>
      <c r="AD44" s="57">
        <v>13</v>
      </c>
      <c r="AE44" s="57">
        <v>3</v>
      </c>
      <c r="AF44" s="57"/>
      <c r="AG44" s="57"/>
      <c r="AH44" s="57">
        <v>5</v>
      </c>
      <c r="AI44" s="57"/>
      <c r="AJ44" s="57">
        <v>2</v>
      </c>
      <c r="AK44" s="57"/>
      <c r="AL44" s="57"/>
      <c r="AM44" s="57">
        <v>18</v>
      </c>
      <c r="AN44">
        <v>16</v>
      </c>
      <c r="AO44" s="57"/>
      <c r="AP44" s="57"/>
      <c r="AQ44" s="57"/>
      <c r="AR44" s="57">
        <v>9</v>
      </c>
      <c r="AS44" s="57"/>
      <c r="AT44" s="57">
        <v>2</v>
      </c>
      <c r="AU44" s="57">
        <v>11</v>
      </c>
      <c r="AV44" s="57">
        <v>2</v>
      </c>
      <c r="AW44" s="65">
        <v>40</v>
      </c>
      <c r="AX44" s="57"/>
      <c r="AY44" s="57">
        <v>1</v>
      </c>
      <c r="AZ44" s="57">
        <v>3</v>
      </c>
      <c r="BA44" s="57">
        <v>4</v>
      </c>
      <c r="BB44" s="57">
        <v>9</v>
      </c>
      <c r="BC44" s="57">
        <v>5</v>
      </c>
      <c r="BD44" s="57">
        <v>4</v>
      </c>
      <c r="BE44" s="57">
        <v>9</v>
      </c>
      <c r="BF44" s="57"/>
      <c r="BG44" s="57">
        <f>50+29</f>
        <v>79</v>
      </c>
      <c r="BH44" s="57">
        <f>38+10</f>
        <v>48</v>
      </c>
      <c r="BI44" s="57">
        <v>7</v>
      </c>
      <c r="BJ44" s="57">
        <f>1+16</f>
        <v>17</v>
      </c>
      <c r="BK44" s="57">
        <v>5</v>
      </c>
      <c r="BL44" s="57">
        <v>69</v>
      </c>
      <c r="BM44" s="57"/>
      <c r="BN44" s="57"/>
      <c r="BO44" s="57">
        <v>109</v>
      </c>
      <c r="BP44" s="57"/>
    </row>
    <row r="45" spans="1:68" ht="15" x14ac:dyDescent="0.15">
      <c r="A45" s="273" t="s">
        <v>199</v>
      </c>
      <c r="B45" s="274" t="s">
        <v>200</v>
      </c>
      <c r="C45" s="274" t="s">
        <v>201</v>
      </c>
      <c r="D45" s="274" t="s">
        <v>202</v>
      </c>
      <c r="E45" s="274" t="s">
        <v>204</v>
      </c>
      <c r="F45" s="275">
        <v>4</v>
      </c>
      <c r="G45" s="296">
        <v>56</v>
      </c>
      <c r="H45" s="294"/>
      <c r="I45" s="56"/>
      <c r="J45" s="57">
        <v>14</v>
      </c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>
        <v>123</v>
      </c>
      <c r="BM45" s="57"/>
      <c r="BN45" s="57"/>
      <c r="BO45" s="57"/>
      <c r="BP45" s="57"/>
    </row>
    <row r="46" spans="1:68" ht="15" x14ac:dyDescent="0.15">
      <c r="A46" s="273" t="s">
        <v>205</v>
      </c>
      <c r="B46" s="274" t="s">
        <v>200</v>
      </c>
      <c r="C46" s="274" t="s">
        <v>201</v>
      </c>
      <c r="D46" s="274" t="s">
        <v>206</v>
      </c>
      <c r="E46" s="274" t="s">
        <v>204</v>
      </c>
      <c r="F46" s="275">
        <v>4</v>
      </c>
      <c r="G46" s="296">
        <v>72</v>
      </c>
      <c r="H46" s="294"/>
      <c r="I46" s="56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>
        <v>5</v>
      </c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</row>
    <row r="47" spans="1:68" ht="15" x14ac:dyDescent="0.15">
      <c r="A47" s="273" t="s">
        <v>207</v>
      </c>
      <c r="B47" s="274" t="s">
        <v>200</v>
      </c>
      <c r="C47" s="274" t="s">
        <v>201</v>
      </c>
      <c r="D47" s="274" t="s">
        <v>208</v>
      </c>
      <c r="E47" s="274" t="s">
        <v>204</v>
      </c>
      <c r="F47" s="275">
        <v>4</v>
      </c>
      <c r="G47" s="296">
        <v>80</v>
      </c>
      <c r="H47" s="294"/>
      <c r="I47" s="56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>
        <v>5</v>
      </c>
      <c r="X47" s="57"/>
      <c r="Y47" s="57"/>
      <c r="Z47" s="57">
        <v>2</v>
      </c>
      <c r="AA47" s="57"/>
      <c r="AB47" s="57"/>
      <c r="AC47" s="57"/>
      <c r="AD47" s="57"/>
      <c r="AE47" s="57">
        <v>11</v>
      </c>
      <c r="AF47" s="57"/>
      <c r="AG47" s="57"/>
      <c r="AH47" s="57"/>
      <c r="AI47" s="57"/>
      <c r="AJ47" s="57">
        <v>10</v>
      </c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>
        <v>10</v>
      </c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</row>
    <row r="48" spans="1:68" ht="15" x14ac:dyDescent="0.15">
      <c r="A48" s="273" t="s">
        <v>209</v>
      </c>
      <c r="B48" s="274" t="s">
        <v>200</v>
      </c>
      <c r="C48" s="274" t="s">
        <v>201</v>
      </c>
      <c r="D48" s="274" t="s">
        <v>210</v>
      </c>
      <c r="E48" s="274" t="s">
        <v>204</v>
      </c>
      <c r="F48" s="275">
        <v>4</v>
      </c>
      <c r="G48" s="296">
        <v>128</v>
      </c>
      <c r="H48" s="294"/>
      <c r="I48" s="56"/>
      <c r="J48" s="57"/>
      <c r="K48" s="57"/>
      <c r="L48" s="57"/>
      <c r="M48" s="57"/>
      <c r="N48" s="57"/>
      <c r="O48" s="57"/>
      <c r="P48" s="57"/>
      <c r="Q48" s="57"/>
      <c r="R48" s="57"/>
      <c r="S48" s="57">
        <v>3</v>
      </c>
      <c r="T48" s="57"/>
      <c r="U48" s="57"/>
      <c r="V48" s="57"/>
      <c r="W48" s="57"/>
      <c r="X48" s="57"/>
      <c r="Y48" s="57">
        <v>1</v>
      </c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>
        <v>4</v>
      </c>
      <c r="AZ48" s="57"/>
      <c r="BA48" s="57">
        <v>4</v>
      </c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</row>
    <row r="49" spans="1:68" ht="15" x14ac:dyDescent="0.15">
      <c r="A49" s="273" t="s">
        <v>213</v>
      </c>
      <c r="B49" s="274" t="s">
        <v>200</v>
      </c>
      <c r="C49" s="274" t="s">
        <v>201</v>
      </c>
      <c r="D49" s="274" t="s">
        <v>214</v>
      </c>
      <c r="E49" s="274" t="s">
        <v>204</v>
      </c>
      <c r="F49" s="275">
        <v>6</v>
      </c>
      <c r="G49" s="296">
        <v>72</v>
      </c>
      <c r="H49" s="294"/>
      <c r="I49" s="56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>
        <v>1</v>
      </c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</row>
    <row r="50" spans="1:68" ht="15" x14ac:dyDescent="0.15">
      <c r="A50" s="273" t="s">
        <v>215</v>
      </c>
      <c r="B50" s="274" t="s">
        <v>200</v>
      </c>
      <c r="C50" s="274" t="s">
        <v>201</v>
      </c>
      <c r="D50" s="274" t="s">
        <v>216</v>
      </c>
      <c r="E50" s="274" t="s">
        <v>204</v>
      </c>
      <c r="F50" s="275">
        <v>6</v>
      </c>
      <c r="G50" s="296">
        <v>160</v>
      </c>
      <c r="H50" s="294"/>
      <c r="I50" s="56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>
        <v>3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>
        <v>44</v>
      </c>
      <c r="BH50" s="57"/>
      <c r="BI50" s="57"/>
      <c r="BJ50" s="57"/>
      <c r="BK50" s="57"/>
      <c r="BL50" s="57"/>
      <c r="BM50" s="57"/>
      <c r="BN50" s="57"/>
      <c r="BO50" s="57"/>
      <c r="BP50" s="57"/>
    </row>
    <row r="51" spans="1:68" ht="15" x14ac:dyDescent="0.15">
      <c r="A51" s="273" t="s">
        <v>217</v>
      </c>
      <c r="B51" s="274" t="s">
        <v>200</v>
      </c>
      <c r="C51" s="274" t="s">
        <v>201</v>
      </c>
      <c r="D51" s="274" t="s">
        <v>218</v>
      </c>
      <c r="E51" s="274" t="s">
        <v>204</v>
      </c>
      <c r="F51" s="275">
        <v>8</v>
      </c>
      <c r="G51" s="296">
        <v>32</v>
      </c>
      <c r="H51" s="294"/>
      <c r="I51" s="56"/>
      <c r="J51" s="57"/>
      <c r="K51" s="57"/>
      <c r="L51" s="57"/>
      <c r="M51" s="57"/>
      <c r="N51" s="57"/>
      <c r="O51" s="57"/>
      <c r="P51" s="57"/>
      <c r="Q51" s="57"/>
      <c r="R51" s="57"/>
      <c r="S51" s="57">
        <f>13+3</f>
        <v>16</v>
      </c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>
        <v>143</v>
      </c>
      <c r="BK51" s="57"/>
      <c r="BL51" s="57"/>
      <c r="BM51" s="57"/>
      <c r="BN51" s="57"/>
      <c r="BO51" s="57"/>
      <c r="BP51" s="57"/>
    </row>
    <row r="52" spans="1:68" ht="15" x14ac:dyDescent="0.15">
      <c r="A52" s="279" t="s">
        <v>219</v>
      </c>
      <c r="B52" s="280" t="s">
        <v>200</v>
      </c>
      <c r="C52" s="280" t="s">
        <v>201</v>
      </c>
      <c r="D52" s="280" t="s">
        <v>220</v>
      </c>
      <c r="E52" s="274" t="s">
        <v>204</v>
      </c>
      <c r="F52" s="281">
        <v>8</v>
      </c>
      <c r="G52" s="297">
        <v>80</v>
      </c>
      <c r="H52" s="301"/>
      <c r="I52" s="56"/>
      <c r="K52" s="57">
        <v>15</v>
      </c>
      <c r="L52" s="57">
        <v>30</v>
      </c>
      <c r="M52" s="57">
        <v>7</v>
      </c>
      <c r="N52" s="57"/>
      <c r="O52" s="57">
        <v>6</v>
      </c>
      <c r="P52" s="57">
        <v>27</v>
      </c>
      <c r="Q52" s="57">
        <v>20</v>
      </c>
      <c r="R52" s="57">
        <v>33</v>
      </c>
      <c r="S52" s="57"/>
      <c r="T52" s="57">
        <v>17</v>
      </c>
      <c r="U52" s="57"/>
      <c r="V52" s="57"/>
      <c r="W52" s="57"/>
      <c r="X52" s="57"/>
      <c r="Y52" s="57"/>
      <c r="Z52" s="57">
        <v>7</v>
      </c>
      <c r="AA52" s="57">
        <v>20</v>
      </c>
      <c r="AB52">
        <v>8</v>
      </c>
      <c r="AC52" s="57"/>
      <c r="AD52" s="57">
        <v>12</v>
      </c>
      <c r="AE52" s="57"/>
      <c r="AF52" s="57"/>
      <c r="AG52" s="57"/>
      <c r="AH52" s="57"/>
      <c r="AI52" s="57">
        <v>5</v>
      </c>
      <c r="AJ52" s="57"/>
      <c r="AK52" s="57"/>
      <c r="AL52" s="57"/>
      <c r="AM52" s="57"/>
      <c r="AN52" s="57">
        <v>54</v>
      </c>
      <c r="AO52" s="57">
        <v>18</v>
      </c>
      <c r="AP52" s="57">
        <v>43</v>
      </c>
      <c r="AQ52" s="57"/>
      <c r="AR52" s="57">
        <v>51</v>
      </c>
      <c r="AS52" s="57">
        <v>23</v>
      </c>
      <c r="AT52" s="57">
        <v>28</v>
      </c>
      <c r="AU52" s="57">
        <v>50</v>
      </c>
      <c r="AV52" s="57">
        <v>28</v>
      </c>
      <c r="AW52" s="57"/>
      <c r="AX52" s="57"/>
      <c r="AY52" s="57"/>
      <c r="AZ52" s="57"/>
      <c r="BA52" s="57"/>
      <c r="BB52" s="57">
        <v>3</v>
      </c>
      <c r="BC52" s="57"/>
      <c r="BD52" s="57"/>
      <c r="BE52" s="57"/>
      <c r="BF52" s="57">
        <v>16</v>
      </c>
      <c r="BG52" s="57"/>
      <c r="BH52" s="57">
        <v>7</v>
      </c>
      <c r="BI52" s="57">
        <v>48</v>
      </c>
      <c r="BJ52" s="57"/>
      <c r="BK52" s="57">
        <v>57</v>
      </c>
      <c r="BL52" s="57"/>
      <c r="BM52" s="57"/>
      <c r="BN52" s="57">
        <v>129</v>
      </c>
      <c r="BO52" s="57">
        <v>117</v>
      </c>
      <c r="BP52" s="57">
        <v>169</v>
      </c>
    </row>
    <row r="53" spans="1:68" ht="15" x14ac:dyDescent="0.15">
      <c r="A53" s="273" t="s">
        <v>221</v>
      </c>
      <c r="B53" s="274" t="s">
        <v>200</v>
      </c>
      <c r="C53" s="274" t="s">
        <v>201</v>
      </c>
      <c r="D53" s="274" t="s">
        <v>222</v>
      </c>
      <c r="E53" s="274" t="s">
        <v>204</v>
      </c>
      <c r="F53" s="275">
        <v>8</v>
      </c>
      <c r="G53" s="296">
        <v>120</v>
      </c>
      <c r="H53" s="294"/>
      <c r="I53" s="56"/>
      <c r="J53" s="57"/>
      <c r="K53" s="57"/>
      <c r="L53" s="57"/>
      <c r="M53" s="57"/>
      <c r="N53" s="57">
        <v>64</v>
      </c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>
        <v>1</v>
      </c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>
        <v>6</v>
      </c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>
        <v>130</v>
      </c>
      <c r="BN53" s="57"/>
      <c r="BO53" s="57"/>
      <c r="BP53" s="57"/>
    </row>
    <row r="54" spans="1:68" ht="15" x14ac:dyDescent="0.15">
      <c r="A54" s="273" t="s">
        <v>223</v>
      </c>
      <c r="B54" s="274" t="s">
        <v>200</v>
      </c>
      <c r="C54" s="274" t="s">
        <v>201</v>
      </c>
      <c r="D54" s="274" t="s">
        <v>224</v>
      </c>
      <c r="E54" s="274" t="s">
        <v>204</v>
      </c>
      <c r="F54" s="275">
        <v>8</v>
      </c>
      <c r="G54" s="296">
        <v>320</v>
      </c>
      <c r="H54" s="294"/>
      <c r="I54" s="56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>
        <v>1</v>
      </c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>
        <v>4</v>
      </c>
      <c r="BJ54" s="57"/>
      <c r="BK54" s="57"/>
      <c r="BL54" s="57"/>
      <c r="BM54" s="57"/>
      <c r="BN54" s="57"/>
      <c r="BO54" s="57"/>
      <c r="BP54" s="57"/>
    </row>
    <row r="55" spans="1:68" ht="15" x14ac:dyDescent="0.15">
      <c r="A55" s="273" t="s">
        <v>225</v>
      </c>
      <c r="B55" s="274" t="s">
        <v>200</v>
      </c>
      <c r="C55" s="274" t="s">
        <v>226</v>
      </c>
      <c r="D55" s="274" t="s">
        <v>227</v>
      </c>
      <c r="E55" s="274" t="s">
        <v>204</v>
      </c>
      <c r="F55" s="275">
        <v>4</v>
      </c>
      <c r="G55" s="296">
        <v>16</v>
      </c>
      <c r="H55" s="294"/>
      <c r="I55" s="56"/>
      <c r="J55" s="57"/>
      <c r="K55" s="57"/>
      <c r="L55" s="57"/>
      <c r="M55" s="57"/>
      <c r="N55" s="57"/>
      <c r="O55" s="57"/>
      <c r="P55" s="57"/>
      <c r="Q55" s="57"/>
      <c r="R55" s="57"/>
      <c r="S55" s="57">
        <v>7</v>
      </c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</row>
    <row r="56" spans="1:68" ht="15" x14ac:dyDescent="0.15">
      <c r="A56" s="273" t="s">
        <v>228</v>
      </c>
      <c r="B56" s="274" t="s">
        <v>200</v>
      </c>
      <c r="C56" s="274" t="s">
        <v>226</v>
      </c>
      <c r="D56" s="274" t="s">
        <v>229</v>
      </c>
      <c r="E56" s="274" t="s">
        <v>204</v>
      </c>
      <c r="F56" s="275">
        <v>4</v>
      </c>
      <c r="G56" s="296">
        <v>40</v>
      </c>
      <c r="H56" s="294"/>
      <c r="I56" s="56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>
        <v>22</v>
      </c>
      <c r="BM56" s="57"/>
      <c r="BN56" s="57"/>
      <c r="BO56" s="57"/>
      <c r="BP56" s="57">
        <v>76</v>
      </c>
    </row>
    <row r="57" spans="1:68" ht="15" x14ac:dyDescent="0.15">
      <c r="A57" s="273" t="s">
        <v>230</v>
      </c>
      <c r="B57" s="274" t="s">
        <v>200</v>
      </c>
      <c r="C57" s="274" t="s">
        <v>226</v>
      </c>
      <c r="D57" s="274" t="s">
        <v>231</v>
      </c>
      <c r="E57" s="274" t="s">
        <v>204</v>
      </c>
      <c r="F57" s="275">
        <v>4</v>
      </c>
      <c r="G57" s="296">
        <v>48</v>
      </c>
      <c r="H57" s="294"/>
      <c r="I57" s="56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>
        <v>3</v>
      </c>
      <c r="X57" s="57"/>
      <c r="Y57" s="57"/>
      <c r="Z57" s="57"/>
      <c r="AA57" s="57"/>
      <c r="AB57" s="57">
        <v>3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>
        <v>1</v>
      </c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</row>
    <row r="58" spans="1:68" ht="15" x14ac:dyDescent="0.15">
      <c r="A58" s="273" t="s">
        <v>232</v>
      </c>
      <c r="B58" s="274" t="s">
        <v>200</v>
      </c>
      <c r="C58" s="274" t="s">
        <v>226</v>
      </c>
      <c r="D58" s="274" t="s">
        <v>233</v>
      </c>
      <c r="E58" s="274" t="s">
        <v>204</v>
      </c>
      <c r="F58" s="275">
        <v>4</v>
      </c>
      <c r="G58" s="296">
        <v>64</v>
      </c>
      <c r="H58" s="294"/>
      <c r="I58" s="56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AA58" s="57">
        <v>13</v>
      </c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>
        <v>3</v>
      </c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>
        <v>123</v>
      </c>
      <c r="BM58" s="57"/>
      <c r="BN58" s="57"/>
      <c r="BO58" s="57"/>
      <c r="BP58" s="57"/>
    </row>
    <row r="59" spans="1:68" ht="15" x14ac:dyDescent="0.15">
      <c r="A59" s="273" t="s">
        <v>234</v>
      </c>
      <c r="B59" s="274" t="s">
        <v>200</v>
      </c>
      <c r="C59" s="274" t="s">
        <v>226</v>
      </c>
      <c r="D59" s="274" t="s">
        <v>235</v>
      </c>
      <c r="E59" s="274" t="s">
        <v>204</v>
      </c>
      <c r="F59" s="275">
        <v>4</v>
      </c>
      <c r="G59" s="296">
        <v>80</v>
      </c>
      <c r="H59" s="294"/>
      <c r="I59" s="56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>
        <v>1</v>
      </c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>
        <v>1</v>
      </c>
      <c r="AN59" s="57"/>
      <c r="AO59" s="57"/>
      <c r="AP59" s="57"/>
      <c r="AQ59" s="57"/>
      <c r="AR59" s="57"/>
      <c r="AS59" s="57"/>
      <c r="AT59" s="57"/>
      <c r="AU59" s="57">
        <v>9</v>
      </c>
      <c r="AV59" s="57"/>
      <c r="AW59" s="57"/>
      <c r="AX59" s="57"/>
      <c r="AY59" s="57"/>
      <c r="AZ59" s="57"/>
      <c r="BA59" s="57"/>
      <c r="BB59" s="57"/>
      <c r="BC59" s="57"/>
      <c r="BD59" s="57"/>
      <c r="BE59" s="57">
        <v>15</v>
      </c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57"/>
    </row>
    <row r="60" spans="1:68" ht="15" x14ac:dyDescent="0.15">
      <c r="A60" s="273" t="s">
        <v>236</v>
      </c>
      <c r="B60" s="274" t="s">
        <v>200</v>
      </c>
      <c r="C60" s="274" t="s">
        <v>226</v>
      </c>
      <c r="D60" s="274" t="s">
        <v>237</v>
      </c>
      <c r="E60" s="274" t="s">
        <v>204</v>
      </c>
      <c r="F60" s="275">
        <v>4</v>
      </c>
      <c r="G60" s="296">
        <v>120</v>
      </c>
      <c r="H60" s="294"/>
      <c r="I60" s="56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>
        <v>28</v>
      </c>
      <c r="BP60" s="57"/>
    </row>
    <row r="61" spans="1:68" ht="15" x14ac:dyDescent="0.15">
      <c r="A61" s="273" t="s">
        <v>238</v>
      </c>
      <c r="B61" s="274" t="s">
        <v>200</v>
      </c>
      <c r="C61" s="274" t="s">
        <v>226</v>
      </c>
      <c r="D61" s="274" t="s">
        <v>239</v>
      </c>
      <c r="E61" s="274" t="s">
        <v>204</v>
      </c>
      <c r="F61" s="275">
        <v>4</v>
      </c>
      <c r="G61" s="296">
        <v>160</v>
      </c>
      <c r="H61" s="294"/>
      <c r="I61" s="56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>
        <v>1</v>
      </c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57"/>
    </row>
    <row r="62" spans="1:68" ht="15" x14ac:dyDescent="0.15">
      <c r="A62" s="273" t="s">
        <v>240</v>
      </c>
      <c r="B62" s="274" t="s">
        <v>200</v>
      </c>
      <c r="C62" s="274" t="s">
        <v>226</v>
      </c>
      <c r="D62" s="274" t="s">
        <v>241</v>
      </c>
      <c r="E62" s="274" t="s">
        <v>204</v>
      </c>
      <c r="F62" s="275">
        <v>4</v>
      </c>
      <c r="G62" s="296">
        <v>240</v>
      </c>
      <c r="H62" s="294"/>
      <c r="I62" s="56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>
        <v>1</v>
      </c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57"/>
    </row>
    <row r="63" spans="1:68" ht="15" x14ac:dyDescent="0.15">
      <c r="A63" s="273" t="s">
        <v>242</v>
      </c>
      <c r="B63" s="274" t="s">
        <v>200</v>
      </c>
      <c r="C63" s="274" t="s">
        <v>226</v>
      </c>
      <c r="D63" s="274" t="s">
        <v>243</v>
      </c>
      <c r="E63" s="274" t="s">
        <v>204</v>
      </c>
      <c r="F63" s="275">
        <v>6</v>
      </c>
      <c r="G63" s="296">
        <v>40</v>
      </c>
      <c r="H63" s="294"/>
      <c r="I63" s="56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>
        <v>1</v>
      </c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</row>
    <row r="64" spans="1:68" ht="15" x14ac:dyDescent="0.15">
      <c r="A64" s="273" t="s">
        <v>244</v>
      </c>
      <c r="B64" s="274" t="s">
        <v>200</v>
      </c>
      <c r="C64" s="274" t="s">
        <v>226</v>
      </c>
      <c r="D64" s="274" t="s">
        <v>245</v>
      </c>
      <c r="E64" s="274" t="s">
        <v>204</v>
      </c>
      <c r="F64" s="275">
        <v>6</v>
      </c>
      <c r="G64" s="296">
        <v>56</v>
      </c>
      <c r="H64" s="294"/>
      <c r="I64" s="56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X64" s="57">
        <v>3</v>
      </c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>
        <v>2</v>
      </c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57"/>
    </row>
    <row r="65" spans="1:68" ht="15" x14ac:dyDescent="0.15">
      <c r="A65" s="273" t="s">
        <v>246</v>
      </c>
      <c r="B65" s="274" t="s">
        <v>200</v>
      </c>
      <c r="C65" s="274" t="s">
        <v>226</v>
      </c>
      <c r="D65" s="274" t="s">
        <v>247</v>
      </c>
      <c r="E65" s="274" t="s">
        <v>204</v>
      </c>
      <c r="F65" s="275">
        <v>6</v>
      </c>
      <c r="G65" s="296">
        <v>64</v>
      </c>
      <c r="H65" s="294"/>
      <c r="I65" s="56"/>
      <c r="J65" s="57">
        <v>5</v>
      </c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</row>
    <row r="66" spans="1:68" ht="15" x14ac:dyDescent="0.15">
      <c r="A66" s="273" t="s">
        <v>248</v>
      </c>
      <c r="B66" s="274" t="s">
        <v>200</v>
      </c>
      <c r="C66" s="274" t="s">
        <v>226</v>
      </c>
      <c r="D66" s="274" t="s">
        <v>249</v>
      </c>
      <c r="E66" s="274" t="s">
        <v>204</v>
      </c>
      <c r="F66" s="275">
        <v>6</v>
      </c>
      <c r="G66" s="296">
        <v>80</v>
      </c>
      <c r="H66" s="294"/>
      <c r="I66" s="56"/>
      <c r="J66" s="57"/>
      <c r="K66" s="57"/>
      <c r="L66" s="57"/>
      <c r="M66" s="57"/>
      <c r="N66" s="57"/>
      <c r="O66" s="57">
        <v>9</v>
      </c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>
        <v>11</v>
      </c>
      <c r="BH66" s="57"/>
      <c r="BI66" s="57"/>
      <c r="BJ66" s="57"/>
      <c r="BK66" s="57"/>
      <c r="BL66" s="57"/>
      <c r="BM66" s="57"/>
      <c r="BN66" s="57"/>
      <c r="BO66" s="57"/>
      <c r="BP66" s="57"/>
    </row>
    <row r="67" spans="1:68" ht="15" x14ac:dyDescent="0.15">
      <c r="A67" s="273" t="s">
        <v>250</v>
      </c>
      <c r="B67" s="274" t="s">
        <v>200</v>
      </c>
      <c r="C67" s="274" t="s">
        <v>226</v>
      </c>
      <c r="D67" s="274" t="s">
        <v>251</v>
      </c>
      <c r="E67" s="274" t="s">
        <v>204</v>
      </c>
      <c r="F67" s="275">
        <v>6</v>
      </c>
      <c r="G67" s="296">
        <v>200</v>
      </c>
      <c r="H67" s="294"/>
      <c r="I67" s="56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>
        <v>6</v>
      </c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>
        <v>2</v>
      </c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>
        <v>5</v>
      </c>
      <c r="BN67" s="57"/>
      <c r="BO67" s="57"/>
      <c r="BP67" s="57"/>
    </row>
    <row r="68" spans="1:68" ht="15" x14ac:dyDescent="0.15">
      <c r="A68" s="273" t="s">
        <v>252</v>
      </c>
      <c r="B68" s="274" t="s">
        <v>200</v>
      </c>
      <c r="C68" s="274" t="s">
        <v>226</v>
      </c>
      <c r="D68" s="274" t="s">
        <v>253</v>
      </c>
      <c r="E68" s="274" t="s">
        <v>204</v>
      </c>
      <c r="F68" s="275">
        <v>8</v>
      </c>
      <c r="G68" s="296">
        <v>40</v>
      </c>
      <c r="H68" s="294"/>
      <c r="I68" s="56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>
        <v>1</v>
      </c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>
        <v>11</v>
      </c>
      <c r="BD68" s="57"/>
      <c r="BE68" s="57">
        <v>1</v>
      </c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57"/>
    </row>
    <row r="69" spans="1:68" ht="15" x14ac:dyDescent="0.15">
      <c r="A69" s="273" t="s">
        <v>254</v>
      </c>
      <c r="B69" s="274" t="s">
        <v>200</v>
      </c>
      <c r="C69" s="274" t="s">
        <v>226</v>
      </c>
      <c r="D69" s="274" t="s">
        <v>255</v>
      </c>
      <c r="E69" s="274" t="s">
        <v>204</v>
      </c>
      <c r="F69" s="275">
        <v>8</v>
      </c>
      <c r="G69" s="296">
        <v>80</v>
      </c>
      <c r="H69" s="294"/>
      <c r="I69" s="56"/>
      <c r="J69" s="57"/>
      <c r="K69" s="57"/>
      <c r="L69" s="57">
        <v>10</v>
      </c>
      <c r="M69" s="57"/>
      <c r="N69" s="57"/>
      <c r="O69" s="57"/>
      <c r="P69" s="57">
        <v>28</v>
      </c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>
        <v>1</v>
      </c>
      <c r="BK69" s="57"/>
      <c r="BL69" s="57"/>
      <c r="BM69" s="57"/>
      <c r="BN69" s="57">
        <v>16</v>
      </c>
      <c r="BO69" s="57"/>
      <c r="BP69" s="57"/>
    </row>
    <row r="70" spans="1:68" ht="15" x14ac:dyDescent="0.15">
      <c r="A70" s="273" t="s">
        <v>256</v>
      </c>
      <c r="B70" s="274" t="s">
        <v>200</v>
      </c>
      <c r="C70" s="274" t="s">
        <v>226</v>
      </c>
      <c r="D70" s="274" t="s">
        <v>257</v>
      </c>
      <c r="E70" s="274" t="s">
        <v>204</v>
      </c>
      <c r="F70" s="275">
        <v>8</v>
      </c>
      <c r="G70" s="296">
        <v>144</v>
      </c>
      <c r="H70" s="294"/>
      <c r="I70" s="56"/>
      <c r="J70" s="57"/>
      <c r="K70" s="57"/>
      <c r="L70" s="57"/>
      <c r="M70" s="57"/>
      <c r="N70" s="57"/>
      <c r="O70" s="57"/>
      <c r="P70" s="57"/>
      <c r="Q70" s="57"/>
      <c r="R70" s="57"/>
      <c r="S70" s="57">
        <v>4</v>
      </c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>
        <v>2</v>
      </c>
      <c r="BI70" s="57"/>
      <c r="BJ70" s="57"/>
      <c r="BK70" s="57"/>
      <c r="BL70" s="57"/>
      <c r="BM70" s="57"/>
      <c r="BN70" s="57"/>
      <c r="BO70" s="57"/>
      <c r="BP70" s="57"/>
    </row>
    <row r="71" spans="1:68" ht="15" x14ac:dyDescent="0.15">
      <c r="A71" s="273" t="s">
        <v>258</v>
      </c>
      <c r="B71" s="274" t="s">
        <v>200</v>
      </c>
      <c r="C71" s="274" t="s">
        <v>103</v>
      </c>
      <c r="D71" s="274" t="s">
        <v>259</v>
      </c>
      <c r="E71" s="274" t="s">
        <v>204</v>
      </c>
      <c r="F71" s="275">
        <v>1.6</v>
      </c>
      <c r="G71" s="296">
        <v>80</v>
      </c>
      <c r="H71" s="294"/>
      <c r="I71" s="56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>
        <v>1</v>
      </c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57"/>
    </row>
    <row r="72" spans="1:68" ht="15" x14ac:dyDescent="0.15">
      <c r="A72" s="273" t="s">
        <v>260</v>
      </c>
      <c r="B72" s="274" t="s">
        <v>200</v>
      </c>
      <c r="C72" s="274" t="s">
        <v>103</v>
      </c>
      <c r="D72" s="274" t="s">
        <v>261</v>
      </c>
      <c r="E72" s="274" t="s">
        <v>204</v>
      </c>
      <c r="F72" s="275">
        <v>4</v>
      </c>
      <c r="G72" s="296">
        <v>64</v>
      </c>
      <c r="H72" s="294"/>
      <c r="I72" s="56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>
        <v>1</v>
      </c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57"/>
    </row>
    <row r="73" spans="1:68" ht="15" x14ac:dyDescent="0.15">
      <c r="A73" s="273" t="s">
        <v>262</v>
      </c>
      <c r="B73" s="274" t="s">
        <v>200</v>
      </c>
      <c r="C73" s="274" t="s">
        <v>103</v>
      </c>
      <c r="D73" s="282" t="s">
        <v>263</v>
      </c>
      <c r="E73" s="274" t="s">
        <v>204</v>
      </c>
      <c r="F73" s="283">
        <v>4</v>
      </c>
      <c r="G73" s="296">
        <v>80</v>
      </c>
      <c r="H73" s="294"/>
      <c r="I73" s="56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>
        <v>42</v>
      </c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7"/>
    </row>
    <row r="74" spans="1:68" ht="15" x14ac:dyDescent="0.15">
      <c r="A74" s="273" t="s">
        <v>264</v>
      </c>
      <c r="B74" s="274" t="s">
        <v>200</v>
      </c>
      <c r="C74" s="274" t="s">
        <v>103</v>
      </c>
      <c r="D74" s="282" t="s">
        <v>265</v>
      </c>
      <c r="E74" s="274" t="s">
        <v>204</v>
      </c>
      <c r="F74" s="283">
        <v>4</v>
      </c>
      <c r="G74" s="296">
        <v>96</v>
      </c>
      <c r="H74" s="294"/>
      <c r="I74" s="56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>
        <v>11</v>
      </c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</row>
    <row r="75" spans="1:68" ht="15" x14ac:dyDescent="0.15">
      <c r="A75" s="273" t="s">
        <v>266</v>
      </c>
      <c r="B75" s="274" t="s">
        <v>200</v>
      </c>
      <c r="C75" s="274" t="s">
        <v>103</v>
      </c>
      <c r="D75" s="282" t="s">
        <v>267</v>
      </c>
      <c r="E75" s="274" t="s">
        <v>204</v>
      </c>
      <c r="F75" s="283">
        <v>4</v>
      </c>
      <c r="G75" s="296">
        <v>128</v>
      </c>
      <c r="H75" s="294"/>
      <c r="I75" s="56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>
        <v>11</v>
      </c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>
        <v>1</v>
      </c>
      <c r="BK75" s="57"/>
      <c r="BL75" s="57"/>
      <c r="BM75" s="57"/>
      <c r="BN75" s="57"/>
      <c r="BO75" s="57">
        <v>1</v>
      </c>
      <c r="BP75" s="57"/>
    </row>
    <row r="76" spans="1:68" ht="15" x14ac:dyDescent="0.15">
      <c r="A76" s="273" t="s">
        <v>268</v>
      </c>
      <c r="B76" s="274" t="s">
        <v>200</v>
      </c>
      <c r="C76" s="274" t="s">
        <v>103</v>
      </c>
      <c r="D76" s="282" t="s">
        <v>269</v>
      </c>
      <c r="E76" s="274" t="s">
        <v>204</v>
      </c>
      <c r="F76" s="283">
        <v>6</v>
      </c>
      <c r="G76" s="296">
        <v>80</v>
      </c>
      <c r="H76" s="294"/>
      <c r="I76" s="56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>
        <v>5</v>
      </c>
      <c r="AO76" s="57"/>
      <c r="AP76" s="57"/>
      <c r="AQ76" s="57"/>
      <c r="AR76" s="57">
        <v>8</v>
      </c>
      <c r="AT76" s="57"/>
      <c r="AU76" s="57"/>
      <c r="AV76" s="57">
        <v>14</v>
      </c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</row>
    <row r="77" spans="1:68" ht="15" x14ac:dyDescent="0.15">
      <c r="A77" s="273" t="s">
        <v>270</v>
      </c>
      <c r="B77" s="274" t="s">
        <v>200</v>
      </c>
      <c r="C77" s="274" t="s">
        <v>103</v>
      </c>
      <c r="D77" s="274" t="s">
        <v>271</v>
      </c>
      <c r="E77" s="274" t="s">
        <v>204</v>
      </c>
      <c r="F77" s="275">
        <v>8</v>
      </c>
      <c r="G77" s="296">
        <v>40</v>
      </c>
      <c r="H77" s="294"/>
      <c r="I77" s="56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>
        <v>3</v>
      </c>
      <c r="BH77" s="57"/>
      <c r="BI77" s="57"/>
      <c r="BJ77" s="57"/>
      <c r="BK77" s="57"/>
      <c r="BL77" s="57"/>
      <c r="BM77" s="57"/>
      <c r="BN77" s="57"/>
      <c r="BO77" s="57"/>
      <c r="BP77" s="57"/>
    </row>
    <row r="78" spans="1:68" ht="15" x14ac:dyDescent="0.15">
      <c r="A78" s="273" t="s">
        <v>272</v>
      </c>
      <c r="B78" s="274" t="s">
        <v>200</v>
      </c>
      <c r="C78" s="274" t="s">
        <v>103</v>
      </c>
      <c r="D78" s="274" t="s">
        <v>273</v>
      </c>
      <c r="E78" s="274" t="s">
        <v>204</v>
      </c>
      <c r="F78" s="275">
        <v>8</v>
      </c>
      <c r="G78" s="296">
        <v>72</v>
      </c>
      <c r="H78" s="294"/>
      <c r="I78" s="56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>
        <v>1</v>
      </c>
      <c r="AU78" s="57"/>
      <c r="AV78" s="57"/>
      <c r="AW78" s="57">
        <v>15</v>
      </c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>
        <v>1</v>
      </c>
      <c r="BL78" s="57"/>
      <c r="BM78" s="57"/>
      <c r="BN78" s="57"/>
      <c r="BO78" s="57"/>
      <c r="BP78" s="57"/>
    </row>
    <row r="79" spans="1:68" ht="15" x14ac:dyDescent="0.15">
      <c r="A79" s="273" t="s">
        <v>274</v>
      </c>
      <c r="B79" s="274" t="s">
        <v>200</v>
      </c>
      <c r="C79" s="274" t="s">
        <v>103</v>
      </c>
      <c r="D79" s="274" t="s">
        <v>275</v>
      </c>
      <c r="E79" s="274" t="s">
        <v>204</v>
      </c>
      <c r="F79" s="275">
        <v>8</v>
      </c>
      <c r="G79" s="296">
        <v>168</v>
      </c>
      <c r="H79" s="294"/>
      <c r="I79" s="56">
        <v>8</v>
      </c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>
        <v>17</v>
      </c>
      <c r="BI79" s="57"/>
      <c r="BJ79" s="57">
        <v>5</v>
      </c>
      <c r="BK79" s="57"/>
      <c r="BL79" s="57">
        <v>1</v>
      </c>
      <c r="BM79" s="57"/>
      <c r="BN79" s="57"/>
      <c r="BO79" s="57"/>
      <c r="BP79" s="57"/>
    </row>
    <row r="80" spans="1:68" ht="15" x14ac:dyDescent="0.15">
      <c r="A80" s="284" t="s">
        <v>276</v>
      </c>
      <c r="B80" s="285" t="s">
        <v>277</v>
      </c>
      <c r="C80" s="285" t="s">
        <v>278</v>
      </c>
      <c r="D80" s="285" t="s">
        <v>279</v>
      </c>
      <c r="E80" s="274" t="s">
        <v>204</v>
      </c>
      <c r="F80" s="286">
        <v>32</v>
      </c>
      <c r="G80" s="298">
        <v>32</v>
      </c>
      <c r="H80" s="302"/>
      <c r="I80" s="56"/>
      <c r="J80" s="57"/>
      <c r="K80" s="57">
        <v>1</v>
      </c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</row>
    <row r="81" spans="1:68" ht="15" x14ac:dyDescent="0.15">
      <c r="A81" s="284" t="s">
        <v>280</v>
      </c>
      <c r="B81" s="285" t="s">
        <v>277</v>
      </c>
      <c r="C81" s="285" t="s">
        <v>278</v>
      </c>
      <c r="D81" s="285" t="s">
        <v>281</v>
      </c>
      <c r="E81" s="274" t="s">
        <v>204</v>
      </c>
      <c r="F81" s="286">
        <v>40</v>
      </c>
      <c r="G81" s="298">
        <v>40</v>
      </c>
      <c r="H81" s="302"/>
      <c r="I81" s="56"/>
      <c r="J81" s="57"/>
      <c r="K81" s="57"/>
      <c r="L81" s="57"/>
      <c r="M81" s="57"/>
      <c r="N81" s="57"/>
      <c r="O81" s="57"/>
      <c r="P81" s="57">
        <v>2</v>
      </c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>
        <v>12</v>
      </c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>
        <v>1</v>
      </c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>
        <v>40</v>
      </c>
      <c r="BO81" s="57"/>
      <c r="BP81" s="57"/>
    </row>
    <row r="82" spans="1:68" ht="15" x14ac:dyDescent="0.15">
      <c r="A82" s="284" t="s">
        <v>282</v>
      </c>
      <c r="B82" s="285" t="s">
        <v>277</v>
      </c>
      <c r="C82" s="285" t="s">
        <v>278</v>
      </c>
      <c r="D82" s="285" t="s">
        <v>283</v>
      </c>
      <c r="E82" s="274" t="s">
        <v>204</v>
      </c>
      <c r="F82" s="286">
        <v>48</v>
      </c>
      <c r="G82" s="298">
        <v>48</v>
      </c>
      <c r="H82" s="302"/>
      <c r="I82" s="56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>
        <v>3</v>
      </c>
      <c r="BA82" s="57"/>
      <c r="BB82" s="57"/>
      <c r="BC82" s="57"/>
      <c r="BD82" s="57">
        <v>4</v>
      </c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</row>
    <row r="83" spans="1:68" ht="15" x14ac:dyDescent="0.15">
      <c r="A83" s="273" t="s">
        <v>284</v>
      </c>
      <c r="B83" s="285" t="s">
        <v>277</v>
      </c>
      <c r="C83" s="285" t="s">
        <v>278</v>
      </c>
      <c r="D83" s="285" t="s">
        <v>285</v>
      </c>
      <c r="E83" s="274" t="s">
        <v>204</v>
      </c>
      <c r="F83" s="275">
        <v>24.5</v>
      </c>
      <c r="G83" s="296">
        <v>24.5</v>
      </c>
      <c r="H83" s="294"/>
      <c r="I83" s="56">
        <v>30</v>
      </c>
      <c r="J83" s="57">
        <v>17</v>
      </c>
      <c r="K83" s="57"/>
      <c r="L83" s="57">
        <v>14</v>
      </c>
      <c r="M83" s="57">
        <v>2</v>
      </c>
      <c r="N83" s="57">
        <v>19</v>
      </c>
      <c r="O83" s="57">
        <v>2</v>
      </c>
      <c r="P83" s="57">
        <v>19</v>
      </c>
      <c r="Q83" s="57">
        <v>32</v>
      </c>
      <c r="R83" s="57">
        <f>3+24</f>
        <v>27</v>
      </c>
      <c r="S83" s="57">
        <v>28</v>
      </c>
      <c r="T83" s="57">
        <v>14</v>
      </c>
      <c r="U83" s="57">
        <v>3</v>
      </c>
      <c r="V83" s="57">
        <v>13</v>
      </c>
      <c r="W83" s="57"/>
      <c r="X83" s="57">
        <v>13</v>
      </c>
      <c r="Y83" s="57"/>
      <c r="Z83" s="57">
        <v>9</v>
      </c>
      <c r="AA83" s="57">
        <v>18</v>
      </c>
      <c r="AB83" s="57">
        <f>10+2</f>
        <v>12</v>
      </c>
      <c r="AC83" s="57"/>
      <c r="AD83" s="57">
        <v>754</v>
      </c>
      <c r="AE83" s="57">
        <v>67</v>
      </c>
      <c r="AF83" s="57">
        <v>474</v>
      </c>
      <c r="AG83" s="65">
        <v>111</v>
      </c>
      <c r="AH83" s="57">
        <v>669</v>
      </c>
      <c r="AI83" s="57">
        <v>169</v>
      </c>
      <c r="AJ83" s="57">
        <v>604</v>
      </c>
      <c r="AK83" s="57">
        <v>730</v>
      </c>
      <c r="AL83" s="57">
        <v>622</v>
      </c>
      <c r="AM83" s="57">
        <v>14</v>
      </c>
      <c r="AN83" s="57">
        <v>7</v>
      </c>
      <c r="AO83" s="57">
        <v>3</v>
      </c>
      <c r="AP83" s="57">
        <v>12</v>
      </c>
      <c r="AQ83" s="57">
        <v>4</v>
      </c>
      <c r="AR83" s="57">
        <v>5</v>
      </c>
      <c r="AS83" s="57"/>
      <c r="AT83" s="57"/>
      <c r="AU83" s="57">
        <f>4+4</f>
        <v>8</v>
      </c>
      <c r="AV83" s="57">
        <v>2</v>
      </c>
      <c r="AW83" s="57">
        <v>791</v>
      </c>
      <c r="AX83" s="57">
        <v>467</v>
      </c>
      <c r="AY83" s="57">
        <v>77</v>
      </c>
      <c r="AZ83" s="57">
        <v>167</v>
      </c>
      <c r="BA83" s="57">
        <v>120</v>
      </c>
      <c r="BB83" s="57">
        <v>237</v>
      </c>
      <c r="BC83" s="57">
        <v>179</v>
      </c>
      <c r="BD83" s="57">
        <v>542</v>
      </c>
      <c r="BE83" s="57">
        <v>356</v>
      </c>
      <c r="BF83" s="57">
        <v>802</v>
      </c>
      <c r="BG83" s="57">
        <v>46</v>
      </c>
      <c r="BH83" s="57">
        <v>11</v>
      </c>
      <c r="BI83" s="57">
        <v>10</v>
      </c>
      <c r="BJ83" s="57">
        <v>15</v>
      </c>
      <c r="BK83" s="57">
        <v>3</v>
      </c>
      <c r="BL83" s="57">
        <v>11</v>
      </c>
      <c r="BM83" s="57">
        <v>8</v>
      </c>
      <c r="BN83" s="57"/>
      <c r="BO83" s="57">
        <v>29</v>
      </c>
      <c r="BP83" s="57">
        <v>29</v>
      </c>
    </row>
    <row r="84" spans="1:68" ht="15" x14ac:dyDescent="0.15">
      <c r="A84" s="284" t="s">
        <v>286</v>
      </c>
      <c r="B84" s="285" t="s">
        <v>277</v>
      </c>
      <c r="C84" s="285" t="s">
        <v>287</v>
      </c>
      <c r="D84" s="285" t="s">
        <v>288</v>
      </c>
      <c r="E84" s="274" t="s">
        <v>204</v>
      </c>
      <c r="F84" s="286">
        <v>4</v>
      </c>
      <c r="G84" s="298">
        <v>20</v>
      </c>
      <c r="H84" s="302"/>
      <c r="I84" s="56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>
        <v>3</v>
      </c>
      <c r="BH84" s="57"/>
      <c r="BI84" s="57"/>
      <c r="BJ84" s="57"/>
      <c r="BK84" s="57"/>
      <c r="BL84" s="57">
        <v>7</v>
      </c>
      <c r="BM84" s="57"/>
      <c r="BN84" s="57"/>
      <c r="BO84" s="57"/>
      <c r="BP84" s="57"/>
    </row>
    <row r="85" spans="1:68" ht="15" x14ac:dyDescent="0.15">
      <c r="A85" s="284" t="s">
        <v>289</v>
      </c>
      <c r="B85" s="285" t="s">
        <v>277</v>
      </c>
      <c r="C85" s="285" t="s">
        <v>287</v>
      </c>
      <c r="D85" s="285" t="s">
        <v>290</v>
      </c>
      <c r="E85" s="274" t="s">
        <v>204</v>
      </c>
      <c r="F85" s="286">
        <v>4</v>
      </c>
      <c r="G85" s="298">
        <v>32</v>
      </c>
      <c r="H85" s="302"/>
      <c r="I85" s="56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>
        <v>1</v>
      </c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>
        <v>105</v>
      </c>
      <c r="BH85" s="57"/>
      <c r="BI85" s="57"/>
      <c r="BJ85" s="57"/>
      <c r="BK85" s="57"/>
      <c r="BL85" s="57"/>
      <c r="BM85" s="57"/>
      <c r="BN85" s="57"/>
      <c r="BO85" s="57"/>
      <c r="BP85" s="57"/>
    </row>
    <row r="86" spans="1:68" ht="15" x14ac:dyDescent="0.15">
      <c r="A86" s="284" t="s">
        <v>291</v>
      </c>
      <c r="B86" s="285" t="s">
        <v>277</v>
      </c>
      <c r="C86" s="285" t="s">
        <v>287</v>
      </c>
      <c r="D86" s="285" t="s">
        <v>292</v>
      </c>
      <c r="E86" s="274" t="s">
        <v>204</v>
      </c>
      <c r="F86" s="286">
        <v>4</v>
      </c>
      <c r="G86" s="298">
        <v>64</v>
      </c>
      <c r="H86" s="302"/>
      <c r="I86" s="56">
        <v>1</v>
      </c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>
        <v>3</v>
      </c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>
        <v>2</v>
      </c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</row>
    <row r="87" spans="1:68" ht="15" x14ac:dyDescent="0.15">
      <c r="A87" s="284" t="s">
        <v>293</v>
      </c>
      <c r="B87" s="285" t="s">
        <v>277</v>
      </c>
      <c r="C87" s="285" t="s">
        <v>287</v>
      </c>
      <c r="D87" s="285" t="s">
        <v>294</v>
      </c>
      <c r="E87" s="274" t="s">
        <v>204</v>
      </c>
      <c r="F87" s="286">
        <v>4</v>
      </c>
      <c r="G87" s="298">
        <v>104</v>
      </c>
      <c r="H87" s="302"/>
      <c r="I87" s="56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>
        <v>1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>
        <v>1</v>
      </c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</row>
    <row r="88" spans="1:68" ht="15" x14ac:dyDescent="0.15">
      <c r="A88" s="284" t="s">
        <v>295</v>
      </c>
      <c r="B88" s="285" t="s">
        <v>277</v>
      </c>
      <c r="C88" s="285" t="s">
        <v>287</v>
      </c>
      <c r="D88" s="285" t="s">
        <v>296</v>
      </c>
      <c r="E88" s="274" t="s">
        <v>204</v>
      </c>
      <c r="F88" s="286">
        <v>4</v>
      </c>
      <c r="G88" s="298">
        <v>160</v>
      </c>
      <c r="H88" s="302"/>
      <c r="I88" s="56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>
        <v>6</v>
      </c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>
        <v>1</v>
      </c>
      <c r="BL88" s="57"/>
      <c r="BM88" s="57"/>
      <c r="BN88" s="57"/>
      <c r="BO88" s="57"/>
      <c r="BP88" s="57">
        <v>49</v>
      </c>
    </row>
    <row r="89" spans="1:68" ht="15" x14ac:dyDescent="0.15">
      <c r="A89" s="284" t="s">
        <v>297</v>
      </c>
      <c r="B89" s="285" t="s">
        <v>277</v>
      </c>
      <c r="C89" s="285" t="s">
        <v>287</v>
      </c>
      <c r="D89" s="285" t="s">
        <v>298</v>
      </c>
      <c r="E89" s="274" t="s">
        <v>204</v>
      </c>
      <c r="F89" s="286">
        <v>6</v>
      </c>
      <c r="G89" s="298">
        <v>176</v>
      </c>
      <c r="H89" s="302"/>
      <c r="I89" s="56"/>
      <c r="J89" s="57"/>
      <c r="K89" s="57"/>
      <c r="L89" s="57"/>
      <c r="M89" s="57"/>
      <c r="N89" s="57"/>
      <c r="O89" s="57"/>
      <c r="P89" s="57"/>
      <c r="Q89" s="57"/>
      <c r="R89" s="57"/>
      <c r="S89" s="57">
        <v>3</v>
      </c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>
        <v>58</v>
      </c>
      <c r="BM89" s="57"/>
      <c r="BN89" s="57"/>
      <c r="BO89" s="57"/>
      <c r="BP89" s="57"/>
    </row>
    <row r="90" spans="1:68" ht="15" x14ac:dyDescent="0.15">
      <c r="A90" s="284" t="s">
        <v>299</v>
      </c>
      <c r="B90" s="285" t="s">
        <v>277</v>
      </c>
      <c r="C90" s="285" t="s">
        <v>287</v>
      </c>
      <c r="D90" s="285" t="s">
        <v>300</v>
      </c>
      <c r="E90" s="274" t="s">
        <v>204</v>
      </c>
      <c r="F90" s="286">
        <v>6</v>
      </c>
      <c r="G90" s="298">
        <v>248</v>
      </c>
      <c r="H90" s="302"/>
      <c r="I90" s="56">
        <v>1</v>
      </c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>
        <v>1</v>
      </c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</row>
    <row r="91" spans="1:68" ht="15" x14ac:dyDescent="0.15">
      <c r="A91" s="284" t="s">
        <v>301</v>
      </c>
      <c r="B91" s="285" t="s">
        <v>277</v>
      </c>
      <c r="C91" s="285" t="s">
        <v>287</v>
      </c>
      <c r="D91" s="285" t="s">
        <v>302</v>
      </c>
      <c r="E91" s="274" t="s">
        <v>204</v>
      </c>
      <c r="F91" s="286">
        <v>8</v>
      </c>
      <c r="G91" s="298">
        <v>80</v>
      </c>
      <c r="H91" s="302"/>
      <c r="I91" s="56"/>
      <c r="J91" s="57"/>
      <c r="K91" s="57"/>
      <c r="L91" s="57">
        <v>1</v>
      </c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>
        <v>2</v>
      </c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>
        <v>4</v>
      </c>
      <c r="BH91" s="57"/>
      <c r="BI91" s="57">
        <v>2</v>
      </c>
      <c r="BJ91" s="57"/>
      <c r="BK91" s="57"/>
      <c r="BL91" s="57"/>
      <c r="BM91" s="57"/>
      <c r="BN91" s="57"/>
      <c r="BO91" s="57"/>
      <c r="BP91" s="57"/>
    </row>
    <row r="92" spans="1:68" ht="15" x14ac:dyDescent="0.15">
      <c r="A92" s="284" t="s">
        <v>303</v>
      </c>
      <c r="B92" s="285" t="s">
        <v>277</v>
      </c>
      <c r="C92" s="285" t="s">
        <v>287</v>
      </c>
      <c r="D92" s="285" t="s">
        <v>304</v>
      </c>
      <c r="E92" s="274" t="s">
        <v>204</v>
      </c>
      <c r="F92" s="286">
        <v>8</v>
      </c>
      <c r="G92" s="298">
        <v>120</v>
      </c>
      <c r="H92" s="302"/>
      <c r="I92" s="56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>
        <v>1</v>
      </c>
      <c r="AD92" s="57"/>
      <c r="AE92" s="57"/>
      <c r="AF92" s="57">
        <v>6</v>
      </c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>
        <v>1</v>
      </c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</row>
    <row r="93" spans="1:68" ht="14" x14ac:dyDescent="0.15">
      <c r="A93" s="284" t="s">
        <v>305</v>
      </c>
      <c r="B93" s="285" t="s">
        <v>277</v>
      </c>
      <c r="C93" s="285" t="s">
        <v>287</v>
      </c>
      <c r="D93" s="285" t="s">
        <v>306</v>
      </c>
      <c r="E93" s="285" t="s">
        <v>307</v>
      </c>
      <c r="F93" s="286">
        <v>8</v>
      </c>
      <c r="G93" s="298">
        <v>136</v>
      </c>
      <c r="H93" s="302">
        <v>8</v>
      </c>
      <c r="I93" s="56"/>
      <c r="J93" s="57"/>
      <c r="K93" s="57"/>
      <c r="L93" s="57"/>
      <c r="M93" s="57"/>
      <c r="N93" s="57"/>
      <c r="O93" s="57"/>
      <c r="P93" s="57">
        <v>3</v>
      </c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>
        <v>2</v>
      </c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</row>
    <row r="94" spans="1:68" ht="14" x14ac:dyDescent="0.15">
      <c r="A94" s="284" t="s">
        <v>308</v>
      </c>
      <c r="B94" s="285" t="s">
        <v>277</v>
      </c>
      <c r="C94" s="285" t="s">
        <v>287</v>
      </c>
      <c r="D94" s="285" t="s">
        <v>309</v>
      </c>
      <c r="E94" s="285" t="s">
        <v>204</v>
      </c>
      <c r="F94" s="286">
        <v>8</v>
      </c>
      <c r="G94" s="298">
        <v>144</v>
      </c>
      <c r="H94" s="302"/>
      <c r="I94" s="56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>
        <v>10</v>
      </c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</row>
    <row r="95" spans="1:68" ht="14" x14ac:dyDescent="0.15">
      <c r="A95" s="284" t="s">
        <v>310</v>
      </c>
      <c r="B95" s="285" t="s">
        <v>277</v>
      </c>
      <c r="C95" s="285" t="s">
        <v>287</v>
      </c>
      <c r="D95" s="285" t="s">
        <v>311</v>
      </c>
      <c r="E95" s="285" t="s">
        <v>307</v>
      </c>
      <c r="F95" s="286">
        <v>8</v>
      </c>
      <c r="G95" s="298">
        <v>160</v>
      </c>
      <c r="H95" s="302">
        <v>8</v>
      </c>
      <c r="I95" s="56"/>
      <c r="J95" s="57"/>
      <c r="K95" s="57"/>
      <c r="L95" s="57"/>
      <c r="M95" s="57"/>
      <c r="N95" s="57"/>
      <c r="O95" s="57"/>
      <c r="P95" s="57"/>
      <c r="R95" s="57">
        <v>4</v>
      </c>
      <c r="S95" s="57">
        <v>1</v>
      </c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>
        <v>9</v>
      </c>
      <c r="AE95" s="57"/>
      <c r="AF95" s="57">
        <v>2</v>
      </c>
      <c r="AH95" s="57">
        <v>3</v>
      </c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>
        <v>1</v>
      </c>
      <c r="BI95" s="57"/>
      <c r="BJ95" s="57">
        <v>28</v>
      </c>
      <c r="BK95" s="57"/>
      <c r="BL95" s="57"/>
      <c r="BM95" s="57"/>
      <c r="BN95" s="57"/>
      <c r="BO95" s="57"/>
      <c r="BP95" s="57"/>
    </row>
    <row r="96" spans="1:68" ht="14" x14ac:dyDescent="0.15">
      <c r="A96" s="284" t="s">
        <v>313</v>
      </c>
      <c r="B96" s="285" t="s">
        <v>277</v>
      </c>
      <c r="C96" s="285" t="s">
        <v>287</v>
      </c>
      <c r="D96" s="285" t="s">
        <v>314</v>
      </c>
      <c r="E96" s="285" t="s">
        <v>204</v>
      </c>
      <c r="F96" s="286">
        <v>8</v>
      </c>
      <c r="G96" s="298">
        <v>200</v>
      </c>
      <c r="H96" s="302"/>
      <c r="I96" s="56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>
        <v>7</v>
      </c>
      <c r="AK96" s="57"/>
      <c r="AL96" s="57">
        <v>3</v>
      </c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>
        <v>1</v>
      </c>
      <c r="BG96" s="57"/>
      <c r="BH96" s="57"/>
      <c r="BI96" s="57"/>
      <c r="BJ96" s="57"/>
      <c r="BK96" s="57"/>
      <c r="BL96" s="57"/>
      <c r="BM96" s="57"/>
      <c r="BN96" s="57"/>
      <c r="BO96" s="57"/>
      <c r="BP96" s="57"/>
    </row>
    <row r="97" spans="1:68" ht="14" x14ac:dyDescent="0.15">
      <c r="A97" s="284" t="s">
        <v>315</v>
      </c>
      <c r="B97" s="285" t="s">
        <v>277</v>
      </c>
      <c r="C97" s="285" t="s">
        <v>287</v>
      </c>
      <c r="D97" s="285" t="s">
        <v>316</v>
      </c>
      <c r="E97" s="285" t="s">
        <v>204</v>
      </c>
      <c r="F97" s="286">
        <v>8</v>
      </c>
      <c r="G97" s="298">
        <v>256</v>
      </c>
      <c r="H97" s="302"/>
      <c r="I97" s="56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>
        <v>1</v>
      </c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>
        <v>3</v>
      </c>
      <c r="BN97" s="57"/>
      <c r="BO97" s="57">
        <v>12</v>
      </c>
      <c r="BP97" s="57">
        <v>14</v>
      </c>
    </row>
    <row r="98" spans="1:68" ht="14" x14ac:dyDescent="0.15">
      <c r="A98" s="284" t="s">
        <v>317</v>
      </c>
      <c r="B98" s="285" t="s">
        <v>277</v>
      </c>
      <c r="C98" s="285" t="s">
        <v>287</v>
      </c>
      <c r="D98" s="285" t="s">
        <v>318</v>
      </c>
      <c r="E98" s="285" t="s">
        <v>204</v>
      </c>
      <c r="F98" s="286">
        <v>8</v>
      </c>
      <c r="G98" s="298">
        <v>408</v>
      </c>
      <c r="H98" s="302"/>
      <c r="I98" s="56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>
        <v>1</v>
      </c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</row>
    <row r="99" spans="1:68" ht="14" x14ac:dyDescent="0.15">
      <c r="A99" s="284" t="s">
        <v>319</v>
      </c>
      <c r="B99" s="285" t="s">
        <v>277</v>
      </c>
      <c r="C99" s="285" t="s">
        <v>287</v>
      </c>
      <c r="D99" s="285" t="s">
        <v>320</v>
      </c>
      <c r="E99" s="285" t="s">
        <v>204</v>
      </c>
      <c r="F99" s="286">
        <v>12</v>
      </c>
      <c r="G99" s="298">
        <v>128</v>
      </c>
      <c r="H99" s="302"/>
      <c r="I99" s="56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>
        <v>1</v>
      </c>
      <c r="AE99" s="57"/>
      <c r="AF99" s="57"/>
      <c r="AG99" s="57"/>
      <c r="AH99" s="57"/>
      <c r="AI99" s="57"/>
      <c r="AJ99" s="57"/>
      <c r="AK99" s="57"/>
      <c r="AL99" s="57"/>
      <c r="AM99" s="57">
        <v>1</v>
      </c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</row>
    <row r="100" spans="1:68" ht="14" x14ac:dyDescent="0.15">
      <c r="A100" s="284" t="s">
        <v>321</v>
      </c>
      <c r="B100" s="285" t="s">
        <v>277</v>
      </c>
      <c r="C100" s="285" t="s">
        <v>287</v>
      </c>
      <c r="D100" s="285" t="s">
        <v>322</v>
      </c>
      <c r="E100" s="285" t="s">
        <v>204</v>
      </c>
      <c r="F100" s="286">
        <v>16</v>
      </c>
      <c r="G100" s="298">
        <v>160</v>
      </c>
      <c r="H100" s="302"/>
      <c r="I100" s="56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>
        <v>1</v>
      </c>
      <c r="BF100" s="57"/>
      <c r="BG100" s="57">
        <v>14</v>
      </c>
      <c r="BH100" s="57"/>
      <c r="BI100" s="57"/>
      <c r="BJ100" s="57"/>
      <c r="BK100" s="57"/>
      <c r="BL100" s="57">
        <v>1</v>
      </c>
      <c r="BM100" s="57">
        <v>1</v>
      </c>
      <c r="BN100" s="57"/>
      <c r="BO100" s="57"/>
      <c r="BP100" s="57"/>
    </row>
    <row r="101" spans="1:68" ht="14" x14ac:dyDescent="0.15">
      <c r="A101" s="284" t="s">
        <v>323</v>
      </c>
      <c r="B101" s="285" t="s">
        <v>277</v>
      </c>
      <c r="C101" s="285" t="s">
        <v>287</v>
      </c>
      <c r="D101" s="285" t="s">
        <v>324</v>
      </c>
      <c r="E101" s="285" t="s">
        <v>204</v>
      </c>
      <c r="F101" s="286">
        <v>16</v>
      </c>
      <c r="G101" s="298">
        <v>240</v>
      </c>
      <c r="H101" s="302"/>
      <c r="I101" s="56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X101" s="57">
        <v>2</v>
      </c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>
        <v>1</v>
      </c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>
        <v>1</v>
      </c>
      <c r="BH101" s="57"/>
      <c r="BI101" s="57"/>
      <c r="BJ101" s="57"/>
      <c r="BK101" s="57"/>
      <c r="BL101" s="57"/>
      <c r="BM101" s="57"/>
      <c r="BN101" s="57">
        <v>4</v>
      </c>
      <c r="BO101" s="57">
        <v>2</v>
      </c>
      <c r="BP101" s="57">
        <v>5</v>
      </c>
    </row>
    <row r="102" spans="1:68" ht="14" x14ac:dyDescent="0.15">
      <c r="A102" s="284" t="s">
        <v>325</v>
      </c>
      <c r="B102" s="285" t="s">
        <v>277</v>
      </c>
      <c r="C102" s="285" t="s">
        <v>287</v>
      </c>
      <c r="D102" s="285" t="s">
        <v>326</v>
      </c>
      <c r="E102" s="285" t="s">
        <v>204</v>
      </c>
      <c r="F102" s="286">
        <v>24</v>
      </c>
      <c r="G102" s="298">
        <v>64</v>
      </c>
      <c r="H102" s="302"/>
      <c r="I102" s="56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>
        <v>2</v>
      </c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>
        <v>1</v>
      </c>
      <c r="BG102" s="57">
        <v>4</v>
      </c>
      <c r="BH102" s="57"/>
      <c r="BI102" s="57"/>
      <c r="BJ102" s="57"/>
      <c r="BK102" s="57"/>
      <c r="BL102" s="57"/>
      <c r="BM102" s="57"/>
      <c r="BN102" s="57"/>
      <c r="BO102" s="57"/>
      <c r="BP102" s="57"/>
    </row>
    <row r="103" spans="1:68" ht="14" x14ac:dyDescent="0.15">
      <c r="A103" s="284" t="s">
        <v>327</v>
      </c>
      <c r="B103" s="285" t="s">
        <v>277</v>
      </c>
      <c r="C103" s="285" t="s">
        <v>287</v>
      </c>
      <c r="D103" s="285" t="s">
        <v>328</v>
      </c>
      <c r="E103" s="285" t="s">
        <v>204</v>
      </c>
      <c r="F103" s="286">
        <v>32</v>
      </c>
      <c r="G103" s="298">
        <v>1400</v>
      </c>
      <c r="H103" s="302"/>
      <c r="I103" s="56">
        <v>1</v>
      </c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</row>
    <row r="104" spans="1:68" ht="14" x14ac:dyDescent="0.15">
      <c r="A104" s="284" t="s">
        <v>332</v>
      </c>
      <c r="B104" s="285" t="s">
        <v>277</v>
      </c>
      <c r="C104" s="285" t="s">
        <v>330</v>
      </c>
      <c r="D104" s="285" t="s">
        <v>333</v>
      </c>
      <c r="E104" s="285" t="s">
        <v>116</v>
      </c>
      <c r="F104" s="286">
        <v>16</v>
      </c>
      <c r="G104" s="298">
        <v>32</v>
      </c>
      <c r="H104" s="302"/>
      <c r="I104" s="56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>
        <v>1</v>
      </c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>
        <v>1</v>
      </c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>
        <v>1</v>
      </c>
      <c r="BH104" s="57"/>
      <c r="BI104" s="57">
        <v>1</v>
      </c>
      <c r="BJ104" s="57"/>
      <c r="BK104" s="57">
        <v>1</v>
      </c>
      <c r="BL104" s="57"/>
      <c r="BM104" s="57"/>
      <c r="BN104" s="57">
        <v>1</v>
      </c>
      <c r="BO104" s="57"/>
      <c r="BP104" s="57"/>
    </row>
    <row r="105" spans="1:68" ht="14" x14ac:dyDescent="0.15">
      <c r="A105" s="284" t="s">
        <v>334</v>
      </c>
      <c r="B105" s="285" t="s">
        <v>277</v>
      </c>
      <c r="C105" s="285" t="s">
        <v>330</v>
      </c>
      <c r="D105" s="285" t="s">
        <v>335</v>
      </c>
      <c r="E105" s="285" t="s">
        <v>116</v>
      </c>
      <c r="F105" s="286">
        <v>32</v>
      </c>
      <c r="G105" s="298">
        <v>48</v>
      </c>
      <c r="H105" s="302"/>
      <c r="I105" s="56"/>
      <c r="J105" s="57"/>
      <c r="K105" s="57"/>
      <c r="L105" s="57"/>
      <c r="M105" s="57"/>
      <c r="N105" s="57"/>
      <c r="O105" s="57"/>
      <c r="P105" s="57"/>
      <c r="Q105" s="57"/>
      <c r="R105" s="57"/>
      <c r="S105" s="57">
        <v>5</v>
      </c>
      <c r="T105" s="57"/>
      <c r="U105" s="57"/>
      <c r="V105" s="57"/>
      <c r="W105" s="57"/>
      <c r="X105" s="57">
        <v>1</v>
      </c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>
        <v>2</v>
      </c>
      <c r="BJ105" s="57"/>
      <c r="BK105" s="57"/>
      <c r="BL105" s="57"/>
      <c r="BM105" s="57"/>
      <c r="BN105" s="57">
        <v>3</v>
      </c>
      <c r="BO105" s="57">
        <v>4</v>
      </c>
      <c r="BP105" s="57"/>
    </row>
    <row r="106" spans="1:68" ht="14" x14ac:dyDescent="0.15">
      <c r="A106" s="284" t="s">
        <v>336</v>
      </c>
      <c r="B106" s="285" t="s">
        <v>277</v>
      </c>
      <c r="C106" s="285" t="s">
        <v>330</v>
      </c>
      <c r="D106" s="285" t="s">
        <v>337</v>
      </c>
      <c r="E106" s="285" t="s">
        <v>116</v>
      </c>
      <c r="F106" s="286">
        <v>32</v>
      </c>
      <c r="G106" s="298">
        <v>80</v>
      </c>
      <c r="H106" s="302"/>
      <c r="I106" s="56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>
        <v>1</v>
      </c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>
        <v>4</v>
      </c>
      <c r="BH106" s="57">
        <v>1</v>
      </c>
      <c r="BI106" s="57"/>
      <c r="BJ106" s="57">
        <v>1</v>
      </c>
      <c r="BK106" s="57"/>
      <c r="BL106" s="57"/>
      <c r="BM106" s="57"/>
      <c r="BN106" s="57"/>
      <c r="BO106" s="57"/>
      <c r="BP106" s="57">
        <v>3</v>
      </c>
    </row>
    <row r="107" spans="1:68" ht="14" x14ac:dyDescent="0.15">
      <c r="A107" s="284" t="s">
        <v>338</v>
      </c>
      <c r="B107" s="285" t="s">
        <v>277</v>
      </c>
      <c r="C107" s="285" t="s">
        <v>103</v>
      </c>
      <c r="D107" s="285" t="s">
        <v>339</v>
      </c>
      <c r="E107" s="285" t="s">
        <v>116</v>
      </c>
      <c r="F107" s="286">
        <v>8</v>
      </c>
      <c r="G107" s="298">
        <v>24</v>
      </c>
      <c r="H107" s="302"/>
      <c r="I107" s="56"/>
      <c r="J107" s="57"/>
      <c r="K107" s="57"/>
      <c r="L107" s="57"/>
      <c r="M107" s="57">
        <v>1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>
        <v>2</v>
      </c>
      <c r="BM107" s="57"/>
      <c r="BN107" s="57"/>
      <c r="BO107" s="57"/>
      <c r="BP107" s="57"/>
    </row>
    <row r="108" spans="1:68" ht="14" x14ac:dyDescent="0.15">
      <c r="A108" s="284" t="s">
        <v>340</v>
      </c>
      <c r="B108" s="285" t="s">
        <v>277</v>
      </c>
      <c r="C108" s="285" t="s">
        <v>103</v>
      </c>
      <c r="D108" s="285" t="s">
        <v>341</v>
      </c>
      <c r="E108" s="285" t="s">
        <v>116</v>
      </c>
      <c r="F108" s="286">
        <v>9.6</v>
      </c>
      <c r="G108" s="298">
        <v>24</v>
      </c>
      <c r="H108" s="302"/>
      <c r="I108" s="56"/>
      <c r="J108" s="57"/>
      <c r="K108" s="57"/>
      <c r="L108" s="57"/>
      <c r="M108" s="57"/>
      <c r="N108" s="57"/>
      <c r="O108" s="57"/>
      <c r="P108" s="57"/>
      <c r="Q108" s="57"/>
      <c r="R108" s="57"/>
      <c r="S108" s="57">
        <v>3</v>
      </c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</row>
    <row r="109" spans="1:68" ht="14" x14ac:dyDescent="0.15">
      <c r="A109" s="284" t="s">
        <v>342</v>
      </c>
      <c r="B109" s="285" t="s">
        <v>277</v>
      </c>
      <c r="C109" s="285" t="s">
        <v>103</v>
      </c>
      <c r="D109" s="285" t="s">
        <v>343</v>
      </c>
      <c r="E109" s="285" t="s">
        <v>109</v>
      </c>
      <c r="F109" s="286">
        <v>16</v>
      </c>
      <c r="G109" s="298">
        <v>32</v>
      </c>
      <c r="H109" s="303">
        <v>16</v>
      </c>
      <c r="I109" s="56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>
        <v>1</v>
      </c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</row>
    <row r="110" spans="1:68" ht="14" x14ac:dyDescent="0.15">
      <c r="A110" s="284" t="s">
        <v>348</v>
      </c>
      <c r="B110" s="285" t="s">
        <v>277</v>
      </c>
      <c r="C110" s="285" t="s">
        <v>349</v>
      </c>
      <c r="D110" s="285" t="s">
        <v>350</v>
      </c>
      <c r="E110" s="285" t="s">
        <v>109</v>
      </c>
      <c r="F110" s="286">
        <v>2</v>
      </c>
      <c r="G110" s="298">
        <v>96</v>
      </c>
      <c r="H110" s="303">
        <v>2</v>
      </c>
      <c r="I110" s="56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>
        <v>1</v>
      </c>
      <c r="BN110" s="57">
        <v>1</v>
      </c>
      <c r="BO110" s="57"/>
      <c r="BP110" s="57">
        <v>4</v>
      </c>
    </row>
    <row r="111" spans="1:68" ht="14" x14ac:dyDescent="0.15">
      <c r="A111" s="284" t="s">
        <v>351</v>
      </c>
      <c r="B111" s="285" t="s">
        <v>277</v>
      </c>
      <c r="C111" s="285" t="s">
        <v>349</v>
      </c>
      <c r="D111" s="285" t="s">
        <v>352</v>
      </c>
      <c r="E111" s="285" t="s">
        <v>204</v>
      </c>
      <c r="F111" s="286">
        <v>4</v>
      </c>
      <c r="G111" s="298">
        <v>16</v>
      </c>
      <c r="H111" s="302"/>
      <c r="I111" s="56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>
        <v>8</v>
      </c>
      <c r="BH111" s="57"/>
      <c r="BI111" s="57"/>
      <c r="BJ111" s="57"/>
      <c r="BK111" s="57"/>
      <c r="BL111" s="57"/>
      <c r="BM111" s="57"/>
      <c r="BN111" s="57"/>
      <c r="BO111" s="57"/>
      <c r="BP111" s="57"/>
    </row>
    <row r="112" spans="1:68" ht="14" x14ac:dyDescent="0.15">
      <c r="A112" s="284" t="s">
        <v>353</v>
      </c>
      <c r="B112" s="285" t="s">
        <v>277</v>
      </c>
      <c r="C112" s="285" t="s">
        <v>349</v>
      </c>
      <c r="D112" s="285" t="s">
        <v>354</v>
      </c>
      <c r="E112" s="285" t="s">
        <v>204</v>
      </c>
      <c r="F112" s="286">
        <v>4</v>
      </c>
      <c r="G112" s="298">
        <v>24</v>
      </c>
      <c r="H112" s="302"/>
      <c r="I112" s="56"/>
      <c r="J112" s="57"/>
      <c r="K112" s="57"/>
      <c r="L112" s="57"/>
      <c r="M112" s="57"/>
      <c r="N112" s="57"/>
      <c r="O112" s="57"/>
      <c r="P112" s="57"/>
      <c r="Q112" s="57"/>
      <c r="R112" s="57"/>
      <c r="S112" s="57">
        <v>2</v>
      </c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>
        <v>4</v>
      </c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>
        <v>33</v>
      </c>
      <c r="BH112" s="57"/>
      <c r="BI112" s="57"/>
      <c r="BJ112" s="57"/>
      <c r="BK112" s="57"/>
      <c r="BL112" s="57"/>
      <c r="BM112" s="57"/>
      <c r="BN112" s="57"/>
      <c r="BO112" s="57"/>
      <c r="BP112" s="57"/>
    </row>
    <row r="113" spans="1:68" ht="14" x14ac:dyDescent="0.15">
      <c r="A113" s="284" t="s">
        <v>355</v>
      </c>
      <c r="B113" s="285" t="s">
        <v>277</v>
      </c>
      <c r="C113" s="285" t="s">
        <v>349</v>
      </c>
      <c r="D113" s="285" t="s">
        <v>356</v>
      </c>
      <c r="E113" s="285" t="s">
        <v>204</v>
      </c>
      <c r="F113" s="286">
        <v>4</v>
      </c>
      <c r="G113" s="298">
        <v>32</v>
      </c>
      <c r="H113" s="304"/>
      <c r="I113" s="56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>
        <v>4</v>
      </c>
      <c r="BO113" s="57">
        <v>12</v>
      </c>
      <c r="BP113" s="57"/>
    </row>
    <row r="114" spans="1:68" ht="14" x14ac:dyDescent="0.15">
      <c r="A114" s="284" t="s">
        <v>357</v>
      </c>
      <c r="B114" s="285" t="s">
        <v>277</v>
      </c>
      <c r="C114" s="285" t="s">
        <v>349</v>
      </c>
      <c r="D114" s="285" t="s">
        <v>358</v>
      </c>
      <c r="E114" s="285" t="s">
        <v>109</v>
      </c>
      <c r="F114" s="286">
        <v>4</v>
      </c>
      <c r="G114" s="298">
        <v>40</v>
      </c>
      <c r="H114" s="303">
        <v>4</v>
      </c>
      <c r="I114" s="56"/>
      <c r="J114" s="57"/>
      <c r="K114" s="57"/>
      <c r="L114" s="57">
        <v>2</v>
      </c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>
        <v>17</v>
      </c>
      <c r="AN114" s="57"/>
      <c r="AO114" s="57">
        <f>1+1</f>
        <v>2</v>
      </c>
      <c r="AP114" s="57"/>
      <c r="AQ114" s="57"/>
      <c r="AR114" s="57"/>
      <c r="AS114" s="57"/>
      <c r="AT114" s="57"/>
      <c r="AU114" s="57">
        <f>4+11</f>
        <v>15</v>
      </c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</row>
    <row r="115" spans="1:68" ht="14" x14ac:dyDescent="0.15">
      <c r="A115" s="284" t="s">
        <v>359</v>
      </c>
      <c r="B115" s="285" t="s">
        <v>277</v>
      </c>
      <c r="C115" s="285" t="s">
        <v>349</v>
      </c>
      <c r="D115" s="285" t="s">
        <v>360</v>
      </c>
      <c r="E115" s="285" t="s">
        <v>109</v>
      </c>
      <c r="F115" s="286">
        <v>4</v>
      </c>
      <c r="G115" s="298">
        <v>56</v>
      </c>
      <c r="H115" s="303">
        <v>4</v>
      </c>
      <c r="I115" s="56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>
        <v>8</v>
      </c>
      <c r="BN115" s="57"/>
      <c r="BO115" s="57"/>
      <c r="BP115" s="57">
        <v>81</v>
      </c>
    </row>
    <row r="116" spans="1:68" ht="14" x14ac:dyDescent="0.15">
      <c r="A116" s="284" t="s">
        <v>361</v>
      </c>
      <c r="B116" s="285" t="s">
        <v>277</v>
      </c>
      <c r="C116" s="285" t="s">
        <v>349</v>
      </c>
      <c r="D116" s="285" t="s">
        <v>362</v>
      </c>
      <c r="E116" s="285" t="s">
        <v>109</v>
      </c>
      <c r="F116" s="286">
        <v>4</v>
      </c>
      <c r="G116" s="298">
        <v>64</v>
      </c>
      <c r="H116" s="303">
        <v>4</v>
      </c>
      <c r="I116" s="56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>
        <v>1</v>
      </c>
      <c r="AO116" s="57">
        <v>1</v>
      </c>
      <c r="AP116" s="57">
        <v>1</v>
      </c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>
        <v>1</v>
      </c>
      <c r="BL116" s="57"/>
      <c r="BM116" s="57"/>
      <c r="BN116" s="57"/>
      <c r="BO116" s="57">
        <f>74+12</f>
        <v>86</v>
      </c>
      <c r="BP116" s="57">
        <v>15</v>
      </c>
    </row>
    <row r="117" spans="1:68" ht="14" x14ac:dyDescent="0.15">
      <c r="A117" s="284" t="s">
        <v>363</v>
      </c>
      <c r="B117" s="285" t="s">
        <v>277</v>
      </c>
      <c r="C117" s="285" t="s">
        <v>349</v>
      </c>
      <c r="D117" s="285" t="s">
        <v>364</v>
      </c>
      <c r="E117" s="285" t="s">
        <v>109</v>
      </c>
      <c r="F117" s="286">
        <v>4</v>
      </c>
      <c r="G117" s="298">
        <v>96</v>
      </c>
      <c r="H117" s="303">
        <v>4</v>
      </c>
      <c r="I117" s="56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>
        <v>1</v>
      </c>
      <c r="AD117" s="57"/>
      <c r="AE117" s="57">
        <v>1</v>
      </c>
      <c r="AF117" s="57"/>
      <c r="AG117" s="57"/>
      <c r="AH117" s="57"/>
      <c r="AI117" s="57"/>
      <c r="AJ117" s="57"/>
      <c r="AK117" s="57"/>
      <c r="AL117" s="57"/>
      <c r="AM117" s="57">
        <v>7</v>
      </c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>
        <v>14</v>
      </c>
      <c r="BO117" s="57"/>
      <c r="BP117" s="57"/>
    </row>
    <row r="118" spans="1:68" ht="14" x14ac:dyDescent="0.15">
      <c r="A118" s="284" t="s">
        <v>365</v>
      </c>
      <c r="B118" s="285" t="s">
        <v>277</v>
      </c>
      <c r="C118" s="285" t="s">
        <v>349</v>
      </c>
      <c r="D118" s="285" t="s">
        <v>366</v>
      </c>
      <c r="E118" s="285" t="s">
        <v>109</v>
      </c>
      <c r="F118" s="286">
        <v>4</v>
      </c>
      <c r="G118" s="298">
        <v>120</v>
      </c>
      <c r="H118" s="303">
        <v>4</v>
      </c>
      <c r="I118" s="56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>
        <v>1</v>
      </c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</row>
    <row r="119" spans="1:68" ht="14" x14ac:dyDescent="0.15">
      <c r="A119" s="284" t="s">
        <v>367</v>
      </c>
      <c r="B119" s="285" t="s">
        <v>277</v>
      </c>
      <c r="C119" s="285" t="s">
        <v>349</v>
      </c>
      <c r="D119" s="285" t="s">
        <v>368</v>
      </c>
      <c r="E119" s="285" t="s">
        <v>109</v>
      </c>
      <c r="F119" s="286">
        <v>4</v>
      </c>
      <c r="G119" s="298">
        <v>160</v>
      </c>
      <c r="H119" s="303">
        <v>4</v>
      </c>
      <c r="I119" s="56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>
        <v>1</v>
      </c>
      <c r="BL119" s="57"/>
      <c r="BM119" s="57"/>
      <c r="BN119" s="57">
        <v>34</v>
      </c>
      <c r="BO119" s="57">
        <v>5</v>
      </c>
      <c r="BP119" s="57"/>
    </row>
    <row r="120" spans="1:68" ht="14" x14ac:dyDescent="0.15">
      <c r="A120" s="284" t="s">
        <v>369</v>
      </c>
      <c r="B120" s="285" t="s">
        <v>277</v>
      </c>
      <c r="C120" s="285" t="s">
        <v>349</v>
      </c>
      <c r="D120" s="285" t="s">
        <v>370</v>
      </c>
      <c r="E120" s="285" t="s">
        <v>109</v>
      </c>
      <c r="F120" s="286">
        <v>4</v>
      </c>
      <c r="G120" s="298">
        <v>200</v>
      </c>
      <c r="H120" s="303">
        <v>4</v>
      </c>
      <c r="I120" s="56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>
        <v>1</v>
      </c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>
        <v>7</v>
      </c>
      <c r="BI120" s="57"/>
      <c r="BJ120" s="57"/>
      <c r="BK120" s="57"/>
      <c r="BL120" s="57"/>
      <c r="BM120" s="57"/>
      <c r="BN120" s="57"/>
      <c r="BO120" s="57"/>
      <c r="BP120" s="57"/>
    </row>
    <row r="121" spans="1:68" ht="14" x14ac:dyDescent="0.15">
      <c r="A121" s="284" t="s">
        <v>371</v>
      </c>
      <c r="B121" s="285" t="s">
        <v>277</v>
      </c>
      <c r="C121" s="285" t="s">
        <v>349</v>
      </c>
      <c r="D121" s="285" t="s">
        <v>372</v>
      </c>
      <c r="E121" s="285" t="s">
        <v>116</v>
      </c>
      <c r="F121" s="286">
        <v>4</v>
      </c>
      <c r="G121" s="298">
        <v>240</v>
      </c>
      <c r="H121" s="302"/>
      <c r="I121" s="56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>
        <v>2</v>
      </c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>
        <v>30</v>
      </c>
      <c r="BP121" s="57"/>
    </row>
    <row r="122" spans="1:68" ht="14" x14ac:dyDescent="0.15">
      <c r="A122" s="284" t="s">
        <v>373</v>
      </c>
      <c r="B122" s="285" t="s">
        <v>277</v>
      </c>
      <c r="C122" s="285" t="s">
        <v>349</v>
      </c>
      <c r="D122" s="285" t="s">
        <v>374</v>
      </c>
      <c r="E122" s="285" t="s">
        <v>204</v>
      </c>
      <c r="F122" s="286">
        <v>6</v>
      </c>
      <c r="G122" s="298">
        <v>40</v>
      </c>
      <c r="H122" s="302"/>
      <c r="I122" s="56"/>
      <c r="J122" s="57"/>
      <c r="K122" s="57"/>
      <c r="L122" s="57"/>
      <c r="M122" s="57"/>
      <c r="N122" s="57"/>
      <c r="O122" s="57">
        <v>1</v>
      </c>
      <c r="P122" s="57"/>
      <c r="Q122" s="57"/>
      <c r="R122" s="57">
        <v>2</v>
      </c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>
        <v>7</v>
      </c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</row>
    <row r="123" spans="1:68" ht="14" x14ac:dyDescent="0.15">
      <c r="A123" s="284" t="s">
        <v>375</v>
      </c>
      <c r="B123" s="285" t="s">
        <v>277</v>
      </c>
      <c r="C123" s="285" t="s">
        <v>349</v>
      </c>
      <c r="D123" s="285" t="s">
        <v>376</v>
      </c>
      <c r="E123" s="285" t="s">
        <v>204</v>
      </c>
      <c r="F123" s="286">
        <v>6</v>
      </c>
      <c r="G123" s="298">
        <v>48</v>
      </c>
      <c r="H123" s="302"/>
      <c r="I123" s="56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>
        <v>11</v>
      </c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>
        <v>41</v>
      </c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>
        <v>8</v>
      </c>
      <c r="BM123" s="57"/>
      <c r="BN123" s="57"/>
      <c r="BO123" s="57"/>
      <c r="BP123" s="57"/>
    </row>
    <row r="124" spans="1:68" ht="14" x14ac:dyDescent="0.15">
      <c r="A124" s="284" t="s">
        <v>377</v>
      </c>
      <c r="B124" s="285" t="s">
        <v>277</v>
      </c>
      <c r="C124" s="285" t="s">
        <v>349</v>
      </c>
      <c r="D124" s="285" t="s">
        <v>378</v>
      </c>
      <c r="E124" s="285" t="s">
        <v>109</v>
      </c>
      <c r="F124" s="286">
        <v>6</v>
      </c>
      <c r="G124" s="298">
        <v>56</v>
      </c>
      <c r="H124" s="303">
        <v>6</v>
      </c>
      <c r="I124" s="56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U124" s="57">
        <v>6</v>
      </c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>
        <v>1</v>
      </c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</row>
    <row r="125" spans="1:68" ht="14" x14ac:dyDescent="0.15">
      <c r="A125" s="284" t="s">
        <v>379</v>
      </c>
      <c r="B125" s="285" t="s">
        <v>277</v>
      </c>
      <c r="C125" s="285" t="s">
        <v>349</v>
      </c>
      <c r="D125" s="285" t="s">
        <v>380</v>
      </c>
      <c r="E125" s="285" t="s">
        <v>109</v>
      </c>
      <c r="F125" s="286">
        <v>6</v>
      </c>
      <c r="G125" s="298">
        <v>64</v>
      </c>
      <c r="H125" s="303">
        <v>6</v>
      </c>
      <c r="I125" s="56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>
        <v>7</v>
      </c>
      <c r="AA125" s="57"/>
      <c r="AB125" s="57">
        <v>19</v>
      </c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>
        <v>10</v>
      </c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</row>
    <row r="126" spans="1:68" ht="14" x14ac:dyDescent="0.15">
      <c r="A126" s="284" t="s">
        <v>381</v>
      </c>
      <c r="B126" s="285" t="s">
        <v>277</v>
      </c>
      <c r="C126" s="285" t="s">
        <v>349</v>
      </c>
      <c r="D126" s="285" t="s">
        <v>382</v>
      </c>
      <c r="E126" s="285" t="s">
        <v>109</v>
      </c>
      <c r="F126" s="286">
        <v>6</v>
      </c>
      <c r="G126" s="298">
        <v>72</v>
      </c>
      <c r="H126" s="303">
        <v>6</v>
      </c>
      <c r="I126" s="56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>
        <v>6</v>
      </c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>
        <v>1</v>
      </c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</row>
    <row r="127" spans="1:68" ht="14" x14ac:dyDescent="0.15">
      <c r="A127" s="284" t="s">
        <v>383</v>
      </c>
      <c r="B127" s="285" t="s">
        <v>277</v>
      </c>
      <c r="C127" s="285" t="s">
        <v>349</v>
      </c>
      <c r="D127" s="285" t="s">
        <v>384</v>
      </c>
      <c r="E127" s="285" t="s">
        <v>204</v>
      </c>
      <c r="F127" s="286">
        <v>6</v>
      </c>
      <c r="G127" s="298">
        <v>80</v>
      </c>
      <c r="H127" s="302"/>
      <c r="I127" s="56"/>
      <c r="J127" s="57"/>
      <c r="K127" s="57"/>
      <c r="L127" s="57"/>
      <c r="M127" s="57"/>
      <c r="N127" s="57"/>
      <c r="O127" s="57"/>
      <c r="P127" s="57"/>
      <c r="Q127" s="57">
        <v>3</v>
      </c>
      <c r="R127" s="57"/>
      <c r="S127" s="57"/>
      <c r="T127" s="57">
        <v>3</v>
      </c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>
        <v>3</v>
      </c>
      <c r="AL127" s="57">
        <v>1</v>
      </c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</row>
    <row r="128" spans="1:68" ht="14" x14ac:dyDescent="0.15">
      <c r="A128" s="284" t="s">
        <v>385</v>
      </c>
      <c r="B128" s="285" t="s">
        <v>277</v>
      </c>
      <c r="C128" s="285" t="s">
        <v>349</v>
      </c>
      <c r="D128" s="285" t="s">
        <v>386</v>
      </c>
      <c r="E128" s="285" t="s">
        <v>204</v>
      </c>
      <c r="F128" s="286">
        <v>6</v>
      </c>
      <c r="G128" s="298">
        <v>120</v>
      </c>
      <c r="H128" s="302"/>
      <c r="I128" s="56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U128" s="57">
        <v>2</v>
      </c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>
        <v>2</v>
      </c>
      <c r="AL128" s="57"/>
      <c r="AM128" s="57"/>
      <c r="AN128" s="57"/>
      <c r="AO128" s="57"/>
      <c r="AP128" s="57"/>
      <c r="AQ128" s="57"/>
      <c r="AR128" s="57"/>
      <c r="AS128" s="57"/>
      <c r="AT128" s="57">
        <v>3</v>
      </c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</row>
    <row r="129" spans="1:68" ht="14" x14ac:dyDescent="0.15">
      <c r="A129" s="284" t="s">
        <v>387</v>
      </c>
      <c r="B129" s="285" t="s">
        <v>277</v>
      </c>
      <c r="C129" s="285" t="s">
        <v>349</v>
      </c>
      <c r="D129" s="285" t="s">
        <v>388</v>
      </c>
      <c r="E129" s="285" t="s">
        <v>109</v>
      </c>
      <c r="F129" s="286">
        <v>6</v>
      </c>
      <c r="G129" s="298">
        <v>160</v>
      </c>
      <c r="H129" s="302">
        <v>6</v>
      </c>
      <c r="I129" s="56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>
        <v>1</v>
      </c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>
        <v>27</v>
      </c>
      <c r="BH129" s="57"/>
      <c r="BI129" s="57"/>
      <c r="BJ129" s="57"/>
      <c r="BK129" s="57"/>
      <c r="BL129" s="57"/>
      <c r="BM129" s="57"/>
      <c r="BN129" s="57">
        <v>11</v>
      </c>
      <c r="BO129" s="57">
        <v>16</v>
      </c>
      <c r="BP129" s="57"/>
    </row>
    <row r="130" spans="1:68" ht="14" x14ac:dyDescent="0.15">
      <c r="A130" s="284" t="s">
        <v>389</v>
      </c>
      <c r="B130" s="285" t="s">
        <v>277</v>
      </c>
      <c r="C130" s="285" t="s">
        <v>349</v>
      </c>
      <c r="D130" s="285" t="s">
        <v>390</v>
      </c>
      <c r="E130" s="285" t="s">
        <v>109</v>
      </c>
      <c r="F130" s="286">
        <v>6.4</v>
      </c>
      <c r="G130" s="298">
        <v>36</v>
      </c>
      <c r="H130" s="302">
        <v>6.4</v>
      </c>
      <c r="I130" s="56"/>
      <c r="J130" s="57"/>
      <c r="K130" s="57"/>
      <c r="L130" s="57"/>
      <c r="M130" s="57"/>
      <c r="N130" s="57"/>
      <c r="O130" s="57"/>
      <c r="P130" s="57"/>
      <c r="Q130" s="57"/>
      <c r="R130" s="57"/>
      <c r="S130" s="57">
        <v>24</v>
      </c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</row>
    <row r="131" spans="1:68" ht="14" x14ac:dyDescent="0.15">
      <c r="A131" s="284" t="s">
        <v>391</v>
      </c>
      <c r="B131" s="285" t="s">
        <v>277</v>
      </c>
      <c r="C131" s="285" t="s">
        <v>349</v>
      </c>
      <c r="D131" s="285" t="s">
        <v>392</v>
      </c>
      <c r="E131" s="285" t="s">
        <v>116</v>
      </c>
      <c r="F131" s="286">
        <v>8</v>
      </c>
      <c r="G131" s="298">
        <v>24</v>
      </c>
      <c r="H131" s="302"/>
      <c r="I131" s="56"/>
      <c r="J131" s="57"/>
      <c r="K131" s="57"/>
      <c r="L131" s="57">
        <v>1</v>
      </c>
      <c r="M131" s="57"/>
      <c r="N131" s="57"/>
      <c r="O131" s="57"/>
      <c r="P131" s="57"/>
      <c r="Q131" s="57"/>
      <c r="R131" s="57"/>
      <c r="S131" s="57">
        <v>17</v>
      </c>
      <c r="T131" s="57"/>
      <c r="U131" s="57"/>
      <c r="V131" s="57"/>
      <c r="W131" s="57"/>
      <c r="X131" s="57"/>
      <c r="Y131" s="57"/>
      <c r="Z131" s="57"/>
      <c r="AA131" s="57">
        <v>3</v>
      </c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>
        <v>3</v>
      </c>
      <c r="AO131" s="57"/>
      <c r="AP131" s="57"/>
      <c r="AQ131" s="57"/>
      <c r="AR131" s="57">
        <v>4</v>
      </c>
      <c r="AS131" s="57"/>
      <c r="AT131" s="57"/>
      <c r="AU131" s="57">
        <v>5</v>
      </c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>
        <v>3</v>
      </c>
      <c r="BH131" s="57"/>
      <c r="BI131" s="57"/>
      <c r="BJ131" s="57"/>
      <c r="BK131" s="57"/>
      <c r="BL131" s="57"/>
      <c r="BM131" s="57"/>
      <c r="BN131" s="57"/>
      <c r="BO131" s="57">
        <v>3</v>
      </c>
      <c r="BP131" s="57">
        <v>3</v>
      </c>
    </row>
    <row r="132" spans="1:68" ht="14" x14ac:dyDescent="0.15">
      <c r="A132" s="284" t="s">
        <v>393</v>
      </c>
      <c r="B132" s="285" t="s">
        <v>277</v>
      </c>
      <c r="C132" s="285" t="s">
        <v>349</v>
      </c>
      <c r="D132" s="285" t="s">
        <v>394</v>
      </c>
      <c r="E132" s="285" t="s">
        <v>109</v>
      </c>
      <c r="F132" s="286">
        <v>8</v>
      </c>
      <c r="G132" s="298">
        <v>32</v>
      </c>
      <c r="H132" s="303">
        <v>8</v>
      </c>
      <c r="I132" s="56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>
        <v>1</v>
      </c>
      <c r="AU132" s="57"/>
      <c r="AV132" s="57"/>
      <c r="AW132" s="57"/>
      <c r="AX132" s="57">
        <v>1</v>
      </c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>
        <v>6</v>
      </c>
      <c r="BK132" s="57"/>
      <c r="BL132" s="57"/>
      <c r="BM132" s="57"/>
      <c r="BN132" s="57"/>
      <c r="BO132" s="57"/>
      <c r="BP132" s="57"/>
    </row>
    <row r="133" spans="1:68" ht="14" x14ac:dyDescent="0.15">
      <c r="A133" s="284" t="s">
        <v>395</v>
      </c>
      <c r="B133" s="285" t="s">
        <v>277</v>
      </c>
      <c r="C133" s="285" t="s">
        <v>349</v>
      </c>
      <c r="D133" s="285" t="s">
        <v>396</v>
      </c>
      <c r="E133" s="285" t="s">
        <v>109</v>
      </c>
      <c r="F133" s="286">
        <v>8</v>
      </c>
      <c r="G133" s="298">
        <v>40</v>
      </c>
      <c r="H133" s="303">
        <v>8</v>
      </c>
      <c r="I133" s="56"/>
      <c r="J133" s="57"/>
      <c r="K133" s="57"/>
      <c r="L133" s="57"/>
      <c r="M133" s="57"/>
      <c r="N133" s="57"/>
      <c r="O133" s="57"/>
      <c r="P133" s="57">
        <v>1</v>
      </c>
      <c r="Q133" s="57"/>
      <c r="R133" s="57"/>
      <c r="S133" s="57"/>
      <c r="T133" s="57"/>
      <c r="U133" s="57"/>
      <c r="V133" s="57"/>
      <c r="W133" s="57">
        <v>2</v>
      </c>
      <c r="X133" s="57">
        <v>3</v>
      </c>
      <c r="Y133" s="57"/>
      <c r="Z133" s="57"/>
      <c r="AA133" s="57"/>
      <c r="AB133" s="57"/>
      <c r="AC133" s="57">
        <v>1</v>
      </c>
      <c r="AD133" s="57"/>
      <c r="AE133" s="57"/>
      <c r="AF133" s="57"/>
      <c r="AG133" s="57"/>
      <c r="AH133" s="57"/>
      <c r="AI133" s="57"/>
      <c r="AJ133" s="57"/>
      <c r="AK133" s="57"/>
      <c r="AL133" s="57"/>
      <c r="AM133" s="57">
        <v>2</v>
      </c>
      <c r="AN133" s="57">
        <v>1</v>
      </c>
      <c r="AO133" s="57"/>
      <c r="AP133" s="57"/>
      <c r="AQ133" s="57">
        <v>1</v>
      </c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>
        <v>5</v>
      </c>
      <c r="BJ133" s="57"/>
      <c r="BK133" s="57"/>
      <c r="BL133" s="57"/>
      <c r="BM133" s="57"/>
      <c r="BN133" s="57"/>
      <c r="BO133" s="57"/>
      <c r="BP133" s="57">
        <f>8+1</f>
        <v>9</v>
      </c>
    </row>
    <row r="134" spans="1:68" ht="14" x14ac:dyDescent="0.15">
      <c r="A134" s="284" t="s">
        <v>397</v>
      </c>
      <c r="B134" s="285" t="s">
        <v>277</v>
      </c>
      <c r="C134" s="285" t="s">
        <v>349</v>
      </c>
      <c r="D134" s="285" t="s">
        <v>398</v>
      </c>
      <c r="E134" s="285" t="s">
        <v>204</v>
      </c>
      <c r="F134" s="286">
        <v>8</v>
      </c>
      <c r="G134" s="298">
        <v>48</v>
      </c>
      <c r="H134" s="303"/>
      <c r="I134" s="56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>
        <v>6</v>
      </c>
      <c r="U134" s="57"/>
      <c r="V134" s="57"/>
      <c r="W134" s="57"/>
      <c r="X134" s="57"/>
      <c r="Z134" s="57">
        <v>2</v>
      </c>
      <c r="AA134" s="57"/>
      <c r="AB134" s="57"/>
      <c r="AC134" s="57"/>
      <c r="AD134" s="57"/>
      <c r="AE134" s="57"/>
      <c r="AF134" s="57"/>
      <c r="AG134" s="57">
        <v>1</v>
      </c>
      <c r="AH134" s="57"/>
      <c r="AI134" s="57"/>
      <c r="AJ134" s="57"/>
      <c r="AK134" s="57"/>
      <c r="AL134" s="57"/>
      <c r="AM134" s="57"/>
      <c r="AN134" s="57"/>
      <c r="AO134" s="57"/>
      <c r="AP134" s="57">
        <v>9</v>
      </c>
      <c r="AQ134" s="57"/>
      <c r="AR134" s="57">
        <f>11+3</f>
        <v>14</v>
      </c>
      <c r="AS134" s="57"/>
      <c r="AT134" s="57"/>
      <c r="AU134" s="57">
        <v>62</v>
      </c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>
        <v>91</v>
      </c>
      <c r="BK134" s="57"/>
      <c r="BL134" s="57">
        <v>8</v>
      </c>
      <c r="BM134" s="57"/>
      <c r="BN134" s="57"/>
      <c r="BO134" s="57">
        <v>6</v>
      </c>
      <c r="BP134" s="57"/>
    </row>
    <row r="135" spans="1:68" ht="14" x14ac:dyDescent="0.15">
      <c r="A135" s="284" t="s">
        <v>399</v>
      </c>
      <c r="B135" s="285" t="s">
        <v>277</v>
      </c>
      <c r="C135" s="285" t="s">
        <v>349</v>
      </c>
      <c r="D135" s="285" t="s">
        <v>400</v>
      </c>
      <c r="E135" s="285" t="s">
        <v>116</v>
      </c>
      <c r="F135" s="286">
        <v>8</v>
      </c>
      <c r="G135" s="298">
        <v>56</v>
      </c>
      <c r="H135" s="303"/>
      <c r="I135" s="56"/>
      <c r="J135" s="57">
        <f>3</f>
        <v>3</v>
      </c>
      <c r="K135" s="57">
        <v>2</v>
      </c>
      <c r="L135" s="57">
        <v>1</v>
      </c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>
        <v>2</v>
      </c>
      <c r="AN135" s="57"/>
      <c r="AO135" s="57"/>
      <c r="AP135" s="57"/>
      <c r="AQ135" s="57"/>
      <c r="AR135" s="57"/>
      <c r="AS135" s="57"/>
      <c r="AT135" s="57">
        <v>2</v>
      </c>
      <c r="AU135" s="57"/>
      <c r="AV135" s="57">
        <v>5</v>
      </c>
      <c r="AW135" s="57"/>
      <c r="AX135" s="57"/>
      <c r="AY135" s="57"/>
      <c r="AZ135" s="57"/>
      <c r="BA135" s="57"/>
      <c r="BB135" s="57">
        <v>2</v>
      </c>
      <c r="BC135" s="57"/>
      <c r="BD135" s="57"/>
      <c r="BE135" s="57"/>
      <c r="BF135" s="57"/>
      <c r="BG135" s="57"/>
      <c r="BH135" s="57"/>
      <c r="BI135" s="57"/>
      <c r="BJ135" s="57">
        <v>14</v>
      </c>
      <c r="BK135" s="57"/>
      <c r="BL135" s="57"/>
      <c r="BM135" s="57">
        <v>5</v>
      </c>
      <c r="BN135" s="57">
        <v>6</v>
      </c>
      <c r="BO135" s="57"/>
      <c r="BP135" s="57">
        <v>7</v>
      </c>
    </row>
    <row r="136" spans="1:68" ht="14" x14ac:dyDescent="0.15">
      <c r="A136" s="284" t="s">
        <v>401</v>
      </c>
      <c r="B136" s="285" t="s">
        <v>277</v>
      </c>
      <c r="C136" s="285" t="s">
        <v>349</v>
      </c>
      <c r="D136" s="285" t="s">
        <v>402</v>
      </c>
      <c r="E136" s="285" t="s">
        <v>109</v>
      </c>
      <c r="F136" s="286">
        <v>8</v>
      </c>
      <c r="G136" s="298">
        <v>64</v>
      </c>
      <c r="H136" s="303">
        <v>8</v>
      </c>
      <c r="I136" s="56"/>
      <c r="J136" s="57"/>
      <c r="K136" s="57"/>
      <c r="L136" s="57"/>
      <c r="M136" s="57"/>
      <c r="N136" s="57"/>
      <c r="O136" s="57"/>
      <c r="P136" s="57"/>
      <c r="Q136" s="57">
        <v>1</v>
      </c>
      <c r="R136" s="57"/>
      <c r="S136" s="57">
        <v>7</v>
      </c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>
        <v>1</v>
      </c>
      <c r="BA136" s="57"/>
      <c r="BB136" s="57"/>
      <c r="BC136" s="57"/>
      <c r="BD136" s="57"/>
      <c r="BE136" s="57"/>
      <c r="BF136" s="57"/>
      <c r="BG136" s="57">
        <v>12</v>
      </c>
      <c r="BH136" s="57"/>
      <c r="BI136" s="57"/>
      <c r="BJ136" s="57"/>
      <c r="BK136" s="57">
        <v>1</v>
      </c>
      <c r="BL136" s="57">
        <v>20</v>
      </c>
      <c r="BM136" s="57"/>
      <c r="BN136" s="57"/>
      <c r="BO136" s="57"/>
      <c r="BP136" s="57">
        <v>3</v>
      </c>
    </row>
    <row r="137" spans="1:68" ht="14" x14ac:dyDescent="0.15">
      <c r="A137" s="284" t="s">
        <v>403</v>
      </c>
      <c r="B137" s="285" t="s">
        <v>404</v>
      </c>
      <c r="C137" s="285" t="s">
        <v>349</v>
      </c>
      <c r="D137" s="285" t="s">
        <v>405</v>
      </c>
      <c r="E137" s="285" t="s">
        <v>116</v>
      </c>
      <c r="F137" s="286">
        <v>8</v>
      </c>
      <c r="G137" s="298">
        <v>72</v>
      </c>
      <c r="H137" s="303"/>
      <c r="I137" s="56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X137" s="57">
        <v>12</v>
      </c>
      <c r="Y137" s="57">
        <v>6</v>
      </c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>
        <v>13</v>
      </c>
      <c r="BI137" s="57">
        <f>7+1</f>
        <v>8</v>
      </c>
      <c r="BJ137" s="57">
        <f>31+10</f>
        <v>41</v>
      </c>
      <c r="BK137" s="57">
        <v>4</v>
      </c>
      <c r="BL137" s="57">
        <v>22</v>
      </c>
      <c r="BM137" s="57">
        <v>2</v>
      </c>
      <c r="BN137" s="57">
        <v>15</v>
      </c>
      <c r="BO137" s="57">
        <v>16</v>
      </c>
      <c r="BP137" s="57">
        <v>11</v>
      </c>
    </row>
    <row r="138" spans="1:68" ht="14" x14ac:dyDescent="0.15">
      <c r="A138" s="284" t="s">
        <v>407</v>
      </c>
      <c r="B138" s="285" t="s">
        <v>277</v>
      </c>
      <c r="C138" s="285" t="s">
        <v>349</v>
      </c>
      <c r="D138" s="285" t="s">
        <v>408</v>
      </c>
      <c r="E138" s="285" t="s">
        <v>109</v>
      </c>
      <c r="F138" s="286">
        <v>8</v>
      </c>
      <c r="G138" s="298">
        <v>80</v>
      </c>
      <c r="H138" s="303">
        <v>8</v>
      </c>
      <c r="I138" s="56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>
        <v>1</v>
      </c>
      <c r="AO138" s="57"/>
      <c r="AP138" s="57"/>
      <c r="AQ138" s="57"/>
      <c r="AR138" s="57">
        <v>3</v>
      </c>
      <c r="AS138" s="57"/>
      <c r="AT138" s="57"/>
      <c r="AU138" s="57"/>
      <c r="AV138" s="57">
        <v>18</v>
      </c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>
        <v>5</v>
      </c>
      <c r="BK138" s="57">
        <f>2+4</f>
        <v>6</v>
      </c>
      <c r="BL138" s="57">
        <v>6</v>
      </c>
      <c r="BM138" s="57"/>
      <c r="BN138" s="57"/>
      <c r="BO138" s="57"/>
      <c r="BP138" s="57"/>
    </row>
    <row r="139" spans="1:68" ht="14" x14ac:dyDescent="0.15">
      <c r="A139" s="284" t="s">
        <v>409</v>
      </c>
      <c r="B139" s="285" t="s">
        <v>277</v>
      </c>
      <c r="C139" s="285" t="s">
        <v>349</v>
      </c>
      <c r="D139" s="285" t="s">
        <v>410</v>
      </c>
      <c r="E139" s="285" t="s">
        <v>412</v>
      </c>
      <c r="F139" s="286">
        <v>8</v>
      </c>
      <c r="G139" s="298">
        <v>120</v>
      </c>
      <c r="H139" s="303">
        <v>8</v>
      </c>
      <c r="I139" s="56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>
        <v>3</v>
      </c>
      <c r="BI139" s="57">
        <v>1</v>
      </c>
      <c r="BJ139" s="57"/>
      <c r="BK139" s="57"/>
      <c r="BL139" s="57"/>
      <c r="BM139" s="57"/>
      <c r="BN139" s="57"/>
      <c r="BO139" s="57">
        <v>4</v>
      </c>
      <c r="BP139" s="57">
        <v>5</v>
      </c>
    </row>
    <row r="140" spans="1:68" ht="14" x14ac:dyDescent="0.15">
      <c r="A140" s="284" t="s">
        <v>413</v>
      </c>
      <c r="B140" s="285" t="s">
        <v>277</v>
      </c>
      <c r="C140" s="285" t="s">
        <v>349</v>
      </c>
      <c r="D140" s="285" t="s">
        <v>414</v>
      </c>
      <c r="E140" s="285" t="s">
        <v>109</v>
      </c>
      <c r="F140" s="286">
        <v>8</v>
      </c>
      <c r="G140" s="298">
        <v>144</v>
      </c>
      <c r="H140" s="303">
        <v>8</v>
      </c>
      <c r="I140" s="56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>
        <v>4</v>
      </c>
      <c r="AK140" s="57"/>
      <c r="AL140" s="57">
        <v>1</v>
      </c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</row>
    <row r="141" spans="1:68" ht="14" x14ac:dyDescent="0.15">
      <c r="A141" s="284" t="s">
        <v>415</v>
      </c>
      <c r="B141" s="285" t="s">
        <v>277</v>
      </c>
      <c r="C141" s="285" t="s">
        <v>349</v>
      </c>
      <c r="D141" s="285" t="s">
        <v>416</v>
      </c>
      <c r="E141" s="285" t="s">
        <v>109</v>
      </c>
      <c r="F141" s="286">
        <v>8</v>
      </c>
      <c r="G141" s="298">
        <v>168</v>
      </c>
      <c r="H141" s="303">
        <v>8</v>
      </c>
      <c r="I141" s="56"/>
      <c r="J141" s="57">
        <v>1</v>
      </c>
      <c r="K141" s="57"/>
      <c r="L141" s="57">
        <v>1</v>
      </c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>
        <v>11</v>
      </c>
      <c r="BH141" s="57"/>
      <c r="BI141" s="57"/>
      <c r="BJ141" s="57"/>
      <c r="BK141" s="57"/>
      <c r="BL141" s="57"/>
      <c r="BM141" s="57"/>
      <c r="BN141" s="57"/>
      <c r="BO141" s="57">
        <v>6</v>
      </c>
      <c r="BP141" s="57">
        <v>1</v>
      </c>
    </row>
    <row r="142" spans="1:68" ht="14" x14ac:dyDescent="0.15">
      <c r="A142" s="284" t="s">
        <v>417</v>
      </c>
      <c r="B142" s="285" t="s">
        <v>277</v>
      </c>
      <c r="C142" s="285" t="s">
        <v>349</v>
      </c>
      <c r="D142" s="285" t="s">
        <v>418</v>
      </c>
      <c r="E142" s="285" t="s">
        <v>204</v>
      </c>
      <c r="F142" s="286">
        <v>8</v>
      </c>
      <c r="G142" s="298">
        <v>184</v>
      </c>
      <c r="H142" s="303"/>
      <c r="I142" s="56"/>
      <c r="J142" s="57"/>
      <c r="K142" s="57"/>
      <c r="L142" s="57"/>
      <c r="M142" s="57"/>
      <c r="N142" s="57"/>
      <c r="O142" s="57"/>
      <c r="P142" s="57"/>
      <c r="Q142" s="57"/>
      <c r="R142" s="57">
        <v>2</v>
      </c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>
        <v>5</v>
      </c>
      <c r="BH142" s="57">
        <v>12</v>
      </c>
      <c r="BI142" s="57"/>
      <c r="BJ142" s="57">
        <v>13</v>
      </c>
      <c r="BK142" s="57"/>
      <c r="BL142" s="57">
        <v>11</v>
      </c>
      <c r="BM142" s="57"/>
      <c r="BN142" s="57"/>
      <c r="BO142" s="57"/>
      <c r="BP142" s="57">
        <f>23+7</f>
        <v>30</v>
      </c>
    </row>
    <row r="143" spans="1:68" ht="14" x14ac:dyDescent="0.15">
      <c r="A143" s="284" t="s">
        <v>419</v>
      </c>
      <c r="B143" s="285" t="s">
        <v>277</v>
      </c>
      <c r="C143" s="285" t="s">
        <v>349</v>
      </c>
      <c r="D143" s="285" t="s">
        <v>420</v>
      </c>
      <c r="E143" s="285" t="s">
        <v>109</v>
      </c>
      <c r="F143" s="286">
        <v>8</v>
      </c>
      <c r="G143" s="298">
        <v>256</v>
      </c>
      <c r="H143" s="305">
        <v>8</v>
      </c>
      <c r="I143" s="56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>
        <v>7</v>
      </c>
      <c r="BM143" s="57"/>
      <c r="BN143" s="57"/>
      <c r="BO143" s="57">
        <v>1</v>
      </c>
      <c r="BP143" s="57"/>
    </row>
    <row r="144" spans="1:68" ht="14" x14ac:dyDescent="0.15">
      <c r="A144" s="284" t="s">
        <v>421</v>
      </c>
      <c r="B144" s="285" t="s">
        <v>277</v>
      </c>
      <c r="C144" s="285" t="s">
        <v>349</v>
      </c>
      <c r="D144" s="285" t="s">
        <v>422</v>
      </c>
      <c r="E144" s="285" t="s">
        <v>109</v>
      </c>
      <c r="F144" s="286">
        <v>8</v>
      </c>
      <c r="G144" s="298">
        <v>320</v>
      </c>
      <c r="H144" s="305">
        <v>8</v>
      </c>
      <c r="I144" s="56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>
        <v>13</v>
      </c>
      <c r="BH144" s="57"/>
      <c r="BI144" s="57"/>
      <c r="BJ144" s="57">
        <v>7</v>
      </c>
      <c r="BK144" s="57"/>
      <c r="BL144" s="57"/>
      <c r="BM144" s="57"/>
      <c r="BN144" s="57"/>
      <c r="BO144" s="57"/>
      <c r="BP144" s="57"/>
    </row>
    <row r="145" spans="1:68" ht="14" x14ac:dyDescent="0.15">
      <c r="A145" s="284" t="s">
        <v>423</v>
      </c>
      <c r="B145" s="285" t="s">
        <v>277</v>
      </c>
      <c r="C145" s="285" t="s">
        <v>349</v>
      </c>
      <c r="D145" s="285" t="s">
        <v>424</v>
      </c>
      <c r="E145" s="285" t="s">
        <v>109</v>
      </c>
      <c r="F145" s="286">
        <v>12</v>
      </c>
      <c r="G145" s="298">
        <v>48</v>
      </c>
      <c r="H145" s="305">
        <v>12</v>
      </c>
      <c r="I145" s="56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>
        <v>3</v>
      </c>
      <c r="AN145" s="57"/>
      <c r="AO145" s="57"/>
      <c r="AP145" s="57"/>
      <c r="AQ145" s="57"/>
      <c r="AR145" s="57"/>
      <c r="AS145" s="57"/>
      <c r="AT145" s="57"/>
      <c r="AU145" s="57"/>
      <c r="AV145" s="57">
        <v>1</v>
      </c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</row>
    <row r="146" spans="1:68" ht="14" x14ac:dyDescent="0.15">
      <c r="A146" s="284" t="s">
        <v>425</v>
      </c>
      <c r="B146" s="285" t="s">
        <v>277</v>
      </c>
      <c r="C146" s="285" t="s">
        <v>349</v>
      </c>
      <c r="D146" s="285" t="s">
        <v>426</v>
      </c>
      <c r="E146" s="285" t="s">
        <v>109</v>
      </c>
      <c r="F146" s="286">
        <v>12</v>
      </c>
      <c r="G146" s="298">
        <v>56</v>
      </c>
      <c r="H146" s="305">
        <v>12</v>
      </c>
      <c r="I146" s="56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>
        <v>1</v>
      </c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>
        <v>4</v>
      </c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</row>
    <row r="147" spans="1:68" ht="14" x14ac:dyDescent="0.15">
      <c r="A147" s="284" t="s">
        <v>427</v>
      </c>
      <c r="B147" s="285" t="s">
        <v>277</v>
      </c>
      <c r="C147" s="285" t="s">
        <v>349</v>
      </c>
      <c r="D147" s="285" t="s">
        <v>428</v>
      </c>
      <c r="E147" s="285" t="s">
        <v>116</v>
      </c>
      <c r="F147" s="286">
        <v>12</v>
      </c>
      <c r="G147" s="298">
        <v>80</v>
      </c>
      <c r="H147" s="302"/>
      <c r="I147" s="56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>
        <v>2</v>
      </c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</row>
    <row r="148" spans="1:68" ht="14" x14ac:dyDescent="0.15">
      <c r="A148" s="284" t="s">
        <v>429</v>
      </c>
      <c r="B148" s="285" t="s">
        <v>277</v>
      </c>
      <c r="C148" s="285" t="s">
        <v>349</v>
      </c>
      <c r="D148" s="285" t="s">
        <v>430</v>
      </c>
      <c r="E148" s="285" t="s">
        <v>109</v>
      </c>
      <c r="F148" s="286">
        <v>12</v>
      </c>
      <c r="G148" s="298">
        <v>128</v>
      </c>
      <c r="H148" s="302">
        <v>12</v>
      </c>
      <c r="I148" s="56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>
        <v>11</v>
      </c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</row>
    <row r="149" spans="1:68" ht="14" x14ac:dyDescent="0.15">
      <c r="A149" s="284" t="s">
        <v>431</v>
      </c>
      <c r="B149" s="285" t="s">
        <v>277</v>
      </c>
      <c r="C149" s="285" t="s">
        <v>349</v>
      </c>
      <c r="D149" s="285" t="s">
        <v>432</v>
      </c>
      <c r="E149" s="285" t="s">
        <v>109</v>
      </c>
      <c r="F149" s="286">
        <v>16</v>
      </c>
      <c r="G149" s="298">
        <v>40</v>
      </c>
      <c r="H149" s="302">
        <v>16</v>
      </c>
      <c r="I149" s="56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>
        <v>1</v>
      </c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</row>
    <row r="150" spans="1:68" ht="14" x14ac:dyDescent="0.15">
      <c r="A150" s="284" t="s">
        <v>433</v>
      </c>
      <c r="B150" s="285" t="s">
        <v>404</v>
      </c>
      <c r="C150" s="285" t="s">
        <v>349</v>
      </c>
      <c r="D150" s="285" t="s">
        <v>434</v>
      </c>
      <c r="E150" s="285" t="s">
        <v>116</v>
      </c>
      <c r="F150" s="286">
        <v>16</v>
      </c>
      <c r="G150" s="298">
        <v>48</v>
      </c>
      <c r="H150" s="302"/>
      <c r="I150" s="56"/>
      <c r="J150" s="57"/>
      <c r="K150" s="57"/>
      <c r="L150" s="57"/>
      <c r="M150" s="57"/>
      <c r="N150" s="57"/>
      <c r="O150" s="57"/>
      <c r="P150" s="57"/>
      <c r="Q150" s="57"/>
      <c r="R150" s="57"/>
      <c r="S150" s="57">
        <f>5+4</f>
        <v>9</v>
      </c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</row>
    <row r="151" spans="1:68" ht="14" x14ac:dyDescent="0.15">
      <c r="A151" s="284" t="s">
        <v>435</v>
      </c>
      <c r="B151" s="285" t="s">
        <v>277</v>
      </c>
      <c r="C151" s="285" t="s">
        <v>349</v>
      </c>
      <c r="D151" s="285" t="s">
        <v>436</v>
      </c>
      <c r="E151" s="287" t="s">
        <v>307</v>
      </c>
      <c r="F151" s="286">
        <v>16</v>
      </c>
      <c r="G151" s="298">
        <v>64</v>
      </c>
      <c r="H151" s="302">
        <v>16</v>
      </c>
      <c r="I151" s="56">
        <v>1</v>
      </c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>
        <v>1</v>
      </c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>
        <v>1</v>
      </c>
      <c r="BP151" s="57"/>
    </row>
    <row r="152" spans="1:68" ht="14" x14ac:dyDescent="0.15">
      <c r="A152" s="284" t="s">
        <v>437</v>
      </c>
      <c r="B152" s="285" t="s">
        <v>277</v>
      </c>
      <c r="C152" s="285" t="s">
        <v>349</v>
      </c>
      <c r="D152" s="285" t="s">
        <v>438</v>
      </c>
      <c r="E152" s="285" t="s">
        <v>109</v>
      </c>
      <c r="F152" s="286">
        <v>16</v>
      </c>
      <c r="G152" s="298">
        <v>104</v>
      </c>
      <c r="H152" s="302">
        <v>16</v>
      </c>
      <c r="I152" s="56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>
        <v>1</v>
      </c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</row>
    <row r="153" spans="1:68" ht="14" x14ac:dyDescent="0.15">
      <c r="A153" s="288" t="s">
        <v>439</v>
      </c>
      <c r="B153" s="285" t="s">
        <v>277</v>
      </c>
      <c r="C153" s="285" t="s">
        <v>349</v>
      </c>
      <c r="D153" s="287" t="s">
        <v>440</v>
      </c>
      <c r="E153" s="287" t="s">
        <v>307</v>
      </c>
      <c r="F153" s="289">
        <v>16</v>
      </c>
      <c r="G153" s="298">
        <v>160</v>
      </c>
      <c r="H153" s="302">
        <v>16</v>
      </c>
      <c r="I153" s="56">
        <v>3</v>
      </c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>
        <v>2</v>
      </c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>
        <v>1</v>
      </c>
      <c r="BI153" s="57"/>
      <c r="BJ153" s="57"/>
      <c r="BK153" s="57"/>
      <c r="BL153" s="57"/>
      <c r="BM153" s="57"/>
      <c r="BN153" s="57"/>
      <c r="BO153" s="57"/>
      <c r="BP153" s="57"/>
    </row>
    <row r="154" spans="1:68" ht="14" x14ac:dyDescent="0.15">
      <c r="A154" s="288" t="s">
        <v>441</v>
      </c>
      <c r="B154" s="285" t="s">
        <v>277</v>
      </c>
      <c r="C154" s="285" t="s">
        <v>349</v>
      </c>
      <c r="D154" s="287" t="s">
        <v>442</v>
      </c>
      <c r="E154" s="287" t="s">
        <v>307</v>
      </c>
      <c r="F154" s="289">
        <v>16</v>
      </c>
      <c r="G154" s="298">
        <v>360</v>
      </c>
      <c r="H154" s="302">
        <v>16</v>
      </c>
      <c r="I154" s="56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>
        <v>2</v>
      </c>
    </row>
    <row r="155" spans="1:68" ht="14" x14ac:dyDescent="0.15">
      <c r="A155" s="284" t="s">
        <v>443</v>
      </c>
      <c r="B155" s="285" t="s">
        <v>277</v>
      </c>
      <c r="C155" s="285" t="s">
        <v>349</v>
      </c>
      <c r="D155" s="285" t="s">
        <v>444</v>
      </c>
      <c r="E155" s="285" t="s">
        <v>109</v>
      </c>
      <c r="F155" s="286">
        <v>20</v>
      </c>
      <c r="G155" s="298">
        <v>56</v>
      </c>
      <c r="H155" s="302">
        <v>20</v>
      </c>
      <c r="I155" s="56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>
        <v>3</v>
      </c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>
        <v>2</v>
      </c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</row>
    <row r="156" spans="1:68" ht="14" x14ac:dyDescent="0.15">
      <c r="A156" s="284" t="s">
        <v>445</v>
      </c>
      <c r="B156" s="285" t="s">
        <v>277</v>
      </c>
      <c r="C156" s="285" t="s">
        <v>349</v>
      </c>
      <c r="D156" s="285" t="s">
        <v>446</v>
      </c>
      <c r="E156" s="285" t="s">
        <v>109</v>
      </c>
      <c r="F156" s="286">
        <v>20</v>
      </c>
      <c r="G156" s="298">
        <v>112</v>
      </c>
      <c r="H156" s="302">
        <v>20</v>
      </c>
      <c r="I156" s="56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>
        <v>1</v>
      </c>
      <c r="BO156" s="57"/>
      <c r="BP156" s="57"/>
    </row>
    <row r="157" spans="1:68" ht="14" x14ac:dyDescent="0.15">
      <c r="A157" s="284" t="s">
        <v>447</v>
      </c>
      <c r="B157" s="285" t="s">
        <v>277</v>
      </c>
      <c r="C157" s="285" t="s">
        <v>349</v>
      </c>
      <c r="D157" s="285" t="s">
        <v>448</v>
      </c>
      <c r="E157" s="285" t="s">
        <v>116</v>
      </c>
      <c r="F157" s="286">
        <v>24</v>
      </c>
      <c r="G157" s="298">
        <v>32</v>
      </c>
      <c r="H157" s="302"/>
      <c r="I157" s="56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>
        <v>10</v>
      </c>
      <c r="BH157" s="57"/>
      <c r="BI157" s="57"/>
      <c r="BJ157" s="57"/>
      <c r="BK157" s="57"/>
      <c r="BL157" s="57"/>
      <c r="BM157" s="57">
        <v>5</v>
      </c>
      <c r="BN157" s="57"/>
      <c r="BO157" s="57"/>
      <c r="BP157" s="57"/>
    </row>
    <row r="158" spans="1:68" ht="14" x14ac:dyDescent="0.15">
      <c r="A158" s="284" t="s">
        <v>449</v>
      </c>
      <c r="B158" s="285" t="s">
        <v>277</v>
      </c>
      <c r="C158" s="285" t="s">
        <v>349</v>
      </c>
      <c r="D158" s="285" t="s">
        <v>450</v>
      </c>
      <c r="E158" s="285" t="s">
        <v>109</v>
      </c>
      <c r="F158" s="286">
        <v>24</v>
      </c>
      <c r="G158" s="298">
        <v>72</v>
      </c>
      <c r="H158" s="302">
        <v>24</v>
      </c>
      <c r="I158" s="56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>
        <v>1</v>
      </c>
      <c r="BM158" s="57">
        <v>1</v>
      </c>
      <c r="BN158" s="57">
        <v>1</v>
      </c>
      <c r="BO158" s="57"/>
      <c r="BP158" s="57"/>
    </row>
    <row r="159" spans="1:68" ht="14" x14ac:dyDescent="0.2">
      <c r="A159" s="284" t="s">
        <v>451</v>
      </c>
      <c r="B159" s="285" t="s">
        <v>277</v>
      </c>
      <c r="C159" s="285" t="s">
        <v>349</v>
      </c>
      <c r="D159" s="285" t="s">
        <v>452</v>
      </c>
      <c r="E159" s="285" t="s">
        <v>307</v>
      </c>
      <c r="F159" s="290">
        <v>104</v>
      </c>
      <c r="G159" s="299">
        <v>200</v>
      </c>
      <c r="H159" s="306">
        <v>104</v>
      </c>
      <c r="I159" s="56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>
        <v>2</v>
      </c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</row>
    <row r="160" spans="1:68" ht="14" x14ac:dyDescent="0.15">
      <c r="A160" s="284" t="s">
        <v>453</v>
      </c>
      <c r="B160" s="285" t="s">
        <v>277</v>
      </c>
      <c r="C160" s="285" t="s">
        <v>454</v>
      </c>
      <c r="D160" s="285" t="s">
        <v>455</v>
      </c>
      <c r="E160" s="285" t="s">
        <v>109</v>
      </c>
      <c r="F160" s="286">
        <v>16</v>
      </c>
      <c r="G160" s="298">
        <v>48</v>
      </c>
      <c r="H160" s="302">
        <v>16</v>
      </c>
      <c r="I160" s="56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>
        <v>1</v>
      </c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</row>
    <row r="161" spans="1:68" ht="14" x14ac:dyDescent="0.15">
      <c r="A161" s="284" t="s">
        <v>456</v>
      </c>
      <c r="B161" s="285" t="s">
        <v>277</v>
      </c>
      <c r="C161" s="285" t="s">
        <v>454</v>
      </c>
      <c r="D161" s="285" t="s">
        <v>457</v>
      </c>
      <c r="E161" s="285" t="s">
        <v>109</v>
      </c>
      <c r="F161" s="286">
        <v>16</v>
      </c>
      <c r="G161" s="298">
        <v>96</v>
      </c>
      <c r="H161" s="302">
        <v>16</v>
      </c>
      <c r="I161" s="56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>
        <v>1</v>
      </c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</row>
    <row r="162" spans="1:68" ht="14" x14ac:dyDescent="0.15">
      <c r="A162" s="284" t="s">
        <v>458</v>
      </c>
      <c r="B162" s="285" t="s">
        <v>277</v>
      </c>
      <c r="C162" s="285" t="s">
        <v>454</v>
      </c>
      <c r="D162" s="285" t="s">
        <v>459</v>
      </c>
      <c r="E162" s="285" t="s">
        <v>109</v>
      </c>
      <c r="F162" s="286">
        <v>24</v>
      </c>
      <c r="G162" s="298">
        <v>64</v>
      </c>
      <c r="H162" s="302">
        <v>24</v>
      </c>
      <c r="I162" s="56"/>
      <c r="J162" s="57"/>
      <c r="K162" s="57"/>
      <c r="L162" s="57">
        <v>1</v>
      </c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</row>
    <row r="163" spans="1:68" ht="14" x14ac:dyDescent="0.15">
      <c r="A163" s="284" t="s">
        <v>460</v>
      </c>
      <c r="B163" s="285" t="s">
        <v>277</v>
      </c>
      <c r="C163" s="285" t="s">
        <v>454</v>
      </c>
      <c r="D163" s="285" t="s">
        <v>461</v>
      </c>
      <c r="E163" s="285" t="s">
        <v>109</v>
      </c>
      <c r="F163" s="286">
        <v>48</v>
      </c>
      <c r="G163" s="298">
        <v>64</v>
      </c>
      <c r="H163" s="302">
        <v>48</v>
      </c>
      <c r="I163" s="56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>
        <v>1</v>
      </c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</row>
    <row r="164" spans="1:68" ht="14" x14ac:dyDescent="0.15">
      <c r="A164" s="284" t="s">
        <v>462</v>
      </c>
      <c r="B164" s="285" t="s">
        <v>277</v>
      </c>
      <c r="C164" s="285" t="s">
        <v>454</v>
      </c>
      <c r="D164" s="285" t="s">
        <v>463</v>
      </c>
      <c r="E164" s="285" t="s">
        <v>109</v>
      </c>
      <c r="F164" s="286">
        <v>64</v>
      </c>
      <c r="G164" s="298">
        <v>80</v>
      </c>
      <c r="H164" s="302">
        <v>64</v>
      </c>
      <c r="I164" s="56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>
        <v>1</v>
      </c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>
        <v>6</v>
      </c>
      <c r="BN164" s="57"/>
      <c r="BO164" s="57"/>
      <c r="BP164" s="57"/>
    </row>
    <row r="165" spans="1:68" ht="14" x14ac:dyDescent="0.15">
      <c r="A165" s="284" t="s">
        <v>464</v>
      </c>
      <c r="B165" s="285" t="s">
        <v>277</v>
      </c>
      <c r="C165" s="285" t="s">
        <v>465</v>
      </c>
      <c r="D165" s="285" t="s">
        <v>466</v>
      </c>
      <c r="E165" s="285" t="s">
        <v>412</v>
      </c>
      <c r="F165" s="286">
        <v>4</v>
      </c>
      <c r="G165" s="298">
        <v>64</v>
      </c>
      <c r="H165" s="302">
        <v>4</v>
      </c>
      <c r="I165" s="56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>
        <v>1</v>
      </c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</row>
    <row r="166" spans="1:68" ht="14" x14ac:dyDescent="0.15">
      <c r="A166" s="284" t="s">
        <v>467</v>
      </c>
      <c r="B166" s="285" t="s">
        <v>277</v>
      </c>
      <c r="C166" s="285" t="s">
        <v>465</v>
      </c>
      <c r="D166" s="285" t="s">
        <v>468</v>
      </c>
      <c r="E166" s="285" t="s">
        <v>412</v>
      </c>
      <c r="F166" s="286">
        <v>4</v>
      </c>
      <c r="G166" s="298">
        <v>160</v>
      </c>
      <c r="H166" s="302">
        <v>4</v>
      </c>
      <c r="I166" s="56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>
        <v>7</v>
      </c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</row>
    <row r="167" spans="1:68" ht="14" x14ac:dyDescent="0.15">
      <c r="A167" s="284" t="s">
        <v>469</v>
      </c>
      <c r="B167" s="285" t="s">
        <v>277</v>
      </c>
      <c r="C167" s="285" t="s">
        <v>465</v>
      </c>
      <c r="D167" s="285" t="s">
        <v>470</v>
      </c>
      <c r="E167" s="285" t="s">
        <v>412</v>
      </c>
      <c r="F167" s="286">
        <v>6</v>
      </c>
      <c r="G167" s="298">
        <v>56</v>
      </c>
      <c r="H167" s="302">
        <v>6</v>
      </c>
      <c r="I167" s="56"/>
      <c r="J167" s="57"/>
      <c r="K167" s="57"/>
      <c r="L167" s="57"/>
      <c r="M167" s="57"/>
      <c r="N167" s="57"/>
      <c r="O167" s="57"/>
      <c r="P167" s="57">
        <v>12</v>
      </c>
      <c r="Q167" s="57"/>
      <c r="R167" s="57"/>
      <c r="S167" s="57"/>
      <c r="T167" s="57">
        <v>9</v>
      </c>
      <c r="U167" s="57"/>
      <c r="V167" s="57"/>
      <c r="W167" s="57"/>
      <c r="X167" s="57"/>
      <c r="Y167" s="57"/>
      <c r="Z167" s="57">
        <v>7</v>
      </c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</row>
    <row r="168" spans="1:68" ht="14" x14ac:dyDescent="0.15">
      <c r="A168" s="284" t="s">
        <v>471</v>
      </c>
      <c r="B168" s="285" t="s">
        <v>277</v>
      </c>
      <c r="C168" s="285" t="s">
        <v>465</v>
      </c>
      <c r="D168" s="285" t="s">
        <v>472</v>
      </c>
      <c r="E168" s="285" t="s">
        <v>412</v>
      </c>
      <c r="F168" s="286">
        <v>6</v>
      </c>
      <c r="G168" s="298">
        <v>88</v>
      </c>
      <c r="H168" s="302">
        <v>6</v>
      </c>
      <c r="I168" s="56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>
        <v>2</v>
      </c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</row>
    <row r="169" spans="1:68" ht="14" x14ac:dyDescent="0.15">
      <c r="A169" s="284" t="s">
        <v>473</v>
      </c>
      <c r="B169" s="285" t="s">
        <v>277</v>
      </c>
      <c r="C169" s="285" t="s">
        <v>465</v>
      </c>
      <c r="D169" s="285" t="s">
        <v>474</v>
      </c>
      <c r="E169" s="285" t="s">
        <v>412</v>
      </c>
      <c r="F169" s="286">
        <v>8</v>
      </c>
      <c r="G169" s="298">
        <v>44</v>
      </c>
      <c r="H169" s="302">
        <v>8</v>
      </c>
      <c r="I169" s="56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AA169" s="57">
        <v>21</v>
      </c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>
        <v>5</v>
      </c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</row>
    <row r="170" spans="1:68" ht="14" x14ac:dyDescent="0.15">
      <c r="A170" s="284" t="s">
        <v>475</v>
      </c>
      <c r="B170" s="285" t="s">
        <v>277</v>
      </c>
      <c r="C170" s="285" t="s">
        <v>465</v>
      </c>
      <c r="D170" s="285" t="s">
        <v>476</v>
      </c>
      <c r="E170" s="285" t="s">
        <v>412</v>
      </c>
      <c r="F170" s="286">
        <v>8</v>
      </c>
      <c r="G170" s="298">
        <v>64</v>
      </c>
      <c r="H170" s="302">
        <v>8</v>
      </c>
      <c r="I170" s="56"/>
      <c r="J170" s="57"/>
      <c r="K170" s="57"/>
      <c r="L170" s="57"/>
      <c r="M170" s="57"/>
      <c r="N170" s="57"/>
      <c r="O170" s="57">
        <v>3</v>
      </c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>
        <v>4</v>
      </c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</row>
    <row r="171" spans="1:68" ht="14" x14ac:dyDescent="0.15">
      <c r="A171" s="284" t="s">
        <v>477</v>
      </c>
      <c r="B171" s="285" t="s">
        <v>277</v>
      </c>
      <c r="C171" s="285" t="s">
        <v>465</v>
      </c>
      <c r="D171" s="285" t="s">
        <v>478</v>
      </c>
      <c r="E171" s="285" t="s">
        <v>412</v>
      </c>
      <c r="F171" s="286">
        <v>8</v>
      </c>
      <c r="G171" s="298">
        <v>80</v>
      </c>
      <c r="H171" s="302">
        <v>8</v>
      </c>
      <c r="I171" s="56">
        <v>2</v>
      </c>
      <c r="J171" s="57"/>
      <c r="K171" s="57"/>
      <c r="L171" s="57">
        <v>3</v>
      </c>
      <c r="M171" s="57"/>
      <c r="N171" s="57"/>
      <c r="O171" s="57"/>
      <c r="P171" s="57"/>
      <c r="Q171" s="57">
        <v>3</v>
      </c>
      <c r="R171" s="57"/>
      <c r="S171" s="57"/>
      <c r="T171" s="57"/>
      <c r="U171" s="57"/>
      <c r="V171" s="57">
        <v>2</v>
      </c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>
        <v>1</v>
      </c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</row>
    <row r="172" spans="1:68" ht="14" x14ac:dyDescent="0.15">
      <c r="A172" s="284" t="s">
        <v>479</v>
      </c>
      <c r="B172" s="285" t="s">
        <v>277</v>
      </c>
      <c r="C172" s="285" t="s">
        <v>465</v>
      </c>
      <c r="D172" s="285" t="s">
        <v>480</v>
      </c>
      <c r="E172" s="285" t="s">
        <v>412</v>
      </c>
      <c r="F172" s="286">
        <v>8</v>
      </c>
      <c r="G172" s="298">
        <v>96</v>
      </c>
      <c r="H172" s="302">
        <v>8</v>
      </c>
      <c r="I172" s="56"/>
      <c r="J172" s="57"/>
      <c r="K172" s="57"/>
      <c r="L172" s="57"/>
      <c r="M172" s="57"/>
      <c r="N172" s="57"/>
      <c r="O172" s="57"/>
      <c r="P172" s="57"/>
      <c r="Q172" s="57"/>
      <c r="R172" s="57"/>
      <c r="S172" s="57">
        <v>32</v>
      </c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</row>
    <row r="173" spans="1:68" ht="14" x14ac:dyDescent="0.15">
      <c r="A173" s="284" t="s">
        <v>481</v>
      </c>
      <c r="B173" s="285" t="s">
        <v>277</v>
      </c>
      <c r="C173" s="285" t="s">
        <v>465</v>
      </c>
      <c r="D173" s="285" t="s">
        <v>482</v>
      </c>
      <c r="E173" s="285" t="s">
        <v>412</v>
      </c>
      <c r="F173" s="286">
        <v>8</v>
      </c>
      <c r="G173" s="298">
        <v>120</v>
      </c>
      <c r="H173" s="302">
        <v>8</v>
      </c>
      <c r="I173" s="56"/>
      <c r="J173" s="57"/>
      <c r="K173" s="57"/>
      <c r="L173" s="57"/>
      <c r="M173" s="57"/>
      <c r="N173" s="57"/>
      <c r="O173" s="57"/>
      <c r="P173" s="57"/>
      <c r="Q173" s="57"/>
      <c r="R173" s="57">
        <v>4</v>
      </c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>
        <v>1</v>
      </c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</row>
    <row r="174" spans="1:68" ht="14" x14ac:dyDescent="0.15">
      <c r="A174" s="284" t="s">
        <v>483</v>
      </c>
      <c r="B174" s="285" t="s">
        <v>277</v>
      </c>
      <c r="C174" s="285" t="s">
        <v>465</v>
      </c>
      <c r="D174" s="285" t="s">
        <v>484</v>
      </c>
      <c r="E174" s="285" t="s">
        <v>412</v>
      </c>
      <c r="F174" s="286">
        <v>12</v>
      </c>
      <c r="G174" s="298">
        <v>96</v>
      </c>
      <c r="H174" s="302">
        <v>12</v>
      </c>
      <c r="I174" s="56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>
        <v>4</v>
      </c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</row>
    <row r="175" spans="1:68" ht="14" x14ac:dyDescent="0.15">
      <c r="A175" s="284" t="s">
        <v>485</v>
      </c>
      <c r="B175" s="285" t="s">
        <v>277</v>
      </c>
      <c r="C175" s="285" t="s">
        <v>465</v>
      </c>
      <c r="D175" s="285" t="s">
        <v>486</v>
      </c>
      <c r="E175" s="285" t="s">
        <v>412</v>
      </c>
      <c r="F175" s="286">
        <v>16</v>
      </c>
      <c r="G175" s="298">
        <v>64</v>
      </c>
      <c r="H175" s="302">
        <v>16</v>
      </c>
      <c r="I175" s="56"/>
      <c r="J175" s="57"/>
      <c r="K175" s="57"/>
      <c r="L175" s="57"/>
      <c r="M175" s="57"/>
      <c r="N175" s="57">
        <v>7</v>
      </c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</row>
    <row r="176" spans="1:68" ht="14" x14ac:dyDescent="0.15">
      <c r="A176" s="284" t="s">
        <v>487</v>
      </c>
      <c r="B176" s="285" t="s">
        <v>277</v>
      </c>
      <c r="C176" s="285" t="s">
        <v>465</v>
      </c>
      <c r="D176" s="285" t="s">
        <v>488</v>
      </c>
      <c r="E176" s="285" t="s">
        <v>412</v>
      </c>
      <c r="F176" s="286">
        <v>16</v>
      </c>
      <c r="G176" s="298">
        <v>88</v>
      </c>
      <c r="H176" s="302">
        <v>16</v>
      </c>
      <c r="I176" s="56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>
        <v>1</v>
      </c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>
        <v>3</v>
      </c>
      <c r="BI176" s="57"/>
      <c r="BJ176" s="57"/>
      <c r="BK176" s="57"/>
      <c r="BL176" s="57"/>
      <c r="BM176" s="57"/>
      <c r="BN176" s="57"/>
      <c r="BO176" s="57"/>
      <c r="BP176" s="57"/>
    </row>
    <row r="177" spans="1:68" ht="14" x14ac:dyDescent="0.15">
      <c r="A177" s="284" t="s">
        <v>489</v>
      </c>
      <c r="B177" s="285" t="s">
        <v>277</v>
      </c>
      <c r="C177" s="285" t="s">
        <v>465</v>
      </c>
      <c r="D177" s="285" t="s">
        <v>490</v>
      </c>
      <c r="E177" s="285" t="s">
        <v>412</v>
      </c>
      <c r="F177" s="286">
        <v>16</v>
      </c>
      <c r="G177" s="298">
        <v>144</v>
      </c>
      <c r="H177" s="302">
        <v>16</v>
      </c>
      <c r="I177" s="56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>
        <v>11</v>
      </c>
      <c r="BH177" s="57"/>
      <c r="BI177" s="57">
        <v>2</v>
      </c>
      <c r="BJ177" s="57"/>
      <c r="BK177" s="57"/>
      <c r="BL177" s="57"/>
      <c r="BM177" s="57"/>
      <c r="BN177" s="57">
        <v>4</v>
      </c>
      <c r="BO177" s="57"/>
      <c r="BP177" s="57"/>
    </row>
    <row r="178" spans="1:68" ht="14" x14ac:dyDescent="0.15">
      <c r="A178" s="284" t="s">
        <v>491</v>
      </c>
      <c r="B178" s="285" t="s">
        <v>277</v>
      </c>
      <c r="C178" s="285" t="s">
        <v>465</v>
      </c>
      <c r="D178" s="285" t="s">
        <v>492</v>
      </c>
      <c r="E178" s="285" t="s">
        <v>412</v>
      </c>
      <c r="F178" s="286">
        <v>16</v>
      </c>
      <c r="G178" s="298">
        <v>184</v>
      </c>
      <c r="H178" s="302">
        <v>16</v>
      </c>
      <c r="I178" s="56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>
        <v>3</v>
      </c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>
        <v>2</v>
      </c>
    </row>
    <row r="179" spans="1:68" ht="15" x14ac:dyDescent="0.15">
      <c r="A179" s="273" t="s">
        <v>498</v>
      </c>
      <c r="B179" s="274" t="s">
        <v>494</v>
      </c>
      <c r="C179" s="274" t="s">
        <v>499</v>
      </c>
      <c r="D179" s="274" t="s">
        <v>500</v>
      </c>
      <c r="E179" s="274" t="s">
        <v>502</v>
      </c>
      <c r="F179" s="275">
        <v>16</v>
      </c>
      <c r="G179" s="296">
        <v>16</v>
      </c>
      <c r="H179" s="294">
        <v>16</v>
      </c>
      <c r="I179" s="56"/>
      <c r="J179" s="57">
        <v>3</v>
      </c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>
        <v>1</v>
      </c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>
        <v>1</v>
      </c>
      <c r="BP179" s="57">
        <v>14</v>
      </c>
    </row>
    <row r="180" spans="1:68" ht="15" x14ac:dyDescent="0.15">
      <c r="A180" s="273" t="s">
        <v>503</v>
      </c>
      <c r="B180" s="274" t="s">
        <v>494</v>
      </c>
      <c r="C180" s="274" t="s">
        <v>499</v>
      </c>
      <c r="D180" s="274" t="s">
        <v>504</v>
      </c>
      <c r="E180" s="274" t="s">
        <v>502</v>
      </c>
      <c r="F180" s="275">
        <v>20</v>
      </c>
      <c r="G180" s="296">
        <v>20</v>
      </c>
      <c r="H180" s="294">
        <v>20</v>
      </c>
      <c r="I180" s="56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>
        <v>10</v>
      </c>
      <c r="AE180" s="57"/>
      <c r="AF180" s="57">
        <v>5</v>
      </c>
      <c r="AG180" s="57"/>
      <c r="AH180" s="57">
        <v>14</v>
      </c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</row>
    <row r="181" spans="1:68" ht="15" x14ac:dyDescent="0.15">
      <c r="A181" s="273" t="s">
        <v>505</v>
      </c>
      <c r="B181" s="274" t="s">
        <v>494</v>
      </c>
      <c r="C181" s="274" t="s">
        <v>499</v>
      </c>
      <c r="D181" s="274" t="s">
        <v>506</v>
      </c>
      <c r="E181" s="274" t="s">
        <v>502</v>
      </c>
      <c r="F181" s="275">
        <v>20</v>
      </c>
      <c r="G181" s="296">
        <v>24</v>
      </c>
      <c r="H181" s="294">
        <v>20</v>
      </c>
      <c r="I181" s="56"/>
      <c r="J181" s="57"/>
      <c r="K181" s="57"/>
      <c r="L181" s="57">
        <v>6</v>
      </c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>
        <v>13</v>
      </c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</row>
    <row r="182" spans="1:68" ht="15" x14ac:dyDescent="0.15">
      <c r="A182" s="273" t="s">
        <v>507</v>
      </c>
      <c r="B182" s="274" t="s">
        <v>494</v>
      </c>
      <c r="C182" s="274" t="s">
        <v>499</v>
      </c>
      <c r="D182" s="274" t="s">
        <v>508</v>
      </c>
      <c r="E182" s="274" t="s">
        <v>502</v>
      </c>
      <c r="F182" s="275">
        <v>24</v>
      </c>
      <c r="G182" s="296">
        <v>24</v>
      </c>
      <c r="H182" s="294">
        <v>24</v>
      </c>
      <c r="I182" s="56"/>
      <c r="J182" s="57"/>
      <c r="K182" s="57"/>
      <c r="L182" s="57"/>
      <c r="M182" s="57"/>
      <c r="N182" s="57"/>
      <c r="O182" s="57"/>
      <c r="P182" s="57">
        <v>7</v>
      </c>
      <c r="Q182" s="57">
        <v>5</v>
      </c>
      <c r="R182" s="57">
        <v>7</v>
      </c>
      <c r="S182" s="57"/>
      <c r="T182" s="57">
        <v>1</v>
      </c>
      <c r="U182" s="57"/>
      <c r="V182" s="57"/>
      <c r="W182" s="57"/>
      <c r="X182" s="57"/>
      <c r="Y182" s="57"/>
      <c r="Z182" s="57"/>
      <c r="AA182" s="57"/>
      <c r="AB182" s="57"/>
      <c r="AC182" s="57">
        <v>9</v>
      </c>
      <c r="AD182" s="57"/>
      <c r="AE182" s="57">
        <v>1</v>
      </c>
      <c r="AF182" s="57"/>
      <c r="AG182" s="57"/>
      <c r="AH182" s="57"/>
      <c r="AI182" s="57"/>
      <c r="AJ182" s="57">
        <v>9</v>
      </c>
      <c r="AK182" s="57">
        <v>7</v>
      </c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>
        <v>8</v>
      </c>
      <c r="BO182" s="57">
        <v>11</v>
      </c>
      <c r="BP182" s="57"/>
    </row>
    <row r="183" spans="1:68" ht="15" x14ac:dyDescent="0.15">
      <c r="A183" s="273" t="s">
        <v>509</v>
      </c>
      <c r="B183" s="274" t="s">
        <v>494</v>
      </c>
      <c r="C183" s="274" t="s">
        <v>510</v>
      </c>
      <c r="D183" s="274" t="s">
        <v>511</v>
      </c>
      <c r="E183" s="274" t="s">
        <v>502</v>
      </c>
      <c r="F183" s="275">
        <v>17.600000000000001</v>
      </c>
      <c r="G183" s="296">
        <v>17.600000000000001</v>
      </c>
      <c r="H183" s="294">
        <v>17.600000000000001</v>
      </c>
      <c r="I183" s="56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>
        <v>13</v>
      </c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</row>
    <row r="184" spans="1:68" ht="15" x14ac:dyDescent="0.15">
      <c r="A184" s="273" t="s">
        <v>512</v>
      </c>
      <c r="B184" s="274" t="s">
        <v>277</v>
      </c>
      <c r="C184" s="274"/>
      <c r="D184" s="274" t="s">
        <v>513</v>
      </c>
      <c r="E184" s="274" t="s">
        <v>109</v>
      </c>
      <c r="F184" s="275">
        <v>16</v>
      </c>
      <c r="G184" s="296">
        <v>40</v>
      </c>
      <c r="H184" s="294">
        <v>16</v>
      </c>
      <c r="I184" s="56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>
        <v>9</v>
      </c>
      <c r="AD184" s="57"/>
      <c r="AE184" s="57"/>
      <c r="AF184" s="57"/>
      <c r="AG184" s="57"/>
      <c r="AH184" s="57"/>
      <c r="AI184" s="57"/>
      <c r="AJ184" s="57"/>
      <c r="AK184" s="57"/>
      <c r="AL184" s="57"/>
      <c r="AM184" s="57">
        <v>10</v>
      </c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>
        <v>1</v>
      </c>
      <c r="BH184" s="57"/>
      <c r="BI184" s="57"/>
      <c r="BJ184" s="57"/>
      <c r="BK184" s="57"/>
      <c r="BL184" s="57"/>
      <c r="BM184" s="57"/>
      <c r="BN184" s="57"/>
      <c r="BO184" s="57"/>
      <c r="BP184" s="57"/>
    </row>
    <row r="185" spans="1:68" ht="15" x14ac:dyDescent="0.15">
      <c r="A185" s="273" t="s">
        <v>514</v>
      </c>
      <c r="B185" s="274" t="s">
        <v>515</v>
      </c>
      <c r="C185" s="274"/>
      <c r="D185" s="274" t="s">
        <v>516</v>
      </c>
      <c r="E185" s="274" t="s">
        <v>116</v>
      </c>
      <c r="F185" s="275">
        <v>8</v>
      </c>
      <c r="G185" s="296">
        <v>16</v>
      </c>
      <c r="H185" s="294"/>
      <c r="I185" s="56">
        <v>12</v>
      </c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>
        <v>20</v>
      </c>
      <c r="BO185" s="57"/>
      <c r="BP185" s="57"/>
    </row>
    <row r="186" spans="1:68" ht="15" x14ac:dyDescent="0.15">
      <c r="A186" s="273" t="s">
        <v>517</v>
      </c>
      <c r="B186" s="274" t="s">
        <v>515</v>
      </c>
      <c r="C186" s="274"/>
      <c r="D186" s="274" t="s">
        <v>518</v>
      </c>
      <c r="E186" s="274" t="s">
        <v>116</v>
      </c>
      <c r="F186" s="275">
        <v>12</v>
      </c>
      <c r="G186" s="296">
        <v>20</v>
      </c>
      <c r="H186" s="294"/>
      <c r="I186" s="56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>
        <v>3</v>
      </c>
      <c r="BP186" s="57"/>
    </row>
    <row r="187" spans="1:68" ht="15" x14ac:dyDescent="0.15">
      <c r="A187" s="273" t="s">
        <v>519</v>
      </c>
      <c r="B187" s="274" t="s">
        <v>515</v>
      </c>
      <c r="C187" s="274"/>
      <c r="D187" s="274" t="s">
        <v>520</v>
      </c>
      <c r="E187" s="274" t="s">
        <v>116</v>
      </c>
      <c r="F187" s="275">
        <v>16</v>
      </c>
      <c r="G187" s="296">
        <v>32</v>
      </c>
      <c r="H187" s="294"/>
      <c r="I187" s="56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>
        <v>1</v>
      </c>
      <c r="BD187" s="57"/>
      <c r="BE187" s="57">
        <v>1</v>
      </c>
      <c r="BF187" s="57"/>
      <c r="BG187" s="57"/>
      <c r="BH187" s="57"/>
      <c r="BI187" s="57"/>
      <c r="BJ187" s="57"/>
      <c r="BK187" s="57"/>
      <c r="BL187" s="57">
        <v>4</v>
      </c>
      <c r="BM187" s="57"/>
      <c r="BN187" s="57">
        <v>4</v>
      </c>
      <c r="BO187" s="57"/>
      <c r="BP187" s="57"/>
    </row>
    <row r="188" spans="1:68" ht="15" x14ac:dyDescent="0.15">
      <c r="A188" s="273" t="s">
        <v>521</v>
      </c>
      <c r="B188" s="274" t="s">
        <v>515</v>
      </c>
      <c r="C188" s="274"/>
      <c r="D188" s="274" t="s">
        <v>522</v>
      </c>
      <c r="E188" s="274" t="s">
        <v>116</v>
      </c>
      <c r="F188" s="275">
        <v>24</v>
      </c>
      <c r="G188" s="296">
        <v>32</v>
      </c>
      <c r="H188" s="294"/>
      <c r="I188" s="56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>
        <v>1</v>
      </c>
      <c r="BO188" s="57">
        <v>18</v>
      </c>
      <c r="BP188" s="57">
        <v>12</v>
      </c>
    </row>
    <row r="189" spans="1:68" ht="15" x14ac:dyDescent="0.15">
      <c r="A189" s="273" t="s">
        <v>523</v>
      </c>
      <c r="B189" s="274" t="s">
        <v>515</v>
      </c>
      <c r="C189" s="274" t="s">
        <v>88</v>
      </c>
      <c r="D189" s="274" t="s">
        <v>524</v>
      </c>
      <c r="E189" s="274" t="s">
        <v>116</v>
      </c>
      <c r="F189" s="275">
        <v>16</v>
      </c>
      <c r="G189" s="296">
        <v>16</v>
      </c>
      <c r="H189" s="294"/>
      <c r="I189" s="56"/>
      <c r="J189" s="57"/>
      <c r="K189" s="57"/>
      <c r="L189" s="57"/>
      <c r="M189" s="57"/>
      <c r="N189" s="57"/>
      <c r="O189" s="57"/>
      <c r="P189" s="57"/>
      <c r="Q189" s="57"/>
      <c r="R189" s="57">
        <v>1</v>
      </c>
      <c r="S189" s="57"/>
      <c r="T189" s="57"/>
      <c r="U189" s="57"/>
      <c r="V189" s="57"/>
      <c r="W189" s="57"/>
      <c r="X189" s="57"/>
      <c r="Y189" s="57"/>
      <c r="AA189" s="57">
        <v>1</v>
      </c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</row>
    <row r="190" spans="1:68" ht="15" x14ac:dyDescent="0.15">
      <c r="A190" s="273" t="s">
        <v>525</v>
      </c>
      <c r="B190" s="274" t="s">
        <v>515</v>
      </c>
      <c r="C190" s="274" t="s">
        <v>526</v>
      </c>
      <c r="D190" s="291" t="s">
        <v>527</v>
      </c>
      <c r="E190" s="274" t="s">
        <v>116</v>
      </c>
      <c r="F190" s="275">
        <v>6</v>
      </c>
      <c r="G190" s="296">
        <v>16</v>
      </c>
      <c r="H190" s="294"/>
      <c r="I190" s="56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>
        <v>4</v>
      </c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</row>
    <row r="191" spans="1:68" ht="15" x14ac:dyDescent="0.15">
      <c r="A191" s="273" t="s">
        <v>528</v>
      </c>
      <c r="B191" s="274" t="s">
        <v>515</v>
      </c>
      <c r="C191" s="274" t="s">
        <v>526</v>
      </c>
      <c r="D191" s="291" t="s">
        <v>529</v>
      </c>
      <c r="E191" s="274" t="s">
        <v>116</v>
      </c>
      <c r="F191" s="275">
        <v>8</v>
      </c>
      <c r="G191" s="296">
        <v>16</v>
      </c>
      <c r="H191" s="294"/>
      <c r="I191" s="56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>
        <v>8</v>
      </c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</row>
    <row r="192" spans="1:68" ht="15" x14ac:dyDescent="0.15">
      <c r="A192" s="273" t="s">
        <v>530</v>
      </c>
      <c r="B192" s="274" t="s">
        <v>515</v>
      </c>
      <c r="C192" s="274" t="s">
        <v>526</v>
      </c>
      <c r="D192" s="291" t="s">
        <v>531</v>
      </c>
      <c r="E192" s="274" t="s">
        <v>116</v>
      </c>
      <c r="F192" s="275">
        <v>8</v>
      </c>
      <c r="G192" s="296">
        <v>24</v>
      </c>
      <c r="H192" s="294"/>
      <c r="I192" s="56">
        <v>23</v>
      </c>
      <c r="J192" s="57">
        <v>23</v>
      </c>
      <c r="K192" s="57"/>
      <c r="L192" s="57"/>
      <c r="M192" s="57"/>
      <c r="N192" s="57">
        <v>23</v>
      </c>
      <c r="O192" s="57">
        <v>2</v>
      </c>
      <c r="P192" s="57">
        <v>18</v>
      </c>
      <c r="Q192" s="57">
        <v>27</v>
      </c>
      <c r="R192" s="57">
        <v>30</v>
      </c>
      <c r="S192" s="57"/>
      <c r="T192" s="57"/>
      <c r="U192" s="57"/>
      <c r="V192" s="57"/>
      <c r="W192" s="57"/>
      <c r="X192" s="57"/>
      <c r="Y192" s="57"/>
      <c r="Z192" s="57">
        <v>3</v>
      </c>
      <c r="AA192" s="57"/>
      <c r="AB192" s="57">
        <v>13</v>
      </c>
      <c r="AC192" s="57"/>
      <c r="AD192" s="57"/>
      <c r="AE192" s="57"/>
      <c r="AF192" s="57">
        <v>16</v>
      </c>
      <c r="AG192" s="57"/>
      <c r="AH192" s="57"/>
      <c r="AI192" s="57"/>
      <c r="AJ192" s="57">
        <v>39</v>
      </c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>
        <v>20</v>
      </c>
      <c r="AV192" s="57">
        <v>3</v>
      </c>
      <c r="AX192" s="57"/>
      <c r="AY192" s="57"/>
      <c r="AZ192" s="57"/>
      <c r="BA192" s="57"/>
      <c r="BB192" s="57"/>
      <c r="BC192" s="57"/>
      <c r="BD192" s="57"/>
      <c r="BE192" s="57"/>
      <c r="BF192" s="57"/>
      <c r="BG192" s="57">
        <v>95</v>
      </c>
      <c r="BH192" s="57"/>
      <c r="BI192" s="57"/>
      <c r="BJ192" s="57"/>
      <c r="BK192" s="57"/>
      <c r="BL192" s="57"/>
      <c r="BM192" s="57"/>
      <c r="BN192" s="57"/>
      <c r="BO192" s="57">
        <v>80</v>
      </c>
      <c r="BP192" s="57">
        <v>94</v>
      </c>
    </row>
    <row r="193" spans="1:68" ht="15" x14ac:dyDescent="0.15">
      <c r="A193" s="273" t="s">
        <v>532</v>
      </c>
      <c r="B193" s="274" t="s">
        <v>515</v>
      </c>
      <c r="C193" s="274" t="s">
        <v>526</v>
      </c>
      <c r="D193" s="291" t="s">
        <v>533</v>
      </c>
      <c r="E193" s="274" t="s">
        <v>116</v>
      </c>
      <c r="F193" s="275">
        <v>12</v>
      </c>
      <c r="G193" s="296">
        <v>40</v>
      </c>
      <c r="H193" s="294"/>
      <c r="I193" s="56"/>
      <c r="J193" s="57"/>
      <c r="K193" s="57"/>
      <c r="L193" s="57"/>
      <c r="M193" s="57"/>
      <c r="N193" s="57"/>
      <c r="O193" s="57"/>
      <c r="P193" s="57"/>
      <c r="Q193" s="57">
        <v>1</v>
      </c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</row>
    <row r="194" spans="1:68" ht="15" x14ac:dyDescent="0.15">
      <c r="A194" s="273" t="s">
        <v>534</v>
      </c>
      <c r="B194" s="274" t="s">
        <v>515</v>
      </c>
      <c r="C194" s="274" t="s">
        <v>526</v>
      </c>
      <c r="D194" s="294" t="s">
        <v>535</v>
      </c>
      <c r="E194" s="274" t="s">
        <v>116</v>
      </c>
      <c r="F194" s="275">
        <v>16</v>
      </c>
      <c r="G194" s="296">
        <v>24</v>
      </c>
      <c r="H194" s="294"/>
      <c r="I194" s="56"/>
      <c r="J194" s="57"/>
      <c r="K194" s="57"/>
      <c r="L194" s="57">
        <v>15</v>
      </c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>
        <v>10</v>
      </c>
      <c r="AC194" s="57"/>
      <c r="AD194" s="57">
        <v>26</v>
      </c>
      <c r="AE194" s="57"/>
      <c r="AF194" s="57"/>
      <c r="AG194" s="57"/>
      <c r="AH194" s="57">
        <v>7</v>
      </c>
      <c r="AI194" s="57"/>
      <c r="AJ194" s="57"/>
      <c r="AK194" s="57">
        <v>14</v>
      </c>
      <c r="AL194" s="57">
        <v>19</v>
      </c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>
        <v>96</v>
      </c>
      <c r="BO194" s="57"/>
      <c r="BP194" s="57"/>
    </row>
    <row r="195" spans="1:68" ht="15" x14ac:dyDescent="0.15">
      <c r="A195" s="273" t="s">
        <v>536</v>
      </c>
      <c r="B195" s="274" t="s">
        <v>515</v>
      </c>
      <c r="C195" s="274" t="s">
        <v>526</v>
      </c>
      <c r="D195" s="294" t="s">
        <v>537</v>
      </c>
      <c r="E195" s="274" t="s">
        <v>116</v>
      </c>
      <c r="F195" s="275">
        <v>16</v>
      </c>
      <c r="G195" s="296">
        <v>48</v>
      </c>
      <c r="H195" s="294"/>
      <c r="I195" s="56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>
        <v>14</v>
      </c>
      <c r="BH195" s="57">
        <v>1</v>
      </c>
      <c r="BI195" s="57"/>
      <c r="BJ195" s="57"/>
      <c r="BK195" s="57"/>
      <c r="BL195" s="57"/>
      <c r="BM195" s="57"/>
      <c r="BN195" s="57">
        <v>7</v>
      </c>
      <c r="BO195" s="57"/>
      <c r="BP195" s="57"/>
    </row>
    <row r="196" spans="1:68" ht="15" x14ac:dyDescent="0.15">
      <c r="A196" s="273" t="s">
        <v>538</v>
      </c>
      <c r="B196" s="274" t="s">
        <v>515</v>
      </c>
      <c r="C196" s="274" t="s">
        <v>539</v>
      </c>
      <c r="D196" s="274" t="s">
        <v>540</v>
      </c>
      <c r="E196" s="274" t="s">
        <v>116</v>
      </c>
      <c r="F196" s="275">
        <v>8</v>
      </c>
      <c r="G196" s="296">
        <v>20</v>
      </c>
      <c r="H196" s="294"/>
      <c r="I196" s="56"/>
      <c r="J196" s="57"/>
      <c r="K196" s="57"/>
      <c r="L196" s="57"/>
      <c r="M196" s="57"/>
      <c r="N196" s="57"/>
      <c r="O196" s="57"/>
      <c r="P196" s="57"/>
      <c r="Q196" s="57"/>
      <c r="R196" s="57"/>
      <c r="S196" s="57">
        <v>3</v>
      </c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</row>
    <row r="197" spans="1:68" ht="15" x14ac:dyDescent="0.15">
      <c r="A197" s="273" t="s">
        <v>541</v>
      </c>
      <c r="B197" s="274" t="s">
        <v>515</v>
      </c>
      <c r="C197" s="274" t="s">
        <v>539</v>
      </c>
      <c r="D197" s="274" t="s">
        <v>542</v>
      </c>
      <c r="E197" s="274" t="s">
        <v>116</v>
      </c>
      <c r="F197" s="275">
        <v>8</v>
      </c>
      <c r="G197" s="296">
        <v>32</v>
      </c>
      <c r="H197" s="294"/>
      <c r="I197" s="56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>
        <v>2</v>
      </c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</row>
    <row r="198" spans="1:68" ht="15" x14ac:dyDescent="0.15">
      <c r="A198" s="273" t="s">
        <v>543</v>
      </c>
      <c r="B198" s="274" t="s">
        <v>515</v>
      </c>
      <c r="C198" s="274" t="s">
        <v>539</v>
      </c>
      <c r="D198" s="274" t="s">
        <v>544</v>
      </c>
      <c r="E198" s="274" t="s">
        <v>116</v>
      </c>
      <c r="F198" s="275">
        <v>8</v>
      </c>
      <c r="G198" s="296">
        <v>40</v>
      </c>
      <c r="H198" s="294"/>
      <c r="I198" s="56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>
        <v>17</v>
      </c>
    </row>
    <row r="199" spans="1:68" ht="15" x14ac:dyDescent="0.15">
      <c r="A199" s="273" t="s">
        <v>545</v>
      </c>
      <c r="B199" s="274" t="s">
        <v>515</v>
      </c>
      <c r="C199" s="274" t="s">
        <v>539</v>
      </c>
      <c r="D199" s="274" t="s">
        <v>546</v>
      </c>
      <c r="E199" s="274" t="s">
        <v>116</v>
      </c>
      <c r="F199" s="275">
        <v>8</v>
      </c>
      <c r="G199" s="296">
        <v>136</v>
      </c>
      <c r="H199" s="294"/>
      <c r="I199" s="56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>
        <v>1</v>
      </c>
      <c r="BM199" s="57">
        <v>1</v>
      </c>
      <c r="BN199" s="57"/>
      <c r="BO199" s="57"/>
      <c r="BP199" s="57"/>
    </row>
    <row r="200" spans="1:68" ht="15" x14ac:dyDescent="0.15">
      <c r="A200" s="273" t="s">
        <v>547</v>
      </c>
      <c r="B200" s="274" t="s">
        <v>515</v>
      </c>
      <c r="C200" s="274" t="s">
        <v>539</v>
      </c>
      <c r="D200" s="274" t="s">
        <v>548</v>
      </c>
      <c r="E200" s="274" t="s">
        <v>116</v>
      </c>
      <c r="F200" s="275">
        <v>12</v>
      </c>
      <c r="G200" s="296">
        <v>80</v>
      </c>
      <c r="H200" s="294"/>
      <c r="I200" s="56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>
        <v>1</v>
      </c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>
        <v>4</v>
      </c>
      <c r="BO200" s="57">
        <v>6</v>
      </c>
      <c r="BP200" s="57"/>
    </row>
    <row r="201" spans="1:68" ht="15" x14ac:dyDescent="0.15">
      <c r="A201" s="273" t="s">
        <v>549</v>
      </c>
      <c r="B201" s="274" t="s">
        <v>515</v>
      </c>
      <c r="C201" s="274" t="s">
        <v>539</v>
      </c>
      <c r="D201" s="274" t="s">
        <v>550</v>
      </c>
      <c r="E201" s="274" t="s">
        <v>116</v>
      </c>
      <c r="F201" s="275">
        <v>16</v>
      </c>
      <c r="G201" s="296">
        <v>48</v>
      </c>
      <c r="H201" s="294"/>
      <c r="I201" s="56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>
        <f>1+1</f>
        <v>2</v>
      </c>
      <c r="BI201" s="57"/>
      <c r="BJ201" s="57">
        <v>2</v>
      </c>
      <c r="BK201" s="57">
        <v>1</v>
      </c>
      <c r="BL201" s="57"/>
      <c r="BM201" s="57"/>
      <c r="BN201" s="57">
        <v>1</v>
      </c>
      <c r="BO201" s="57"/>
      <c r="BP201" s="57"/>
    </row>
    <row r="202" spans="1:68" ht="15" x14ac:dyDescent="0.15">
      <c r="A202" s="273" t="s">
        <v>551</v>
      </c>
      <c r="B202" s="274" t="s">
        <v>515</v>
      </c>
      <c r="C202" s="274" t="s">
        <v>539</v>
      </c>
      <c r="D202" s="274" t="s">
        <v>552</v>
      </c>
      <c r="E202" s="274" t="s">
        <v>116</v>
      </c>
      <c r="F202" s="275">
        <v>16</v>
      </c>
      <c r="G202" s="296">
        <v>144</v>
      </c>
      <c r="H202" s="294"/>
      <c r="I202" s="56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>
        <v>1</v>
      </c>
      <c r="BJ202" s="57"/>
      <c r="BK202" s="57"/>
      <c r="BL202" s="57"/>
      <c r="BM202" s="57"/>
      <c r="BN202" s="57"/>
      <c r="BO202" s="57"/>
      <c r="BP202" s="57"/>
    </row>
    <row r="203" spans="1:68" ht="15" x14ac:dyDescent="0.15">
      <c r="A203" s="273" t="s">
        <v>553</v>
      </c>
      <c r="B203" s="274" t="s">
        <v>515</v>
      </c>
      <c r="C203" s="274" t="s">
        <v>539</v>
      </c>
      <c r="D203" s="274" t="s">
        <v>554</v>
      </c>
      <c r="E203" s="274" t="s">
        <v>116</v>
      </c>
      <c r="F203" s="275">
        <v>40</v>
      </c>
      <c r="G203" s="296">
        <v>40</v>
      </c>
      <c r="H203" s="294"/>
      <c r="I203" s="56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>
        <v>7</v>
      </c>
      <c r="BH203" s="57"/>
      <c r="BI203" s="57"/>
      <c r="BJ203" s="57"/>
      <c r="BK203" s="57"/>
      <c r="BL203" s="57">
        <v>3</v>
      </c>
      <c r="BM203" s="57"/>
      <c r="BN203" s="57"/>
      <c r="BO203" s="57"/>
      <c r="BP203" s="57"/>
    </row>
    <row r="204" spans="1:68" ht="15" x14ac:dyDescent="0.15">
      <c r="A204" s="273" t="s">
        <v>588</v>
      </c>
      <c r="B204" s="274" t="s">
        <v>589</v>
      </c>
      <c r="C204" s="274" t="s">
        <v>590</v>
      </c>
      <c r="D204" s="274" t="s">
        <v>591</v>
      </c>
      <c r="E204" s="274" t="s">
        <v>116</v>
      </c>
      <c r="F204" s="275">
        <v>16</v>
      </c>
      <c r="G204" s="296">
        <v>16</v>
      </c>
      <c r="H204" s="294"/>
      <c r="I204" s="56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>
        <v>14</v>
      </c>
      <c r="AX204" s="57"/>
      <c r="AY204" s="57"/>
      <c r="AZ204" s="57">
        <v>1</v>
      </c>
      <c r="BA204" s="57"/>
      <c r="BB204" s="57">
        <v>1</v>
      </c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</row>
    <row r="205" spans="1:68" ht="15" x14ac:dyDescent="0.15">
      <c r="A205" s="273" t="s">
        <v>592</v>
      </c>
      <c r="B205" s="274" t="s">
        <v>589</v>
      </c>
      <c r="C205" s="274" t="s">
        <v>590</v>
      </c>
      <c r="D205" s="274" t="s">
        <v>593</v>
      </c>
      <c r="E205" s="274" t="s">
        <v>116</v>
      </c>
      <c r="F205" s="275">
        <v>32</v>
      </c>
      <c r="G205" s="296">
        <v>32</v>
      </c>
      <c r="H205" s="294"/>
      <c r="I205" s="56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>
        <v>1</v>
      </c>
      <c r="BF205" s="57"/>
      <c r="BG205" s="57"/>
      <c r="BH205" s="57"/>
      <c r="BI205" s="57"/>
      <c r="BJ205" s="57"/>
      <c r="BK205" s="57"/>
      <c r="BL205" s="57"/>
      <c r="BM205" s="57"/>
      <c r="BN205" s="57">
        <v>24</v>
      </c>
      <c r="BO205" s="57">
        <v>16</v>
      </c>
      <c r="BP205" s="57">
        <v>15</v>
      </c>
    </row>
    <row r="206" spans="1:68" ht="15" x14ac:dyDescent="0.15">
      <c r="A206" s="273" t="s">
        <v>603</v>
      </c>
      <c r="B206" s="274" t="s">
        <v>604</v>
      </c>
      <c r="C206" s="274" t="s">
        <v>605</v>
      </c>
      <c r="D206" s="274" t="s">
        <v>606</v>
      </c>
      <c r="E206" s="274" t="s">
        <v>116</v>
      </c>
      <c r="F206" s="275">
        <v>16</v>
      </c>
      <c r="G206" s="296">
        <v>24</v>
      </c>
      <c r="H206" s="294"/>
      <c r="I206" s="56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>
        <v>26</v>
      </c>
      <c r="W206" s="57"/>
      <c r="X206" s="57"/>
      <c r="Y206" s="57"/>
      <c r="Z206" s="57"/>
      <c r="AA206" s="57"/>
      <c r="AB206" s="57"/>
      <c r="AC206" s="57">
        <v>1</v>
      </c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</row>
    <row r="207" spans="1:68" ht="15" x14ac:dyDescent="0.15">
      <c r="A207" s="273" t="s">
        <v>607</v>
      </c>
      <c r="B207" s="274" t="s">
        <v>604</v>
      </c>
      <c r="C207" s="274" t="s">
        <v>605</v>
      </c>
      <c r="D207" s="274" t="s">
        <v>608</v>
      </c>
      <c r="E207" s="274" t="s">
        <v>116</v>
      </c>
      <c r="F207" s="275">
        <v>16</v>
      </c>
      <c r="G207" s="296">
        <v>80</v>
      </c>
      <c r="H207" s="294"/>
      <c r="I207" s="56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>
        <v>1</v>
      </c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</row>
    <row r="208" spans="1:68" ht="15" x14ac:dyDescent="0.15">
      <c r="A208" s="273" t="s">
        <v>609</v>
      </c>
      <c r="B208" s="274" t="s">
        <v>604</v>
      </c>
      <c r="C208" s="274" t="s">
        <v>605</v>
      </c>
      <c r="D208" s="274" t="s">
        <v>610</v>
      </c>
      <c r="E208" s="274" t="s">
        <v>116</v>
      </c>
      <c r="F208" s="275">
        <v>20</v>
      </c>
      <c r="G208" s="296">
        <v>40</v>
      </c>
      <c r="H208" s="294"/>
      <c r="I208" s="56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>
        <v>6</v>
      </c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</row>
    <row r="209" spans="1:68" ht="15" x14ac:dyDescent="0.15">
      <c r="A209" s="273" t="s">
        <v>611</v>
      </c>
      <c r="B209" s="274" t="s">
        <v>604</v>
      </c>
      <c r="C209" s="274" t="s">
        <v>605</v>
      </c>
      <c r="D209" s="274" t="s">
        <v>612</v>
      </c>
      <c r="E209" s="274" t="s">
        <v>116</v>
      </c>
      <c r="F209" s="275">
        <v>20</v>
      </c>
      <c r="G209" s="296">
        <v>64</v>
      </c>
      <c r="H209" s="294"/>
      <c r="I209" s="56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>
        <v>26</v>
      </c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</row>
    <row r="210" spans="1:68" ht="15" x14ac:dyDescent="0.15">
      <c r="A210" s="273" t="s">
        <v>613</v>
      </c>
      <c r="B210" s="274" t="s">
        <v>604</v>
      </c>
      <c r="C210" s="274" t="s">
        <v>605</v>
      </c>
      <c r="D210" s="274" t="s">
        <v>614</v>
      </c>
      <c r="E210" s="274" t="s">
        <v>116</v>
      </c>
      <c r="F210" s="275">
        <v>24</v>
      </c>
      <c r="G210" s="296">
        <v>32</v>
      </c>
      <c r="H210" s="294"/>
      <c r="I210" s="56"/>
      <c r="J210" s="57"/>
      <c r="K210" s="57"/>
      <c r="L210" s="57"/>
      <c r="M210" s="57"/>
      <c r="N210" s="57"/>
      <c r="O210" s="57"/>
      <c r="P210" s="57">
        <v>1</v>
      </c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>
        <v>21</v>
      </c>
      <c r="BH210" s="57"/>
      <c r="BI210" s="57"/>
      <c r="BJ210" s="57"/>
      <c r="BK210" s="57"/>
      <c r="BL210" s="57"/>
      <c r="BM210" s="57">
        <v>1</v>
      </c>
      <c r="BN210" s="57"/>
      <c r="BO210" s="57"/>
      <c r="BP210" s="57"/>
    </row>
    <row r="211" spans="1:68" ht="15" x14ac:dyDescent="0.15">
      <c r="A211" s="273" t="s">
        <v>615</v>
      </c>
      <c r="B211" s="274" t="s">
        <v>604</v>
      </c>
      <c r="C211" s="274" t="s">
        <v>605</v>
      </c>
      <c r="D211" s="274" t="s">
        <v>616</v>
      </c>
      <c r="E211" s="274" t="s">
        <v>116</v>
      </c>
      <c r="F211" s="275">
        <v>24</v>
      </c>
      <c r="G211" s="296">
        <v>40</v>
      </c>
      <c r="H211" s="294"/>
      <c r="I211" s="56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>
        <v>4</v>
      </c>
      <c r="Z211" s="57"/>
      <c r="AA211" s="57">
        <v>3</v>
      </c>
      <c r="AB211" s="57"/>
      <c r="AC211" s="57">
        <v>3</v>
      </c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</row>
    <row r="212" spans="1:68" ht="15" x14ac:dyDescent="0.15">
      <c r="A212" s="273" t="s">
        <v>617</v>
      </c>
      <c r="B212" s="274" t="s">
        <v>604</v>
      </c>
      <c r="C212" s="274" t="s">
        <v>605</v>
      </c>
      <c r="D212" s="274" t="s">
        <v>618</v>
      </c>
      <c r="E212" s="274" t="s">
        <v>116</v>
      </c>
      <c r="F212" s="275">
        <v>24</v>
      </c>
      <c r="G212" s="296">
        <v>48</v>
      </c>
      <c r="H212" s="294"/>
      <c r="I212" s="56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>
        <v>3</v>
      </c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>
        <v>14</v>
      </c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</row>
    <row r="213" spans="1:68" ht="15" x14ac:dyDescent="0.15">
      <c r="A213" s="273" t="s">
        <v>619</v>
      </c>
      <c r="B213" s="274" t="s">
        <v>604</v>
      </c>
      <c r="C213" s="274" t="s">
        <v>605</v>
      </c>
      <c r="D213" s="274" t="s">
        <v>620</v>
      </c>
      <c r="E213" s="274" t="s">
        <v>116</v>
      </c>
      <c r="F213" s="275">
        <v>24</v>
      </c>
      <c r="G213" s="296">
        <v>56</v>
      </c>
      <c r="H213" s="294"/>
      <c r="I213" s="56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>
        <v>22</v>
      </c>
      <c r="U213" s="57"/>
      <c r="V213" s="57"/>
      <c r="W213" s="57"/>
      <c r="X213" s="57"/>
      <c r="Y213" s="57"/>
      <c r="Z213" s="57"/>
      <c r="AA213" s="57"/>
      <c r="AB213" s="57"/>
      <c r="AC213" s="57"/>
      <c r="AD213" s="57">
        <v>6</v>
      </c>
      <c r="AE213" s="57"/>
      <c r="AF213" s="57">
        <v>7</v>
      </c>
      <c r="AG213" s="57"/>
      <c r="AH213" s="57"/>
      <c r="AI213" s="57"/>
      <c r="AJ213" s="57">
        <v>2</v>
      </c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>
        <v>2</v>
      </c>
      <c r="BH213" s="57"/>
      <c r="BI213" s="57"/>
      <c r="BJ213" s="57"/>
      <c r="BK213" s="57"/>
      <c r="BL213" s="57"/>
      <c r="BM213" s="57"/>
      <c r="BN213" s="57"/>
      <c r="BO213" s="57"/>
      <c r="BP213" s="57"/>
    </row>
    <row r="214" spans="1:68" ht="15" x14ac:dyDescent="0.15">
      <c r="A214" s="273" t="s">
        <v>621</v>
      </c>
      <c r="B214" s="274" t="s">
        <v>604</v>
      </c>
      <c r="C214" s="274" t="s">
        <v>605</v>
      </c>
      <c r="D214" s="274" t="s">
        <v>622</v>
      </c>
      <c r="E214" s="274" t="s">
        <v>116</v>
      </c>
      <c r="F214" s="275">
        <v>24</v>
      </c>
      <c r="G214" s="296">
        <v>64</v>
      </c>
      <c r="H214" s="294"/>
      <c r="I214" s="56"/>
      <c r="J214" s="57"/>
      <c r="K214" s="57"/>
      <c r="L214" s="57"/>
      <c r="M214" s="57"/>
      <c r="N214" s="57"/>
      <c r="O214" s="57"/>
      <c r="P214" s="57"/>
      <c r="Q214" s="57"/>
      <c r="R214" s="57">
        <v>1</v>
      </c>
      <c r="S214" s="57"/>
      <c r="T214" s="57"/>
      <c r="U214" s="57"/>
      <c r="V214" s="57"/>
      <c r="W214" s="57"/>
      <c r="X214" s="57">
        <v>14</v>
      </c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>
        <v>20</v>
      </c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>
        <v>8</v>
      </c>
      <c r="BM214" s="57"/>
      <c r="BN214" s="57"/>
      <c r="BO214" s="57"/>
      <c r="BP214" s="57"/>
    </row>
    <row r="215" spans="1:68" ht="15" x14ac:dyDescent="0.15">
      <c r="A215" s="273" t="s">
        <v>623</v>
      </c>
      <c r="B215" s="274" t="s">
        <v>604</v>
      </c>
      <c r="C215" s="274" t="s">
        <v>605</v>
      </c>
      <c r="D215" s="274" t="s">
        <v>624</v>
      </c>
      <c r="E215" s="274" t="s">
        <v>116</v>
      </c>
      <c r="F215" s="275">
        <v>24</v>
      </c>
      <c r="G215" s="296">
        <v>72</v>
      </c>
      <c r="H215" s="294"/>
      <c r="I215" s="56"/>
      <c r="J215" s="57"/>
      <c r="K215" s="57"/>
      <c r="L215" s="57"/>
      <c r="M215" s="57"/>
      <c r="N215" s="57"/>
      <c r="O215" s="57"/>
      <c r="P215" s="57"/>
      <c r="Q215" s="57"/>
      <c r="R215" s="57"/>
      <c r="S215" s="57">
        <v>4</v>
      </c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</row>
    <row r="216" spans="1:68" ht="15" x14ac:dyDescent="0.15">
      <c r="A216" s="273" t="s">
        <v>625</v>
      </c>
      <c r="B216" s="274" t="s">
        <v>604</v>
      </c>
      <c r="C216" s="274" t="s">
        <v>605</v>
      </c>
      <c r="D216" s="274" t="s">
        <v>626</v>
      </c>
      <c r="E216" s="274" t="s">
        <v>116</v>
      </c>
      <c r="F216" s="275">
        <v>24</v>
      </c>
      <c r="G216" s="296">
        <v>96</v>
      </c>
      <c r="H216" s="294"/>
      <c r="I216" s="56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>
        <v>5</v>
      </c>
      <c r="BH216" s="57">
        <v>5</v>
      </c>
      <c r="BI216" s="57"/>
      <c r="BJ216" s="57">
        <v>2</v>
      </c>
      <c r="BK216" s="57"/>
      <c r="BL216" s="57"/>
      <c r="BM216" s="57"/>
      <c r="BN216" s="57">
        <v>167</v>
      </c>
      <c r="BO216" s="57"/>
      <c r="BP216" s="57">
        <v>121</v>
      </c>
    </row>
    <row r="217" spans="1:68" ht="15" x14ac:dyDescent="0.15">
      <c r="A217" s="273" t="s">
        <v>627</v>
      </c>
      <c r="B217" s="274" t="s">
        <v>604</v>
      </c>
      <c r="C217" s="274" t="s">
        <v>605</v>
      </c>
      <c r="D217" s="274" t="s">
        <v>628</v>
      </c>
      <c r="E217" s="274" t="s">
        <v>116</v>
      </c>
      <c r="F217" s="275">
        <v>24</v>
      </c>
      <c r="G217" s="296">
        <v>120</v>
      </c>
      <c r="H217" s="294"/>
      <c r="I217" s="56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>
        <v>120</v>
      </c>
      <c r="BP217" s="57"/>
    </row>
    <row r="218" spans="1:68" ht="15" x14ac:dyDescent="0.15">
      <c r="A218" s="273" t="s">
        <v>629</v>
      </c>
      <c r="B218" s="274" t="s">
        <v>604</v>
      </c>
      <c r="C218" s="274" t="s">
        <v>605</v>
      </c>
      <c r="D218" s="274" t="s">
        <v>630</v>
      </c>
      <c r="E218" s="274" t="s">
        <v>116</v>
      </c>
      <c r="F218" s="275">
        <v>32</v>
      </c>
      <c r="G218" s="296">
        <v>40</v>
      </c>
      <c r="H218" s="294"/>
      <c r="I218" s="56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>
        <v>2</v>
      </c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</row>
    <row r="219" spans="1:68" ht="15" x14ac:dyDescent="0.15">
      <c r="A219" s="273" t="s">
        <v>631</v>
      </c>
      <c r="B219" s="274" t="s">
        <v>604</v>
      </c>
      <c r="C219" s="274" t="s">
        <v>605</v>
      </c>
      <c r="D219" s="274" t="s">
        <v>632</v>
      </c>
      <c r="E219" s="274" t="s">
        <v>116</v>
      </c>
      <c r="F219" s="275">
        <v>32</v>
      </c>
      <c r="G219" s="296">
        <v>48</v>
      </c>
      <c r="H219" s="294"/>
      <c r="I219" s="56"/>
      <c r="J219" s="57"/>
      <c r="K219" s="57"/>
      <c r="L219" s="57"/>
      <c r="M219" s="57"/>
      <c r="N219" s="57"/>
      <c r="O219" s="57"/>
      <c r="P219" s="57"/>
      <c r="Q219" s="57"/>
      <c r="R219" s="57"/>
      <c r="S219" s="57">
        <v>4</v>
      </c>
      <c r="T219" s="57"/>
      <c r="U219" s="57">
        <v>2</v>
      </c>
      <c r="V219" s="57"/>
      <c r="W219" s="57"/>
      <c r="X219" s="57"/>
      <c r="Y219" s="57"/>
      <c r="Z219" s="57"/>
      <c r="AA219" s="57"/>
      <c r="AB219" s="57">
        <v>8</v>
      </c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>
        <v>1</v>
      </c>
      <c r="BK219" s="57"/>
      <c r="BL219" s="57"/>
      <c r="BM219" s="57"/>
      <c r="BN219" s="57"/>
      <c r="BO219" s="57"/>
      <c r="BP219" s="57"/>
    </row>
    <row r="220" spans="1:68" ht="15" x14ac:dyDescent="0.15">
      <c r="A220" s="273" t="s">
        <v>633</v>
      </c>
      <c r="B220" s="274" t="s">
        <v>604</v>
      </c>
      <c r="C220" s="274" t="s">
        <v>605</v>
      </c>
      <c r="D220" s="274" t="s">
        <v>634</v>
      </c>
      <c r="E220" s="274" t="s">
        <v>116</v>
      </c>
      <c r="F220" s="275">
        <v>32</v>
      </c>
      <c r="G220" s="296">
        <v>56</v>
      </c>
      <c r="H220" s="294"/>
      <c r="I220" s="56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>
        <v>2</v>
      </c>
      <c r="BM220" s="57"/>
      <c r="BN220" s="57"/>
      <c r="BO220" s="57">
        <v>4</v>
      </c>
      <c r="BP220" s="57"/>
    </row>
    <row r="221" spans="1:68" ht="15" x14ac:dyDescent="0.15">
      <c r="A221" s="273" t="s">
        <v>635</v>
      </c>
      <c r="B221" s="274" t="s">
        <v>604</v>
      </c>
      <c r="C221" s="274" t="s">
        <v>605</v>
      </c>
      <c r="D221" s="274" t="s">
        <v>636</v>
      </c>
      <c r="E221" s="274" t="s">
        <v>116</v>
      </c>
      <c r="F221" s="275">
        <v>32</v>
      </c>
      <c r="G221" s="296">
        <v>64</v>
      </c>
      <c r="H221" s="294"/>
      <c r="I221" s="56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>
        <v>1</v>
      </c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>
        <v>2</v>
      </c>
    </row>
    <row r="222" spans="1:68" ht="15" x14ac:dyDescent="0.15">
      <c r="A222" s="273" t="s">
        <v>637</v>
      </c>
      <c r="B222" s="274" t="s">
        <v>604</v>
      </c>
      <c r="C222" s="274" t="s">
        <v>638</v>
      </c>
      <c r="D222" s="274" t="s">
        <v>639</v>
      </c>
      <c r="E222" s="274" t="s">
        <v>116</v>
      </c>
      <c r="F222" s="275">
        <v>12</v>
      </c>
      <c r="G222" s="296">
        <v>32</v>
      </c>
      <c r="H222" s="294"/>
      <c r="I222" s="56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>
        <v>1</v>
      </c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</row>
    <row r="223" spans="1:68" ht="15" x14ac:dyDescent="0.15">
      <c r="A223" s="273" t="s">
        <v>640</v>
      </c>
      <c r="B223" s="274" t="s">
        <v>604</v>
      </c>
      <c r="C223" s="274" t="s">
        <v>638</v>
      </c>
      <c r="D223" s="274" t="s">
        <v>641</v>
      </c>
      <c r="E223" s="274" t="s">
        <v>116</v>
      </c>
      <c r="F223" s="275">
        <v>16</v>
      </c>
      <c r="G223" s="296">
        <v>20</v>
      </c>
      <c r="H223" s="294"/>
      <c r="I223" s="56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>
        <v>1</v>
      </c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>
        <v>2</v>
      </c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</row>
    <row r="224" spans="1:68" ht="15" x14ac:dyDescent="0.15">
      <c r="A224" s="273" t="s">
        <v>642</v>
      </c>
      <c r="B224" s="274" t="s">
        <v>604</v>
      </c>
      <c r="C224" s="274" t="s">
        <v>638</v>
      </c>
      <c r="D224" s="274" t="s">
        <v>643</v>
      </c>
      <c r="E224" s="274" t="s">
        <v>116</v>
      </c>
      <c r="F224" s="275">
        <v>16</v>
      </c>
      <c r="G224" s="296">
        <v>24</v>
      </c>
      <c r="H224" s="294"/>
      <c r="I224" s="56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>
        <v>1</v>
      </c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</row>
    <row r="225" spans="1:68" ht="15" x14ac:dyDescent="0.15">
      <c r="A225" s="273" t="s">
        <v>644</v>
      </c>
      <c r="B225" s="274" t="s">
        <v>604</v>
      </c>
      <c r="C225" s="274" t="s">
        <v>638</v>
      </c>
      <c r="D225" s="274" t="s">
        <v>645</v>
      </c>
      <c r="E225" s="274" t="s">
        <v>116</v>
      </c>
      <c r="F225" s="275">
        <v>16</v>
      </c>
      <c r="G225" s="296">
        <v>36</v>
      </c>
      <c r="H225" s="294"/>
      <c r="I225" s="56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>
        <v>1</v>
      </c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>
        <v>8</v>
      </c>
      <c r="BI225" s="57"/>
      <c r="BJ225" s="57"/>
      <c r="BK225" s="57"/>
      <c r="BL225" s="57"/>
      <c r="BM225" s="57"/>
      <c r="BN225" s="57"/>
      <c r="BO225" s="57"/>
      <c r="BP225" s="57"/>
    </row>
    <row r="226" spans="1:68" ht="15" x14ac:dyDescent="0.15">
      <c r="A226" s="273" t="s">
        <v>646</v>
      </c>
      <c r="B226" s="274" t="s">
        <v>604</v>
      </c>
      <c r="C226" s="274" t="s">
        <v>638</v>
      </c>
      <c r="D226" s="274" t="s">
        <v>647</v>
      </c>
      <c r="E226" s="274" t="s">
        <v>116</v>
      </c>
      <c r="F226" s="275">
        <v>32</v>
      </c>
      <c r="G226" s="296">
        <v>56</v>
      </c>
      <c r="H226" s="294"/>
      <c r="I226" s="56">
        <v>1</v>
      </c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</row>
    <row r="227" spans="1:68" ht="15" x14ac:dyDescent="0.15">
      <c r="A227" s="292" t="s">
        <v>648</v>
      </c>
      <c r="B227" s="293" t="s">
        <v>649</v>
      </c>
      <c r="C227" s="293"/>
      <c r="D227" s="293" t="s">
        <v>650</v>
      </c>
      <c r="E227" s="274" t="s">
        <v>116</v>
      </c>
      <c r="F227" s="275">
        <v>8</v>
      </c>
      <c r="G227" s="296">
        <v>48</v>
      </c>
      <c r="H227" s="294"/>
      <c r="I227" s="56"/>
      <c r="J227" s="57"/>
      <c r="K227" s="57"/>
      <c r="L227" s="57"/>
      <c r="M227" s="57"/>
      <c r="N227" s="57">
        <v>2</v>
      </c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>
        <v>14</v>
      </c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</row>
    <row r="228" spans="1:68" ht="15" x14ac:dyDescent="0.15">
      <c r="A228" s="292" t="s">
        <v>651</v>
      </c>
      <c r="B228" s="293" t="s">
        <v>649</v>
      </c>
      <c r="C228" s="293"/>
      <c r="D228" s="293" t="s">
        <v>652</v>
      </c>
      <c r="E228" s="274" t="s">
        <v>204</v>
      </c>
      <c r="F228" s="275">
        <v>8</v>
      </c>
      <c r="G228" s="296">
        <v>168</v>
      </c>
      <c r="H228" s="294"/>
      <c r="I228" s="56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>
        <v>1</v>
      </c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</row>
    <row r="229" spans="1:68" ht="15" x14ac:dyDescent="0.15">
      <c r="A229" s="292" t="s">
        <v>653</v>
      </c>
      <c r="B229" s="293" t="s">
        <v>649</v>
      </c>
      <c r="C229" s="293"/>
      <c r="D229" s="293" t="s">
        <v>654</v>
      </c>
      <c r="E229" s="274" t="s">
        <v>116</v>
      </c>
      <c r="F229" s="275">
        <v>16</v>
      </c>
      <c r="G229" s="296">
        <v>80</v>
      </c>
      <c r="H229" s="294"/>
      <c r="I229" s="56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>
        <v>3</v>
      </c>
      <c r="AZ229" s="57"/>
      <c r="BA229" s="57"/>
      <c r="BB229" s="57">
        <v>1</v>
      </c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</row>
    <row r="230" spans="1:68" ht="15" x14ac:dyDescent="0.15">
      <c r="A230" s="292" t="s">
        <v>655</v>
      </c>
      <c r="B230" s="293" t="s">
        <v>649</v>
      </c>
      <c r="C230" s="293"/>
      <c r="D230" s="293" t="s">
        <v>656</v>
      </c>
      <c r="E230" s="274" t="s">
        <v>116</v>
      </c>
      <c r="F230" s="275">
        <v>32</v>
      </c>
      <c r="G230" s="296">
        <v>40</v>
      </c>
      <c r="H230" s="294"/>
      <c r="I230" s="56"/>
      <c r="J230" s="57"/>
      <c r="K230" s="57"/>
      <c r="L230" s="57">
        <v>1</v>
      </c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</row>
    <row r="231" spans="1:68" ht="15" x14ac:dyDescent="0.15">
      <c r="A231" s="292" t="s">
        <v>657</v>
      </c>
      <c r="B231" s="293" t="s">
        <v>649</v>
      </c>
      <c r="C231" s="293"/>
      <c r="D231" s="293" t="s">
        <v>658</v>
      </c>
      <c r="E231" s="274" t="s">
        <v>116</v>
      </c>
      <c r="F231" s="275">
        <v>32</v>
      </c>
      <c r="G231" s="296">
        <v>56</v>
      </c>
      <c r="H231" s="294"/>
      <c r="I231" s="56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>
        <v>5</v>
      </c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>
        <v>4</v>
      </c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</row>
    <row r="232" spans="1:68" ht="15" x14ac:dyDescent="0.15">
      <c r="A232" s="273" t="s">
        <v>659</v>
      </c>
      <c r="B232" s="293" t="s">
        <v>649</v>
      </c>
      <c r="C232" s="274"/>
      <c r="D232" s="293" t="s">
        <v>660</v>
      </c>
      <c r="E232" s="274" t="s">
        <v>116</v>
      </c>
      <c r="F232" s="275">
        <v>32</v>
      </c>
      <c r="G232" s="296">
        <v>80</v>
      </c>
      <c r="H232" s="294"/>
      <c r="I232" s="56">
        <f>1+6</f>
        <v>7</v>
      </c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>
        <f>15+1</f>
        <v>16</v>
      </c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</row>
    <row r="233" spans="1:68" ht="15" x14ac:dyDescent="0.15">
      <c r="A233" s="292" t="s">
        <v>661</v>
      </c>
      <c r="B233" s="293" t="s">
        <v>649</v>
      </c>
      <c r="C233" s="293"/>
      <c r="D233" s="293" t="s">
        <v>662</v>
      </c>
      <c r="E233" s="274" t="s">
        <v>116</v>
      </c>
      <c r="F233" s="275">
        <v>40</v>
      </c>
      <c r="G233" s="296">
        <v>48</v>
      </c>
      <c r="H233" s="294"/>
      <c r="I233" s="56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>
        <v>54</v>
      </c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</row>
    <row r="234" spans="1:68" ht="15" x14ac:dyDescent="0.15">
      <c r="A234" s="292" t="s">
        <v>663</v>
      </c>
      <c r="B234" s="293" t="s">
        <v>649</v>
      </c>
      <c r="C234" s="293"/>
      <c r="D234" s="293" t="s">
        <v>664</v>
      </c>
      <c r="E234" s="274" t="s">
        <v>116</v>
      </c>
      <c r="F234" s="275">
        <v>40</v>
      </c>
      <c r="G234" s="296">
        <v>72</v>
      </c>
      <c r="H234" s="294"/>
      <c r="I234" s="56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>
        <v>1</v>
      </c>
    </row>
    <row r="235" spans="1:68" ht="15" x14ac:dyDescent="0.15">
      <c r="A235" s="292" t="s">
        <v>665</v>
      </c>
      <c r="B235" s="293" t="s">
        <v>649</v>
      </c>
      <c r="C235" s="293" t="s">
        <v>666</v>
      </c>
      <c r="D235" s="293" t="s">
        <v>667</v>
      </c>
      <c r="E235" s="274" t="s">
        <v>116</v>
      </c>
      <c r="F235" s="275">
        <v>24</v>
      </c>
      <c r="G235" s="296">
        <v>40</v>
      </c>
      <c r="H235" s="294"/>
      <c r="I235" s="56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>
        <v>3</v>
      </c>
    </row>
    <row r="236" spans="1:68" ht="15" x14ac:dyDescent="0.15">
      <c r="A236" s="292" t="s">
        <v>668</v>
      </c>
      <c r="B236" s="293" t="s">
        <v>649</v>
      </c>
      <c r="C236" s="293" t="s">
        <v>666</v>
      </c>
      <c r="D236" s="293" t="s">
        <v>669</v>
      </c>
      <c r="E236" s="274" t="s">
        <v>116</v>
      </c>
      <c r="F236" s="275">
        <v>32</v>
      </c>
      <c r="G236" s="296">
        <v>48</v>
      </c>
      <c r="H236" s="294"/>
      <c r="I236" s="56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>
        <v>1</v>
      </c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>
        <v>1</v>
      </c>
      <c r="BP236" s="57"/>
    </row>
    <row r="237" spans="1:68" ht="15" x14ac:dyDescent="0.15">
      <c r="A237" s="292" t="s">
        <v>670</v>
      </c>
      <c r="B237" s="293" t="s">
        <v>649</v>
      </c>
      <c r="C237" s="293" t="s">
        <v>666</v>
      </c>
      <c r="D237" s="293" t="s">
        <v>671</v>
      </c>
      <c r="E237" s="274" t="s">
        <v>116</v>
      </c>
      <c r="F237" s="275">
        <v>40</v>
      </c>
      <c r="G237" s="296">
        <v>64</v>
      </c>
      <c r="H237" s="294"/>
      <c r="I237" s="56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>
        <v>1</v>
      </c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>
        <v>3</v>
      </c>
      <c r="BM237" s="57"/>
      <c r="BN237" s="57">
        <v>1</v>
      </c>
      <c r="BO237" s="57"/>
      <c r="BP237" s="57"/>
    </row>
    <row r="238" spans="1:68" ht="15" x14ac:dyDescent="0.15">
      <c r="A238" s="292" t="s">
        <v>672</v>
      </c>
      <c r="B238" s="293" t="s">
        <v>649</v>
      </c>
      <c r="C238" s="293" t="s">
        <v>666</v>
      </c>
      <c r="D238" s="293" t="s">
        <v>673</v>
      </c>
      <c r="E238" s="274" t="s">
        <v>116</v>
      </c>
      <c r="F238" s="275">
        <v>40</v>
      </c>
      <c r="G238" s="296">
        <v>112</v>
      </c>
      <c r="H238" s="294"/>
      <c r="I238" s="56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>
        <v>1</v>
      </c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>
        <v>1</v>
      </c>
      <c r="BP238" s="57"/>
    </row>
    <row r="239" spans="1:68" ht="15" x14ac:dyDescent="0.15">
      <c r="A239" s="292" t="s">
        <v>674</v>
      </c>
      <c r="B239" s="293" t="s">
        <v>649</v>
      </c>
      <c r="C239" s="293" t="s">
        <v>666</v>
      </c>
      <c r="D239" s="293" t="s">
        <v>675</v>
      </c>
      <c r="E239" s="274" t="s">
        <v>116</v>
      </c>
      <c r="F239" s="275">
        <v>48</v>
      </c>
      <c r="G239" s="296">
        <v>120</v>
      </c>
      <c r="H239" s="294"/>
      <c r="I239" s="56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>
        <v>3</v>
      </c>
      <c r="AS239" s="57"/>
      <c r="AT239" s="57">
        <v>2</v>
      </c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>
        <v>2</v>
      </c>
      <c r="BF239" s="57"/>
      <c r="BG239" s="57"/>
      <c r="BH239" s="57"/>
      <c r="BI239" s="57"/>
      <c r="BJ239" s="57"/>
      <c r="BK239" s="57"/>
      <c r="BL239" s="57">
        <v>1</v>
      </c>
      <c r="BM239" s="57"/>
      <c r="BN239" s="57"/>
      <c r="BO239" s="57"/>
      <c r="BP239" s="57"/>
    </row>
    <row r="240" spans="1:68" ht="15" x14ac:dyDescent="0.15">
      <c r="A240" s="292" t="s">
        <v>676</v>
      </c>
      <c r="B240" s="293" t="s">
        <v>649</v>
      </c>
      <c r="C240" s="293" t="s">
        <v>666</v>
      </c>
      <c r="D240" s="293" t="s">
        <v>677</v>
      </c>
      <c r="E240" s="274" t="s">
        <v>116</v>
      </c>
      <c r="F240" s="275">
        <v>56</v>
      </c>
      <c r="G240" s="296">
        <v>80</v>
      </c>
      <c r="H240" s="294"/>
      <c r="I240" s="56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>
        <v>1</v>
      </c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</row>
    <row r="241" spans="1:68" ht="15" x14ac:dyDescent="0.15">
      <c r="A241" s="273" t="s">
        <v>678</v>
      </c>
      <c r="B241" s="293" t="s">
        <v>649</v>
      </c>
      <c r="C241" s="274"/>
      <c r="D241" s="274" t="s">
        <v>679</v>
      </c>
      <c r="E241" s="274" t="s">
        <v>116</v>
      </c>
      <c r="F241" s="275">
        <v>6</v>
      </c>
      <c r="G241" s="296">
        <v>32</v>
      </c>
      <c r="H241" s="294"/>
      <c r="I241" s="56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>
        <v>30</v>
      </c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</row>
    <row r="242" spans="1:68" ht="15" x14ac:dyDescent="0.15">
      <c r="A242" s="273" t="s">
        <v>680</v>
      </c>
      <c r="B242" s="293" t="s">
        <v>649</v>
      </c>
      <c r="C242" s="274"/>
      <c r="D242" s="274" t="s">
        <v>681</v>
      </c>
      <c r="E242" s="274" t="s">
        <v>116</v>
      </c>
      <c r="F242" s="275">
        <v>8</v>
      </c>
      <c r="G242" s="296">
        <v>16</v>
      </c>
      <c r="H242" s="294"/>
      <c r="I242" s="56"/>
      <c r="J242" s="57"/>
      <c r="K242" s="57"/>
      <c r="L242" s="57"/>
      <c r="M242" s="57"/>
      <c r="N242" s="57"/>
      <c r="O242" s="57"/>
      <c r="P242" s="57"/>
      <c r="Q242" s="57"/>
      <c r="R242" s="57"/>
      <c r="S242" s="57">
        <v>2</v>
      </c>
      <c r="T242" s="57"/>
      <c r="U242" s="57"/>
      <c r="V242" s="57"/>
      <c r="W242" s="57"/>
      <c r="X242" s="57"/>
      <c r="Y242" s="57"/>
      <c r="Z242" s="57"/>
      <c r="AA242" s="57"/>
      <c r="AB242" s="57"/>
      <c r="AC242" s="57">
        <v>1</v>
      </c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</row>
    <row r="243" spans="1:68" ht="15" x14ac:dyDescent="0.15">
      <c r="A243" s="273" t="s">
        <v>682</v>
      </c>
      <c r="B243" s="293" t="s">
        <v>649</v>
      </c>
      <c r="C243" s="274"/>
      <c r="D243" s="274" t="s">
        <v>683</v>
      </c>
      <c r="E243" s="274" t="s">
        <v>116</v>
      </c>
      <c r="F243" s="275">
        <v>8</v>
      </c>
      <c r="G243" s="296">
        <v>24</v>
      </c>
      <c r="H243" s="294"/>
      <c r="I243" s="56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>
        <v>15</v>
      </c>
      <c r="BB243" s="57"/>
      <c r="BC243" s="57"/>
      <c r="BD243" s="57"/>
      <c r="BE243" s="57"/>
      <c r="BF243" s="57"/>
      <c r="BG243" s="57">
        <v>10</v>
      </c>
      <c r="BH243" s="57">
        <v>19</v>
      </c>
      <c r="BI243" s="57"/>
      <c r="BJ243" s="57"/>
      <c r="BK243" s="57"/>
      <c r="BL243" s="57"/>
      <c r="BM243" s="57"/>
      <c r="BN243" s="57"/>
      <c r="BO243" s="57"/>
      <c r="BP243" s="57"/>
    </row>
    <row r="244" spans="1:68" ht="15" x14ac:dyDescent="0.15">
      <c r="A244" s="273" t="s">
        <v>684</v>
      </c>
      <c r="B244" s="293" t="s">
        <v>649</v>
      </c>
      <c r="C244" s="274"/>
      <c r="D244" s="274" t="s">
        <v>685</v>
      </c>
      <c r="E244" s="274" t="s">
        <v>204</v>
      </c>
      <c r="F244" s="275">
        <v>8</v>
      </c>
      <c r="G244" s="296">
        <v>32</v>
      </c>
      <c r="H244" s="294"/>
      <c r="I244" s="56"/>
      <c r="J244" s="57"/>
      <c r="K244" s="57"/>
      <c r="L244" s="57"/>
      <c r="M244" s="57"/>
      <c r="N244" s="57"/>
      <c r="O244" s="57"/>
      <c r="P244" s="57"/>
      <c r="Q244" s="57"/>
      <c r="R244" s="57"/>
      <c r="S244" s="57">
        <v>70</v>
      </c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>
        <v>15</v>
      </c>
      <c r="AX244" s="57"/>
      <c r="AY244" s="57"/>
      <c r="AZ244" s="57"/>
      <c r="BA244" s="57"/>
      <c r="BB244" s="57"/>
      <c r="BC244" s="57"/>
      <c r="BD244" s="57"/>
      <c r="BE244" s="57"/>
      <c r="BF244" s="57"/>
      <c r="BG244" s="57">
        <v>1</v>
      </c>
      <c r="BH244" s="57"/>
      <c r="BI244" s="57"/>
      <c r="BJ244" s="57"/>
      <c r="BK244" s="57"/>
      <c r="BL244" s="57"/>
      <c r="BM244" s="57"/>
      <c r="BN244" s="57"/>
      <c r="BO244" s="57"/>
      <c r="BP244" s="57"/>
    </row>
    <row r="245" spans="1:68" ht="15" x14ac:dyDescent="0.15">
      <c r="A245" s="273" t="s">
        <v>686</v>
      </c>
      <c r="B245" s="293" t="s">
        <v>649</v>
      </c>
      <c r="C245" s="274"/>
      <c r="D245" s="274" t="s">
        <v>687</v>
      </c>
      <c r="E245" s="274" t="s">
        <v>116</v>
      </c>
      <c r="F245" s="275">
        <v>12</v>
      </c>
      <c r="G245" s="296">
        <v>32</v>
      </c>
      <c r="H245" s="294"/>
      <c r="I245" s="56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>
        <v>1</v>
      </c>
      <c r="AM245" s="57"/>
      <c r="AN245" s="57">
        <v>7</v>
      </c>
      <c r="AO245" s="57"/>
      <c r="AP245" s="57"/>
      <c r="AQ245" s="57"/>
      <c r="AR245" s="57"/>
      <c r="AS245" s="57"/>
      <c r="AT245" s="57"/>
      <c r="AU245" s="57">
        <v>31</v>
      </c>
      <c r="AV245" s="57">
        <v>17</v>
      </c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</row>
    <row r="246" spans="1:68" ht="15" x14ac:dyDescent="0.15">
      <c r="A246" s="273" t="s">
        <v>688</v>
      </c>
      <c r="B246" s="293" t="s">
        <v>649</v>
      </c>
      <c r="C246" s="274"/>
      <c r="D246" s="274" t="s">
        <v>689</v>
      </c>
      <c r="E246" s="274" t="s">
        <v>116</v>
      </c>
      <c r="F246" s="275">
        <v>16</v>
      </c>
      <c r="G246" s="296">
        <v>24</v>
      </c>
      <c r="H246" s="294"/>
      <c r="I246" s="56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>
        <v>1</v>
      </c>
      <c r="AC246" s="57">
        <f>1+1</f>
        <v>2</v>
      </c>
      <c r="AD246" s="57"/>
      <c r="AE246" s="57"/>
      <c r="AF246" s="57"/>
      <c r="AG246" s="57"/>
      <c r="AH246" s="57"/>
      <c r="AI246" s="57"/>
      <c r="AJ246" s="57"/>
      <c r="AK246" s="57"/>
      <c r="AL246" s="57"/>
      <c r="AM246" s="57">
        <v>1</v>
      </c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>
        <v>1</v>
      </c>
      <c r="BH246" s="57"/>
      <c r="BI246" s="57"/>
      <c r="BJ246" s="57">
        <v>12</v>
      </c>
      <c r="BK246" s="57">
        <v>3</v>
      </c>
      <c r="BL246" s="57"/>
      <c r="BM246" s="57">
        <v>120</v>
      </c>
      <c r="BN246" s="57"/>
      <c r="BO246" s="57"/>
      <c r="BP246" s="57"/>
    </row>
    <row r="247" spans="1:68" ht="15" x14ac:dyDescent="0.15">
      <c r="A247" s="273" t="s">
        <v>690</v>
      </c>
      <c r="B247" s="293" t="s">
        <v>649</v>
      </c>
      <c r="C247" s="274"/>
      <c r="D247" s="274" t="s">
        <v>691</v>
      </c>
      <c r="E247" s="274" t="s">
        <v>116</v>
      </c>
      <c r="F247" s="275">
        <v>16</v>
      </c>
      <c r="G247" s="296">
        <v>32</v>
      </c>
      <c r="H247" s="294"/>
      <c r="I247" s="56">
        <v>49</v>
      </c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>
        <v>1</v>
      </c>
      <c r="AN247" s="57"/>
      <c r="AO247" s="57"/>
      <c r="AP247" s="57"/>
      <c r="AQ247" s="57"/>
      <c r="AR247" s="57"/>
      <c r="AS247" s="57"/>
      <c r="AT247" s="57">
        <v>1</v>
      </c>
      <c r="AU247" s="57"/>
      <c r="AV247" s="57"/>
      <c r="AW247" s="57"/>
      <c r="AX247" s="57"/>
      <c r="AY247" s="57"/>
      <c r="AZ247" s="57"/>
      <c r="BA247" s="57"/>
      <c r="BB247" s="57"/>
      <c r="BC247" s="57">
        <v>29</v>
      </c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>
        <v>1</v>
      </c>
      <c r="BO247" s="57"/>
      <c r="BP247" s="57"/>
    </row>
    <row r="248" spans="1:68" ht="15" x14ac:dyDescent="0.15">
      <c r="A248" s="273" t="s">
        <v>692</v>
      </c>
      <c r="B248" s="293" t="s">
        <v>649</v>
      </c>
      <c r="C248" s="274"/>
      <c r="D248" s="274" t="s">
        <v>693</v>
      </c>
      <c r="E248" s="274" t="s">
        <v>116</v>
      </c>
      <c r="F248" s="275">
        <v>16</v>
      </c>
      <c r="G248" s="296">
        <v>40</v>
      </c>
      <c r="H248" s="294"/>
      <c r="I248" s="56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>
        <v>7</v>
      </c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>
        <v>3</v>
      </c>
      <c r="BG248" s="57"/>
      <c r="BH248" s="57"/>
      <c r="BI248" s="57"/>
      <c r="BJ248" s="57"/>
      <c r="BK248" s="57">
        <v>11</v>
      </c>
      <c r="BL248" s="57"/>
      <c r="BM248" s="57"/>
      <c r="BN248" s="57"/>
      <c r="BO248" s="57"/>
      <c r="BP248" s="57"/>
    </row>
    <row r="249" spans="1:68" ht="15" x14ac:dyDescent="0.15">
      <c r="A249" s="273" t="s">
        <v>694</v>
      </c>
      <c r="B249" s="293" t="s">
        <v>649</v>
      </c>
      <c r="C249" s="274"/>
      <c r="D249" s="274" t="s">
        <v>695</v>
      </c>
      <c r="E249" s="274" t="s">
        <v>116</v>
      </c>
      <c r="F249" s="275">
        <v>16</v>
      </c>
      <c r="G249" s="296">
        <v>72</v>
      </c>
      <c r="H249" s="294"/>
      <c r="I249" s="56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>
        <v>1</v>
      </c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</row>
    <row r="250" spans="1:68" ht="15" x14ac:dyDescent="0.15">
      <c r="A250" s="273" t="s">
        <v>696</v>
      </c>
      <c r="B250" s="293" t="s">
        <v>649</v>
      </c>
      <c r="C250" s="274"/>
      <c r="D250" s="274" t="s">
        <v>697</v>
      </c>
      <c r="E250" s="274" t="s">
        <v>116</v>
      </c>
      <c r="F250" s="275">
        <v>20</v>
      </c>
      <c r="G250" s="296">
        <v>40</v>
      </c>
      <c r="H250" s="294"/>
      <c r="I250" s="56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>
        <v>1</v>
      </c>
      <c r="AE250" s="57"/>
      <c r="AF250" s="57"/>
      <c r="AG250" s="57"/>
      <c r="AH250" s="57"/>
      <c r="AI250" s="57"/>
      <c r="AJ250" s="57"/>
      <c r="AK250" s="57"/>
      <c r="AL250" s="57"/>
      <c r="AM250" s="57">
        <v>14</v>
      </c>
      <c r="AN250" s="57">
        <v>13</v>
      </c>
      <c r="AO250" s="57"/>
      <c r="AP250" s="57"/>
      <c r="AQ250" s="57"/>
      <c r="AR250" s="57"/>
      <c r="AS250" s="57"/>
      <c r="AT250" s="57">
        <v>18</v>
      </c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</row>
    <row r="251" spans="1:68" ht="15" x14ac:dyDescent="0.15">
      <c r="A251" s="273" t="s">
        <v>698</v>
      </c>
      <c r="B251" s="293" t="s">
        <v>649</v>
      </c>
      <c r="C251" s="274"/>
      <c r="D251" s="274" t="s">
        <v>699</v>
      </c>
      <c r="E251" s="274" t="s">
        <v>116</v>
      </c>
      <c r="F251" s="275">
        <v>24</v>
      </c>
      <c r="G251" s="296">
        <v>32</v>
      </c>
      <c r="H251" s="294"/>
      <c r="I251" s="56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>
        <v>1</v>
      </c>
      <c r="AD251" s="57"/>
      <c r="AE251" s="57"/>
      <c r="AF251" s="57"/>
      <c r="AG251" s="57"/>
      <c r="AH251" s="57"/>
      <c r="AI251" s="57"/>
      <c r="AJ251" s="57"/>
      <c r="AK251" s="57"/>
      <c r="AL251" s="57"/>
      <c r="AM251" s="57">
        <v>10</v>
      </c>
      <c r="AN251" s="57"/>
      <c r="AO251" s="57"/>
      <c r="AP251" s="57">
        <v>6</v>
      </c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</row>
    <row r="252" spans="1:68" ht="15" x14ac:dyDescent="0.15">
      <c r="A252" s="273" t="s">
        <v>700</v>
      </c>
      <c r="B252" s="293" t="s">
        <v>649</v>
      </c>
      <c r="C252" s="274"/>
      <c r="D252" s="274" t="s">
        <v>701</v>
      </c>
      <c r="E252" s="274" t="s">
        <v>116</v>
      </c>
      <c r="F252" s="275">
        <v>24</v>
      </c>
      <c r="G252" s="296">
        <v>40</v>
      </c>
      <c r="H252" s="294"/>
      <c r="I252" s="56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>
        <f>1+1</f>
        <v>2</v>
      </c>
      <c r="AP252" s="57"/>
      <c r="AQ252" s="57"/>
      <c r="AR252" s="57">
        <v>26</v>
      </c>
      <c r="AS252" s="57"/>
      <c r="AT252" s="57"/>
      <c r="AU252" s="57"/>
      <c r="AV252" s="57"/>
      <c r="AW252" s="57">
        <v>40</v>
      </c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>
        <f>1+4</f>
        <v>5</v>
      </c>
    </row>
    <row r="253" spans="1:68" ht="15" x14ac:dyDescent="0.15">
      <c r="A253" s="273" t="s">
        <v>702</v>
      </c>
      <c r="B253" s="293" t="s">
        <v>649</v>
      </c>
      <c r="C253" s="274"/>
      <c r="D253" s="274" t="s">
        <v>703</v>
      </c>
      <c r="E253" s="274" t="s">
        <v>91</v>
      </c>
      <c r="F253" s="275">
        <v>32</v>
      </c>
      <c r="G253" s="296">
        <v>32</v>
      </c>
      <c r="H253" s="294"/>
      <c r="I253" s="56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>
        <v>1</v>
      </c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</row>
    <row r="254" spans="1:68" ht="15" x14ac:dyDescent="0.15">
      <c r="A254" s="273" t="s">
        <v>704</v>
      </c>
      <c r="B254" s="293" t="s">
        <v>649</v>
      </c>
      <c r="C254" s="274"/>
      <c r="D254" s="274" t="s">
        <v>705</v>
      </c>
      <c r="E254" s="274" t="s">
        <v>116</v>
      </c>
      <c r="F254" s="275">
        <v>32</v>
      </c>
      <c r="G254" s="296">
        <v>56</v>
      </c>
      <c r="H254" s="294"/>
      <c r="I254" s="56"/>
      <c r="J254" s="57"/>
      <c r="K254" s="57"/>
      <c r="L254" s="57"/>
      <c r="M254" s="57">
        <v>1</v>
      </c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>
        <v>1</v>
      </c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>
        <v>4</v>
      </c>
      <c r="BH254" s="57"/>
      <c r="BI254" s="57"/>
      <c r="BJ254" s="57"/>
      <c r="BK254" s="57"/>
      <c r="BL254" s="57"/>
      <c r="BM254" s="57"/>
      <c r="BN254" s="57"/>
      <c r="BO254" s="57"/>
      <c r="BP254" s="57"/>
    </row>
    <row r="255" spans="1:68" ht="15" x14ac:dyDescent="0.15">
      <c r="A255" s="275" t="s">
        <v>706</v>
      </c>
      <c r="B255" s="293" t="s">
        <v>649</v>
      </c>
      <c r="C255" s="275" t="s">
        <v>174</v>
      </c>
      <c r="D255" s="291" t="s">
        <v>707</v>
      </c>
      <c r="E255" s="275" t="s">
        <v>91</v>
      </c>
      <c r="F255" s="275">
        <v>16</v>
      </c>
      <c r="G255" s="296">
        <v>16</v>
      </c>
      <c r="H255" s="294"/>
      <c r="I255" s="56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>
        <v>1</v>
      </c>
      <c r="AC255" s="57">
        <f>1+1</f>
        <v>2</v>
      </c>
      <c r="AD255" s="57">
        <v>1</v>
      </c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</row>
    <row r="256" spans="1:68" ht="15" x14ac:dyDescent="0.15">
      <c r="A256" s="273" t="s">
        <v>708</v>
      </c>
      <c r="B256" s="293" t="s">
        <v>649</v>
      </c>
      <c r="C256" s="275" t="s">
        <v>174</v>
      </c>
      <c r="D256" s="291" t="s">
        <v>709</v>
      </c>
      <c r="E256" s="275" t="s">
        <v>91</v>
      </c>
      <c r="F256" s="275">
        <v>28</v>
      </c>
      <c r="G256" s="296">
        <v>28</v>
      </c>
      <c r="H256" s="294"/>
      <c r="I256" s="56"/>
      <c r="J256" s="57"/>
      <c r="K256" s="57"/>
      <c r="L256" s="57"/>
      <c r="M256" s="57"/>
      <c r="N256" s="57"/>
      <c r="O256" s="57"/>
      <c r="P256" s="57">
        <v>4</v>
      </c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>
        <f>1+1</f>
        <v>2</v>
      </c>
      <c r="AN256" s="57">
        <v>8</v>
      </c>
      <c r="AO256" s="57">
        <f>1+4</f>
        <v>5</v>
      </c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>
        <v>2</v>
      </c>
      <c r="BH256" s="57"/>
      <c r="BI256" s="57"/>
      <c r="BJ256" s="57">
        <v>8</v>
      </c>
      <c r="BK256" s="57"/>
      <c r="BL256" s="57"/>
      <c r="BM256" s="57"/>
      <c r="BN256" s="57"/>
      <c r="BO256" s="57"/>
      <c r="BP256" s="57"/>
    </row>
    <row r="257" spans="1:68" ht="15" x14ac:dyDescent="0.15">
      <c r="A257" s="273" t="s">
        <v>710</v>
      </c>
      <c r="B257" s="293" t="s">
        <v>649</v>
      </c>
      <c r="C257" s="275" t="s">
        <v>174</v>
      </c>
      <c r="D257" s="291" t="s">
        <v>711</v>
      </c>
      <c r="E257" s="275" t="s">
        <v>91</v>
      </c>
      <c r="F257" s="275">
        <v>40</v>
      </c>
      <c r="G257" s="296">
        <v>40</v>
      </c>
      <c r="H257" s="294"/>
      <c r="I257" s="56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>
        <v>3</v>
      </c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>
        <v>4</v>
      </c>
      <c r="AX257" s="57"/>
      <c r="AY257" s="57">
        <v>4</v>
      </c>
      <c r="AZ257" s="57"/>
      <c r="BA257" s="57"/>
      <c r="BB257" s="57"/>
      <c r="BC257" s="57"/>
      <c r="BD257" s="57"/>
      <c r="BE257" s="57"/>
      <c r="BF257" s="57"/>
      <c r="BG257" s="57">
        <f>14+1+1</f>
        <v>16</v>
      </c>
      <c r="BH257" s="57"/>
      <c r="BI257" s="57"/>
      <c r="BJ257" s="57"/>
      <c r="BK257" s="57">
        <v>2</v>
      </c>
      <c r="BL257" s="57"/>
      <c r="BM257" s="57"/>
      <c r="BN257" s="57"/>
      <c r="BO257" s="57"/>
      <c r="BP257" s="57"/>
    </row>
    <row r="258" spans="1:68" ht="15" x14ac:dyDescent="0.15">
      <c r="A258" s="273" t="s">
        <v>712</v>
      </c>
      <c r="B258" s="293" t="s">
        <v>649</v>
      </c>
      <c r="C258" s="275" t="s">
        <v>174</v>
      </c>
      <c r="D258" s="291" t="s">
        <v>713</v>
      </c>
      <c r="E258" s="275" t="s">
        <v>91</v>
      </c>
      <c r="F258" s="275">
        <v>48</v>
      </c>
      <c r="G258" s="296">
        <v>48</v>
      </c>
      <c r="H258" s="294"/>
      <c r="I258" s="56"/>
      <c r="J258" s="57"/>
      <c r="K258" s="57"/>
      <c r="L258" s="57"/>
      <c r="M258" s="57"/>
      <c r="N258" s="57"/>
      <c r="O258" s="57"/>
      <c r="P258" s="57"/>
      <c r="Q258" s="57"/>
      <c r="R258" s="57"/>
      <c r="S258" s="57">
        <v>2</v>
      </c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>
        <v>4</v>
      </c>
      <c r="AU258" s="57"/>
      <c r="AV258" s="57"/>
      <c r="AW258" s="57"/>
      <c r="AX258" s="57">
        <v>3</v>
      </c>
      <c r="AY258" s="57"/>
      <c r="AZ258" s="57"/>
      <c r="BA258" s="57"/>
      <c r="BB258" s="57"/>
      <c r="BC258" s="57">
        <v>4</v>
      </c>
      <c r="BD258" s="57"/>
      <c r="BE258" s="57"/>
      <c r="BF258" s="57"/>
      <c r="BG258" s="57">
        <v>1</v>
      </c>
      <c r="BH258" s="57"/>
      <c r="BI258" s="57"/>
      <c r="BJ258" s="57"/>
      <c r="BK258" s="57"/>
      <c r="BL258" s="57"/>
      <c r="BM258" s="57"/>
      <c r="BN258" s="57"/>
      <c r="BO258" s="57">
        <v>1</v>
      </c>
      <c r="BP258" s="57"/>
    </row>
    <row r="259" spans="1:68" ht="15" x14ac:dyDescent="0.15">
      <c r="A259" s="273" t="s">
        <v>714</v>
      </c>
      <c r="B259" s="293" t="s">
        <v>649</v>
      </c>
      <c r="C259" s="275" t="s">
        <v>174</v>
      </c>
      <c r="D259" s="291" t="s">
        <v>715</v>
      </c>
      <c r="E259" s="275" t="s">
        <v>91</v>
      </c>
      <c r="F259" s="275">
        <v>56</v>
      </c>
      <c r="G259" s="296">
        <v>56</v>
      </c>
      <c r="H259" s="294"/>
      <c r="I259" s="56">
        <v>1</v>
      </c>
      <c r="J259" s="57"/>
      <c r="K259" s="57"/>
      <c r="L259" s="57"/>
      <c r="M259" s="57"/>
      <c r="N259" s="57"/>
      <c r="O259" s="57"/>
      <c r="P259" s="57"/>
      <c r="Q259" s="57"/>
      <c r="R259" s="57"/>
      <c r="S259" s="57">
        <v>3</v>
      </c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</row>
    <row r="260" spans="1:68" ht="15" x14ac:dyDescent="0.15">
      <c r="A260" s="273" t="s">
        <v>716</v>
      </c>
      <c r="B260" s="293" t="s">
        <v>649</v>
      </c>
      <c r="C260" s="275" t="s">
        <v>174</v>
      </c>
      <c r="D260" s="291" t="s">
        <v>717</v>
      </c>
      <c r="E260" s="275" t="s">
        <v>91</v>
      </c>
      <c r="F260" s="275">
        <v>64</v>
      </c>
      <c r="G260" s="296">
        <v>64</v>
      </c>
      <c r="H260" s="294"/>
      <c r="I260" s="56"/>
      <c r="J260" s="57"/>
      <c r="K260" s="57"/>
      <c r="L260" s="57"/>
      <c r="M260" s="57"/>
      <c r="N260" s="57"/>
      <c r="O260" s="57"/>
      <c r="P260" s="57"/>
      <c r="Q260" s="57"/>
      <c r="R260" s="57"/>
      <c r="S260" s="57">
        <v>1</v>
      </c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>
        <v>1</v>
      </c>
      <c r="BC260" s="57"/>
      <c r="BD260" s="57"/>
      <c r="BE260" s="57">
        <v>1</v>
      </c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</row>
    <row r="261" spans="1:68" ht="15" x14ac:dyDescent="0.15">
      <c r="A261" s="273" t="s">
        <v>718</v>
      </c>
      <c r="B261" s="293" t="s">
        <v>649</v>
      </c>
      <c r="C261" s="275" t="s">
        <v>174</v>
      </c>
      <c r="D261" s="291" t="s">
        <v>719</v>
      </c>
      <c r="E261" s="275" t="s">
        <v>91</v>
      </c>
      <c r="F261" s="275">
        <v>80</v>
      </c>
      <c r="G261" s="296">
        <v>80</v>
      </c>
      <c r="H261" s="294"/>
      <c r="I261" s="56"/>
      <c r="J261" s="57"/>
      <c r="K261" s="57">
        <v>1</v>
      </c>
      <c r="L261" s="57"/>
      <c r="M261" s="57"/>
      <c r="N261" s="57"/>
      <c r="O261" s="57"/>
      <c r="P261" s="57"/>
      <c r="Q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</row>
    <row r="262" spans="1:68" ht="15" x14ac:dyDescent="0.2">
      <c r="A262" s="277" t="s">
        <v>720</v>
      </c>
      <c r="B262" s="293" t="s">
        <v>649</v>
      </c>
      <c r="C262" s="275" t="s">
        <v>174</v>
      </c>
      <c r="D262" s="291" t="s">
        <v>721</v>
      </c>
      <c r="E262" s="275" t="s">
        <v>91</v>
      </c>
      <c r="F262" s="275">
        <v>24.5</v>
      </c>
      <c r="G262" s="296">
        <v>24.5</v>
      </c>
      <c r="H262" s="294"/>
      <c r="I262" s="56">
        <v>18</v>
      </c>
      <c r="J262" s="57">
        <f>1+3</f>
        <v>4</v>
      </c>
      <c r="K262" s="57">
        <v>3</v>
      </c>
      <c r="L262" s="57">
        <v>3</v>
      </c>
      <c r="M262" s="57">
        <v>3</v>
      </c>
      <c r="N262" s="57"/>
      <c r="O262" s="57"/>
      <c r="P262" s="57">
        <v>10</v>
      </c>
      <c r="Q262" s="57">
        <f>8+6</f>
        <v>14</v>
      </c>
      <c r="R262" s="57">
        <v>11</v>
      </c>
      <c r="S262" s="57">
        <v>18</v>
      </c>
      <c r="T262" s="57">
        <v>7</v>
      </c>
      <c r="U262" s="57">
        <v>6</v>
      </c>
      <c r="V262" s="57">
        <v>12</v>
      </c>
      <c r="W262" s="57">
        <v>32</v>
      </c>
      <c r="X262" s="57">
        <v>4</v>
      </c>
      <c r="Y262" s="57">
        <v>2</v>
      </c>
      <c r="Z262" s="57">
        <v>3</v>
      </c>
      <c r="AA262" s="57">
        <v>8</v>
      </c>
      <c r="AB262" s="57">
        <v>9</v>
      </c>
      <c r="AC262" s="57">
        <f>35+5</f>
        <v>40</v>
      </c>
      <c r="AD262" s="57">
        <v>8</v>
      </c>
      <c r="AE262" s="57">
        <v>3</v>
      </c>
      <c r="AF262" s="57"/>
      <c r="AG262" s="57">
        <v>5</v>
      </c>
      <c r="AH262" s="57"/>
      <c r="AI262" s="57"/>
      <c r="AJ262" s="57">
        <v>4</v>
      </c>
      <c r="AK262" s="57"/>
      <c r="AL262" s="57"/>
      <c r="AM262" s="57">
        <v>72</v>
      </c>
      <c r="AN262" s="57">
        <v>90</v>
      </c>
      <c r="AO262" s="57">
        <v>117</v>
      </c>
      <c r="AP262" s="57">
        <v>18</v>
      </c>
      <c r="AQ262" s="57">
        <v>22</v>
      </c>
      <c r="AR262" s="57">
        <v>41</v>
      </c>
      <c r="AS262" s="57"/>
      <c r="AT262" s="57">
        <f>8+7</f>
        <v>15</v>
      </c>
      <c r="AU262" s="57">
        <v>28</v>
      </c>
      <c r="AV262" s="57">
        <f>1+1+4</f>
        <v>6</v>
      </c>
      <c r="AW262" s="57">
        <v>35</v>
      </c>
      <c r="AX262" s="57">
        <f>1+5</f>
        <v>6</v>
      </c>
      <c r="AY262" s="57">
        <f>1+9+64</f>
        <v>74</v>
      </c>
      <c r="AZ262" s="57">
        <v>11</v>
      </c>
      <c r="BA262" s="57">
        <v>48</v>
      </c>
      <c r="BB262" s="57">
        <v>22</v>
      </c>
      <c r="BC262" s="57">
        <v>83</v>
      </c>
      <c r="BD262" s="57">
        <v>49</v>
      </c>
      <c r="BE262" s="57">
        <v>67</v>
      </c>
      <c r="BF262" s="57">
        <v>64</v>
      </c>
      <c r="BG262" s="57">
        <f>5+19+66</f>
        <v>90</v>
      </c>
      <c r="BH262" s="57">
        <f>32+12+1</f>
        <v>45</v>
      </c>
      <c r="BI262" s="57">
        <v>41</v>
      </c>
      <c r="BJ262" s="57">
        <f>4+3+5</f>
        <v>12</v>
      </c>
      <c r="BK262" s="57">
        <f>1+1+3+3</f>
        <v>8</v>
      </c>
      <c r="BL262" s="57">
        <v>49</v>
      </c>
      <c r="BM262" s="57">
        <v>14</v>
      </c>
      <c r="BN262" s="57">
        <v>28</v>
      </c>
      <c r="BO262" s="57">
        <v>20</v>
      </c>
      <c r="BP262" s="57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1821-74CC-9B45-B7F5-B963E8760682}">
  <dimension ref="A1:CF91"/>
  <sheetViews>
    <sheetView zoomScale="120" zoomScaleNormal="120" workbookViewId="0">
      <pane xSplit="11" ySplit="11" topLeftCell="L12" activePane="bottomRight" state="frozen"/>
      <selection pane="topRight" activeCell="L1" sqref="L1"/>
      <selection pane="bottomLeft" activeCell="A12" sqref="A12"/>
      <selection pane="bottomRight" activeCell="J32" sqref="J32"/>
    </sheetView>
  </sheetViews>
  <sheetFormatPr baseColWidth="10" defaultRowHeight="13" x14ac:dyDescent="0.15"/>
  <cols>
    <col min="1" max="1" width="30.83203125" style="191" customWidth="1"/>
    <col min="2" max="2" width="16.6640625" style="191" customWidth="1"/>
    <col min="3" max="3" width="15" style="191" customWidth="1"/>
    <col min="4" max="4" width="12.33203125" style="191" customWidth="1"/>
    <col min="5" max="6" width="20.6640625" style="191" customWidth="1"/>
    <col min="7" max="8" width="10.83203125" style="270" customWidth="1"/>
    <col min="9" max="10" width="10.83203125" style="191" customWidth="1"/>
    <col min="11" max="11" width="17.1640625" style="191" customWidth="1"/>
    <col min="12" max="31" width="10.83203125" style="191" customWidth="1"/>
    <col min="32" max="61" width="10.83203125" style="191"/>
    <col min="62" max="62" width="10.83203125" style="271"/>
    <col min="63" max="71" width="10.83203125" style="191"/>
    <col min="72" max="72" width="10.83203125" style="272"/>
    <col min="73" max="16384" width="10.83203125" style="191"/>
  </cols>
  <sheetData>
    <row r="1" spans="1:72" s="2" customFormat="1" ht="16" customHeight="1" x14ac:dyDescent="0.2">
      <c r="A1" s="1" t="s">
        <v>724</v>
      </c>
    </row>
    <row r="2" spans="1:72" s="2" customFormat="1" ht="16" customHeight="1" x14ac:dyDescent="0.15">
      <c r="A2" s="4" t="s">
        <v>1</v>
      </c>
      <c r="B2" s="180" t="s">
        <v>725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72" s="2" customFormat="1" ht="16" customHeight="1" x14ac:dyDescent="0.15">
      <c r="A3" s="9" t="s">
        <v>2</v>
      </c>
      <c r="L3" s="12">
        <v>43711</v>
      </c>
      <c r="M3" s="12">
        <v>44444</v>
      </c>
      <c r="N3" s="12">
        <v>44444</v>
      </c>
      <c r="O3" s="12">
        <v>44444</v>
      </c>
      <c r="P3" s="12">
        <v>44444</v>
      </c>
      <c r="Q3" s="12">
        <v>44444</v>
      </c>
      <c r="R3" s="12">
        <v>44444</v>
      </c>
      <c r="S3" s="12">
        <v>44443</v>
      </c>
      <c r="T3" s="12">
        <v>44443</v>
      </c>
      <c r="U3" s="12">
        <v>44443</v>
      </c>
      <c r="V3" s="12">
        <v>43676</v>
      </c>
      <c r="W3" s="12">
        <v>43678</v>
      </c>
      <c r="X3" s="12">
        <v>43678</v>
      </c>
      <c r="Y3" s="12">
        <v>43678</v>
      </c>
      <c r="Z3" s="12">
        <v>43678</v>
      </c>
      <c r="AA3" s="12">
        <v>43678</v>
      </c>
      <c r="AB3" s="12">
        <v>43678</v>
      </c>
      <c r="AC3" s="12">
        <v>43677</v>
      </c>
      <c r="AD3" s="12">
        <v>43677</v>
      </c>
      <c r="AE3" s="12">
        <v>43677</v>
      </c>
      <c r="AF3" s="13">
        <v>43695</v>
      </c>
      <c r="AG3" s="13">
        <v>43697</v>
      </c>
      <c r="AH3" s="13">
        <v>43697</v>
      </c>
      <c r="AI3" s="13">
        <v>43697</v>
      </c>
      <c r="AJ3" s="13">
        <v>43697</v>
      </c>
      <c r="AK3" s="13">
        <v>43697</v>
      </c>
      <c r="AL3" s="13">
        <v>43697</v>
      </c>
      <c r="AM3" s="13">
        <v>43696</v>
      </c>
      <c r="AN3" s="13">
        <v>43696</v>
      </c>
      <c r="AO3" s="13">
        <v>43696</v>
      </c>
      <c r="AP3" s="13">
        <v>43690</v>
      </c>
      <c r="AQ3" s="13">
        <v>43692</v>
      </c>
      <c r="AR3" s="13">
        <v>43692</v>
      </c>
      <c r="AS3" s="13">
        <v>43692</v>
      </c>
      <c r="AT3" s="13">
        <v>43692</v>
      </c>
      <c r="AU3" s="13">
        <v>43692</v>
      </c>
      <c r="AV3" s="13">
        <v>43692</v>
      </c>
      <c r="AW3" s="13">
        <v>43692</v>
      </c>
      <c r="AX3" s="13">
        <v>43692</v>
      </c>
      <c r="AY3" s="13">
        <v>43692</v>
      </c>
      <c r="AZ3" s="13">
        <v>43669</v>
      </c>
      <c r="BA3" s="13">
        <v>43671</v>
      </c>
      <c r="BB3" s="13">
        <v>43671</v>
      </c>
      <c r="BC3" s="13">
        <v>43671</v>
      </c>
      <c r="BD3" s="13">
        <v>43671</v>
      </c>
      <c r="BE3" s="13">
        <v>43671</v>
      </c>
      <c r="BF3" s="13">
        <v>43671</v>
      </c>
      <c r="BG3" s="13">
        <v>43670</v>
      </c>
      <c r="BH3" s="13">
        <v>43670</v>
      </c>
      <c r="BI3" s="13">
        <v>43670</v>
      </c>
      <c r="BJ3" s="13">
        <v>43725</v>
      </c>
      <c r="BK3" s="13">
        <v>43727</v>
      </c>
      <c r="BL3" s="13">
        <v>43727</v>
      </c>
      <c r="BM3" s="13">
        <v>43727</v>
      </c>
      <c r="BN3" s="13">
        <v>43727</v>
      </c>
      <c r="BO3" s="13">
        <v>43727</v>
      </c>
      <c r="BP3" s="13">
        <v>43727</v>
      </c>
      <c r="BQ3" s="13">
        <v>43726</v>
      </c>
      <c r="BR3" s="13">
        <v>43726</v>
      </c>
      <c r="BS3" s="13">
        <v>43726</v>
      </c>
    </row>
    <row r="4" spans="1:72" s="2" customFormat="1" ht="16" customHeight="1" x14ac:dyDescent="0.15">
      <c r="A4" s="14" t="s">
        <v>3</v>
      </c>
      <c r="L4" s="17">
        <v>19246</v>
      </c>
      <c r="M4" s="17">
        <v>19248</v>
      </c>
      <c r="N4" s="17">
        <v>19248</v>
      </c>
      <c r="O4" s="17">
        <v>19248</v>
      </c>
      <c r="P4" s="17">
        <v>19248</v>
      </c>
      <c r="Q4" s="17">
        <v>19248</v>
      </c>
      <c r="R4" s="17">
        <v>19248</v>
      </c>
      <c r="S4" s="17">
        <v>19247</v>
      </c>
      <c r="T4" s="17">
        <v>19247</v>
      </c>
      <c r="U4" s="17">
        <v>19247</v>
      </c>
      <c r="V4" s="17">
        <v>19211</v>
      </c>
      <c r="W4" s="17">
        <v>19213</v>
      </c>
      <c r="X4" s="17">
        <v>19213</v>
      </c>
      <c r="Y4" s="17">
        <v>19213</v>
      </c>
      <c r="Z4" s="17">
        <v>19213</v>
      </c>
      <c r="AA4" s="17">
        <v>19213</v>
      </c>
      <c r="AB4" s="17">
        <v>19213</v>
      </c>
      <c r="AC4" s="17">
        <v>19212</v>
      </c>
      <c r="AD4" s="17">
        <v>19212</v>
      </c>
      <c r="AE4" s="17">
        <v>19212</v>
      </c>
      <c r="AF4" s="15">
        <v>19230</v>
      </c>
      <c r="AG4" s="15">
        <v>19232</v>
      </c>
      <c r="AH4" s="15">
        <v>19232</v>
      </c>
      <c r="AI4" s="15">
        <v>19232</v>
      </c>
      <c r="AJ4" s="15">
        <v>19232</v>
      </c>
      <c r="AK4" s="15">
        <v>19232</v>
      </c>
      <c r="AL4" s="15">
        <v>19232</v>
      </c>
      <c r="AM4" s="15">
        <v>19231</v>
      </c>
      <c r="AN4" s="15">
        <v>19231</v>
      </c>
      <c r="AO4" s="15">
        <v>19231</v>
      </c>
      <c r="AP4" s="15">
        <v>19225</v>
      </c>
      <c r="AQ4" s="15">
        <v>19227</v>
      </c>
      <c r="AR4" s="15">
        <v>19227</v>
      </c>
      <c r="AS4" s="15">
        <v>19227</v>
      </c>
      <c r="AT4" s="15">
        <v>19227</v>
      </c>
      <c r="AU4" s="15">
        <v>19227</v>
      </c>
      <c r="AV4" s="15">
        <v>19227</v>
      </c>
      <c r="AW4" s="15">
        <v>19226</v>
      </c>
      <c r="AX4" s="15">
        <v>19226</v>
      </c>
      <c r="AY4" s="15">
        <v>19226</v>
      </c>
      <c r="AZ4" s="15">
        <v>19204</v>
      </c>
      <c r="BA4" s="15">
        <v>19206</v>
      </c>
      <c r="BB4" s="15">
        <v>19206</v>
      </c>
      <c r="BC4" s="15">
        <v>19206</v>
      </c>
      <c r="BD4" s="15">
        <v>19206</v>
      </c>
      <c r="BE4" s="15">
        <v>19206</v>
      </c>
      <c r="BF4" s="15">
        <v>19206</v>
      </c>
      <c r="BG4" s="15">
        <v>19205</v>
      </c>
      <c r="BH4" s="15">
        <v>19205</v>
      </c>
      <c r="BI4" s="15">
        <v>19205</v>
      </c>
      <c r="BJ4" s="15">
        <v>19260</v>
      </c>
      <c r="BK4" s="15">
        <v>19262</v>
      </c>
      <c r="BL4" s="15">
        <v>19262</v>
      </c>
      <c r="BM4" s="15">
        <v>19262</v>
      </c>
      <c r="BN4" s="15">
        <v>19262</v>
      </c>
      <c r="BO4" s="15">
        <v>19262</v>
      </c>
      <c r="BP4" s="15">
        <v>19262</v>
      </c>
      <c r="BQ4" s="15">
        <v>19261</v>
      </c>
      <c r="BR4" s="15">
        <v>19261</v>
      </c>
      <c r="BS4" s="15">
        <v>19261</v>
      </c>
    </row>
    <row r="5" spans="1:72" s="2" customFormat="1" ht="16" customHeight="1" x14ac:dyDescent="0.15">
      <c r="A5" s="14" t="s">
        <v>4</v>
      </c>
      <c r="L5" s="20" t="s">
        <v>5</v>
      </c>
      <c r="M5" s="20" t="s">
        <v>6</v>
      </c>
      <c r="N5" s="20" t="s">
        <v>7</v>
      </c>
      <c r="O5" s="20" t="s">
        <v>8</v>
      </c>
      <c r="P5" s="20" t="s">
        <v>9</v>
      </c>
      <c r="Q5" s="20" t="s">
        <v>10</v>
      </c>
      <c r="R5" s="20" t="s">
        <v>11</v>
      </c>
      <c r="S5" s="20" t="s">
        <v>12</v>
      </c>
      <c r="T5" s="20" t="s">
        <v>13</v>
      </c>
      <c r="U5" s="20" t="s">
        <v>14</v>
      </c>
      <c r="V5" s="20" t="s">
        <v>15</v>
      </c>
      <c r="W5" s="20" t="s">
        <v>16</v>
      </c>
      <c r="X5" s="20" t="s">
        <v>17</v>
      </c>
      <c r="Y5" s="20" t="s">
        <v>18</v>
      </c>
      <c r="Z5" s="20" t="s">
        <v>19</v>
      </c>
      <c r="AA5" s="20" t="s">
        <v>20</v>
      </c>
      <c r="AB5" s="20" t="s">
        <v>21</v>
      </c>
      <c r="AC5" s="20" t="s">
        <v>22</v>
      </c>
      <c r="AD5" s="20" t="s">
        <v>23</v>
      </c>
      <c r="AE5" s="20" t="s">
        <v>24</v>
      </c>
      <c r="AF5" s="18" t="s">
        <v>25</v>
      </c>
      <c r="AG5" s="18" t="s">
        <v>26</v>
      </c>
      <c r="AH5" s="18" t="s">
        <v>27</v>
      </c>
      <c r="AI5" s="18" t="s">
        <v>28</v>
      </c>
      <c r="AJ5" s="18" t="s">
        <v>29</v>
      </c>
      <c r="AK5" s="18" t="s">
        <v>30</v>
      </c>
      <c r="AL5" s="18" t="s">
        <v>31</v>
      </c>
      <c r="AM5" s="18" t="s">
        <v>32</v>
      </c>
      <c r="AN5" s="18" t="s">
        <v>33</v>
      </c>
      <c r="AO5" s="18" t="s">
        <v>34</v>
      </c>
      <c r="AP5" s="18" t="s">
        <v>35</v>
      </c>
      <c r="AQ5" s="18" t="s">
        <v>36</v>
      </c>
      <c r="AR5" s="18" t="s">
        <v>37</v>
      </c>
      <c r="AS5" s="18" t="s">
        <v>38</v>
      </c>
      <c r="AT5" s="18" t="s">
        <v>39</v>
      </c>
      <c r="AU5" s="18" t="s">
        <v>40</v>
      </c>
      <c r="AV5" s="18" t="s">
        <v>41</v>
      </c>
      <c r="AW5" s="18" t="s">
        <v>42</v>
      </c>
      <c r="AX5" s="18" t="s">
        <v>43</v>
      </c>
      <c r="AY5" s="18" t="s">
        <v>44</v>
      </c>
      <c r="AZ5" s="18" t="s">
        <v>45</v>
      </c>
      <c r="BA5" s="18" t="s">
        <v>46</v>
      </c>
      <c r="BB5" s="18" t="s">
        <v>47</v>
      </c>
      <c r="BC5" s="18" t="s">
        <v>48</v>
      </c>
      <c r="BD5" s="18" t="s">
        <v>49</v>
      </c>
      <c r="BE5" s="18" t="s">
        <v>50</v>
      </c>
      <c r="BF5" s="18" t="s">
        <v>51</v>
      </c>
      <c r="BG5" s="18" t="s">
        <v>52</v>
      </c>
      <c r="BH5" s="18" t="s">
        <v>53</v>
      </c>
      <c r="BI5" s="18" t="s">
        <v>54</v>
      </c>
      <c r="BJ5" s="18" t="s">
        <v>55</v>
      </c>
      <c r="BK5" s="18" t="s">
        <v>56</v>
      </c>
      <c r="BL5" s="18" t="s">
        <v>726</v>
      </c>
      <c r="BM5" s="18" t="s">
        <v>58</v>
      </c>
      <c r="BN5" s="18" t="s">
        <v>59</v>
      </c>
      <c r="BO5" s="18" t="s">
        <v>60</v>
      </c>
      <c r="BP5" s="18" t="s">
        <v>61</v>
      </c>
      <c r="BQ5" s="18" t="s">
        <v>62</v>
      </c>
      <c r="BR5" s="18" t="s">
        <v>63</v>
      </c>
      <c r="BS5" s="18" t="s">
        <v>64</v>
      </c>
    </row>
    <row r="6" spans="1:72" s="2" customFormat="1" ht="16" customHeight="1" x14ac:dyDescent="0.15">
      <c r="A6" s="14" t="s">
        <v>65</v>
      </c>
      <c r="L6" s="23">
        <f>(226-25)/226</f>
        <v>0.88938053097345138</v>
      </c>
      <c r="M6" s="23">
        <f>(59-5)/59</f>
        <v>0.9152542372881356</v>
      </c>
      <c r="N6" s="23">
        <f>(59-5)/59</f>
        <v>0.9152542372881356</v>
      </c>
      <c r="O6" s="23">
        <f>(58-5)/58</f>
        <v>0.91379310344827591</v>
      </c>
      <c r="P6" s="23">
        <f>(62-5)/62</f>
        <v>0.91935483870967738</v>
      </c>
      <c r="Q6" s="23">
        <f>(61-5)/61</f>
        <v>0.91803278688524592</v>
      </c>
      <c r="R6" s="23">
        <f>(60-5)/60</f>
        <v>0.91666666666666663</v>
      </c>
      <c r="S6" s="23">
        <f>(59-5)/59</f>
        <v>0.9152542372881356</v>
      </c>
      <c r="T6" s="23">
        <f>(62-5)/62</f>
        <v>0.91935483870967738</v>
      </c>
      <c r="U6" s="23">
        <f>(60-5)/60</f>
        <v>0.91666666666666663</v>
      </c>
      <c r="V6" s="21">
        <f>(246-25)/246</f>
        <v>0.89837398373983735</v>
      </c>
      <c r="W6" s="21">
        <f>(54-5)/54</f>
        <v>0.90740740740740744</v>
      </c>
      <c r="X6" s="23">
        <f>(62-5)/62</f>
        <v>0.91935483870967738</v>
      </c>
      <c r="Y6" s="23">
        <f>(56-5)/56</f>
        <v>0.9107142857142857</v>
      </c>
      <c r="Z6" s="23">
        <f>(56-5)/56</f>
        <v>0.9107142857142857</v>
      </c>
      <c r="AA6" s="23">
        <f>(61-5)/61</f>
        <v>0.91803278688524592</v>
      </c>
      <c r="AB6" s="23">
        <f>(61-5)/61</f>
        <v>0.91803278688524592</v>
      </c>
      <c r="AC6" s="23">
        <f>(51-5)/51</f>
        <v>0.90196078431372551</v>
      </c>
      <c r="AD6" s="23">
        <f>(54-5)/54</f>
        <v>0.90740740740740744</v>
      </c>
      <c r="AE6" s="23">
        <f>(52-5)/52</f>
        <v>0.90384615384615385</v>
      </c>
      <c r="AF6" s="21">
        <f>(256-25)/256</f>
        <v>0.90234375</v>
      </c>
      <c r="AG6" s="21">
        <f>(60-5)/60</f>
        <v>0.91666666666666663</v>
      </c>
      <c r="AH6" s="21">
        <f>(64-5)/64</f>
        <v>0.921875</v>
      </c>
      <c r="AI6" s="21">
        <f>(57-5)/57</f>
        <v>0.91228070175438591</v>
      </c>
      <c r="AJ6" s="21">
        <f>(58-5)/58</f>
        <v>0.91379310344827591</v>
      </c>
      <c r="AK6" s="21">
        <f>(58-5)/58</f>
        <v>0.91379310344827591</v>
      </c>
      <c r="AL6" s="21">
        <f>(59-5)/59</f>
        <v>0.9152542372881356</v>
      </c>
      <c r="AM6" s="21">
        <f>(61-5)/61</f>
        <v>0.91803278688524592</v>
      </c>
      <c r="AN6" s="21">
        <f>(61-5)/61</f>
        <v>0.91803278688524592</v>
      </c>
      <c r="AO6" s="21">
        <f>(64-5)/64</f>
        <v>0.921875</v>
      </c>
      <c r="AP6" s="21">
        <f>(254-25)/254</f>
        <v>0.90157480314960625</v>
      </c>
      <c r="AQ6" s="21">
        <f>(52-5)/52</f>
        <v>0.90384615384615385</v>
      </c>
      <c r="AR6" s="21">
        <f>(53-5)/53</f>
        <v>0.90566037735849059</v>
      </c>
      <c r="AS6" s="21">
        <f>(53-5)/53</f>
        <v>0.90566037735849059</v>
      </c>
      <c r="AT6" s="21">
        <f>(53-5)/53</f>
        <v>0.90566037735849059</v>
      </c>
      <c r="AU6" s="21">
        <f>(55-5)/55</f>
        <v>0.90909090909090906</v>
      </c>
      <c r="AV6" s="21">
        <f>(54-5)/54</f>
        <v>0.90740740740740744</v>
      </c>
      <c r="AW6" s="21">
        <f>(60-5)/60</f>
        <v>0.91666666666666663</v>
      </c>
      <c r="AX6" s="21">
        <f>(54-5)/54</f>
        <v>0.90740740740740744</v>
      </c>
      <c r="AY6" s="21">
        <f>(59-5)/59</f>
        <v>0.9152542372881356</v>
      </c>
      <c r="AZ6" s="21">
        <f>(253-25)/253</f>
        <v>0.90118577075098816</v>
      </c>
      <c r="BA6" s="21">
        <f>(62-5)/62</f>
        <v>0.91935483870967738</v>
      </c>
      <c r="BB6" s="21">
        <f>(61-5)/61</f>
        <v>0.91803278688524592</v>
      </c>
      <c r="BC6" s="21">
        <f>(60-5)/60</f>
        <v>0.91666666666666663</v>
      </c>
      <c r="BD6" s="21">
        <f>(60-5)/60</f>
        <v>0.91666666666666663</v>
      </c>
      <c r="BE6" s="21">
        <f>(60-5)/60</f>
        <v>0.91666666666666663</v>
      </c>
      <c r="BF6" s="21">
        <f>(53-5)/53</f>
        <v>0.90566037735849059</v>
      </c>
      <c r="BG6" s="21">
        <f>(55-5)/55</f>
        <v>0.90909090909090906</v>
      </c>
      <c r="BH6" s="21">
        <f>(56-5)/56</f>
        <v>0.9107142857142857</v>
      </c>
      <c r="BI6" s="21">
        <f>(55-5)/55</f>
        <v>0.90909090909090906</v>
      </c>
      <c r="BJ6" s="21">
        <f>(239-25)/239</f>
        <v>0.89539748953974896</v>
      </c>
      <c r="BK6" s="21">
        <f>(58-5)/58</f>
        <v>0.91379310344827591</v>
      </c>
      <c r="BL6" s="21">
        <f>(56-5)/56</f>
        <v>0.9107142857142857</v>
      </c>
      <c r="BM6" s="21">
        <f>(59-5)/59</f>
        <v>0.9152542372881356</v>
      </c>
      <c r="BN6" s="21">
        <f>(60-5)/60</f>
        <v>0.91666666666666663</v>
      </c>
      <c r="BO6" s="21">
        <f>(66-5)/66</f>
        <v>0.9242424242424242</v>
      </c>
      <c r="BP6" s="21">
        <f>(64-5)/64</f>
        <v>0.921875</v>
      </c>
      <c r="BQ6" s="21">
        <f>(58-5)/58</f>
        <v>0.91379310344827591</v>
      </c>
      <c r="BR6" s="21">
        <f>(57-5)/57</f>
        <v>0.91228070175438591</v>
      </c>
      <c r="BS6" s="21">
        <f>(62-5)/62</f>
        <v>0.91935483870967738</v>
      </c>
    </row>
    <row r="7" spans="1:72" s="27" customFormat="1" ht="16" customHeight="1" x14ac:dyDescent="0.15">
      <c r="A7" s="24" t="s">
        <v>66</v>
      </c>
      <c r="L7" s="29">
        <v>25</v>
      </c>
      <c r="M7" s="29">
        <v>25</v>
      </c>
      <c r="N7" s="29">
        <v>25</v>
      </c>
      <c r="O7" s="29">
        <v>25</v>
      </c>
      <c r="P7" s="29">
        <v>25</v>
      </c>
      <c r="Q7" s="29">
        <v>25</v>
      </c>
      <c r="R7" s="29">
        <v>25</v>
      </c>
      <c r="S7" s="29">
        <v>25</v>
      </c>
      <c r="T7" s="29">
        <v>25</v>
      </c>
      <c r="U7" s="29">
        <v>25</v>
      </c>
      <c r="V7" s="29">
        <v>25</v>
      </c>
      <c r="W7" s="29">
        <v>25</v>
      </c>
      <c r="X7" s="29">
        <v>26</v>
      </c>
      <c r="Y7" s="29">
        <v>26</v>
      </c>
      <c r="Z7" s="29">
        <v>25</v>
      </c>
      <c r="AA7" s="29">
        <v>27</v>
      </c>
      <c r="AB7" s="29">
        <v>25</v>
      </c>
      <c r="AC7" s="29">
        <v>26</v>
      </c>
      <c r="AD7" s="29">
        <v>25</v>
      </c>
      <c r="AE7" s="29">
        <v>25</v>
      </c>
      <c r="AF7" s="29">
        <v>5.5</v>
      </c>
      <c r="AG7" s="29">
        <v>25</v>
      </c>
      <c r="AH7" s="29">
        <v>24</v>
      </c>
      <c r="AI7" s="29">
        <v>25</v>
      </c>
      <c r="AJ7" s="29">
        <v>25</v>
      </c>
      <c r="AK7" s="29">
        <v>25</v>
      </c>
      <c r="AL7" s="29">
        <v>25</v>
      </c>
      <c r="AM7" s="29">
        <v>25</v>
      </c>
      <c r="AN7" s="29">
        <v>25</v>
      </c>
      <c r="AO7" s="29">
        <v>27</v>
      </c>
      <c r="AP7" s="29">
        <v>5</v>
      </c>
      <c r="AQ7" s="29">
        <v>24</v>
      </c>
      <c r="AR7" s="29">
        <v>26</v>
      </c>
      <c r="AS7" s="29">
        <v>25</v>
      </c>
      <c r="AT7" s="29">
        <v>25</v>
      </c>
      <c r="AU7" s="29">
        <v>25</v>
      </c>
      <c r="AV7" s="29">
        <v>27</v>
      </c>
      <c r="AW7" s="29">
        <v>26</v>
      </c>
      <c r="AX7" s="29">
        <v>25</v>
      </c>
      <c r="AY7" s="29">
        <v>25</v>
      </c>
      <c r="AZ7" s="29">
        <v>2.5</v>
      </c>
      <c r="BA7" s="29">
        <v>18</v>
      </c>
      <c r="BB7" s="29">
        <v>22</v>
      </c>
      <c r="BC7" s="29">
        <v>22.5</v>
      </c>
      <c r="BD7" s="29">
        <v>22</v>
      </c>
      <c r="BE7" s="29">
        <v>25</v>
      </c>
      <c r="BF7" s="29">
        <v>25</v>
      </c>
      <c r="BG7" s="29">
        <v>25</v>
      </c>
      <c r="BH7" s="29">
        <v>25</v>
      </c>
      <c r="BI7" s="29">
        <v>28</v>
      </c>
      <c r="BJ7" s="29">
        <v>2.5</v>
      </c>
      <c r="BK7" s="29">
        <v>5</v>
      </c>
      <c r="BL7" s="29">
        <v>8.5</v>
      </c>
      <c r="BM7" s="29">
        <v>9</v>
      </c>
      <c r="BN7" s="29">
        <v>8</v>
      </c>
      <c r="BO7" s="29">
        <v>15</v>
      </c>
      <c r="BP7" s="29">
        <v>15</v>
      </c>
      <c r="BQ7" s="29">
        <v>20</v>
      </c>
      <c r="BR7" s="29">
        <v>17</v>
      </c>
      <c r="BS7" s="29">
        <v>20</v>
      </c>
    </row>
    <row r="8" spans="1:72" s="33" customFormat="1" ht="16" customHeight="1" x14ac:dyDescent="0.15">
      <c r="A8" s="30" t="s">
        <v>67</v>
      </c>
      <c r="L8" s="34">
        <v>44516</v>
      </c>
      <c r="M8" s="34">
        <v>44511</v>
      </c>
      <c r="N8" s="34">
        <v>44512</v>
      </c>
      <c r="O8" s="34">
        <v>44514</v>
      </c>
      <c r="P8" s="34">
        <v>44515</v>
      </c>
      <c r="Q8" s="34">
        <v>44516</v>
      </c>
      <c r="R8" s="34">
        <v>44517</v>
      </c>
      <c r="S8" s="34">
        <v>44518</v>
      </c>
      <c r="T8" s="34">
        <v>44519</v>
      </c>
      <c r="U8" s="34">
        <v>44521</v>
      </c>
      <c r="V8" s="34">
        <v>44518</v>
      </c>
      <c r="W8" s="34">
        <v>44496</v>
      </c>
      <c r="X8" s="34">
        <v>44497</v>
      </c>
      <c r="Y8" s="34">
        <v>44498</v>
      </c>
      <c r="Z8" s="34">
        <v>44502</v>
      </c>
      <c r="AA8" s="34">
        <v>44503</v>
      </c>
      <c r="AB8" s="34">
        <v>44504</v>
      </c>
      <c r="AC8" s="34">
        <v>44505</v>
      </c>
      <c r="AD8" s="34">
        <v>44509</v>
      </c>
      <c r="AE8" s="34">
        <v>44510</v>
      </c>
      <c r="AF8" s="34">
        <v>44411</v>
      </c>
      <c r="AG8" s="34">
        <v>44481</v>
      </c>
      <c r="AH8" s="34">
        <v>44482</v>
      </c>
      <c r="AI8" s="34">
        <v>44483</v>
      </c>
      <c r="AJ8" s="34">
        <v>44484</v>
      </c>
      <c r="AK8" s="34">
        <v>44488</v>
      </c>
      <c r="AL8" s="34">
        <v>44489</v>
      </c>
      <c r="AM8" s="34">
        <v>44490</v>
      </c>
      <c r="AN8" s="34">
        <v>44491</v>
      </c>
      <c r="AO8" s="34">
        <v>44495</v>
      </c>
      <c r="AP8" s="34">
        <v>44410</v>
      </c>
      <c r="AQ8" s="34">
        <v>44461</v>
      </c>
      <c r="AR8" s="34">
        <v>44462</v>
      </c>
      <c r="AS8" s="34">
        <v>44463</v>
      </c>
      <c r="AT8" s="34">
        <v>44467</v>
      </c>
      <c r="AU8" s="34">
        <v>44468</v>
      </c>
      <c r="AV8" s="34">
        <v>44469</v>
      </c>
      <c r="AW8" s="34">
        <v>44470</v>
      </c>
      <c r="AX8" s="34">
        <v>44474</v>
      </c>
      <c r="AY8" s="34">
        <v>44475</v>
      </c>
      <c r="AZ8" s="34">
        <v>44388</v>
      </c>
      <c r="BA8" s="34">
        <v>44441</v>
      </c>
      <c r="BB8" s="34">
        <v>44446</v>
      </c>
      <c r="BC8" s="34">
        <v>44447</v>
      </c>
      <c r="BD8" s="34">
        <v>44449</v>
      </c>
      <c r="BE8" s="34">
        <v>44452</v>
      </c>
      <c r="BF8" s="34">
        <v>44454</v>
      </c>
      <c r="BG8" s="34">
        <v>44455</v>
      </c>
      <c r="BH8" s="34">
        <v>44456</v>
      </c>
      <c r="BI8" s="34">
        <v>44459</v>
      </c>
      <c r="BJ8" s="35">
        <v>44387</v>
      </c>
      <c r="BK8" s="35">
        <v>44413</v>
      </c>
      <c r="BL8" s="35">
        <v>44415</v>
      </c>
      <c r="BM8" s="35">
        <v>44417</v>
      </c>
      <c r="BN8" s="35">
        <v>44419</v>
      </c>
      <c r="BO8" s="35">
        <v>44420</v>
      </c>
      <c r="BP8" s="35">
        <v>44424</v>
      </c>
      <c r="BQ8" s="35">
        <v>44432</v>
      </c>
      <c r="BR8" s="35">
        <v>44434</v>
      </c>
      <c r="BS8" s="35">
        <v>44438</v>
      </c>
    </row>
    <row r="9" spans="1:72" s="47" customFormat="1" ht="14" x14ac:dyDescent="0.15">
      <c r="A9" s="36" t="s">
        <v>68</v>
      </c>
      <c r="B9" s="36" t="s">
        <v>69</v>
      </c>
      <c r="C9" s="47" t="s">
        <v>70</v>
      </c>
      <c r="D9" s="36" t="s">
        <v>71</v>
      </c>
      <c r="E9" s="36" t="s">
        <v>72</v>
      </c>
      <c r="F9" s="36" t="s">
        <v>75</v>
      </c>
      <c r="G9" s="37" t="s">
        <v>74</v>
      </c>
      <c r="H9" s="37"/>
      <c r="I9" s="36"/>
      <c r="J9" s="36"/>
      <c r="K9" s="36"/>
      <c r="L9" s="19" t="s">
        <v>5</v>
      </c>
      <c r="M9" s="19" t="s">
        <v>6</v>
      </c>
      <c r="N9" s="19" t="s">
        <v>7</v>
      </c>
      <c r="O9" s="19" t="s">
        <v>8</v>
      </c>
      <c r="P9" s="19" t="s">
        <v>9</v>
      </c>
      <c r="Q9" s="19" t="s">
        <v>10</v>
      </c>
      <c r="R9" s="19" t="s">
        <v>11</v>
      </c>
      <c r="S9" s="19" t="s">
        <v>12</v>
      </c>
      <c r="T9" s="19" t="s">
        <v>13</v>
      </c>
      <c r="U9" s="19" t="s">
        <v>14</v>
      </c>
      <c r="V9" s="19" t="s">
        <v>15</v>
      </c>
      <c r="W9" s="19" t="s">
        <v>16</v>
      </c>
      <c r="X9" s="19" t="s">
        <v>17</v>
      </c>
      <c r="Y9" s="19" t="s">
        <v>18</v>
      </c>
      <c r="Z9" s="19" t="s">
        <v>19</v>
      </c>
      <c r="AA9" s="19" t="s">
        <v>20</v>
      </c>
      <c r="AB9" s="19" t="s">
        <v>21</v>
      </c>
      <c r="AC9" s="19" t="s">
        <v>22</v>
      </c>
      <c r="AD9" s="19" t="s">
        <v>23</v>
      </c>
      <c r="AE9" s="19" t="s">
        <v>24</v>
      </c>
      <c r="AF9" s="19" t="s">
        <v>25</v>
      </c>
      <c r="AG9" s="19" t="s">
        <v>26</v>
      </c>
      <c r="AH9" s="19" t="s">
        <v>27</v>
      </c>
      <c r="AI9" s="19" t="s">
        <v>28</v>
      </c>
      <c r="AJ9" s="19" t="s">
        <v>29</v>
      </c>
      <c r="AK9" s="19" t="s">
        <v>30</v>
      </c>
      <c r="AL9" s="19" t="s">
        <v>31</v>
      </c>
      <c r="AM9" s="19" t="s">
        <v>32</v>
      </c>
      <c r="AN9" s="19" t="s">
        <v>33</v>
      </c>
      <c r="AO9" s="19" t="s">
        <v>34</v>
      </c>
      <c r="AP9" s="19" t="s">
        <v>35</v>
      </c>
      <c r="AQ9" s="19" t="s">
        <v>36</v>
      </c>
      <c r="AR9" s="19" t="s">
        <v>37</v>
      </c>
      <c r="AS9" s="19" t="s">
        <v>38</v>
      </c>
      <c r="AT9" s="19" t="s">
        <v>39</v>
      </c>
      <c r="AU9" s="19" t="s">
        <v>40</v>
      </c>
      <c r="AV9" s="19" t="s">
        <v>41</v>
      </c>
      <c r="AW9" s="19" t="s">
        <v>42</v>
      </c>
      <c r="AX9" s="19" t="s">
        <v>43</v>
      </c>
      <c r="AY9" s="19" t="s">
        <v>44</v>
      </c>
      <c r="AZ9" s="19" t="s">
        <v>45</v>
      </c>
      <c r="BA9" s="19" t="s">
        <v>46</v>
      </c>
      <c r="BB9" s="19" t="s">
        <v>47</v>
      </c>
      <c r="BC9" s="19" t="s">
        <v>48</v>
      </c>
      <c r="BD9" s="19" t="s">
        <v>49</v>
      </c>
      <c r="BE9" s="19" t="s">
        <v>50</v>
      </c>
      <c r="BF9" s="19" t="s">
        <v>51</v>
      </c>
      <c r="BG9" s="19" t="s">
        <v>52</v>
      </c>
      <c r="BH9" s="19" t="s">
        <v>53</v>
      </c>
      <c r="BI9" s="19" t="s">
        <v>54</v>
      </c>
      <c r="BJ9" s="19" t="s">
        <v>55</v>
      </c>
      <c r="BK9" s="19" t="s">
        <v>56</v>
      </c>
      <c r="BL9" s="19" t="s">
        <v>57</v>
      </c>
      <c r="BM9" s="19" t="s">
        <v>58</v>
      </c>
      <c r="BN9" s="19" t="s">
        <v>59</v>
      </c>
      <c r="BO9" s="19" t="s">
        <v>60</v>
      </c>
      <c r="BP9" s="19" t="s">
        <v>61</v>
      </c>
      <c r="BQ9" s="19" t="s">
        <v>62</v>
      </c>
      <c r="BR9" s="19" t="s">
        <v>63</v>
      </c>
      <c r="BS9" s="19" t="s">
        <v>64</v>
      </c>
      <c r="BT9" s="40"/>
    </row>
    <row r="10" spans="1:72" s="47" customFormat="1" ht="14" x14ac:dyDescent="0.15">
      <c r="A10" s="36"/>
      <c r="B10" s="36"/>
      <c r="C10" s="36"/>
      <c r="D10" s="36"/>
      <c r="E10" s="36"/>
      <c r="F10" s="36"/>
      <c r="G10" s="41" t="s">
        <v>76</v>
      </c>
      <c r="H10" s="41"/>
      <c r="I10" s="42" t="s">
        <v>77</v>
      </c>
      <c r="J10" s="42"/>
      <c r="K10" s="42"/>
      <c r="M10" s="45"/>
      <c r="N10" s="45"/>
      <c r="O10" s="45"/>
      <c r="P10" s="45"/>
      <c r="Q10" s="45"/>
      <c r="R10" s="45"/>
      <c r="S10" s="45"/>
      <c r="T10" s="45"/>
      <c r="U10" s="45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0"/>
    </row>
    <row r="11" spans="1:72" s="47" customFormat="1" ht="16" customHeight="1" x14ac:dyDescent="0.15">
      <c r="G11" s="37" t="s">
        <v>79</v>
      </c>
      <c r="H11" s="37" t="s">
        <v>80</v>
      </c>
      <c r="I11" s="36" t="s">
        <v>79</v>
      </c>
      <c r="J11" s="36" t="s">
        <v>80</v>
      </c>
      <c r="K11" s="36" t="s">
        <v>727</v>
      </c>
      <c r="L11" s="45"/>
      <c r="M11" s="36"/>
      <c r="N11" s="36"/>
      <c r="O11" s="36"/>
      <c r="P11" s="36"/>
      <c r="Q11" s="36"/>
      <c r="R11" s="36"/>
      <c r="S11" s="36"/>
      <c r="T11" s="36"/>
      <c r="U11" s="3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50"/>
    </row>
    <row r="12" spans="1:72" ht="16" customHeight="1" x14ac:dyDescent="0.15">
      <c r="A12" s="181" t="s">
        <v>728</v>
      </c>
      <c r="B12" s="182" t="s">
        <v>82</v>
      </c>
      <c r="C12" s="183" t="s">
        <v>88</v>
      </c>
      <c r="D12" s="183" t="s">
        <v>729</v>
      </c>
      <c r="E12" s="184" t="s">
        <v>90</v>
      </c>
      <c r="F12" s="185" t="s">
        <v>91</v>
      </c>
      <c r="G12" s="186">
        <v>0.2</v>
      </c>
      <c r="H12" s="186">
        <v>0.2</v>
      </c>
      <c r="I12" s="183">
        <f t="shared" ref="I12:J32" si="0">G12*20</f>
        <v>4</v>
      </c>
      <c r="J12" s="183">
        <f t="shared" si="0"/>
        <v>4</v>
      </c>
      <c r="K12" s="183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187">
        <f>2</f>
        <v>2</v>
      </c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188"/>
      <c r="BB12" s="188"/>
      <c r="BC12" s="188"/>
      <c r="BD12" s="188"/>
      <c r="BE12" s="188"/>
      <c r="BF12" s="188"/>
      <c r="BG12" s="188"/>
      <c r="BH12" s="188"/>
      <c r="BI12" s="188"/>
      <c r="BJ12" s="189">
        <v>8</v>
      </c>
      <c r="BK12" s="46"/>
      <c r="BL12" s="46"/>
      <c r="BM12" s="190">
        <v>21</v>
      </c>
      <c r="BN12" s="46"/>
      <c r="BO12" s="46"/>
      <c r="BP12" s="46"/>
      <c r="BQ12" s="46"/>
      <c r="BR12" s="46"/>
      <c r="BS12" s="46"/>
      <c r="BT12" s="50">
        <f t="shared" ref="BT12:BT75" si="1">SUM(L12:BS12)</f>
        <v>31</v>
      </c>
    </row>
    <row r="13" spans="1:72" ht="16" customHeight="1" x14ac:dyDescent="0.15">
      <c r="A13" s="181" t="s">
        <v>730</v>
      </c>
      <c r="B13" s="182" t="s">
        <v>82</v>
      </c>
      <c r="C13" s="183" t="s">
        <v>88</v>
      </c>
      <c r="D13" s="183" t="s">
        <v>731</v>
      </c>
      <c r="E13" s="184" t="s">
        <v>90</v>
      </c>
      <c r="F13" s="185" t="s">
        <v>91</v>
      </c>
      <c r="G13" s="186">
        <v>0.2</v>
      </c>
      <c r="H13" s="186">
        <v>0.8</v>
      </c>
      <c r="I13" s="183">
        <f t="shared" si="0"/>
        <v>4</v>
      </c>
      <c r="J13" s="183">
        <f t="shared" si="0"/>
        <v>16</v>
      </c>
      <c r="K13" s="183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188"/>
      <c r="BB13" s="188"/>
      <c r="BC13" s="188"/>
      <c r="BD13" s="188"/>
      <c r="BE13" s="188"/>
      <c r="BF13" s="188"/>
      <c r="BG13" s="188"/>
      <c r="BH13" s="188"/>
      <c r="BI13" s="188"/>
      <c r="BJ13" s="189">
        <v>1</v>
      </c>
      <c r="BK13" s="46"/>
      <c r="BL13" s="46"/>
      <c r="BM13" s="46"/>
      <c r="BN13" s="46"/>
      <c r="BO13" s="46"/>
      <c r="BP13" s="46"/>
      <c r="BQ13" s="189">
        <v>42</v>
      </c>
      <c r="BR13" s="46"/>
      <c r="BS13" s="46"/>
      <c r="BT13" s="50">
        <f t="shared" si="1"/>
        <v>43</v>
      </c>
    </row>
    <row r="14" spans="1:72" ht="16" customHeight="1" x14ac:dyDescent="0.15">
      <c r="A14" s="181" t="s">
        <v>732</v>
      </c>
      <c r="B14" s="182" t="s">
        <v>82</v>
      </c>
      <c r="C14" s="183" t="s">
        <v>88</v>
      </c>
      <c r="D14" s="183" t="s">
        <v>733</v>
      </c>
      <c r="E14" s="184" t="s">
        <v>203</v>
      </c>
      <c r="F14" s="185" t="s">
        <v>204</v>
      </c>
      <c r="G14" s="186">
        <v>0.3</v>
      </c>
      <c r="H14" s="186">
        <v>0.3</v>
      </c>
      <c r="I14" s="183">
        <f t="shared" si="0"/>
        <v>6</v>
      </c>
      <c r="J14" s="183">
        <f t="shared" si="0"/>
        <v>6</v>
      </c>
      <c r="K14" s="183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187">
        <f>3</f>
        <v>3</v>
      </c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187">
        <f>2</f>
        <v>2</v>
      </c>
      <c r="AZ14" s="46"/>
      <c r="BA14" s="188"/>
      <c r="BB14" s="188"/>
      <c r="BC14" s="188"/>
      <c r="BD14" s="188"/>
      <c r="BE14" s="188"/>
      <c r="BF14" s="188"/>
      <c r="BG14" s="188"/>
      <c r="BH14" s="188"/>
      <c r="BI14" s="188"/>
      <c r="BJ14" s="46"/>
      <c r="BK14" s="46"/>
      <c r="BL14" s="192">
        <v>5</v>
      </c>
      <c r="BM14" s="46"/>
      <c r="BN14" s="46"/>
      <c r="BO14" s="46"/>
      <c r="BP14" s="46"/>
      <c r="BQ14" s="46"/>
      <c r="BR14" s="189">
        <v>47</v>
      </c>
      <c r="BS14" s="46"/>
      <c r="BT14" s="50">
        <f t="shared" si="1"/>
        <v>57</v>
      </c>
    </row>
    <row r="15" spans="1:72" ht="16" customHeight="1" x14ac:dyDescent="0.15">
      <c r="A15" s="181" t="s">
        <v>734</v>
      </c>
      <c r="B15" s="182" t="s">
        <v>82</v>
      </c>
      <c r="C15" s="183" t="s">
        <v>88</v>
      </c>
      <c r="D15" s="183" t="s">
        <v>735</v>
      </c>
      <c r="E15" s="184" t="s">
        <v>90</v>
      </c>
      <c r="F15" s="185" t="s">
        <v>91</v>
      </c>
      <c r="G15" s="186">
        <v>0.3</v>
      </c>
      <c r="H15" s="186">
        <v>0.6</v>
      </c>
      <c r="I15" s="183">
        <f t="shared" si="0"/>
        <v>6</v>
      </c>
      <c r="J15" s="183">
        <f t="shared" si="0"/>
        <v>12</v>
      </c>
      <c r="K15" s="183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187">
        <f>100</f>
        <v>100</v>
      </c>
      <c r="AQ15" s="46"/>
      <c r="AR15" s="46"/>
      <c r="AS15" s="46"/>
      <c r="AT15" s="46"/>
      <c r="AU15" s="46"/>
      <c r="AV15" s="46"/>
      <c r="AW15" s="187">
        <f>2</f>
        <v>2</v>
      </c>
      <c r="AX15" s="46"/>
      <c r="AY15" s="46"/>
      <c r="AZ15" s="46"/>
      <c r="BA15" s="188"/>
      <c r="BB15" s="188"/>
      <c r="BC15" s="188"/>
      <c r="BD15" s="188"/>
      <c r="BE15" s="188"/>
      <c r="BF15" s="188"/>
      <c r="BG15" s="188"/>
      <c r="BH15" s="188"/>
      <c r="BI15" s="188"/>
      <c r="BJ15" s="46"/>
      <c r="BK15" s="46"/>
      <c r="BL15" s="46"/>
      <c r="BM15" s="46"/>
      <c r="BN15" s="189">
        <v>3</v>
      </c>
      <c r="BO15" s="46"/>
      <c r="BP15" s="46"/>
      <c r="BQ15" s="46"/>
      <c r="BR15" s="46"/>
      <c r="BS15" s="46"/>
      <c r="BT15" s="50">
        <f t="shared" si="1"/>
        <v>105</v>
      </c>
    </row>
    <row r="16" spans="1:72" ht="16" customHeight="1" x14ac:dyDescent="0.15">
      <c r="A16" s="181" t="s">
        <v>736</v>
      </c>
      <c r="B16" s="182" t="s">
        <v>82</v>
      </c>
      <c r="C16" s="183" t="s">
        <v>88</v>
      </c>
      <c r="D16" s="183" t="s">
        <v>737</v>
      </c>
      <c r="E16" s="184" t="s">
        <v>90</v>
      </c>
      <c r="F16" s="185" t="s">
        <v>91</v>
      </c>
      <c r="G16" s="186">
        <v>0.4</v>
      </c>
      <c r="H16" s="186">
        <v>0.4</v>
      </c>
      <c r="I16" s="183">
        <f t="shared" si="0"/>
        <v>8</v>
      </c>
      <c r="J16" s="183">
        <f t="shared" si="0"/>
        <v>8</v>
      </c>
      <c r="K16" s="183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187">
        <f>1</f>
        <v>1</v>
      </c>
      <c r="AW16" s="46"/>
      <c r="AX16" s="46"/>
      <c r="AY16" s="46"/>
      <c r="AZ16" s="46"/>
      <c r="BA16" s="188"/>
      <c r="BB16" s="188"/>
      <c r="BC16" s="187">
        <f>6</f>
        <v>6</v>
      </c>
      <c r="BD16" s="188"/>
      <c r="BE16" s="188"/>
      <c r="BF16" s="188"/>
      <c r="BG16" s="188"/>
      <c r="BH16" s="188"/>
      <c r="BI16" s="188"/>
      <c r="BJ16" s="189">
        <v>2</v>
      </c>
      <c r="BK16" s="46"/>
      <c r="BL16" s="46"/>
      <c r="BM16" s="46"/>
      <c r="BN16" s="46"/>
      <c r="BO16" s="46"/>
      <c r="BP16" s="46"/>
      <c r="BQ16" s="46"/>
      <c r="BR16" s="46"/>
      <c r="BS16" s="189">
        <v>77</v>
      </c>
      <c r="BT16" s="50">
        <f t="shared" si="1"/>
        <v>86</v>
      </c>
    </row>
    <row r="17" spans="1:72" ht="16" customHeight="1" x14ac:dyDescent="0.15">
      <c r="A17" s="181" t="s">
        <v>738</v>
      </c>
      <c r="B17" s="182" t="s">
        <v>82</v>
      </c>
      <c r="C17" s="183" t="s">
        <v>88</v>
      </c>
      <c r="D17" s="182" t="s">
        <v>739</v>
      </c>
      <c r="E17" s="49" t="s">
        <v>90</v>
      </c>
      <c r="F17" s="185" t="s">
        <v>91</v>
      </c>
      <c r="G17" s="186">
        <v>0.4</v>
      </c>
      <c r="H17" s="186">
        <v>0.8</v>
      </c>
      <c r="I17" s="183">
        <f t="shared" si="0"/>
        <v>8</v>
      </c>
      <c r="J17" s="183">
        <f t="shared" si="0"/>
        <v>16</v>
      </c>
      <c r="K17" s="183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188"/>
      <c r="BB17" s="188"/>
      <c r="BC17" s="188"/>
      <c r="BD17" s="188"/>
      <c r="BE17" s="188"/>
      <c r="BF17" s="188"/>
      <c r="BG17" s="188"/>
      <c r="BH17" s="188"/>
      <c r="BI17" s="188"/>
      <c r="BJ17" s="46"/>
      <c r="BK17" s="46"/>
      <c r="BL17" s="46"/>
      <c r="BM17" s="46"/>
      <c r="BN17" s="46"/>
      <c r="BO17" s="46"/>
      <c r="BP17" s="46"/>
      <c r="BQ17" s="189">
        <v>2</v>
      </c>
      <c r="BR17" s="189">
        <v>5</v>
      </c>
      <c r="BS17" s="46"/>
      <c r="BT17" s="50">
        <f t="shared" si="1"/>
        <v>7</v>
      </c>
    </row>
    <row r="18" spans="1:72" ht="16" customHeight="1" x14ac:dyDescent="0.15">
      <c r="A18" s="181" t="s">
        <v>740</v>
      </c>
      <c r="B18" s="182" t="s">
        <v>82</v>
      </c>
      <c r="C18" s="183" t="s">
        <v>88</v>
      </c>
      <c r="D18" s="182" t="s">
        <v>741</v>
      </c>
      <c r="E18" s="49" t="s">
        <v>90</v>
      </c>
      <c r="F18" s="185" t="s">
        <v>91</v>
      </c>
      <c r="G18" s="186">
        <v>0.5</v>
      </c>
      <c r="H18" s="186">
        <v>0.5</v>
      </c>
      <c r="I18" s="183">
        <f t="shared" si="0"/>
        <v>10</v>
      </c>
      <c r="J18" s="183">
        <f t="shared" si="0"/>
        <v>10</v>
      </c>
      <c r="K18" s="183"/>
      <c r="L18" s="36"/>
      <c r="M18" s="193">
        <v>13</v>
      </c>
      <c r="N18" s="36"/>
      <c r="O18" s="36"/>
      <c r="P18" s="36"/>
      <c r="Q18" s="36"/>
      <c r="R18" s="36"/>
      <c r="S18" s="36"/>
      <c r="T18" s="36"/>
      <c r="U18" s="3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187">
        <f>4</f>
        <v>4</v>
      </c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187">
        <f>2</f>
        <v>2</v>
      </c>
      <c r="AV18" s="46"/>
      <c r="AW18" s="46"/>
      <c r="AX18" s="46"/>
      <c r="AY18" s="46"/>
      <c r="AZ18" s="46"/>
      <c r="BA18" s="188"/>
      <c r="BB18" s="188"/>
      <c r="BC18" s="188"/>
      <c r="BD18" s="188"/>
      <c r="BE18" s="188"/>
      <c r="BF18" s="188"/>
      <c r="BG18" s="188"/>
      <c r="BH18" s="188"/>
      <c r="BI18" s="188"/>
      <c r="BJ18" s="189">
        <v>3</v>
      </c>
      <c r="BK18" s="46"/>
      <c r="BL18" s="46"/>
      <c r="BM18" s="46"/>
      <c r="BN18" s="46"/>
      <c r="BO18" s="46"/>
      <c r="BP18" s="190">
        <f>88</f>
        <v>88</v>
      </c>
      <c r="BQ18" s="46"/>
      <c r="BR18" s="189">
        <v>6</v>
      </c>
      <c r="BS18" s="189">
        <v>13</v>
      </c>
      <c r="BT18" s="50">
        <f t="shared" si="1"/>
        <v>129</v>
      </c>
    </row>
    <row r="19" spans="1:72" ht="16" customHeight="1" x14ac:dyDescent="0.15">
      <c r="A19" s="181" t="s">
        <v>742</v>
      </c>
      <c r="B19" s="182" t="s">
        <v>82</v>
      </c>
      <c r="C19" s="183" t="s">
        <v>88</v>
      </c>
      <c r="D19" s="182" t="s">
        <v>743</v>
      </c>
      <c r="E19" s="49" t="s">
        <v>90</v>
      </c>
      <c r="F19" s="185" t="s">
        <v>91</v>
      </c>
      <c r="G19" s="186">
        <v>0.6</v>
      </c>
      <c r="H19" s="186">
        <v>0.6</v>
      </c>
      <c r="I19" s="183">
        <f t="shared" si="0"/>
        <v>12</v>
      </c>
      <c r="J19" s="183">
        <f t="shared" si="0"/>
        <v>12</v>
      </c>
      <c r="K19" s="183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6"/>
      <c r="W19" s="193">
        <v>4</v>
      </c>
      <c r="X19" s="36"/>
      <c r="Y19" s="36"/>
      <c r="Z19" s="36"/>
      <c r="AA19" s="36"/>
      <c r="AB19" s="36"/>
      <c r="AC19" s="36"/>
      <c r="AD19" s="36"/>
      <c r="AE19" s="3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187">
        <f>2</f>
        <v>2</v>
      </c>
      <c r="AR19" s="46"/>
      <c r="AS19" s="46"/>
      <c r="AT19" s="46"/>
      <c r="AU19" s="46"/>
      <c r="AV19" s="46"/>
      <c r="AW19" s="46"/>
      <c r="AX19" s="46"/>
      <c r="AY19" s="46"/>
      <c r="AZ19" s="46"/>
      <c r="BA19" s="188"/>
      <c r="BB19" s="188"/>
      <c r="BC19" s="188"/>
      <c r="BD19" s="188"/>
      <c r="BE19" s="187">
        <f>1</f>
        <v>1</v>
      </c>
      <c r="BF19" s="188"/>
      <c r="BG19" s="188"/>
      <c r="BH19" s="188"/>
      <c r="BI19" s="188"/>
      <c r="BJ19" s="46"/>
      <c r="BK19" s="46"/>
      <c r="BL19" s="46"/>
      <c r="BM19" s="46"/>
      <c r="BN19" s="46"/>
      <c r="BO19" s="189">
        <v>20</v>
      </c>
      <c r="BP19" s="192">
        <f>3</f>
        <v>3</v>
      </c>
      <c r="BQ19" s="189">
        <v>7</v>
      </c>
      <c r="BR19" s="46"/>
      <c r="BS19" s="46"/>
      <c r="BT19" s="50">
        <f t="shared" si="1"/>
        <v>37</v>
      </c>
    </row>
    <row r="20" spans="1:72" ht="16" customHeight="1" x14ac:dyDescent="0.15">
      <c r="A20" s="181" t="s">
        <v>744</v>
      </c>
      <c r="B20" s="182" t="s">
        <v>82</v>
      </c>
      <c r="C20" s="183" t="s">
        <v>88</v>
      </c>
      <c r="D20" s="182" t="s">
        <v>745</v>
      </c>
      <c r="E20" s="49" t="s">
        <v>90</v>
      </c>
      <c r="F20" s="185" t="s">
        <v>91</v>
      </c>
      <c r="G20" s="186">
        <v>0.8</v>
      </c>
      <c r="H20" s="186">
        <v>0.8</v>
      </c>
      <c r="I20" s="183">
        <f t="shared" si="0"/>
        <v>16</v>
      </c>
      <c r="J20" s="183">
        <f t="shared" si="0"/>
        <v>16</v>
      </c>
      <c r="K20" s="183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188"/>
      <c r="BB20" s="188"/>
      <c r="BC20" s="188"/>
      <c r="BD20" s="188"/>
      <c r="BE20" s="188"/>
      <c r="BF20" s="188"/>
      <c r="BG20" s="188"/>
      <c r="BH20" s="188"/>
      <c r="BI20" s="188"/>
      <c r="BJ20" s="46"/>
      <c r="BK20" s="46"/>
      <c r="BL20" s="46"/>
      <c r="BM20" s="46"/>
      <c r="BN20" s="46"/>
      <c r="BO20" s="189">
        <v>82</v>
      </c>
      <c r="BP20" s="46"/>
      <c r="BQ20" s="189">
        <v>7</v>
      </c>
      <c r="BR20" s="46"/>
      <c r="BS20" s="46"/>
      <c r="BT20" s="50">
        <f t="shared" si="1"/>
        <v>89</v>
      </c>
    </row>
    <row r="21" spans="1:72" ht="16" customHeight="1" x14ac:dyDescent="0.15">
      <c r="A21" s="181" t="s">
        <v>746</v>
      </c>
      <c r="B21" s="182" t="s">
        <v>82</v>
      </c>
      <c r="C21" s="183" t="s">
        <v>88</v>
      </c>
      <c r="D21" s="182" t="s">
        <v>747</v>
      </c>
      <c r="E21" s="49" t="s">
        <v>90</v>
      </c>
      <c r="F21" s="185" t="s">
        <v>91</v>
      </c>
      <c r="G21" s="186">
        <v>0.2</v>
      </c>
      <c r="H21" s="186">
        <v>0.5</v>
      </c>
      <c r="I21" s="183">
        <f t="shared" si="0"/>
        <v>4</v>
      </c>
      <c r="J21" s="183">
        <f t="shared" si="0"/>
        <v>10</v>
      </c>
      <c r="K21" s="183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188"/>
      <c r="BB21" s="188"/>
      <c r="BC21" s="188"/>
      <c r="BD21" s="188"/>
      <c r="BE21" s="188"/>
      <c r="BF21" s="188"/>
      <c r="BG21" s="188"/>
      <c r="BH21" s="188"/>
      <c r="BI21" s="188"/>
      <c r="BJ21" s="189">
        <f>1+1</f>
        <v>2</v>
      </c>
      <c r="BK21" s="46"/>
      <c r="BL21" s="46"/>
      <c r="BM21" s="46"/>
      <c r="BN21" s="46"/>
      <c r="BO21" s="46"/>
      <c r="BP21" s="46"/>
      <c r="BQ21" s="46"/>
      <c r="BR21" s="46"/>
      <c r="BS21" s="46"/>
      <c r="BT21" s="50">
        <f t="shared" si="1"/>
        <v>2</v>
      </c>
    </row>
    <row r="22" spans="1:72" ht="16" customHeight="1" x14ac:dyDescent="0.15">
      <c r="A22" s="181" t="s">
        <v>748</v>
      </c>
      <c r="B22" s="182" t="s">
        <v>82</v>
      </c>
      <c r="C22" s="182" t="s">
        <v>103</v>
      </c>
      <c r="D22" s="182" t="s">
        <v>749</v>
      </c>
      <c r="E22" s="49" t="s">
        <v>90</v>
      </c>
      <c r="F22" s="185" t="s">
        <v>91</v>
      </c>
      <c r="G22" s="186">
        <v>0.5</v>
      </c>
      <c r="H22" s="186">
        <v>0.5</v>
      </c>
      <c r="I22" s="183">
        <f t="shared" si="0"/>
        <v>10</v>
      </c>
      <c r="J22" s="183">
        <f t="shared" si="0"/>
        <v>10</v>
      </c>
      <c r="K22" s="183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46"/>
      <c r="AG22" s="46"/>
      <c r="AH22" s="46"/>
      <c r="AI22" s="46"/>
      <c r="AJ22" s="46"/>
      <c r="AK22" s="46"/>
      <c r="AL22" s="194">
        <f>1</f>
        <v>1</v>
      </c>
      <c r="AM22" s="46"/>
      <c r="AN22" s="46"/>
      <c r="AO22" s="46"/>
      <c r="AP22" s="46"/>
      <c r="AQ22" s="46"/>
      <c r="AR22" s="46"/>
      <c r="AS22" s="46"/>
      <c r="AT22" s="46"/>
      <c r="AU22" s="46"/>
      <c r="AV22" s="194">
        <f>11</f>
        <v>11</v>
      </c>
      <c r="AW22" s="46"/>
      <c r="AX22" s="46"/>
      <c r="AY22" s="46"/>
      <c r="AZ22" s="46"/>
      <c r="BA22" s="188"/>
      <c r="BB22" s="188"/>
      <c r="BC22" s="188"/>
      <c r="BD22" s="188"/>
      <c r="BE22" s="188"/>
      <c r="BF22" s="188"/>
      <c r="BG22" s="188"/>
      <c r="BH22" s="194">
        <f>6</f>
        <v>6</v>
      </c>
      <c r="BI22" s="188"/>
      <c r="BJ22" s="46"/>
      <c r="BK22" s="46"/>
      <c r="BL22" s="46"/>
      <c r="BM22" s="46"/>
      <c r="BN22" s="46"/>
      <c r="BO22" s="189">
        <v>17</v>
      </c>
      <c r="BP22" s="46"/>
      <c r="BQ22" s="46"/>
      <c r="BR22" s="46"/>
      <c r="BS22" s="46"/>
      <c r="BT22" s="50">
        <f t="shared" si="1"/>
        <v>35</v>
      </c>
    </row>
    <row r="23" spans="1:72" ht="16" customHeight="1" x14ac:dyDescent="0.15">
      <c r="A23" s="195" t="s">
        <v>750</v>
      </c>
      <c r="B23" s="195" t="s">
        <v>82</v>
      </c>
      <c r="C23" s="195" t="s">
        <v>113</v>
      </c>
      <c r="D23" s="195" t="s">
        <v>751</v>
      </c>
      <c r="E23" s="36" t="s">
        <v>115</v>
      </c>
      <c r="F23" s="36" t="s">
        <v>116</v>
      </c>
      <c r="G23" s="196">
        <v>0.2</v>
      </c>
      <c r="H23" s="196">
        <v>0.2</v>
      </c>
      <c r="I23" s="195">
        <f t="shared" si="0"/>
        <v>4</v>
      </c>
      <c r="J23" s="195">
        <f t="shared" si="0"/>
        <v>4</v>
      </c>
      <c r="K23" s="195"/>
      <c r="L23" s="197">
        <v>7</v>
      </c>
      <c r="M23" s="45"/>
      <c r="N23" s="45"/>
      <c r="O23" s="197">
        <v>2</v>
      </c>
      <c r="P23" s="45"/>
      <c r="Q23" s="45"/>
      <c r="R23" s="197">
        <f>2</f>
        <v>2</v>
      </c>
      <c r="S23" s="45"/>
      <c r="T23" s="197">
        <f>4</f>
        <v>4</v>
      </c>
      <c r="U23" s="197">
        <f>4</f>
        <v>4</v>
      </c>
      <c r="V23" s="189">
        <v>9</v>
      </c>
      <c r="W23" s="189">
        <v>11</v>
      </c>
      <c r="X23" s="46"/>
      <c r="Y23" s="189">
        <v>11</v>
      </c>
      <c r="Z23" s="189">
        <v>6</v>
      </c>
      <c r="AA23" s="46"/>
      <c r="AB23" s="189">
        <v>10</v>
      </c>
      <c r="AC23" s="189">
        <v>13</v>
      </c>
      <c r="AD23" s="189">
        <v>10</v>
      </c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194">
        <f>3</f>
        <v>3</v>
      </c>
      <c r="BI23" s="46"/>
      <c r="BJ23" s="46"/>
      <c r="BK23" s="46"/>
      <c r="BL23" s="189">
        <v>10</v>
      </c>
      <c r="BM23" s="46"/>
      <c r="BN23" s="46"/>
      <c r="BO23" s="46"/>
      <c r="BP23" s="189">
        <v>16</v>
      </c>
      <c r="BQ23" s="46"/>
      <c r="BR23" s="46"/>
      <c r="BS23" s="46"/>
      <c r="BT23" s="50">
        <f t="shared" si="1"/>
        <v>118</v>
      </c>
    </row>
    <row r="24" spans="1:72" ht="16" customHeight="1" x14ac:dyDescent="0.15">
      <c r="A24" s="195" t="s">
        <v>752</v>
      </c>
      <c r="B24" s="195" t="s">
        <v>82</v>
      </c>
      <c r="C24" s="195" t="s">
        <v>113</v>
      </c>
      <c r="D24" s="195" t="s">
        <v>753</v>
      </c>
      <c r="E24" s="36" t="s">
        <v>115</v>
      </c>
      <c r="F24" s="36" t="s">
        <v>116</v>
      </c>
      <c r="G24" s="196">
        <v>0.2</v>
      </c>
      <c r="H24" s="196">
        <v>0.3</v>
      </c>
      <c r="I24" s="195">
        <f t="shared" si="0"/>
        <v>4</v>
      </c>
      <c r="J24" s="195">
        <f t="shared" si="0"/>
        <v>6</v>
      </c>
      <c r="K24" s="195"/>
      <c r="L24" s="45"/>
      <c r="M24" s="45"/>
      <c r="N24" s="45"/>
      <c r="O24" s="45"/>
      <c r="P24" s="197">
        <f>1</f>
        <v>1</v>
      </c>
      <c r="Q24" s="45"/>
      <c r="R24" s="45"/>
      <c r="S24" s="45"/>
      <c r="T24" s="45"/>
      <c r="U24" s="45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194">
        <f>3</f>
        <v>3</v>
      </c>
      <c r="AH24" s="46"/>
      <c r="AI24" s="46"/>
      <c r="AJ24" s="46"/>
      <c r="AK24" s="194">
        <f>3</f>
        <v>3</v>
      </c>
      <c r="AL24" s="46"/>
      <c r="AM24" s="46"/>
      <c r="AN24" s="46"/>
      <c r="AO24" s="189">
        <v>5</v>
      </c>
      <c r="AP24" s="194">
        <f>3</f>
        <v>3</v>
      </c>
      <c r="AQ24" s="194">
        <f>3</f>
        <v>3</v>
      </c>
      <c r="AR24" s="46"/>
      <c r="AS24" s="46"/>
      <c r="AT24" s="46"/>
      <c r="AU24" s="46"/>
      <c r="AV24" s="194">
        <f>3</f>
        <v>3</v>
      </c>
      <c r="AW24" s="46"/>
      <c r="AX24" s="194">
        <f>4</f>
        <v>4</v>
      </c>
      <c r="AY24" s="194">
        <f>7</f>
        <v>7</v>
      </c>
      <c r="AZ24" s="46"/>
      <c r="BA24" s="46"/>
      <c r="BB24" s="46"/>
      <c r="BC24" s="46"/>
      <c r="BD24" s="46"/>
      <c r="BE24" s="46"/>
      <c r="BF24" s="46"/>
      <c r="BG24" s="198"/>
      <c r="BH24" s="46"/>
      <c r="BI24" s="198"/>
      <c r="BJ24" s="46"/>
      <c r="BK24" s="192">
        <v>10</v>
      </c>
      <c r="BL24" s="46"/>
      <c r="BM24" s="192">
        <v>17</v>
      </c>
      <c r="BN24" s="46"/>
      <c r="BO24" s="189">
        <v>35</v>
      </c>
      <c r="BP24" s="189">
        <v>41</v>
      </c>
      <c r="BQ24" s="46"/>
      <c r="BR24" s="199">
        <v>7</v>
      </c>
      <c r="BS24" s="192">
        <f>41</f>
        <v>41</v>
      </c>
      <c r="BT24" s="50">
        <f t="shared" si="1"/>
        <v>183</v>
      </c>
    </row>
    <row r="25" spans="1:72" ht="16" customHeight="1" x14ac:dyDescent="0.15">
      <c r="A25" s="195" t="s">
        <v>754</v>
      </c>
      <c r="B25" s="195" t="s">
        <v>82</v>
      </c>
      <c r="C25" s="195" t="s">
        <v>113</v>
      </c>
      <c r="D25" s="195" t="s">
        <v>755</v>
      </c>
      <c r="E25" s="36" t="s">
        <v>115</v>
      </c>
      <c r="F25" s="36" t="s">
        <v>116</v>
      </c>
      <c r="G25" s="196">
        <v>0.2</v>
      </c>
      <c r="H25" s="196">
        <v>0.4</v>
      </c>
      <c r="I25" s="195">
        <f t="shared" si="0"/>
        <v>4</v>
      </c>
      <c r="J25" s="195">
        <f t="shared" si="0"/>
        <v>8</v>
      </c>
      <c r="K25" s="195"/>
      <c r="L25" s="45"/>
      <c r="M25" s="197">
        <v>10</v>
      </c>
      <c r="N25" s="197">
        <v>6</v>
      </c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189">
        <v>7</v>
      </c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194">
        <f>3</f>
        <v>3</v>
      </c>
      <c r="AS25" s="46"/>
      <c r="AT25" s="194">
        <f>7</f>
        <v>7</v>
      </c>
      <c r="AU25" s="194">
        <f>5</f>
        <v>5</v>
      </c>
      <c r="AV25" s="46"/>
      <c r="AW25" s="46"/>
      <c r="AX25" s="46"/>
      <c r="AY25" s="46"/>
      <c r="AZ25" s="46"/>
      <c r="BA25" s="46"/>
      <c r="BB25" s="194">
        <f>3</f>
        <v>3</v>
      </c>
      <c r="BC25" s="46"/>
      <c r="BD25" s="46"/>
      <c r="BE25" s="194">
        <f>3</f>
        <v>3</v>
      </c>
      <c r="BF25" s="46"/>
      <c r="BG25" s="187">
        <f>7</f>
        <v>7</v>
      </c>
      <c r="BH25" s="46"/>
      <c r="BI25" s="198"/>
      <c r="BJ25" s="46"/>
      <c r="BK25" s="46"/>
      <c r="BL25" s="46"/>
      <c r="BM25" s="46"/>
      <c r="BN25" s="192">
        <v>14</v>
      </c>
      <c r="BO25" s="46"/>
      <c r="BP25" s="46"/>
      <c r="BQ25" s="46"/>
      <c r="BR25" s="198"/>
      <c r="BS25" s="46"/>
      <c r="BT25" s="50">
        <f t="shared" si="1"/>
        <v>65</v>
      </c>
    </row>
    <row r="26" spans="1:72" ht="16" customHeight="1" x14ac:dyDescent="0.15">
      <c r="A26" s="200" t="s">
        <v>756</v>
      </c>
      <c r="B26" s="201" t="s">
        <v>82</v>
      </c>
      <c r="C26" s="195" t="s">
        <v>113</v>
      </c>
      <c r="D26" s="201" t="s">
        <v>757</v>
      </c>
      <c r="E26" s="36" t="s">
        <v>115</v>
      </c>
      <c r="F26" s="36" t="s">
        <v>116</v>
      </c>
      <c r="G26" s="196">
        <v>0.3</v>
      </c>
      <c r="H26" s="196">
        <v>0.7</v>
      </c>
      <c r="I26" s="195">
        <f t="shared" si="0"/>
        <v>6</v>
      </c>
      <c r="J26" s="195">
        <f t="shared" si="0"/>
        <v>14</v>
      </c>
      <c r="K26" s="195"/>
      <c r="L26" s="45"/>
      <c r="M26" s="45"/>
      <c r="N26" s="45"/>
      <c r="O26" s="45"/>
      <c r="P26" s="45"/>
      <c r="Q26" s="45"/>
      <c r="R26" s="45"/>
      <c r="S26" s="197">
        <f>9</f>
        <v>9</v>
      </c>
      <c r="T26" s="202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50">
        <f t="shared" si="1"/>
        <v>9</v>
      </c>
    </row>
    <row r="27" spans="1:72" ht="16" customHeight="1" x14ac:dyDescent="0.15">
      <c r="A27" s="200" t="s">
        <v>758</v>
      </c>
      <c r="B27" s="201" t="s">
        <v>82</v>
      </c>
      <c r="C27" s="195" t="s">
        <v>113</v>
      </c>
      <c r="D27" s="201" t="s">
        <v>759</v>
      </c>
      <c r="E27" s="36" t="s">
        <v>115</v>
      </c>
      <c r="F27" s="36" t="s">
        <v>116</v>
      </c>
      <c r="G27" s="196">
        <v>0.3</v>
      </c>
      <c r="H27" s="196">
        <v>0.3</v>
      </c>
      <c r="I27" s="195">
        <f t="shared" si="0"/>
        <v>6</v>
      </c>
      <c r="J27" s="195">
        <f t="shared" si="0"/>
        <v>6</v>
      </c>
      <c r="K27" s="19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189">
        <v>5</v>
      </c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189">
        <v>1</v>
      </c>
      <c r="BR27" s="46"/>
      <c r="BS27" s="46"/>
      <c r="BT27" s="50">
        <f t="shared" si="1"/>
        <v>6</v>
      </c>
    </row>
    <row r="28" spans="1:72" ht="16" customHeight="1" x14ac:dyDescent="0.15">
      <c r="A28" s="200" t="s">
        <v>760</v>
      </c>
      <c r="B28" s="201" t="s">
        <v>82</v>
      </c>
      <c r="C28" s="195" t="s">
        <v>113</v>
      </c>
      <c r="D28" s="201" t="s">
        <v>761</v>
      </c>
      <c r="E28" s="36" t="s">
        <v>115</v>
      </c>
      <c r="F28" s="36" t="s">
        <v>116</v>
      </c>
      <c r="G28" s="196">
        <v>0.3</v>
      </c>
      <c r="H28" s="196">
        <v>0.4</v>
      </c>
      <c r="I28" s="195">
        <f t="shared" si="0"/>
        <v>6</v>
      </c>
      <c r="J28" s="195">
        <f t="shared" si="0"/>
        <v>8</v>
      </c>
      <c r="K28" s="19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194">
        <f>1</f>
        <v>1</v>
      </c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194">
        <v>11</v>
      </c>
      <c r="BE28" s="46"/>
      <c r="BF28" s="46"/>
      <c r="BG28" s="46"/>
      <c r="BH28" s="46"/>
      <c r="BI28" s="46"/>
      <c r="BJ28" s="46"/>
      <c r="BK28" s="46"/>
      <c r="BL28" s="189">
        <v>8</v>
      </c>
      <c r="BM28" s="46"/>
      <c r="BN28" s="46"/>
      <c r="BO28" s="46"/>
      <c r="BP28" s="46"/>
      <c r="BQ28" s="46"/>
      <c r="BR28" s="46"/>
      <c r="BS28" s="46"/>
      <c r="BT28" s="50">
        <f t="shared" si="1"/>
        <v>20</v>
      </c>
    </row>
    <row r="29" spans="1:72" ht="16" customHeight="1" x14ac:dyDescent="0.15">
      <c r="A29" s="200" t="s">
        <v>762</v>
      </c>
      <c r="B29" s="201" t="s">
        <v>82</v>
      </c>
      <c r="C29" s="195" t="s">
        <v>113</v>
      </c>
      <c r="D29" s="201" t="s">
        <v>763</v>
      </c>
      <c r="E29" s="36" t="s">
        <v>115</v>
      </c>
      <c r="F29" s="36" t="s">
        <v>116</v>
      </c>
      <c r="G29" s="196">
        <v>0.4</v>
      </c>
      <c r="H29" s="196">
        <v>0.5</v>
      </c>
      <c r="I29" s="195">
        <f t="shared" si="0"/>
        <v>8</v>
      </c>
      <c r="J29" s="195">
        <f t="shared" si="0"/>
        <v>10</v>
      </c>
      <c r="K29" s="19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5"/>
      <c r="W29" s="45"/>
      <c r="X29" s="45"/>
      <c r="Y29" s="45"/>
      <c r="Z29" s="45"/>
      <c r="AA29" s="45"/>
      <c r="AB29" s="45"/>
      <c r="AC29" s="45"/>
      <c r="AD29" s="45"/>
      <c r="AE29" s="197">
        <v>3</v>
      </c>
      <c r="AF29" s="46"/>
      <c r="AG29" s="46"/>
      <c r="AH29" s="46"/>
      <c r="AI29" s="46"/>
      <c r="AJ29" s="46"/>
      <c r="AK29" s="46"/>
      <c r="AL29" s="46"/>
      <c r="AM29" s="46"/>
      <c r="AN29" s="194">
        <f>2</f>
        <v>2</v>
      </c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50">
        <f t="shared" si="1"/>
        <v>5</v>
      </c>
    </row>
    <row r="30" spans="1:72" ht="16" customHeight="1" x14ac:dyDescent="0.15">
      <c r="A30" s="195" t="s">
        <v>764</v>
      </c>
      <c r="B30" s="195" t="s">
        <v>82</v>
      </c>
      <c r="C30" s="195" t="s">
        <v>113</v>
      </c>
      <c r="D30" s="195" t="s">
        <v>765</v>
      </c>
      <c r="E30" s="36" t="s">
        <v>115</v>
      </c>
      <c r="F30" s="36" t="s">
        <v>116</v>
      </c>
      <c r="G30" s="196">
        <v>0.4</v>
      </c>
      <c r="H30" s="196">
        <v>0.6</v>
      </c>
      <c r="I30" s="195">
        <f t="shared" si="0"/>
        <v>8</v>
      </c>
      <c r="J30" s="195">
        <f t="shared" si="0"/>
        <v>12</v>
      </c>
      <c r="K30" s="19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5"/>
      <c r="W30" s="45"/>
      <c r="X30" s="45"/>
      <c r="Y30" s="45"/>
      <c r="Z30" s="45"/>
      <c r="AA30" s="197">
        <v>5</v>
      </c>
      <c r="AB30" s="45"/>
      <c r="AC30" s="45"/>
      <c r="AD30" s="45"/>
      <c r="AE30" s="45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189">
        <v>8</v>
      </c>
      <c r="BS30" s="46"/>
      <c r="BT30" s="50">
        <f t="shared" si="1"/>
        <v>13</v>
      </c>
    </row>
    <row r="31" spans="1:72" ht="16" customHeight="1" x14ac:dyDescent="0.15">
      <c r="A31" s="195" t="s">
        <v>766</v>
      </c>
      <c r="B31" s="195" t="s">
        <v>82</v>
      </c>
      <c r="C31" s="195" t="s">
        <v>113</v>
      </c>
      <c r="D31" s="195" t="s">
        <v>767</v>
      </c>
      <c r="E31" s="36" t="s">
        <v>115</v>
      </c>
      <c r="F31" s="36" t="s">
        <v>116</v>
      </c>
      <c r="G31" s="196">
        <v>0.5</v>
      </c>
      <c r="H31" s="196">
        <v>0.8</v>
      </c>
      <c r="I31" s="195">
        <f t="shared" si="0"/>
        <v>10</v>
      </c>
      <c r="J31" s="195">
        <f t="shared" si="0"/>
        <v>16</v>
      </c>
      <c r="K31" s="19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6"/>
      <c r="AG31" s="46"/>
      <c r="AH31" s="194">
        <f>4</f>
        <v>4</v>
      </c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198"/>
      <c r="BB31" s="46"/>
      <c r="BC31" s="46"/>
      <c r="BD31" s="198"/>
      <c r="BE31" s="198"/>
      <c r="BF31" s="198"/>
      <c r="BG31" s="198"/>
      <c r="BH31" s="46"/>
      <c r="BI31" s="46"/>
      <c r="BJ31" s="46"/>
      <c r="BK31" s="46"/>
      <c r="BL31" s="46"/>
      <c r="BM31" s="46"/>
      <c r="BN31" s="46"/>
      <c r="BO31" s="198"/>
      <c r="BP31" s="46"/>
      <c r="BQ31" s="189">
        <v>7</v>
      </c>
      <c r="BR31" s="46"/>
      <c r="BS31" s="198"/>
      <c r="BT31" s="50">
        <f t="shared" si="1"/>
        <v>11</v>
      </c>
    </row>
    <row r="32" spans="1:72" ht="16" customHeight="1" x14ac:dyDescent="0.15">
      <c r="A32" s="195" t="s">
        <v>768</v>
      </c>
      <c r="B32" s="195" t="s">
        <v>82</v>
      </c>
      <c r="C32" s="195" t="s">
        <v>113</v>
      </c>
      <c r="D32" s="195" t="s">
        <v>769</v>
      </c>
      <c r="E32" s="36" t="s">
        <v>115</v>
      </c>
      <c r="F32" s="36" t="s">
        <v>116</v>
      </c>
      <c r="G32" s="196">
        <v>0.7</v>
      </c>
      <c r="H32" s="196">
        <v>1</v>
      </c>
      <c r="I32" s="195">
        <f t="shared" si="0"/>
        <v>14</v>
      </c>
      <c r="J32" s="195">
        <f t="shared" si="0"/>
        <v>20</v>
      </c>
      <c r="K32" s="19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6"/>
      <c r="AG32" s="46"/>
      <c r="AH32" s="46"/>
      <c r="AI32" s="194">
        <f>3</f>
        <v>3</v>
      </c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198"/>
      <c r="BB32" s="46"/>
      <c r="BC32" s="46"/>
      <c r="BD32" s="198"/>
      <c r="BE32" s="198"/>
      <c r="BF32" s="198"/>
      <c r="BG32" s="198"/>
      <c r="BH32" s="46"/>
      <c r="BI32" s="46"/>
      <c r="BJ32" s="46"/>
      <c r="BK32" s="46"/>
      <c r="BL32" s="46"/>
      <c r="BM32" s="46"/>
      <c r="BN32" s="46"/>
      <c r="BO32" s="198"/>
      <c r="BP32" s="46"/>
      <c r="BQ32" s="189">
        <v>2</v>
      </c>
      <c r="BR32" s="46"/>
      <c r="BS32" s="46"/>
      <c r="BT32" s="50">
        <f t="shared" si="1"/>
        <v>5</v>
      </c>
    </row>
    <row r="33" spans="1:72" ht="16" customHeight="1" x14ac:dyDescent="0.15">
      <c r="A33" s="203" t="s">
        <v>770</v>
      </c>
      <c r="B33" s="204" t="s">
        <v>122</v>
      </c>
      <c r="C33" s="204" t="s">
        <v>174</v>
      </c>
      <c r="D33" s="204" t="s">
        <v>771</v>
      </c>
      <c r="E33" s="205" t="s">
        <v>90</v>
      </c>
      <c r="F33" s="205" t="s">
        <v>91</v>
      </c>
      <c r="G33" s="206"/>
      <c r="H33" s="206"/>
      <c r="I33" s="207">
        <v>5.5</v>
      </c>
      <c r="J33" s="207">
        <v>5.5</v>
      </c>
      <c r="K33" s="207"/>
      <c r="L33" s="37"/>
      <c r="M33" s="208">
        <v>4</v>
      </c>
      <c r="N33" s="208">
        <v>4</v>
      </c>
      <c r="O33" s="208">
        <v>4</v>
      </c>
      <c r="P33" s="37"/>
      <c r="Q33" s="208">
        <v>1</v>
      </c>
      <c r="R33" s="208">
        <v>1</v>
      </c>
      <c r="S33" s="37"/>
      <c r="T33" s="208">
        <f>1</f>
        <v>1</v>
      </c>
      <c r="U33" s="37"/>
      <c r="V33" s="36"/>
      <c r="W33" s="193">
        <v>19</v>
      </c>
      <c r="X33" s="193">
        <v>13</v>
      </c>
      <c r="Y33" s="193">
        <v>15</v>
      </c>
      <c r="Z33" s="193">
        <v>4</v>
      </c>
      <c r="AA33" s="193">
        <v>13</v>
      </c>
      <c r="AB33" s="193">
        <v>7</v>
      </c>
      <c r="AC33" s="193">
        <v>5</v>
      </c>
      <c r="AD33" s="193">
        <v>2</v>
      </c>
      <c r="AE33" s="193">
        <v>2</v>
      </c>
      <c r="AF33" s="46"/>
      <c r="AG33" s="194">
        <f>3</f>
        <v>3</v>
      </c>
      <c r="AH33" s="194">
        <v>1</v>
      </c>
      <c r="AI33" s="46"/>
      <c r="AJ33" s="46"/>
      <c r="AK33" s="194">
        <f>2</f>
        <v>2</v>
      </c>
      <c r="AL33" s="194">
        <f>2</f>
        <v>2</v>
      </c>
      <c r="AM33" s="194">
        <f>3</f>
        <v>3</v>
      </c>
      <c r="AN33" s="194">
        <f>2</f>
        <v>2</v>
      </c>
      <c r="AO33" s="194">
        <f>2</f>
        <v>2</v>
      </c>
      <c r="AP33" s="194">
        <f>1</f>
        <v>1</v>
      </c>
      <c r="AQ33" s="194">
        <f>15</f>
        <v>15</v>
      </c>
      <c r="AR33" s="194">
        <f>9</f>
        <v>9</v>
      </c>
      <c r="AS33" s="194">
        <v>24</v>
      </c>
      <c r="AT33" s="194">
        <f>8</f>
        <v>8</v>
      </c>
      <c r="AU33" s="194">
        <f>32</f>
        <v>32</v>
      </c>
      <c r="AV33" s="194">
        <f>7</f>
        <v>7</v>
      </c>
      <c r="AW33" s="194">
        <f>2</f>
        <v>2</v>
      </c>
      <c r="AX33" s="194">
        <f>4</f>
        <v>4</v>
      </c>
      <c r="AY33" s="194">
        <f>2</f>
        <v>2</v>
      </c>
      <c r="AZ33" s="46"/>
      <c r="BA33" s="194">
        <f>18</f>
        <v>18</v>
      </c>
      <c r="BB33" s="194">
        <f>1</f>
        <v>1</v>
      </c>
      <c r="BC33" s="194">
        <f>5</f>
        <v>5</v>
      </c>
      <c r="BD33" s="194">
        <f>3</f>
        <v>3</v>
      </c>
      <c r="BE33" s="194">
        <f>89</f>
        <v>89</v>
      </c>
      <c r="BF33" s="194">
        <f>2</f>
        <v>2</v>
      </c>
      <c r="BG33" s="209">
        <v>2</v>
      </c>
      <c r="BH33" s="194">
        <f>3</f>
        <v>3</v>
      </c>
      <c r="BI33" s="209">
        <v>1</v>
      </c>
      <c r="BJ33" s="46"/>
      <c r="BK33" s="46"/>
      <c r="BL33" s="46"/>
      <c r="BM33" s="192">
        <v>1</v>
      </c>
      <c r="BN33" s="46"/>
      <c r="BO33" s="192">
        <f>3</f>
        <v>3</v>
      </c>
      <c r="BP33" s="192">
        <f>19</f>
        <v>19</v>
      </c>
      <c r="BQ33" s="192">
        <v>14</v>
      </c>
      <c r="BR33" s="210">
        <v>7</v>
      </c>
      <c r="BS33" s="192">
        <f>23</f>
        <v>23</v>
      </c>
      <c r="BT33" s="50">
        <f t="shared" si="1"/>
        <v>405</v>
      </c>
    </row>
    <row r="34" spans="1:72" ht="16" customHeight="1" x14ac:dyDescent="0.15">
      <c r="A34" s="203" t="s">
        <v>772</v>
      </c>
      <c r="B34" s="204" t="s">
        <v>122</v>
      </c>
      <c r="C34" s="204" t="s">
        <v>174</v>
      </c>
      <c r="D34" s="204" t="s">
        <v>773</v>
      </c>
      <c r="E34" s="205" t="s">
        <v>90</v>
      </c>
      <c r="F34" s="205" t="s">
        <v>91</v>
      </c>
      <c r="G34" s="206"/>
      <c r="H34" s="206"/>
      <c r="I34" s="207">
        <v>9.5</v>
      </c>
      <c r="J34" s="207">
        <v>9.5</v>
      </c>
      <c r="K34" s="207"/>
      <c r="L34" s="37"/>
      <c r="M34" s="208">
        <v>19</v>
      </c>
      <c r="N34" s="208">
        <v>8</v>
      </c>
      <c r="O34" s="208">
        <v>20</v>
      </c>
      <c r="P34" s="208">
        <f>8</f>
        <v>8</v>
      </c>
      <c r="Q34" s="208">
        <v>13</v>
      </c>
      <c r="R34" s="208">
        <v>7</v>
      </c>
      <c r="S34" s="208">
        <f>5</f>
        <v>5</v>
      </c>
      <c r="T34" s="208">
        <f>9</f>
        <v>9</v>
      </c>
      <c r="U34" s="208">
        <f>11</f>
        <v>11</v>
      </c>
      <c r="V34" s="193">
        <v>4</v>
      </c>
      <c r="W34" s="193">
        <v>54</v>
      </c>
      <c r="X34" s="193">
        <v>32</v>
      </c>
      <c r="Y34" s="193">
        <v>93</v>
      </c>
      <c r="Z34" s="193">
        <v>43</v>
      </c>
      <c r="AA34" s="193">
        <v>52</v>
      </c>
      <c r="AB34" s="193">
        <v>31</v>
      </c>
      <c r="AC34" s="193">
        <v>17</v>
      </c>
      <c r="AD34" s="193">
        <v>6</v>
      </c>
      <c r="AE34" s="193">
        <v>12</v>
      </c>
      <c r="AF34" s="46"/>
      <c r="AG34" s="194">
        <f>32</f>
        <v>32</v>
      </c>
      <c r="AH34" s="194">
        <f>9</f>
        <v>9</v>
      </c>
      <c r="AI34" s="194">
        <f>13</f>
        <v>13</v>
      </c>
      <c r="AJ34" s="194">
        <f>5</f>
        <v>5</v>
      </c>
      <c r="AK34" s="194">
        <f>31</f>
        <v>31</v>
      </c>
      <c r="AL34" s="194">
        <f>11</f>
        <v>11</v>
      </c>
      <c r="AM34" s="194">
        <f>2</f>
        <v>2</v>
      </c>
      <c r="AN34" s="194">
        <f>6</f>
        <v>6</v>
      </c>
      <c r="AO34" s="194">
        <f>7</f>
        <v>7</v>
      </c>
      <c r="AP34" s="194">
        <f>1</f>
        <v>1</v>
      </c>
      <c r="AQ34" s="194">
        <f>46</f>
        <v>46</v>
      </c>
      <c r="AR34" s="194">
        <f>24</f>
        <v>24</v>
      </c>
      <c r="AS34" s="194">
        <v>46</v>
      </c>
      <c r="AT34" s="194">
        <f>15</f>
        <v>15</v>
      </c>
      <c r="AU34" s="194">
        <f>52</f>
        <v>52</v>
      </c>
      <c r="AV34" s="194">
        <f>36</f>
        <v>36</v>
      </c>
      <c r="AW34" s="194">
        <f>24</f>
        <v>24</v>
      </c>
      <c r="AX34" s="194">
        <f>11</f>
        <v>11</v>
      </c>
      <c r="AY34" s="194">
        <f>19</f>
        <v>19</v>
      </c>
      <c r="AZ34" s="46"/>
      <c r="BA34" s="194">
        <f>29</f>
        <v>29</v>
      </c>
      <c r="BB34" s="194">
        <f>6</f>
        <v>6</v>
      </c>
      <c r="BC34" s="194">
        <f>18</f>
        <v>18</v>
      </c>
      <c r="BD34" s="194">
        <f>7</f>
        <v>7</v>
      </c>
      <c r="BE34" s="194">
        <f>24</f>
        <v>24</v>
      </c>
      <c r="BF34" s="194">
        <f>11</f>
        <v>11</v>
      </c>
      <c r="BG34" s="209">
        <v>30</v>
      </c>
      <c r="BH34" s="194">
        <f>23</f>
        <v>23</v>
      </c>
      <c r="BI34" s="209">
        <v>35</v>
      </c>
      <c r="BJ34" s="46"/>
      <c r="BK34" s="192">
        <v>23</v>
      </c>
      <c r="BL34" s="46"/>
      <c r="BM34" s="192">
        <v>25</v>
      </c>
      <c r="BN34" s="189">
        <v>3</v>
      </c>
      <c r="BO34" s="192">
        <f>98</f>
        <v>98</v>
      </c>
      <c r="BP34" s="192">
        <f>11</f>
        <v>11</v>
      </c>
      <c r="BQ34" s="192">
        <v>8</v>
      </c>
      <c r="BR34" s="210">
        <v>22</v>
      </c>
      <c r="BS34" s="192">
        <f>34</f>
        <v>34</v>
      </c>
      <c r="BT34" s="50">
        <f t="shared" si="1"/>
        <v>1241</v>
      </c>
    </row>
    <row r="35" spans="1:72" ht="16" customHeight="1" x14ac:dyDescent="0.15">
      <c r="A35" s="203" t="s">
        <v>774</v>
      </c>
      <c r="B35" s="204" t="s">
        <v>122</v>
      </c>
      <c r="C35" s="204" t="s">
        <v>174</v>
      </c>
      <c r="D35" s="204" t="s">
        <v>775</v>
      </c>
      <c r="E35" s="205" t="s">
        <v>90</v>
      </c>
      <c r="F35" s="205" t="s">
        <v>91</v>
      </c>
      <c r="G35" s="206"/>
      <c r="H35" s="206"/>
      <c r="I35" s="207">
        <v>14</v>
      </c>
      <c r="J35" s="207">
        <v>14</v>
      </c>
      <c r="K35" s="207"/>
      <c r="L35" s="208">
        <v>3</v>
      </c>
      <c r="M35" s="208">
        <v>22</v>
      </c>
      <c r="N35" s="208">
        <v>5</v>
      </c>
      <c r="O35" s="208">
        <v>29</v>
      </c>
      <c r="P35" s="208">
        <f>2</f>
        <v>2</v>
      </c>
      <c r="Q35" s="208">
        <v>18</v>
      </c>
      <c r="R35" s="208">
        <v>1</v>
      </c>
      <c r="S35" s="208">
        <f>6</f>
        <v>6</v>
      </c>
      <c r="T35" s="197">
        <f>14</f>
        <v>14</v>
      </c>
      <c r="U35" s="208">
        <f>8</f>
        <v>8</v>
      </c>
      <c r="V35" s="193">
        <v>24</v>
      </c>
      <c r="W35" s="193">
        <v>28</v>
      </c>
      <c r="X35" s="193">
        <v>24</v>
      </c>
      <c r="Y35" s="193">
        <v>56</v>
      </c>
      <c r="Z35" s="193">
        <v>10</v>
      </c>
      <c r="AA35" s="193">
        <v>44</v>
      </c>
      <c r="AB35" s="193">
        <v>22</v>
      </c>
      <c r="AC35" s="193">
        <v>12</v>
      </c>
      <c r="AD35" s="193">
        <v>2</v>
      </c>
      <c r="AE35" s="193">
        <v>12</v>
      </c>
      <c r="AF35" s="194">
        <f>10</f>
        <v>10</v>
      </c>
      <c r="AG35" s="194">
        <f>18</f>
        <v>18</v>
      </c>
      <c r="AH35" s="194">
        <v>2</v>
      </c>
      <c r="AI35" s="194">
        <f>17</f>
        <v>17</v>
      </c>
      <c r="AJ35" s="194">
        <f>5</f>
        <v>5</v>
      </c>
      <c r="AK35" s="194">
        <f>19</f>
        <v>19</v>
      </c>
      <c r="AL35" s="194">
        <f>10</f>
        <v>10</v>
      </c>
      <c r="AM35" s="194">
        <f>9</f>
        <v>9</v>
      </c>
      <c r="AN35" s="194">
        <f>2</f>
        <v>2</v>
      </c>
      <c r="AO35" s="194">
        <f>6</f>
        <v>6</v>
      </c>
      <c r="AP35" s="194">
        <f>2</f>
        <v>2</v>
      </c>
      <c r="AQ35" s="194">
        <f>30</f>
        <v>30</v>
      </c>
      <c r="AR35" s="194">
        <f>8</f>
        <v>8</v>
      </c>
      <c r="AS35" s="194">
        <v>19</v>
      </c>
      <c r="AT35" s="194">
        <v>3</v>
      </c>
      <c r="AU35" s="194">
        <f>23</f>
        <v>23</v>
      </c>
      <c r="AV35" s="194">
        <f>9</f>
        <v>9</v>
      </c>
      <c r="AW35" s="194">
        <f>7</f>
        <v>7</v>
      </c>
      <c r="AX35" s="194">
        <f>15</f>
        <v>15</v>
      </c>
      <c r="AY35" s="194">
        <f>13</f>
        <v>13</v>
      </c>
      <c r="AZ35" s="194">
        <v>1</v>
      </c>
      <c r="BA35" s="194">
        <f>61</f>
        <v>61</v>
      </c>
      <c r="BB35" s="194">
        <f>13</f>
        <v>13</v>
      </c>
      <c r="BC35" s="194">
        <f>54</f>
        <v>54</v>
      </c>
      <c r="BD35" s="194">
        <f>13</f>
        <v>13</v>
      </c>
      <c r="BE35" s="194">
        <f>71</f>
        <v>71</v>
      </c>
      <c r="BF35" s="194">
        <f>15</f>
        <v>15</v>
      </c>
      <c r="BG35" s="209">
        <v>21</v>
      </c>
      <c r="BH35" s="194">
        <f>15</f>
        <v>15</v>
      </c>
      <c r="BI35" s="209">
        <v>39</v>
      </c>
      <c r="BJ35" s="189">
        <f>4+1+2</f>
        <v>7</v>
      </c>
      <c r="BK35" s="192">
        <v>8</v>
      </c>
      <c r="BL35" s="189">
        <f>13+5</f>
        <v>18</v>
      </c>
      <c r="BM35" s="192">
        <v>19</v>
      </c>
      <c r="BN35" s="46"/>
      <c r="BO35" s="192">
        <f>48+5</f>
        <v>53</v>
      </c>
      <c r="BP35" s="192">
        <f>10</f>
        <v>10</v>
      </c>
      <c r="BQ35" s="192">
        <v>18</v>
      </c>
      <c r="BR35" s="210">
        <v>31</v>
      </c>
      <c r="BS35" s="192">
        <f>35</f>
        <v>35</v>
      </c>
      <c r="BT35" s="50">
        <f t="shared" si="1"/>
        <v>1071</v>
      </c>
    </row>
    <row r="36" spans="1:72" ht="16" customHeight="1" x14ac:dyDescent="0.15">
      <c r="A36" s="211" t="s">
        <v>776</v>
      </c>
      <c r="B36" s="212" t="s">
        <v>200</v>
      </c>
      <c r="C36" s="212"/>
      <c r="D36" s="212" t="s">
        <v>777</v>
      </c>
      <c r="E36" s="49" t="s">
        <v>203</v>
      </c>
      <c r="F36" s="49" t="s">
        <v>204</v>
      </c>
      <c r="G36" s="213">
        <v>0.2</v>
      </c>
      <c r="H36" s="213">
        <v>1.2</v>
      </c>
      <c r="I36" s="214">
        <f>G36*20</f>
        <v>4</v>
      </c>
      <c r="J36" s="214">
        <f>H36*20</f>
        <v>24</v>
      </c>
      <c r="K36" s="214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189">
        <v>11</v>
      </c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50">
        <f t="shared" si="1"/>
        <v>11</v>
      </c>
    </row>
    <row r="37" spans="1:72" ht="16" customHeight="1" x14ac:dyDescent="0.15">
      <c r="A37" s="211" t="s">
        <v>778</v>
      </c>
      <c r="B37" s="212" t="s">
        <v>200</v>
      </c>
      <c r="C37" s="212"/>
      <c r="D37" s="212" t="s">
        <v>779</v>
      </c>
      <c r="E37" s="49" t="s">
        <v>203</v>
      </c>
      <c r="F37" s="49" t="s">
        <v>204</v>
      </c>
      <c r="G37" s="213">
        <v>0.2</v>
      </c>
      <c r="H37" s="213">
        <v>2.5</v>
      </c>
      <c r="I37" s="214">
        <f>G37*20</f>
        <v>4</v>
      </c>
      <c r="J37" s="214">
        <f>H37*20</f>
        <v>50</v>
      </c>
      <c r="K37" s="214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189">
        <v>1</v>
      </c>
      <c r="Y37" s="46"/>
      <c r="Z37" s="46"/>
      <c r="AA37" s="46"/>
      <c r="AB37" s="46"/>
      <c r="AC37" s="46"/>
      <c r="AD37" s="215"/>
      <c r="AE37" s="215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50">
        <f t="shared" si="1"/>
        <v>1</v>
      </c>
    </row>
    <row r="38" spans="1:72" ht="16" customHeight="1" x14ac:dyDescent="0.15">
      <c r="A38" s="216" t="s">
        <v>780</v>
      </c>
      <c r="B38" s="217" t="s">
        <v>277</v>
      </c>
      <c r="C38" s="217" t="s">
        <v>278</v>
      </c>
      <c r="D38" s="217" t="s">
        <v>781</v>
      </c>
      <c r="E38" s="217" t="s">
        <v>203</v>
      </c>
      <c r="F38" s="49" t="s">
        <v>204</v>
      </c>
      <c r="G38" s="37"/>
      <c r="H38" s="37"/>
      <c r="I38" s="36">
        <v>5.5</v>
      </c>
      <c r="J38" s="36">
        <v>5.5</v>
      </c>
      <c r="K38" s="36"/>
      <c r="L38" s="197">
        <v>162</v>
      </c>
      <c r="M38" s="197">
        <v>194</v>
      </c>
      <c r="N38" s="197">
        <v>78</v>
      </c>
      <c r="O38" s="218">
        <v>102</v>
      </c>
      <c r="P38" s="197">
        <v>77</v>
      </c>
      <c r="Q38" s="197">
        <v>85</v>
      </c>
      <c r="R38" s="197">
        <v>46</v>
      </c>
      <c r="S38" s="197">
        <f>103</f>
        <v>103</v>
      </c>
      <c r="T38" s="197">
        <f>136</f>
        <v>136</v>
      </c>
      <c r="U38" s="197">
        <f>188</f>
        <v>188</v>
      </c>
      <c r="V38" s="189">
        <v>26</v>
      </c>
      <c r="W38" s="189">
        <v>15</v>
      </c>
      <c r="X38" s="189">
        <v>16</v>
      </c>
      <c r="Y38" s="189">
        <v>18</v>
      </c>
      <c r="Z38" s="189">
        <v>15</v>
      </c>
      <c r="AA38" s="189">
        <v>23</v>
      </c>
      <c r="AB38" s="189">
        <v>21</v>
      </c>
      <c r="AC38" s="189">
        <v>6</v>
      </c>
      <c r="AD38" s="189">
        <v>14</v>
      </c>
      <c r="AE38" s="189">
        <v>14</v>
      </c>
      <c r="AF38" s="46"/>
      <c r="AG38" s="194">
        <f>167</f>
        <v>167</v>
      </c>
      <c r="AH38" s="194">
        <f>49</f>
        <v>49</v>
      </c>
      <c r="AI38" s="46"/>
      <c r="AJ38" s="194">
        <f>44</f>
        <v>44</v>
      </c>
      <c r="AK38" s="194">
        <f>171</f>
        <v>171</v>
      </c>
      <c r="AL38" s="194">
        <f>43</f>
        <v>43</v>
      </c>
      <c r="AM38" s="194">
        <f>67</f>
        <v>67</v>
      </c>
      <c r="AN38" s="194">
        <f>44</f>
        <v>44</v>
      </c>
      <c r="AO38" s="194">
        <f>138</f>
        <v>138</v>
      </c>
      <c r="AP38" s="46"/>
      <c r="AQ38" s="194">
        <f>7</f>
        <v>7</v>
      </c>
      <c r="AR38" s="194">
        <f>10</f>
        <v>10</v>
      </c>
      <c r="AS38" s="194">
        <f>8</f>
        <v>8</v>
      </c>
      <c r="AT38" s="194">
        <f>6</f>
        <v>6</v>
      </c>
      <c r="AU38" s="194">
        <f>17</f>
        <v>17</v>
      </c>
      <c r="AV38" s="194">
        <f>38</f>
        <v>38</v>
      </c>
      <c r="AW38" s="194">
        <f>19</f>
        <v>19</v>
      </c>
      <c r="AX38" s="194">
        <f>14</f>
        <v>14</v>
      </c>
      <c r="AY38" s="194">
        <f>17</f>
        <v>17</v>
      </c>
      <c r="AZ38" s="194">
        <v>14</v>
      </c>
      <c r="BA38" s="209">
        <v>103</v>
      </c>
      <c r="BB38" s="194">
        <f>43</f>
        <v>43</v>
      </c>
      <c r="BC38" s="194">
        <f>82</f>
        <v>82</v>
      </c>
      <c r="BD38" s="209">
        <v>55</v>
      </c>
      <c r="BE38" s="209">
        <v>200</v>
      </c>
      <c r="BF38" s="209">
        <v>125</v>
      </c>
      <c r="BG38" s="209">
        <v>98</v>
      </c>
      <c r="BH38" s="194">
        <v>50</v>
      </c>
      <c r="BI38" s="194">
        <f>48</f>
        <v>48</v>
      </c>
      <c r="BJ38" s="192">
        <f>25</f>
        <v>25</v>
      </c>
      <c r="BK38" s="192">
        <v>87</v>
      </c>
      <c r="BL38" s="192">
        <v>45</v>
      </c>
      <c r="BM38" s="192">
        <v>90</v>
      </c>
      <c r="BN38" s="46"/>
      <c r="BO38" s="210">
        <v>142</v>
      </c>
      <c r="BP38" s="192">
        <f>62</f>
        <v>62</v>
      </c>
      <c r="BQ38" s="192">
        <v>115</v>
      </c>
      <c r="BR38" s="192">
        <f>107</f>
        <v>107</v>
      </c>
      <c r="BS38" s="210">
        <v>114</v>
      </c>
      <c r="BT38" s="50">
        <f t="shared" si="1"/>
        <v>3803</v>
      </c>
    </row>
    <row r="39" spans="1:72" ht="16" customHeight="1" x14ac:dyDescent="0.15">
      <c r="A39" s="216" t="s">
        <v>782</v>
      </c>
      <c r="B39" s="217" t="s">
        <v>277</v>
      </c>
      <c r="C39" s="217" t="s">
        <v>278</v>
      </c>
      <c r="D39" s="217" t="s">
        <v>783</v>
      </c>
      <c r="E39" s="217" t="s">
        <v>203</v>
      </c>
      <c r="F39" s="49" t="s">
        <v>204</v>
      </c>
      <c r="G39" s="37"/>
      <c r="H39" s="37"/>
      <c r="I39" s="36">
        <v>9.5</v>
      </c>
      <c r="J39" s="36">
        <v>9.5</v>
      </c>
      <c r="K39" s="36"/>
      <c r="L39" s="197">
        <v>61</v>
      </c>
      <c r="M39" s="197">
        <v>73</v>
      </c>
      <c r="N39" s="197">
        <v>9</v>
      </c>
      <c r="O39" s="218">
        <v>52</v>
      </c>
      <c r="P39" s="197">
        <v>21</v>
      </c>
      <c r="Q39" s="197">
        <v>47</v>
      </c>
      <c r="R39" s="197">
        <v>7</v>
      </c>
      <c r="S39" s="197">
        <f>32</f>
        <v>32</v>
      </c>
      <c r="T39" s="197">
        <f>48</f>
        <v>48</v>
      </c>
      <c r="U39" s="197">
        <f>54</f>
        <v>54</v>
      </c>
      <c r="V39" s="189">
        <v>2</v>
      </c>
      <c r="W39" s="189">
        <v>7</v>
      </c>
      <c r="X39" s="189">
        <v>5</v>
      </c>
      <c r="Y39" s="189">
        <v>1</v>
      </c>
      <c r="Z39" s="189">
        <v>2</v>
      </c>
      <c r="AA39" s="189">
        <v>13</v>
      </c>
      <c r="AB39" s="189">
        <v>1</v>
      </c>
      <c r="AC39" s="189">
        <v>10</v>
      </c>
      <c r="AD39" s="189">
        <v>4</v>
      </c>
      <c r="AE39" s="189">
        <v>2</v>
      </c>
      <c r="AF39" s="194">
        <f>100</f>
        <v>100</v>
      </c>
      <c r="AG39" s="194">
        <f>320</f>
        <v>320</v>
      </c>
      <c r="AH39" s="194">
        <f>64</f>
        <v>64</v>
      </c>
      <c r="AI39" s="194">
        <f>216</f>
        <v>216</v>
      </c>
      <c r="AJ39" s="194">
        <f>40</f>
        <v>40</v>
      </c>
      <c r="AK39" s="194">
        <f>492</f>
        <v>492</v>
      </c>
      <c r="AL39" s="194">
        <f>99</f>
        <v>99</v>
      </c>
      <c r="AM39" s="194">
        <v>257</v>
      </c>
      <c r="AN39" s="194">
        <f>361</f>
        <v>361</v>
      </c>
      <c r="AO39" s="194">
        <f>406</f>
        <v>406</v>
      </c>
      <c r="AP39" s="194">
        <f>3</f>
        <v>3</v>
      </c>
      <c r="AQ39" s="194">
        <f>5</f>
        <v>5</v>
      </c>
      <c r="AR39" s="194">
        <f>2</f>
        <v>2</v>
      </c>
      <c r="AS39" s="46"/>
      <c r="AT39" s="194">
        <f>8</f>
        <v>8</v>
      </c>
      <c r="AU39" s="194">
        <f>6</f>
        <v>6</v>
      </c>
      <c r="AV39" s="194">
        <f>5</f>
        <v>5</v>
      </c>
      <c r="AW39" s="194">
        <f>8</f>
        <v>8</v>
      </c>
      <c r="AX39" s="194">
        <f>9</f>
        <v>9</v>
      </c>
      <c r="AY39" s="194">
        <f>8</f>
        <v>8</v>
      </c>
      <c r="AZ39" s="194">
        <v>7</v>
      </c>
      <c r="BA39" s="209">
        <v>109</v>
      </c>
      <c r="BB39" s="194">
        <f>55</f>
        <v>55</v>
      </c>
      <c r="BC39" s="194">
        <f>119</f>
        <v>119</v>
      </c>
      <c r="BD39" s="209">
        <v>117</v>
      </c>
      <c r="BE39" s="209">
        <v>516</v>
      </c>
      <c r="BF39" s="209">
        <v>72</v>
      </c>
      <c r="BG39" s="209">
        <v>266</v>
      </c>
      <c r="BH39" s="194">
        <v>301</v>
      </c>
      <c r="BI39" s="194">
        <f>181</f>
        <v>181</v>
      </c>
      <c r="BJ39" s="192">
        <f>7</f>
        <v>7</v>
      </c>
      <c r="BK39" s="192">
        <f>37+5</f>
        <v>42</v>
      </c>
      <c r="BL39" s="192">
        <v>13</v>
      </c>
      <c r="BM39" s="192">
        <v>102</v>
      </c>
      <c r="BN39" s="192">
        <v>6</v>
      </c>
      <c r="BO39" s="210">
        <v>90</v>
      </c>
      <c r="BP39" s="192">
        <f>33</f>
        <v>33</v>
      </c>
      <c r="BQ39" s="192">
        <v>104</v>
      </c>
      <c r="BR39" s="192">
        <f>127</f>
        <v>127</v>
      </c>
      <c r="BS39" s="210">
        <v>100</v>
      </c>
      <c r="BT39" s="50">
        <f t="shared" si="1"/>
        <v>5227</v>
      </c>
    </row>
    <row r="40" spans="1:72" ht="16" customHeight="1" x14ac:dyDescent="0.15">
      <c r="A40" s="216" t="s">
        <v>784</v>
      </c>
      <c r="B40" s="217" t="s">
        <v>277</v>
      </c>
      <c r="C40" s="217" t="s">
        <v>278</v>
      </c>
      <c r="D40" s="217" t="s">
        <v>785</v>
      </c>
      <c r="E40" s="217" t="s">
        <v>203</v>
      </c>
      <c r="F40" s="49" t="s">
        <v>204</v>
      </c>
      <c r="G40" s="37"/>
      <c r="H40" s="37"/>
      <c r="I40" s="36">
        <v>14</v>
      </c>
      <c r="J40" s="36">
        <v>14</v>
      </c>
      <c r="K40" s="36"/>
      <c r="L40" s="197">
        <v>46</v>
      </c>
      <c r="M40" s="197">
        <v>22</v>
      </c>
      <c r="N40" s="197">
        <v>9</v>
      </c>
      <c r="O40" s="218">
        <v>24</v>
      </c>
      <c r="P40" s="197">
        <v>6</v>
      </c>
      <c r="Q40" s="197">
        <v>24</v>
      </c>
      <c r="R40" s="197">
        <v>2</v>
      </c>
      <c r="S40" s="197">
        <f>26</f>
        <v>26</v>
      </c>
      <c r="T40" s="197">
        <f>11</f>
        <v>11</v>
      </c>
      <c r="U40" s="197">
        <f>19</f>
        <v>19</v>
      </c>
      <c r="V40" s="189">
        <v>5</v>
      </c>
      <c r="W40" s="46"/>
      <c r="X40" s="189">
        <v>4</v>
      </c>
      <c r="Y40" s="189">
        <v>7</v>
      </c>
      <c r="Z40" s="46"/>
      <c r="AA40" s="189">
        <v>7</v>
      </c>
      <c r="AB40" s="189">
        <v>1</v>
      </c>
      <c r="AC40" s="189">
        <v>12</v>
      </c>
      <c r="AD40" s="46"/>
      <c r="AE40" s="189">
        <v>5</v>
      </c>
      <c r="AF40" s="46"/>
      <c r="AG40" s="194">
        <f>20</f>
        <v>20</v>
      </c>
      <c r="AH40" s="194">
        <f>10</f>
        <v>10</v>
      </c>
      <c r="AI40" s="194">
        <f>64</f>
        <v>64</v>
      </c>
      <c r="AJ40" s="194">
        <f>30</f>
        <v>30</v>
      </c>
      <c r="AK40" s="194">
        <f>54</f>
        <v>54</v>
      </c>
      <c r="AL40" s="194">
        <f>9</f>
        <v>9</v>
      </c>
      <c r="AM40" s="194">
        <f>28</f>
        <v>28</v>
      </c>
      <c r="AN40" s="194">
        <f>28</f>
        <v>28</v>
      </c>
      <c r="AO40" s="194">
        <f>51</f>
        <v>51</v>
      </c>
      <c r="AP40" s="46"/>
      <c r="AQ40" s="194">
        <f>3</f>
        <v>3</v>
      </c>
      <c r="AR40" s="46"/>
      <c r="AS40" s="46"/>
      <c r="AT40" s="46"/>
      <c r="AU40" s="194">
        <f>2</f>
        <v>2</v>
      </c>
      <c r="AV40" s="194">
        <f>1</f>
        <v>1</v>
      </c>
      <c r="AW40" s="46"/>
      <c r="AX40" s="194">
        <f>3</f>
        <v>3</v>
      </c>
      <c r="AY40" s="194">
        <f>7</f>
        <v>7</v>
      </c>
      <c r="AZ40" s="46"/>
      <c r="BA40" s="209">
        <v>24</v>
      </c>
      <c r="BB40" s="194">
        <f>24</f>
        <v>24</v>
      </c>
      <c r="BC40" s="194">
        <f>38</f>
        <v>38</v>
      </c>
      <c r="BD40" s="209">
        <v>6</v>
      </c>
      <c r="BE40" s="209">
        <v>31</v>
      </c>
      <c r="BF40" s="209">
        <v>3</v>
      </c>
      <c r="BG40" s="209">
        <v>3</v>
      </c>
      <c r="BH40" s="194">
        <f>10</f>
        <v>10</v>
      </c>
      <c r="BI40" s="194">
        <f>4</f>
        <v>4</v>
      </c>
      <c r="BJ40" s="192">
        <f>2+5</f>
        <v>7</v>
      </c>
      <c r="BK40" s="192">
        <v>29</v>
      </c>
      <c r="BL40" s="46"/>
      <c r="BM40" s="192">
        <v>26</v>
      </c>
      <c r="BN40" s="192">
        <v>6</v>
      </c>
      <c r="BO40" s="210">
        <v>55</v>
      </c>
      <c r="BP40" s="192">
        <v>7</v>
      </c>
      <c r="BQ40" s="192">
        <v>38</v>
      </c>
      <c r="BR40" s="192">
        <f>32</f>
        <v>32</v>
      </c>
      <c r="BS40" s="46"/>
      <c r="BT40" s="50">
        <f t="shared" si="1"/>
        <v>883</v>
      </c>
    </row>
    <row r="41" spans="1:72" ht="16" customHeight="1" x14ac:dyDescent="0.15">
      <c r="A41" s="200" t="s">
        <v>786</v>
      </c>
      <c r="B41" s="201" t="s">
        <v>277</v>
      </c>
      <c r="C41" s="201" t="s">
        <v>349</v>
      </c>
      <c r="D41" s="201" t="s">
        <v>787</v>
      </c>
      <c r="E41" s="49" t="s">
        <v>108</v>
      </c>
      <c r="F41" s="49" t="s">
        <v>109</v>
      </c>
      <c r="G41" s="196">
        <v>0.1</v>
      </c>
      <c r="H41" s="196">
        <v>0.4</v>
      </c>
      <c r="I41" s="195">
        <f t="shared" ref="I41:J61" si="2">G41*20</f>
        <v>2</v>
      </c>
      <c r="J41" s="195">
        <f t="shared" si="2"/>
        <v>8</v>
      </c>
      <c r="K41" s="195">
        <f t="shared" ref="K41:K61" si="3">I41</f>
        <v>2</v>
      </c>
      <c r="L41" s="45"/>
      <c r="M41" s="45"/>
      <c r="N41" s="45"/>
      <c r="O41" s="45"/>
      <c r="P41" s="45"/>
      <c r="Q41" s="45"/>
      <c r="R41" s="45"/>
      <c r="S41" s="197">
        <f>6</f>
        <v>6</v>
      </c>
      <c r="T41" s="45"/>
      <c r="U41" s="45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50">
        <f t="shared" si="1"/>
        <v>6</v>
      </c>
    </row>
    <row r="42" spans="1:72" ht="16" customHeight="1" x14ac:dyDescent="0.15">
      <c r="A42" s="200" t="s">
        <v>788</v>
      </c>
      <c r="B42" s="201" t="s">
        <v>277</v>
      </c>
      <c r="C42" s="201" t="s">
        <v>349</v>
      </c>
      <c r="D42" s="201" t="s">
        <v>789</v>
      </c>
      <c r="E42" s="49" t="s">
        <v>108</v>
      </c>
      <c r="F42" s="49" t="s">
        <v>109</v>
      </c>
      <c r="G42" s="196">
        <v>0.1</v>
      </c>
      <c r="H42" s="196">
        <v>0.5</v>
      </c>
      <c r="I42" s="195">
        <f t="shared" si="2"/>
        <v>2</v>
      </c>
      <c r="J42" s="195">
        <f t="shared" si="2"/>
        <v>10</v>
      </c>
      <c r="K42" s="195">
        <f t="shared" si="3"/>
        <v>2</v>
      </c>
      <c r="L42" s="45"/>
      <c r="M42" s="45"/>
      <c r="N42" s="45"/>
      <c r="O42" s="45"/>
      <c r="P42" s="45"/>
      <c r="Q42" s="45"/>
      <c r="R42" s="197">
        <f>6</f>
        <v>6</v>
      </c>
      <c r="S42" s="45"/>
      <c r="T42" s="197">
        <f>12</f>
        <v>12</v>
      </c>
      <c r="U42" s="197">
        <f>17</f>
        <v>17</v>
      </c>
      <c r="V42" s="46"/>
      <c r="W42" s="46"/>
      <c r="X42" s="46"/>
      <c r="Y42" s="46"/>
      <c r="Z42" s="46"/>
      <c r="AA42" s="46"/>
      <c r="AB42" s="46"/>
      <c r="AC42" s="46"/>
      <c r="AD42" s="46"/>
      <c r="AE42" s="189">
        <f>7</f>
        <v>7</v>
      </c>
      <c r="AF42" s="46"/>
      <c r="AG42" s="46"/>
      <c r="AH42" s="46"/>
      <c r="AI42" s="46"/>
      <c r="AJ42" s="46"/>
      <c r="AK42" s="46"/>
      <c r="AL42" s="46"/>
      <c r="AM42" s="46"/>
      <c r="AN42" s="46"/>
      <c r="AO42" s="189">
        <v>8</v>
      </c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189">
        <v>12</v>
      </c>
      <c r="BK42" s="46"/>
      <c r="BL42" s="46"/>
      <c r="BM42" s="46"/>
      <c r="BN42" s="46"/>
      <c r="BO42" s="46"/>
      <c r="BP42" s="46"/>
      <c r="BQ42" s="46"/>
      <c r="BR42" s="46"/>
      <c r="BS42" s="46"/>
      <c r="BT42" s="50">
        <f t="shared" si="1"/>
        <v>62</v>
      </c>
    </row>
    <row r="43" spans="1:72" ht="16" customHeight="1" x14ac:dyDescent="0.15">
      <c r="A43" s="200" t="s">
        <v>790</v>
      </c>
      <c r="B43" s="201" t="s">
        <v>277</v>
      </c>
      <c r="C43" s="201" t="s">
        <v>349</v>
      </c>
      <c r="D43" s="201" t="s">
        <v>791</v>
      </c>
      <c r="E43" s="49" t="s">
        <v>108</v>
      </c>
      <c r="F43" s="49" t="s">
        <v>109</v>
      </c>
      <c r="G43" s="196">
        <v>0.1</v>
      </c>
      <c r="H43" s="196">
        <v>0.6</v>
      </c>
      <c r="I43" s="195">
        <f t="shared" si="2"/>
        <v>2</v>
      </c>
      <c r="J43" s="195">
        <f t="shared" si="2"/>
        <v>12</v>
      </c>
      <c r="K43" s="195">
        <f t="shared" si="3"/>
        <v>2</v>
      </c>
      <c r="L43" s="45"/>
      <c r="M43" s="197">
        <v>14</v>
      </c>
      <c r="N43" s="197">
        <v>11</v>
      </c>
      <c r="O43" s="45"/>
      <c r="P43" s="45"/>
      <c r="Q43" s="45"/>
      <c r="R43" s="45"/>
      <c r="S43" s="45"/>
      <c r="T43" s="45"/>
      <c r="U43" s="45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50">
        <f t="shared" si="1"/>
        <v>25</v>
      </c>
    </row>
    <row r="44" spans="1:72" ht="16" customHeight="1" x14ac:dyDescent="0.15">
      <c r="A44" s="200" t="s">
        <v>792</v>
      </c>
      <c r="B44" s="201" t="s">
        <v>277</v>
      </c>
      <c r="C44" s="201" t="s">
        <v>349</v>
      </c>
      <c r="D44" s="201" t="s">
        <v>793</v>
      </c>
      <c r="E44" s="49" t="s">
        <v>108</v>
      </c>
      <c r="F44" s="49" t="s">
        <v>109</v>
      </c>
      <c r="G44" s="196">
        <v>0.1</v>
      </c>
      <c r="H44" s="196">
        <v>1</v>
      </c>
      <c r="I44" s="195">
        <f t="shared" si="2"/>
        <v>2</v>
      </c>
      <c r="J44" s="195">
        <f t="shared" si="2"/>
        <v>20</v>
      </c>
      <c r="K44" s="195">
        <f t="shared" si="3"/>
        <v>2</v>
      </c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189">
        <v>4</v>
      </c>
      <c r="BF44" s="46"/>
      <c r="BG44" s="46"/>
      <c r="BH44" s="46"/>
      <c r="BI44" s="46"/>
      <c r="BJ44" s="189">
        <v>8</v>
      </c>
      <c r="BK44" s="46"/>
      <c r="BL44" s="46"/>
      <c r="BM44" s="46"/>
      <c r="BN44" s="46"/>
      <c r="BO44" s="46"/>
      <c r="BP44" s="46"/>
      <c r="BQ44" s="46"/>
      <c r="BR44" s="46"/>
      <c r="BS44" s="46"/>
      <c r="BT44" s="50">
        <f t="shared" si="1"/>
        <v>12</v>
      </c>
    </row>
    <row r="45" spans="1:72" ht="16" customHeight="1" x14ac:dyDescent="0.15">
      <c r="A45" s="200" t="s">
        <v>794</v>
      </c>
      <c r="B45" s="201" t="s">
        <v>277</v>
      </c>
      <c r="C45" s="201" t="s">
        <v>349</v>
      </c>
      <c r="D45" s="201" t="s">
        <v>795</v>
      </c>
      <c r="E45" s="49" t="s">
        <v>108</v>
      </c>
      <c r="F45" s="49" t="s">
        <v>109</v>
      </c>
      <c r="G45" s="196">
        <v>0.15</v>
      </c>
      <c r="H45" s="196">
        <v>0.6</v>
      </c>
      <c r="I45" s="195">
        <f t="shared" si="2"/>
        <v>3</v>
      </c>
      <c r="J45" s="195">
        <f t="shared" si="2"/>
        <v>12</v>
      </c>
      <c r="K45" s="195">
        <f t="shared" si="3"/>
        <v>3</v>
      </c>
      <c r="L45" s="193">
        <f>9</f>
        <v>9</v>
      </c>
      <c r="M45" s="45"/>
      <c r="N45" s="45"/>
      <c r="O45" s="45"/>
      <c r="P45" s="45"/>
      <c r="Q45" s="45"/>
      <c r="R45" s="45"/>
      <c r="S45" s="45"/>
      <c r="T45" s="45"/>
      <c r="U45" s="45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50">
        <f t="shared" si="1"/>
        <v>9</v>
      </c>
    </row>
    <row r="46" spans="1:72" ht="16" customHeight="1" x14ac:dyDescent="0.15">
      <c r="A46" s="200" t="s">
        <v>796</v>
      </c>
      <c r="B46" s="201" t="s">
        <v>277</v>
      </c>
      <c r="C46" s="201" t="s">
        <v>349</v>
      </c>
      <c r="D46" s="201" t="s">
        <v>797</v>
      </c>
      <c r="E46" s="49" t="s">
        <v>108</v>
      </c>
      <c r="F46" s="49" t="s">
        <v>109</v>
      </c>
      <c r="G46" s="196">
        <v>0.2</v>
      </c>
      <c r="H46" s="196">
        <v>0.5</v>
      </c>
      <c r="I46" s="195">
        <f t="shared" si="2"/>
        <v>4</v>
      </c>
      <c r="J46" s="195">
        <f t="shared" si="2"/>
        <v>10</v>
      </c>
      <c r="K46" s="195">
        <f t="shared" si="3"/>
        <v>4</v>
      </c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6"/>
      <c r="W46" s="46"/>
      <c r="X46" s="46"/>
      <c r="Y46" s="46"/>
      <c r="Z46" s="46"/>
      <c r="AA46" s="189">
        <v>3</v>
      </c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194">
        <f>6</f>
        <v>6</v>
      </c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189">
        <v>42</v>
      </c>
      <c r="BR46" s="46"/>
      <c r="BS46" s="46"/>
      <c r="BT46" s="50">
        <f t="shared" si="1"/>
        <v>51</v>
      </c>
    </row>
    <row r="47" spans="1:72" ht="16" customHeight="1" x14ac:dyDescent="0.15">
      <c r="A47" s="200" t="s">
        <v>798</v>
      </c>
      <c r="B47" s="201" t="s">
        <v>277</v>
      </c>
      <c r="C47" s="201" t="s">
        <v>349</v>
      </c>
      <c r="D47" s="201" t="s">
        <v>799</v>
      </c>
      <c r="E47" s="49" t="s">
        <v>108</v>
      </c>
      <c r="F47" s="49" t="s">
        <v>109</v>
      </c>
      <c r="G47" s="196">
        <v>0.2</v>
      </c>
      <c r="H47" s="196">
        <v>1.2</v>
      </c>
      <c r="I47" s="195">
        <f t="shared" si="2"/>
        <v>4</v>
      </c>
      <c r="J47" s="195">
        <f t="shared" si="2"/>
        <v>24</v>
      </c>
      <c r="K47" s="195">
        <f t="shared" si="3"/>
        <v>4</v>
      </c>
      <c r="L47" s="45"/>
      <c r="M47" s="45"/>
      <c r="N47" s="45"/>
      <c r="O47" s="202"/>
      <c r="P47" s="45"/>
      <c r="Q47" s="45"/>
      <c r="R47" s="45"/>
      <c r="S47" s="45"/>
      <c r="T47" s="45"/>
      <c r="U47" s="45"/>
      <c r="V47" s="46"/>
      <c r="W47" s="46"/>
      <c r="X47" s="46"/>
      <c r="Y47" s="189">
        <v>11</v>
      </c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192">
        <f>26</f>
        <v>26</v>
      </c>
      <c r="BL47" s="192">
        <v>5</v>
      </c>
      <c r="BM47" s="46"/>
      <c r="BN47" s="189">
        <v>10</v>
      </c>
      <c r="BO47" s="189">
        <v>84</v>
      </c>
      <c r="BP47" s="46"/>
      <c r="BQ47" s="46"/>
      <c r="BR47" s="46"/>
      <c r="BS47" s="46"/>
      <c r="BT47" s="50">
        <f t="shared" si="1"/>
        <v>136</v>
      </c>
    </row>
    <row r="48" spans="1:72" ht="16" customHeight="1" x14ac:dyDescent="0.15">
      <c r="A48" s="200" t="s">
        <v>800</v>
      </c>
      <c r="B48" s="201" t="s">
        <v>277</v>
      </c>
      <c r="C48" s="201" t="s">
        <v>349</v>
      </c>
      <c r="D48" s="201" t="s">
        <v>801</v>
      </c>
      <c r="E48" s="49" t="s">
        <v>108</v>
      </c>
      <c r="F48" s="49" t="s">
        <v>109</v>
      </c>
      <c r="G48" s="196">
        <v>0.2</v>
      </c>
      <c r="H48" s="196">
        <v>1.8</v>
      </c>
      <c r="I48" s="195">
        <f t="shared" si="2"/>
        <v>4</v>
      </c>
      <c r="J48" s="195">
        <f t="shared" si="2"/>
        <v>36</v>
      </c>
      <c r="K48" s="195">
        <f t="shared" si="3"/>
        <v>4</v>
      </c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189">
        <v>18</v>
      </c>
      <c r="BO48" s="46"/>
      <c r="BP48" s="189">
        <v>15</v>
      </c>
      <c r="BQ48" s="46"/>
      <c r="BR48" s="46"/>
      <c r="BS48" s="46"/>
      <c r="BT48" s="50">
        <f t="shared" si="1"/>
        <v>33</v>
      </c>
    </row>
    <row r="49" spans="1:84" ht="16" customHeight="1" x14ac:dyDescent="0.15">
      <c r="A49" s="219" t="s">
        <v>802</v>
      </c>
      <c r="B49" s="220" t="s">
        <v>277</v>
      </c>
      <c r="C49" s="220" t="s">
        <v>349</v>
      </c>
      <c r="D49" s="220" t="s">
        <v>803</v>
      </c>
      <c r="E49" s="49" t="s">
        <v>108</v>
      </c>
      <c r="F49" s="49" t="s">
        <v>109</v>
      </c>
      <c r="G49" s="221">
        <v>0.1</v>
      </c>
      <c r="H49" s="221">
        <v>1</v>
      </c>
      <c r="I49" s="193">
        <f t="shared" si="2"/>
        <v>2</v>
      </c>
      <c r="J49" s="193">
        <f t="shared" si="2"/>
        <v>20</v>
      </c>
      <c r="K49" s="193">
        <f t="shared" si="3"/>
        <v>2</v>
      </c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194">
        <f>20</f>
        <v>20</v>
      </c>
      <c r="BD49" s="46"/>
      <c r="BE49" s="189">
        <v>15</v>
      </c>
      <c r="BF49" s="46"/>
      <c r="BG49" s="194">
        <f>23</f>
        <v>23</v>
      </c>
      <c r="BH49" s="46"/>
      <c r="BI49" s="46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50">
        <f t="shared" si="1"/>
        <v>58</v>
      </c>
    </row>
    <row r="50" spans="1:84" ht="16" customHeight="1" x14ac:dyDescent="0.15">
      <c r="A50" s="219" t="s">
        <v>804</v>
      </c>
      <c r="B50" s="220" t="s">
        <v>277</v>
      </c>
      <c r="C50" s="220" t="s">
        <v>349</v>
      </c>
      <c r="D50" s="220" t="s">
        <v>805</v>
      </c>
      <c r="E50" s="49" t="s">
        <v>108</v>
      </c>
      <c r="F50" s="49" t="s">
        <v>109</v>
      </c>
      <c r="G50" s="221">
        <v>0.15</v>
      </c>
      <c r="H50" s="221">
        <v>1</v>
      </c>
      <c r="I50" s="193">
        <f t="shared" si="2"/>
        <v>3</v>
      </c>
      <c r="J50" s="193">
        <f t="shared" si="2"/>
        <v>20</v>
      </c>
      <c r="K50" s="193">
        <f t="shared" si="3"/>
        <v>3</v>
      </c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189">
        <v>15</v>
      </c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189">
        <v>3</v>
      </c>
      <c r="BO50" s="46"/>
      <c r="BP50" s="46"/>
      <c r="BQ50" s="46"/>
      <c r="BR50" s="46"/>
      <c r="BS50" s="46"/>
      <c r="BT50" s="50">
        <f t="shared" si="1"/>
        <v>18</v>
      </c>
    </row>
    <row r="51" spans="1:84" ht="16" customHeight="1" x14ac:dyDescent="0.15">
      <c r="A51" s="219" t="s">
        <v>806</v>
      </c>
      <c r="B51" s="220" t="s">
        <v>277</v>
      </c>
      <c r="C51" s="220" t="s">
        <v>349</v>
      </c>
      <c r="D51" s="220" t="s">
        <v>807</v>
      </c>
      <c r="E51" s="49" t="s">
        <v>108</v>
      </c>
      <c r="F51" s="49" t="s">
        <v>109</v>
      </c>
      <c r="G51" s="221">
        <v>0.2</v>
      </c>
      <c r="H51" s="221">
        <v>0.6</v>
      </c>
      <c r="I51" s="193">
        <f t="shared" si="2"/>
        <v>4</v>
      </c>
      <c r="J51" s="193">
        <f t="shared" si="2"/>
        <v>12</v>
      </c>
      <c r="K51" s="193">
        <f t="shared" si="3"/>
        <v>4</v>
      </c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194">
        <f>3</f>
        <v>3</v>
      </c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194">
        <f>19</f>
        <v>19</v>
      </c>
      <c r="AT51" s="46"/>
      <c r="AU51" s="46"/>
      <c r="AV51" s="46"/>
      <c r="AW51" s="46"/>
      <c r="AX51" s="46"/>
      <c r="AY51" s="46"/>
      <c r="AZ51" s="46"/>
      <c r="BA51" s="194">
        <f>21</f>
        <v>21</v>
      </c>
      <c r="BB51" s="46"/>
      <c r="BC51" s="46"/>
      <c r="BD51" s="194">
        <f>25</f>
        <v>25</v>
      </c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192">
        <f>26</f>
        <v>26</v>
      </c>
      <c r="BT51" s="50">
        <f t="shared" si="1"/>
        <v>94</v>
      </c>
    </row>
    <row r="52" spans="1:84" s="222" customFormat="1" ht="16" customHeight="1" x14ac:dyDescent="0.15">
      <c r="A52" s="193" t="s">
        <v>808</v>
      </c>
      <c r="B52" s="193" t="s">
        <v>277</v>
      </c>
      <c r="C52" s="193" t="s">
        <v>349</v>
      </c>
      <c r="D52" s="193" t="s">
        <v>809</v>
      </c>
      <c r="E52" s="36" t="s">
        <v>108</v>
      </c>
      <c r="F52" s="49" t="s">
        <v>109</v>
      </c>
      <c r="G52" s="221">
        <v>0.2</v>
      </c>
      <c r="H52" s="221">
        <v>0.8</v>
      </c>
      <c r="I52" s="193">
        <f t="shared" si="2"/>
        <v>4</v>
      </c>
      <c r="J52" s="193">
        <f t="shared" si="2"/>
        <v>16</v>
      </c>
      <c r="K52" s="193">
        <f t="shared" si="3"/>
        <v>4</v>
      </c>
      <c r="L52" s="45"/>
      <c r="M52" s="45"/>
      <c r="N52" s="45"/>
      <c r="O52" s="45"/>
      <c r="P52" s="45"/>
      <c r="Q52" s="45"/>
      <c r="R52" s="45"/>
      <c r="S52" s="45"/>
      <c r="T52" s="197">
        <f>17</f>
        <v>17</v>
      </c>
      <c r="U52" s="45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189">
        <v>11</v>
      </c>
      <c r="BN52" s="46"/>
      <c r="BO52" s="46"/>
      <c r="BP52" s="46"/>
      <c r="BQ52" s="189">
        <v>10</v>
      </c>
      <c r="BR52" s="46"/>
      <c r="BS52" s="46"/>
      <c r="BT52" s="50">
        <f t="shared" si="1"/>
        <v>38</v>
      </c>
      <c r="BU52" s="191"/>
      <c r="BV52" s="191"/>
      <c r="BW52" s="191"/>
      <c r="BX52" s="191"/>
      <c r="BY52" s="191"/>
      <c r="BZ52" s="191"/>
      <c r="CA52" s="191"/>
      <c r="CB52" s="191"/>
      <c r="CC52" s="191"/>
      <c r="CD52" s="191"/>
      <c r="CE52" s="191"/>
      <c r="CF52" s="191"/>
    </row>
    <row r="53" spans="1:84" s="222" customFormat="1" ht="16" customHeight="1" x14ac:dyDescent="0.15">
      <c r="A53" s="193" t="s">
        <v>810</v>
      </c>
      <c r="B53" s="193" t="s">
        <v>277</v>
      </c>
      <c r="C53" s="193" t="s">
        <v>349</v>
      </c>
      <c r="D53" s="193" t="s">
        <v>811</v>
      </c>
      <c r="E53" s="36" t="s">
        <v>108</v>
      </c>
      <c r="F53" s="49" t="s">
        <v>109</v>
      </c>
      <c r="G53" s="221">
        <v>0.2</v>
      </c>
      <c r="H53" s="221">
        <v>1</v>
      </c>
      <c r="I53" s="193">
        <f t="shared" si="2"/>
        <v>4</v>
      </c>
      <c r="J53" s="193">
        <f t="shared" si="2"/>
        <v>20</v>
      </c>
      <c r="K53" s="193">
        <f t="shared" si="3"/>
        <v>4</v>
      </c>
      <c r="L53" s="45"/>
      <c r="M53" s="45"/>
      <c r="N53" s="45"/>
      <c r="O53" s="45"/>
      <c r="P53" s="45"/>
      <c r="Q53" s="45"/>
      <c r="R53" s="45"/>
      <c r="S53" s="45"/>
      <c r="T53" s="45"/>
      <c r="U53" s="197">
        <v>2</v>
      </c>
      <c r="V53" s="189">
        <v>38</v>
      </c>
      <c r="W53" s="189">
        <v>8</v>
      </c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189">
        <v>9</v>
      </c>
      <c r="AI53" s="198"/>
      <c r="AJ53" s="46"/>
      <c r="AK53" s="46"/>
      <c r="AL53" s="46"/>
      <c r="AM53" s="46"/>
      <c r="AN53" s="46"/>
      <c r="AO53" s="46"/>
      <c r="AP53" s="189">
        <v>16</v>
      </c>
      <c r="AQ53" s="46"/>
      <c r="AR53" s="46"/>
      <c r="AS53" s="46"/>
      <c r="AT53" s="198"/>
      <c r="AU53" s="46"/>
      <c r="AV53" s="198"/>
      <c r="AW53" s="46"/>
      <c r="AX53" s="46"/>
      <c r="AY53" s="46"/>
      <c r="AZ53" s="46"/>
      <c r="BA53" s="46"/>
      <c r="BB53" s="194">
        <f>10</f>
        <v>10</v>
      </c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50">
        <f t="shared" si="1"/>
        <v>83</v>
      </c>
      <c r="BU53" s="191"/>
      <c r="BV53" s="191"/>
      <c r="BW53" s="191"/>
      <c r="BX53" s="191"/>
      <c r="BY53" s="191"/>
      <c r="BZ53" s="191"/>
      <c r="CA53" s="191"/>
      <c r="CB53" s="191"/>
      <c r="CC53" s="191"/>
      <c r="CD53" s="191"/>
      <c r="CE53" s="191"/>
      <c r="CF53" s="191"/>
    </row>
    <row r="54" spans="1:84" s="222" customFormat="1" ht="16" customHeight="1" x14ac:dyDescent="0.15">
      <c r="A54" s="223" t="s">
        <v>812</v>
      </c>
      <c r="B54" s="223" t="s">
        <v>277</v>
      </c>
      <c r="C54" s="223" t="s">
        <v>349</v>
      </c>
      <c r="D54" s="223" t="s">
        <v>813</v>
      </c>
      <c r="E54" s="36" t="s">
        <v>108</v>
      </c>
      <c r="F54" s="49" t="s">
        <v>109</v>
      </c>
      <c r="G54" s="224">
        <v>0.05</v>
      </c>
      <c r="H54" s="224">
        <v>1</v>
      </c>
      <c r="I54" s="223">
        <f t="shared" si="2"/>
        <v>1</v>
      </c>
      <c r="J54" s="223">
        <f t="shared" si="2"/>
        <v>20</v>
      </c>
      <c r="K54" s="223">
        <f t="shared" si="3"/>
        <v>1</v>
      </c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6"/>
      <c r="W54" s="46"/>
      <c r="X54" s="46"/>
      <c r="Y54" s="225"/>
      <c r="Z54" s="46"/>
      <c r="AA54" s="46"/>
      <c r="AB54" s="46"/>
      <c r="AC54" s="46"/>
      <c r="AD54" s="46"/>
      <c r="AE54" s="46"/>
      <c r="AF54" s="46"/>
      <c r="AG54" s="46"/>
      <c r="AH54" s="46"/>
      <c r="AI54" s="199">
        <v>34</v>
      </c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198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194">
        <f>11</f>
        <v>11</v>
      </c>
      <c r="BI54" s="46"/>
      <c r="BJ54" s="46"/>
      <c r="BK54" s="46"/>
      <c r="BL54" s="46"/>
      <c r="BM54" s="46"/>
      <c r="BN54" s="46"/>
      <c r="BO54" s="46"/>
      <c r="BP54" s="46"/>
      <c r="BQ54" s="189">
        <v>4</v>
      </c>
      <c r="BR54" s="46"/>
      <c r="BS54" s="46"/>
      <c r="BT54" s="50">
        <f t="shared" si="1"/>
        <v>49</v>
      </c>
      <c r="BU54" s="191"/>
      <c r="BV54" s="191"/>
      <c r="BW54" s="191"/>
      <c r="BX54" s="191"/>
      <c r="BY54" s="191"/>
      <c r="BZ54" s="191"/>
      <c r="CA54" s="191"/>
      <c r="CB54" s="191"/>
      <c r="CC54" s="191"/>
      <c r="CD54" s="191"/>
      <c r="CE54" s="191"/>
      <c r="CF54" s="191"/>
    </row>
    <row r="55" spans="1:84" s="222" customFormat="1" ht="16" customHeight="1" x14ac:dyDescent="0.15">
      <c r="A55" s="223" t="s">
        <v>814</v>
      </c>
      <c r="B55" s="223" t="s">
        <v>277</v>
      </c>
      <c r="C55" s="223" t="s">
        <v>349</v>
      </c>
      <c r="D55" s="223" t="s">
        <v>815</v>
      </c>
      <c r="E55" s="36" t="s">
        <v>108</v>
      </c>
      <c r="F55" s="49" t="s">
        <v>109</v>
      </c>
      <c r="G55" s="224">
        <v>0.1</v>
      </c>
      <c r="H55" s="224">
        <v>0.8</v>
      </c>
      <c r="I55" s="223">
        <f t="shared" si="2"/>
        <v>2</v>
      </c>
      <c r="J55" s="223">
        <f t="shared" si="2"/>
        <v>16</v>
      </c>
      <c r="K55" s="223">
        <f t="shared" si="3"/>
        <v>2</v>
      </c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225"/>
      <c r="AN55" s="189">
        <v>52</v>
      </c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50">
        <f t="shared" si="1"/>
        <v>52</v>
      </c>
      <c r="BU55" s="191"/>
      <c r="BV55" s="191"/>
      <c r="BW55" s="191"/>
      <c r="BX55" s="191"/>
      <c r="BY55" s="191"/>
      <c r="BZ55" s="191"/>
      <c r="CA55" s="191"/>
      <c r="CB55" s="191"/>
      <c r="CC55" s="191"/>
      <c r="CD55" s="191"/>
      <c r="CE55" s="191"/>
      <c r="CF55" s="191"/>
    </row>
    <row r="56" spans="1:84" s="222" customFormat="1" ht="16" customHeight="1" x14ac:dyDescent="0.15">
      <c r="A56" s="223" t="s">
        <v>816</v>
      </c>
      <c r="B56" s="223" t="s">
        <v>277</v>
      </c>
      <c r="C56" s="223" t="s">
        <v>349</v>
      </c>
      <c r="D56" s="223" t="s">
        <v>817</v>
      </c>
      <c r="E56" s="36" t="s">
        <v>108</v>
      </c>
      <c r="F56" s="49" t="s">
        <v>109</v>
      </c>
      <c r="G56" s="224">
        <v>0.1</v>
      </c>
      <c r="H56" s="224">
        <v>0.9</v>
      </c>
      <c r="I56" s="223">
        <f t="shared" si="2"/>
        <v>2</v>
      </c>
      <c r="J56" s="223">
        <f t="shared" si="2"/>
        <v>18</v>
      </c>
      <c r="K56" s="223">
        <f t="shared" si="3"/>
        <v>2</v>
      </c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194">
        <f>35</f>
        <v>35</v>
      </c>
      <c r="BG56" s="46"/>
      <c r="BH56" s="198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50">
        <f t="shared" si="1"/>
        <v>35</v>
      </c>
      <c r="BU56" s="191"/>
      <c r="BV56" s="191"/>
      <c r="BW56" s="191"/>
      <c r="BX56" s="191"/>
      <c r="BY56" s="191"/>
      <c r="BZ56" s="191"/>
      <c r="CA56" s="191"/>
      <c r="CB56" s="191"/>
      <c r="CC56" s="191"/>
      <c r="CD56" s="191"/>
      <c r="CE56" s="191"/>
      <c r="CF56" s="191"/>
    </row>
    <row r="57" spans="1:84" s="222" customFormat="1" ht="16" customHeight="1" x14ac:dyDescent="0.15">
      <c r="A57" s="223" t="s">
        <v>818</v>
      </c>
      <c r="B57" s="223" t="s">
        <v>277</v>
      </c>
      <c r="C57" s="223" t="s">
        <v>349</v>
      </c>
      <c r="D57" s="223" t="s">
        <v>819</v>
      </c>
      <c r="E57" s="36" t="s">
        <v>108</v>
      </c>
      <c r="F57" s="49" t="s">
        <v>109</v>
      </c>
      <c r="G57" s="224">
        <v>0.1</v>
      </c>
      <c r="H57" s="224">
        <v>1</v>
      </c>
      <c r="I57" s="223">
        <f t="shared" si="2"/>
        <v>2</v>
      </c>
      <c r="J57" s="223">
        <f t="shared" si="2"/>
        <v>20</v>
      </c>
      <c r="K57" s="223">
        <f t="shared" si="3"/>
        <v>2</v>
      </c>
      <c r="L57" s="197">
        <v>61</v>
      </c>
      <c r="M57" s="197">
        <v>67</v>
      </c>
      <c r="N57" s="197">
        <v>13</v>
      </c>
      <c r="O57" s="218">
        <v>31</v>
      </c>
      <c r="P57" s="197">
        <f>28</f>
        <v>28</v>
      </c>
      <c r="Q57" s="197">
        <v>27</v>
      </c>
      <c r="R57" s="197">
        <f>14</f>
        <v>14</v>
      </c>
      <c r="S57" s="197">
        <f>50</f>
        <v>50</v>
      </c>
      <c r="T57" s="197">
        <f>53</f>
        <v>53</v>
      </c>
      <c r="U57" s="45"/>
      <c r="V57" s="189">
        <v>74</v>
      </c>
      <c r="W57" s="189">
        <v>25</v>
      </c>
      <c r="X57" s="189">
        <v>22</v>
      </c>
      <c r="Y57" s="189">
        <v>40</v>
      </c>
      <c r="Z57" s="189">
        <v>51</v>
      </c>
      <c r="AA57" s="189">
        <v>22</v>
      </c>
      <c r="AB57" s="189">
        <v>23</v>
      </c>
      <c r="AC57" s="189">
        <v>51</v>
      </c>
      <c r="AD57" s="189">
        <f>28</f>
        <v>28</v>
      </c>
      <c r="AE57" s="189">
        <f>30</f>
        <v>30</v>
      </c>
      <c r="AF57" s="46"/>
      <c r="AG57" s="189">
        <v>57</v>
      </c>
      <c r="AH57" s="189">
        <v>44</v>
      </c>
      <c r="AI57" s="46"/>
      <c r="AJ57" s="194">
        <f>64</f>
        <v>64</v>
      </c>
      <c r="AK57" s="194">
        <f>71</f>
        <v>71</v>
      </c>
      <c r="AL57" s="194">
        <f>51</f>
        <v>51</v>
      </c>
      <c r="AM57" s="189">
        <v>132</v>
      </c>
      <c r="AN57" s="46"/>
      <c r="AO57" s="189">
        <v>128</v>
      </c>
      <c r="AP57" s="46"/>
      <c r="AQ57" s="46"/>
      <c r="AR57" s="194">
        <f>26</f>
        <v>26</v>
      </c>
      <c r="AS57" s="46"/>
      <c r="AT57" s="194">
        <f>23</f>
        <v>23</v>
      </c>
      <c r="AU57" s="194">
        <f>38</f>
        <v>38</v>
      </c>
      <c r="AV57" s="194">
        <f>36</f>
        <v>36</v>
      </c>
      <c r="AW57" s="194">
        <f>60</f>
        <v>60</v>
      </c>
      <c r="AX57" s="194">
        <f>33</f>
        <v>33</v>
      </c>
      <c r="AY57" s="194">
        <f>3</f>
        <v>3</v>
      </c>
      <c r="AZ57" s="46"/>
      <c r="BA57" s="46"/>
      <c r="BB57" s="46"/>
      <c r="BC57" s="46"/>
      <c r="BD57" s="46"/>
      <c r="BE57" s="46"/>
      <c r="BF57" s="46"/>
      <c r="BG57" s="46"/>
      <c r="BH57" s="198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50">
        <f t="shared" si="1"/>
        <v>1476</v>
      </c>
      <c r="BU57" s="191"/>
      <c r="BV57" s="191"/>
      <c r="BW57" s="191"/>
      <c r="BX57" s="191"/>
      <c r="BY57" s="191"/>
      <c r="BZ57" s="191"/>
      <c r="CA57" s="191"/>
      <c r="CB57" s="191"/>
      <c r="CC57" s="191"/>
      <c r="CD57" s="191"/>
      <c r="CE57" s="191"/>
      <c r="CF57" s="191"/>
    </row>
    <row r="58" spans="1:84" ht="16" customHeight="1" x14ac:dyDescent="0.15">
      <c r="A58" s="226" t="s">
        <v>820</v>
      </c>
      <c r="B58" s="227" t="s">
        <v>277</v>
      </c>
      <c r="C58" s="227" t="s">
        <v>349</v>
      </c>
      <c r="D58" s="227" t="s">
        <v>821</v>
      </c>
      <c r="E58" s="49" t="s">
        <v>108</v>
      </c>
      <c r="F58" s="49" t="s">
        <v>109</v>
      </c>
      <c r="G58" s="224">
        <v>0.1</v>
      </c>
      <c r="H58" s="224">
        <v>1.5</v>
      </c>
      <c r="I58" s="223">
        <f t="shared" si="2"/>
        <v>2</v>
      </c>
      <c r="J58" s="223">
        <f t="shared" si="2"/>
        <v>30</v>
      </c>
      <c r="K58" s="223">
        <f t="shared" si="3"/>
        <v>2</v>
      </c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194">
        <f>33</f>
        <v>33</v>
      </c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50">
        <f t="shared" si="1"/>
        <v>33</v>
      </c>
    </row>
    <row r="59" spans="1:84" ht="16" customHeight="1" x14ac:dyDescent="0.15">
      <c r="A59" s="226" t="s">
        <v>822</v>
      </c>
      <c r="B59" s="227" t="s">
        <v>277</v>
      </c>
      <c r="C59" s="227" t="s">
        <v>349</v>
      </c>
      <c r="D59" s="227" t="s">
        <v>823</v>
      </c>
      <c r="E59" s="49" t="s">
        <v>108</v>
      </c>
      <c r="F59" s="49" t="s">
        <v>109</v>
      </c>
      <c r="G59" s="224">
        <v>0.2</v>
      </c>
      <c r="H59" s="224">
        <v>0.5</v>
      </c>
      <c r="I59" s="223">
        <f t="shared" si="2"/>
        <v>4</v>
      </c>
      <c r="J59" s="223">
        <f t="shared" si="2"/>
        <v>10</v>
      </c>
      <c r="K59" s="223">
        <f t="shared" si="3"/>
        <v>4</v>
      </c>
      <c r="L59" s="45"/>
      <c r="M59" s="45"/>
      <c r="N59" s="45"/>
      <c r="O59" s="45"/>
      <c r="P59" s="45"/>
      <c r="Q59" s="45"/>
      <c r="R59" s="45"/>
      <c r="S59" s="45"/>
      <c r="T59" s="45"/>
      <c r="U59" s="197">
        <f>54</f>
        <v>54</v>
      </c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50">
        <f t="shared" si="1"/>
        <v>54</v>
      </c>
    </row>
    <row r="60" spans="1:84" ht="16" customHeight="1" x14ac:dyDescent="0.15">
      <c r="A60" s="226" t="s">
        <v>824</v>
      </c>
      <c r="B60" s="227" t="s">
        <v>277</v>
      </c>
      <c r="C60" s="227" t="s">
        <v>349</v>
      </c>
      <c r="D60" s="227" t="s">
        <v>825</v>
      </c>
      <c r="E60" s="49" t="s">
        <v>108</v>
      </c>
      <c r="F60" s="49" t="s">
        <v>109</v>
      </c>
      <c r="G60" s="224">
        <v>0.2</v>
      </c>
      <c r="H60" s="224">
        <v>1.2</v>
      </c>
      <c r="I60" s="223">
        <f t="shared" si="2"/>
        <v>4</v>
      </c>
      <c r="J60" s="223">
        <f t="shared" si="2"/>
        <v>24</v>
      </c>
      <c r="K60" s="223">
        <f t="shared" si="3"/>
        <v>4</v>
      </c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5"/>
      <c r="W60" s="45"/>
      <c r="X60" s="45"/>
      <c r="Y60" s="45"/>
      <c r="Z60" s="45"/>
      <c r="AA60" s="45"/>
      <c r="AB60" s="45"/>
      <c r="AC60" s="45"/>
      <c r="AD60" s="197">
        <f>4</f>
        <v>4</v>
      </c>
      <c r="AE60" s="45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50">
        <f t="shared" si="1"/>
        <v>4</v>
      </c>
    </row>
    <row r="61" spans="1:84" ht="16" customHeight="1" x14ac:dyDescent="0.15">
      <c r="A61" s="226" t="s">
        <v>826</v>
      </c>
      <c r="B61" s="227" t="s">
        <v>277</v>
      </c>
      <c r="C61" s="227" t="s">
        <v>349</v>
      </c>
      <c r="D61" s="227" t="s">
        <v>827</v>
      </c>
      <c r="E61" s="49" t="s">
        <v>108</v>
      </c>
      <c r="F61" s="49" t="s">
        <v>109</v>
      </c>
      <c r="G61" s="224">
        <v>0.2</v>
      </c>
      <c r="H61" s="224">
        <v>1.3</v>
      </c>
      <c r="I61" s="223">
        <f t="shared" si="2"/>
        <v>4</v>
      </c>
      <c r="J61" s="223">
        <f t="shared" si="2"/>
        <v>26</v>
      </c>
      <c r="K61" s="223">
        <f t="shared" si="3"/>
        <v>4</v>
      </c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5"/>
      <c r="W61" s="45"/>
      <c r="X61" s="197">
        <v>6</v>
      </c>
      <c r="Y61" s="45"/>
      <c r="Z61" s="45"/>
      <c r="AA61" s="45"/>
      <c r="AB61" s="45"/>
      <c r="AC61" s="45"/>
      <c r="AD61" s="45"/>
      <c r="AE61" s="45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189">
        <v>9</v>
      </c>
      <c r="BQ61" s="46"/>
      <c r="BR61" s="189">
        <v>1</v>
      </c>
      <c r="BS61" s="46"/>
      <c r="BT61" s="50">
        <f t="shared" si="1"/>
        <v>16</v>
      </c>
    </row>
    <row r="62" spans="1:84" ht="16" customHeight="1" x14ac:dyDescent="0.15">
      <c r="A62" s="228" t="s">
        <v>828</v>
      </c>
      <c r="B62" s="229" t="s">
        <v>515</v>
      </c>
      <c r="C62" s="229" t="s">
        <v>526</v>
      </c>
      <c r="D62" s="229" t="s">
        <v>829</v>
      </c>
      <c r="E62" s="217" t="s">
        <v>115</v>
      </c>
      <c r="F62" s="217" t="s">
        <v>116</v>
      </c>
      <c r="G62" s="230"/>
      <c r="H62" s="230"/>
      <c r="I62" s="231">
        <v>3.67</v>
      </c>
      <c r="J62" s="232">
        <v>5.5</v>
      </c>
      <c r="K62" s="232"/>
      <c r="L62" s="189">
        <v>332</v>
      </c>
      <c r="M62" s="189">
        <v>19</v>
      </c>
      <c r="N62" s="189">
        <v>28</v>
      </c>
      <c r="O62" s="218">
        <v>14</v>
      </c>
      <c r="P62" s="189">
        <v>8</v>
      </c>
      <c r="Q62" s="189">
        <v>3</v>
      </c>
      <c r="R62" s="233"/>
      <c r="S62" s="189">
        <f>73</f>
        <v>73</v>
      </c>
      <c r="T62" s="189">
        <f>132</f>
        <v>132</v>
      </c>
      <c r="U62" s="189">
        <f>193</f>
        <v>193</v>
      </c>
      <c r="V62" s="197">
        <v>223</v>
      </c>
      <c r="W62" s="197">
        <v>604</v>
      </c>
      <c r="X62" s="197">
        <v>564</v>
      </c>
      <c r="Y62" s="197">
        <v>788</v>
      </c>
      <c r="Z62" s="197">
        <v>709</v>
      </c>
      <c r="AA62" s="197">
        <v>903</v>
      </c>
      <c r="AB62" s="197">
        <v>815</v>
      </c>
      <c r="AC62" s="197">
        <v>1119</v>
      </c>
      <c r="AD62" s="197">
        <v>1322</v>
      </c>
      <c r="AE62" s="197">
        <v>1212</v>
      </c>
      <c r="AF62" s="46"/>
      <c r="AG62" s="194">
        <f>581</f>
        <v>581</v>
      </c>
      <c r="AH62" s="194">
        <f>298</f>
        <v>298</v>
      </c>
      <c r="AI62" s="209">
        <v>214</v>
      </c>
      <c r="AJ62" s="194">
        <f>185</f>
        <v>185</v>
      </c>
      <c r="AK62" s="194">
        <f>572</f>
        <v>572</v>
      </c>
      <c r="AL62" s="194">
        <f>373</f>
        <v>373</v>
      </c>
      <c r="AM62" s="194">
        <f>409</f>
        <v>409</v>
      </c>
      <c r="AN62" s="194">
        <f>325</f>
        <v>325</v>
      </c>
      <c r="AO62" s="189">
        <v>633</v>
      </c>
      <c r="AR62" s="194">
        <f>124</f>
        <v>124</v>
      </c>
      <c r="AS62" s="194">
        <f>104</f>
        <v>104</v>
      </c>
      <c r="AT62" s="209">
        <v>165</v>
      </c>
      <c r="AU62" s="194">
        <f>118</f>
        <v>118</v>
      </c>
      <c r="AV62" s="209">
        <v>146</v>
      </c>
      <c r="AW62" s="194">
        <f>134</f>
        <v>134</v>
      </c>
      <c r="AX62" s="194">
        <f>187</f>
        <v>187</v>
      </c>
      <c r="AY62" s="194">
        <f>308</f>
        <v>308</v>
      </c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192">
        <f>7</f>
        <v>7</v>
      </c>
      <c r="BK62" s="46"/>
      <c r="BL62" s="46"/>
      <c r="BM62" s="46"/>
      <c r="BN62" s="46"/>
      <c r="BO62" s="46"/>
      <c r="BP62" s="192">
        <f>23</f>
        <v>23</v>
      </c>
      <c r="BQ62" s="46"/>
      <c r="BR62" s="46"/>
      <c r="BS62" s="46"/>
      <c r="BT62" s="50">
        <f t="shared" si="1"/>
        <v>13967</v>
      </c>
    </row>
    <row r="63" spans="1:84" ht="16" customHeight="1" x14ac:dyDescent="0.15">
      <c r="A63" s="228" t="s">
        <v>830</v>
      </c>
      <c r="B63" s="229" t="s">
        <v>515</v>
      </c>
      <c r="C63" s="229" t="s">
        <v>526</v>
      </c>
      <c r="D63" s="229" t="s">
        <v>831</v>
      </c>
      <c r="E63" s="217" t="s">
        <v>115</v>
      </c>
      <c r="F63" s="217" t="s">
        <v>116</v>
      </c>
      <c r="G63" s="230"/>
      <c r="H63" s="230"/>
      <c r="I63" s="231">
        <v>6.33</v>
      </c>
      <c r="J63" s="232">
        <v>9.5</v>
      </c>
      <c r="K63" s="232"/>
      <c r="L63" s="189">
        <v>112</v>
      </c>
      <c r="M63" s="189">
        <v>90</v>
      </c>
      <c r="N63" s="189">
        <v>7</v>
      </c>
      <c r="O63" s="218">
        <v>102</v>
      </c>
      <c r="P63" s="189">
        <v>30</v>
      </c>
      <c r="Q63" s="189">
        <v>21</v>
      </c>
      <c r="R63" s="189">
        <f>17</f>
        <v>17</v>
      </c>
      <c r="S63" s="189">
        <f>167</f>
        <v>167</v>
      </c>
      <c r="T63" s="189">
        <f>169</f>
        <v>169</v>
      </c>
      <c r="U63" s="189">
        <f>147</f>
        <v>147</v>
      </c>
      <c r="V63" s="197">
        <v>94</v>
      </c>
      <c r="W63" s="197">
        <v>48</v>
      </c>
      <c r="X63" s="197">
        <v>10</v>
      </c>
      <c r="Y63" s="197">
        <v>49</v>
      </c>
      <c r="Z63" s="197">
        <v>5</v>
      </c>
      <c r="AA63" s="197">
        <v>44</v>
      </c>
      <c r="AB63" s="197">
        <v>25</v>
      </c>
      <c r="AC63" s="197">
        <v>59</v>
      </c>
      <c r="AD63" s="197">
        <v>47</v>
      </c>
      <c r="AE63" s="197">
        <v>122</v>
      </c>
      <c r="AF63" s="194">
        <f>62</f>
        <v>62</v>
      </c>
      <c r="AG63" s="194">
        <v>129</v>
      </c>
      <c r="AH63" s="194">
        <v>79</v>
      </c>
      <c r="AI63" s="209">
        <v>173</v>
      </c>
      <c r="AJ63" s="194">
        <v>80</v>
      </c>
      <c r="AK63" s="194">
        <v>85</v>
      </c>
      <c r="AL63" s="194">
        <v>31</v>
      </c>
      <c r="AM63" s="194">
        <v>209</v>
      </c>
      <c r="AN63" s="194">
        <v>86</v>
      </c>
      <c r="AO63" s="189">
        <v>171</v>
      </c>
      <c r="AP63" s="194">
        <f>117</f>
        <v>117</v>
      </c>
      <c r="AQ63" s="46"/>
      <c r="AR63" s="194">
        <v>69</v>
      </c>
      <c r="AS63" s="194">
        <v>113</v>
      </c>
      <c r="AT63" s="209">
        <v>73</v>
      </c>
      <c r="AU63" s="194">
        <v>131</v>
      </c>
      <c r="AV63" s="209">
        <v>72</v>
      </c>
      <c r="AW63" s="194">
        <v>255</v>
      </c>
      <c r="AX63" s="194">
        <v>276</v>
      </c>
      <c r="AY63" s="194">
        <v>284</v>
      </c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50">
        <f t="shared" si="1"/>
        <v>3860</v>
      </c>
    </row>
    <row r="64" spans="1:84" ht="16" customHeight="1" x14ac:dyDescent="0.15">
      <c r="A64" s="228" t="s">
        <v>832</v>
      </c>
      <c r="B64" s="229" t="s">
        <v>515</v>
      </c>
      <c r="C64" s="229" t="s">
        <v>526</v>
      </c>
      <c r="D64" s="229" t="s">
        <v>833</v>
      </c>
      <c r="E64" s="217" t="s">
        <v>115</v>
      </c>
      <c r="F64" s="217" t="s">
        <v>116</v>
      </c>
      <c r="G64" s="230"/>
      <c r="H64" s="230"/>
      <c r="I64" s="231">
        <v>9</v>
      </c>
      <c r="J64" s="232">
        <v>14</v>
      </c>
      <c r="K64" s="232"/>
      <c r="L64" s="189">
        <v>42</v>
      </c>
      <c r="M64" s="189">
        <v>56</v>
      </c>
      <c r="N64" s="189">
        <v>17</v>
      </c>
      <c r="O64" s="218">
        <v>36</v>
      </c>
      <c r="P64" s="189">
        <v>10</v>
      </c>
      <c r="Q64" s="189">
        <v>35</v>
      </c>
      <c r="R64" s="189">
        <f>1</f>
        <v>1</v>
      </c>
      <c r="S64" s="189">
        <f>68</f>
        <v>68</v>
      </c>
      <c r="T64" s="189">
        <f>38</f>
        <v>38</v>
      </c>
      <c r="U64" s="189">
        <f>52</f>
        <v>52</v>
      </c>
      <c r="V64" s="197">
        <v>13</v>
      </c>
      <c r="W64" s="197">
        <v>13</v>
      </c>
      <c r="X64" s="45"/>
      <c r="Y64" s="218">
        <v>11</v>
      </c>
      <c r="Z64" s="45"/>
      <c r="AA64" s="197">
        <v>10</v>
      </c>
      <c r="AB64" s="45"/>
      <c r="AC64" s="197">
        <v>17</v>
      </c>
      <c r="AD64" s="197">
        <v>23</v>
      </c>
      <c r="AE64" s="197">
        <v>57</v>
      </c>
      <c r="AF64" s="46"/>
      <c r="AG64" s="194">
        <v>91</v>
      </c>
      <c r="AH64" s="46"/>
      <c r="AI64" s="209">
        <v>53</v>
      </c>
      <c r="AJ64" s="194">
        <v>10</v>
      </c>
      <c r="AK64" s="194">
        <v>32</v>
      </c>
      <c r="AL64" s="194">
        <v>6</v>
      </c>
      <c r="AM64" s="194">
        <v>82</v>
      </c>
      <c r="AN64" s="194">
        <v>24</v>
      </c>
      <c r="AO64" s="189">
        <v>42</v>
      </c>
      <c r="AP64" s="46"/>
      <c r="AQ64" s="46"/>
      <c r="AR64" s="46"/>
      <c r="AS64" s="46"/>
      <c r="AT64" s="46"/>
      <c r="AU64" s="194">
        <v>14</v>
      </c>
      <c r="AV64" s="209">
        <v>3</v>
      </c>
      <c r="AW64" s="194">
        <v>21</v>
      </c>
      <c r="AX64" s="194">
        <v>20</v>
      </c>
      <c r="AY64" s="194">
        <v>45</v>
      </c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192">
        <v>10</v>
      </c>
      <c r="BL64" s="46"/>
      <c r="BM64" s="46"/>
      <c r="BN64" s="46"/>
      <c r="BO64" s="46"/>
      <c r="BP64" s="46"/>
      <c r="BQ64" s="46"/>
      <c r="BR64" s="46"/>
      <c r="BS64" s="46"/>
      <c r="BT64" s="50">
        <f t="shared" si="1"/>
        <v>952</v>
      </c>
    </row>
    <row r="65" spans="1:73" ht="16" customHeight="1" x14ac:dyDescent="0.15">
      <c r="A65" s="228" t="s">
        <v>834</v>
      </c>
      <c r="B65" s="229" t="s">
        <v>515</v>
      </c>
      <c r="C65" s="229" t="s">
        <v>103</v>
      </c>
      <c r="D65" s="229" t="s">
        <v>835</v>
      </c>
      <c r="E65" s="217" t="s">
        <v>115</v>
      </c>
      <c r="F65" s="217" t="s">
        <v>116</v>
      </c>
      <c r="G65" s="230"/>
      <c r="H65" s="230"/>
      <c r="I65" s="231">
        <v>3.67</v>
      </c>
      <c r="J65" s="232">
        <v>5.5</v>
      </c>
      <c r="K65" s="232"/>
      <c r="L65" s="189">
        <v>294</v>
      </c>
      <c r="M65" s="189">
        <v>403</v>
      </c>
      <c r="N65" s="189">
        <v>237</v>
      </c>
      <c r="O65" s="218">
        <v>267</v>
      </c>
      <c r="P65" s="189">
        <v>155</v>
      </c>
      <c r="Q65" s="189">
        <f>152</f>
        <v>152</v>
      </c>
      <c r="R65" s="189">
        <f>109</f>
        <v>109</v>
      </c>
      <c r="S65" s="189">
        <f>200</f>
        <v>200</v>
      </c>
      <c r="T65" s="189">
        <f>244</f>
        <v>244</v>
      </c>
      <c r="U65" s="189">
        <f>1</f>
        <v>1</v>
      </c>
      <c r="V65" s="197">
        <v>176</v>
      </c>
      <c r="W65" s="197">
        <v>292</v>
      </c>
      <c r="X65" s="197">
        <v>303</v>
      </c>
      <c r="Y65" s="197">
        <v>203</v>
      </c>
      <c r="Z65" s="197">
        <v>303</v>
      </c>
      <c r="AA65" s="197">
        <v>334</v>
      </c>
      <c r="AB65" s="197">
        <v>362</v>
      </c>
      <c r="AC65" s="197">
        <v>191</v>
      </c>
      <c r="AD65" s="197">
        <v>263</v>
      </c>
      <c r="AE65" s="197">
        <v>270</v>
      </c>
      <c r="AF65" s="46"/>
      <c r="AG65" s="194">
        <f>131</f>
        <v>131</v>
      </c>
      <c r="AH65" s="194">
        <f>86</f>
        <v>86</v>
      </c>
      <c r="AI65" s="194">
        <f>98</f>
        <v>98</v>
      </c>
      <c r="AJ65" s="194">
        <f>101</f>
        <v>101</v>
      </c>
      <c r="AK65" s="194">
        <f>171</f>
        <v>171</v>
      </c>
      <c r="AL65" s="189">
        <v>149</v>
      </c>
      <c r="AM65" s="234">
        <v>138</v>
      </c>
      <c r="AN65" s="194">
        <f>91</f>
        <v>91</v>
      </c>
      <c r="AO65" s="189">
        <v>154</v>
      </c>
      <c r="AP65" s="194">
        <f>15</f>
        <v>15</v>
      </c>
      <c r="AQ65" s="194">
        <f>261</f>
        <v>261</v>
      </c>
      <c r="AR65" s="194">
        <f>179</f>
        <v>179</v>
      </c>
      <c r="AS65" s="194">
        <f>125</f>
        <v>125</v>
      </c>
      <c r="AT65" s="194">
        <f>222</f>
        <v>222</v>
      </c>
      <c r="AU65" s="194">
        <f>269</f>
        <v>269</v>
      </c>
      <c r="AV65" s="194">
        <f>179</f>
        <v>179</v>
      </c>
      <c r="AW65" s="194">
        <f>104</f>
        <v>104</v>
      </c>
      <c r="AX65" s="194">
        <f>95</f>
        <v>95</v>
      </c>
      <c r="AY65" s="194">
        <f>124</f>
        <v>124</v>
      </c>
      <c r="AZ65" s="46"/>
      <c r="BA65" s="194">
        <f>63</f>
        <v>63</v>
      </c>
      <c r="BB65" s="194">
        <f>34</f>
        <v>34</v>
      </c>
      <c r="BC65" s="194">
        <f>82</f>
        <v>82</v>
      </c>
      <c r="BD65" s="194">
        <f>104</f>
        <v>104</v>
      </c>
      <c r="BE65" s="194">
        <f>301</f>
        <v>301</v>
      </c>
      <c r="BF65" s="194">
        <f>263</f>
        <v>263</v>
      </c>
      <c r="BG65" s="194">
        <f>99</f>
        <v>99</v>
      </c>
      <c r="BH65" s="209">
        <v>46</v>
      </c>
      <c r="BI65" s="194">
        <f>94</f>
        <v>94</v>
      </c>
      <c r="BJ65" s="46"/>
      <c r="BK65" s="192">
        <v>128</v>
      </c>
      <c r="BL65" s="192">
        <v>193</v>
      </c>
      <c r="BM65" s="192">
        <f>99</f>
        <v>99</v>
      </c>
      <c r="BN65" s="192">
        <v>104</v>
      </c>
      <c r="BO65" s="192">
        <f>128</f>
        <v>128</v>
      </c>
      <c r="BP65" s="192">
        <f>336+84</f>
        <v>420</v>
      </c>
      <c r="BQ65" s="192">
        <v>64</v>
      </c>
      <c r="BR65" s="192">
        <v>95</v>
      </c>
      <c r="BS65" s="192">
        <v>54</v>
      </c>
      <c r="BT65" s="50">
        <f t="shared" si="1"/>
        <v>9822</v>
      </c>
    </row>
    <row r="66" spans="1:73" ht="16" customHeight="1" x14ac:dyDescent="0.15">
      <c r="A66" s="228" t="s">
        <v>836</v>
      </c>
      <c r="B66" s="229" t="s">
        <v>515</v>
      </c>
      <c r="C66" s="229" t="s">
        <v>103</v>
      </c>
      <c r="D66" s="229" t="s">
        <v>837</v>
      </c>
      <c r="E66" s="217" t="s">
        <v>115</v>
      </c>
      <c r="F66" s="217" t="s">
        <v>116</v>
      </c>
      <c r="G66" s="230"/>
      <c r="H66" s="230"/>
      <c r="I66" s="231">
        <v>6.33</v>
      </c>
      <c r="J66" s="232">
        <v>9.5</v>
      </c>
      <c r="K66" s="232"/>
      <c r="L66" s="189">
        <v>39</v>
      </c>
      <c r="M66" s="189">
        <v>27</v>
      </c>
      <c r="N66" s="189">
        <v>19</v>
      </c>
      <c r="O66" s="218">
        <v>34</v>
      </c>
      <c r="P66" s="189">
        <v>4</v>
      </c>
      <c r="Q66" s="189">
        <f>16</f>
        <v>16</v>
      </c>
      <c r="R66" s="189">
        <f>5</f>
        <v>5</v>
      </c>
      <c r="S66" s="189">
        <f>48</f>
        <v>48</v>
      </c>
      <c r="T66" s="189">
        <f>31</f>
        <v>31</v>
      </c>
      <c r="U66" s="189">
        <f>39</f>
        <v>39</v>
      </c>
      <c r="V66" s="197">
        <v>59</v>
      </c>
      <c r="W66" s="197">
        <v>3</v>
      </c>
      <c r="X66" s="45"/>
      <c r="Y66" s="197">
        <v>10</v>
      </c>
      <c r="Z66" s="197">
        <v>6</v>
      </c>
      <c r="AA66" s="197">
        <v>1</v>
      </c>
      <c r="AB66" s="45"/>
      <c r="AC66" s="45"/>
      <c r="AD66" s="197">
        <v>6</v>
      </c>
      <c r="AE66" s="197">
        <v>1</v>
      </c>
      <c r="AF66" s="194">
        <f>10</f>
        <v>10</v>
      </c>
      <c r="AG66" s="194">
        <f>25</f>
        <v>25</v>
      </c>
      <c r="AH66" s="194">
        <f>11</f>
        <v>11</v>
      </c>
      <c r="AI66" s="194">
        <f>17</f>
        <v>17</v>
      </c>
      <c r="AJ66" s="194">
        <f>6</f>
        <v>6</v>
      </c>
      <c r="AK66" s="194">
        <f>19</f>
        <v>19</v>
      </c>
      <c r="AL66" s="46"/>
      <c r="AM66" s="194">
        <f>13</f>
        <v>13</v>
      </c>
      <c r="AN66" s="194">
        <f>7</f>
        <v>7</v>
      </c>
      <c r="AO66" s="189">
        <v>18</v>
      </c>
      <c r="AP66" s="46"/>
      <c r="AQ66" s="194">
        <f>172</f>
        <v>172</v>
      </c>
      <c r="AR66" s="194">
        <f>6</f>
        <v>6</v>
      </c>
      <c r="AS66" s="194">
        <f>26</f>
        <v>26</v>
      </c>
      <c r="AT66" s="194">
        <f>16</f>
        <v>16</v>
      </c>
      <c r="AU66" s="194">
        <f>29</f>
        <v>29</v>
      </c>
      <c r="AV66" s="194">
        <f>14</f>
        <v>14</v>
      </c>
      <c r="AW66" s="194">
        <f>4</f>
        <v>4</v>
      </c>
      <c r="AX66" s="194">
        <f>6+12</f>
        <v>18</v>
      </c>
      <c r="AY66" s="194">
        <f>9</f>
        <v>9</v>
      </c>
      <c r="AZ66" s="194">
        <f>4</f>
        <v>4</v>
      </c>
      <c r="BA66" s="194">
        <f>22</f>
        <v>22</v>
      </c>
      <c r="BB66" s="194">
        <f>7</f>
        <v>7</v>
      </c>
      <c r="BC66" s="194">
        <f>39</f>
        <v>39</v>
      </c>
      <c r="BD66" s="194">
        <f>24</f>
        <v>24</v>
      </c>
      <c r="BE66" s="194">
        <f>19</f>
        <v>19</v>
      </c>
      <c r="BF66" s="194">
        <f>115</f>
        <v>115</v>
      </c>
      <c r="BG66" s="194">
        <f>27</f>
        <v>27</v>
      </c>
      <c r="BH66" s="209">
        <v>33</v>
      </c>
      <c r="BI66" s="194">
        <f>71</f>
        <v>71</v>
      </c>
      <c r="BJ66" s="192">
        <f>6</f>
        <v>6</v>
      </c>
      <c r="BK66" s="192">
        <v>50</v>
      </c>
      <c r="BL66" s="192">
        <f>10+14</f>
        <v>24</v>
      </c>
      <c r="BM66" s="192">
        <f>99</f>
        <v>99</v>
      </c>
      <c r="BN66" s="192">
        <v>37</v>
      </c>
      <c r="BO66" s="192">
        <f>103</f>
        <v>103</v>
      </c>
      <c r="BP66" s="192">
        <f>51</f>
        <v>51</v>
      </c>
      <c r="BQ66" s="192">
        <v>140</v>
      </c>
      <c r="BR66" s="192">
        <v>132</v>
      </c>
      <c r="BS66" s="192">
        <v>102</v>
      </c>
      <c r="BT66" s="50">
        <f t="shared" si="1"/>
        <v>1873</v>
      </c>
    </row>
    <row r="67" spans="1:73" ht="16" customHeight="1" x14ac:dyDescent="0.15">
      <c r="A67" s="228" t="s">
        <v>838</v>
      </c>
      <c r="B67" s="229" t="s">
        <v>515</v>
      </c>
      <c r="C67" s="229" t="s">
        <v>103</v>
      </c>
      <c r="D67" s="229" t="s">
        <v>839</v>
      </c>
      <c r="E67" s="217" t="s">
        <v>115</v>
      </c>
      <c r="F67" s="217" t="s">
        <v>116</v>
      </c>
      <c r="G67" s="230"/>
      <c r="H67" s="230"/>
      <c r="I67" s="231">
        <v>9</v>
      </c>
      <c r="J67" s="232">
        <v>14</v>
      </c>
      <c r="K67" s="232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45"/>
      <c r="W67" s="197">
        <v>1</v>
      </c>
      <c r="X67" s="45"/>
      <c r="Y67" s="197">
        <v>1</v>
      </c>
      <c r="Z67" s="45"/>
      <c r="AA67" s="45"/>
      <c r="AB67" s="45"/>
      <c r="AC67" s="45"/>
      <c r="AD67" s="45"/>
      <c r="AE67" s="45"/>
      <c r="AF67" s="46"/>
      <c r="AG67" s="194">
        <f>1</f>
        <v>1</v>
      </c>
      <c r="AH67" s="46"/>
      <c r="AI67" s="46"/>
      <c r="AJ67" s="46"/>
      <c r="AK67" s="194">
        <f>1</f>
        <v>1</v>
      </c>
      <c r="AL67" s="189">
        <v>2</v>
      </c>
      <c r="AM67" s="46"/>
      <c r="AN67" s="194">
        <f>7</f>
        <v>7</v>
      </c>
      <c r="AO67" s="46"/>
      <c r="AP67" s="46"/>
      <c r="AQ67" s="194">
        <f>27</f>
        <v>27</v>
      </c>
      <c r="AR67" s="46"/>
      <c r="AS67" s="194">
        <f>4</f>
        <v>4</v>
      </c>
      <c r="AT67" s="194">
        <f>2</f>
        <v>2</v>
      </c>
      <c r="AU67" s="46"/>
      <c r="AV67" s="46"/>
      <c r="AW67" s="46"/>
      <c r="AX67" s="194">
        <f>11</f>
        <v>11</v>
      </c>
      <c r="AY67" s="194">
        <f>3</f>
        <v>3</v>
      </c>
      <c r="AZ67" s="46"/>
      <c r="BA67" s="194">
        <f>2</f>
        <v>2</v>
      </c>
      <c r="BB67" s="194">
        <f>3</f>
        <v>3</v>
      </c>
      <c r="BC67" s="194">
        <f>54</f>
        <v>54</v>
      </c>
      <c r="BD67" s="194">
        <f>1</f>
        <v>1</v>
      </c>
      <c r="BE67" s="194">
        <f>5</f>
        <v>5</v>
      </c>
      <c r="BF67" s="194">
        <f>5</f>
        <v>5</v>
      </c>
      <c r="BG67" s="194">
        <f>2</f>
        <v>2</v>
      </c>
      <c r="BH67" s="209">
        <v>3</v>
      </c>
      <c r="BI67" s="194">
        <f>5</f>
        <v>5</v>
      </c>
      <c r="BJ67" s="192">
        <f>15</f>
        <v>15</v>
      </c>
      <c r="BK67" s="46"/>
      <c r="BL67" s="192">
        <v>14</v>
      </c>
      <c r="BM67" s="192">
        <v>26</v>
      </c>
      <c r="BN67" s="192">
        <v>7</v>
      </c>
      <c r="BO67" s="192">
        <v>30</v>
      </c>
      <c r="BP67" s="192">
        <f>13</f>
        <v>13</v>
      </c>
      <c r="BQ67" s="192">
        <v>51</v>
      </c>
      <c r="BR67" s="192">
        <v>26</v>
      </c>
      <c r="BS67" s="192">
        <v>111</v>
      </c>
      <c r="BT67" s="50">
        <f t="shared" si="1"/>
        <v>433</v>
      </c>
    </row>
    <row r="68" spans="1:73" ht="16" customHeight="1" x14ac:dyDescent="0.15">
      <c r="A68" s="181" t="s">
        <v>840</v>
      </c>
      <c r="B68" s="182" t="s">
        <v>515</v>
      </c>
      <c r="C68" s="182" t="s">
        <v>841</v>
      </c>
      <c r="D68" s="182" t="s">
        <v>842</v>
      </c>
      <c r="E68" s="49" t="s">
        <v>90</v>
      </c>
      <c r="F68" s="49" t="s">
        <v>91</v>
      </c>
      <c r="G68" s="186">
        <v>0.2</v>
      </c>
      <c r="H68" s="235">
        <v>0.2</v>
      </c>
      <c r="I68" s="183">
        <f t="shared" ref="I68:J85" si="4">G68*20</f>
        <v>4</v>
      </c>
      <c r="J68" s="183">
        <f t="shared" si="4"/>
        <v>4</v>
      </c>
      <c r="K68" s="183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189">
        <v>20</v>
      </c>
      <c r="Z68" s="189">
        <v>38</v>
      </c>
      <c r="AA68" s="189">
        <v>33</v>
      </c>
      <c r="AB68" s="189">
        <v>37</v>
      </c>
      <c r="AC68" s="189">
        <v>10</v>
      </c>
      <c r="AD68" s="189">
        <v>17</v>
      </c>
      <c r="AE68" s="189">
        <f>7</f>
        <v>7</v>
      </c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50">
        <f t="shared" si="1"/>
        <v>162</v>
      </c>
    </row>
    <row r="69" spans="1:73" ht="16" customHeight="1" x14ac:dyDescent="0.15">
      <c r="A69" s="181" t="s">
        <v>843</v>
      </c>
      <c r="B69" s="182" t="s">
        <v>515</v>
      </c>
      <c r="C69" s="182" t="s">
        <v>841</v>
      </c>
      <c r="D69" s="182" t="s">
        <v>844</v>
      </c>
      <c r="E69" s="49" t="s">
        <v>90</v>
      </c>
      <c r="F69" s="49" t="s">
        <v>91</v>
      </c>
      <c r="G69" s="186">
        <v>0.3</v>
      </c>
      <c r="H69" s="235">
        <v>0.3</v>
      </c>
      <c r="I69" s="183">
        <f t="shared" si="4"/>
        <v>6</v>
      </c>
      <c r="J69" s="183">
        <f t="shared" si="4"/>
        <v>6</v>
      </c>
      <c r="K69" s="183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189">
        <v>30</v>
      </c>
      <c r="X69" s="189">
        <v>21</v>
      </c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50">
        <f t="shared" si="1"/>
        <v>51</v>
      </c>
    </row>
    <row r="70" spans="1:73" ht="16" customHeight="1" x14ac:dyDescent="0.15">
      <c r="A70" s="236" t="s">
        <v>845</v>
      </c>
      <c r="B70" s="236" t="s">
        <v>649</v>
      </c>
      <c r="C70" s="236" t="s">
        <v>846</v>
      </c>
      <c r="D70" s="236" t="s">
        <v>847</v>
      </c>
      <c r="E70" s="36" t="s">
        <v>123</v>
      </c>
      <c r="F70" s="36" t="s">
        <v>123</v>
      </c>
      <c r="G70" s="237">
        <v>0.3</v>
      </c>
      <c r="H70" s="237">
        <v>0.4</v>
      </c>
      <c r="I70" s="236">
        <f t="shared" si="4"/>
        <v>6</v>
      </c>
      <c r="J70" s="236">
        <f t="shared" si="4"/>
        <v>8</v>
      </c>
      <c r="K70" s="236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189">
        <v>7</v>
      </c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50">
        <f t="shared" si="1"/>
        <v>7</v>
      </c>
    </row>
    <row r="71" spans="1:73" ht="16" customHeight="1" x14ac:dyDescent="0.15">
      <c r="A71" s="236" t="s">
        <v>848</v>
      </c>
      <c r="B71" s="236" t="s">
        <v>649</v>
      </c>
      <c r="C71" s="236"/>
      <c r="D71" s="236" t="s">
        <v>849</v>
      </c>
      <c r="E71" s="36" t="s">
        <v>203</v>
      </c>
      <c r="F71" s="36" t="s">
        <v>204</v>
      </c>
      <c r="G71" s="237">
        <v>0.1</v>
      </c>
      <c r="H71" s="237">
        <v>0.5</v>
      </c>
      <c r="I71" s="236">
        <f t="shared" si="4"/>
        <v>2</v>
      </c>
      <c r="J71" s="236">
        <f t="shared" si="4"/>
        <v>10</v>
      </c>
      <c r="K71" s="236"/>
      <c r="L71" s="46"/>
      <c r="M71" s="225"/>
      <c r="N71" s="46"/>
      <c r="O71" s="46"/>
      <c r="P71" s="189">
        <f>1</f>
        <v>1</v>
      </c>
      <c r="Q71" s="46"/>
      <c r="R71" s="46"/>
      <c r="S71" s="46"/>
      <c r="T71" s="46"/>
      <c r="U71" s="46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189">
        <v>2</v>
      </c>
      <c r="BA71" s="46"/>
      <c r="BB71" s="46"/>
      <c r="BC71" s="46"/>
      <c r="BD71" s="46"/>
      <c r="BE71" s="46"/>
      <c r="BF71" s="46"/>
      <c r="BG71" s="46"/>
      <c r="BH71" s="198"/>
      <c r="BI71" s="46"/>
      <c r="BJ71" s="46"/>
      <c r="BK71" s="46"/>
      <c r="BL71" s="46"/>
      <c r="BM71" s="46"/>
      <c r="BN71" s="46"/>
      <c r="BO71" s="198"/>
      <c r="BP71" s="47"/>
      <c r="BQ71" s="198"/>
      <c r="BR71" s="192">
        <f>4</f>
        <v>4</v>
      </c>
      <c r="BS71" s="46"/>
      <c r="BT71" s="50">
        <f t="shared" si="1"/>
        <v>7</v>
      </c>
    </row>
    <row r="72" spans="1:73" ht="16" customHeight="1" x14ac:dyDescent="0.15">
      <c r="A72" s="236" t="s">
        <v>850</v>
      </c>
      <c r="B72" s="236" t="s">
        <v>649</v>
      </c>
      <c r="C72" s="236"/>
      <c r="D72" s="236" t="s">
        <v>851</v>
      </c>
      <c r="E72" s="36" t="s">
        <v>203</v>
      </c>
      <c r="F72" s="36" t="s">
        <v>204</v>
      </c>
      <c r="G72" s="237">
        <v>0.15</v>
      </c>
      <c r="H72" s="237">
        <v>0.4</v>
      </c>
      <c r="I72" s="236">
        <f t="shared" si="4"/>
        <v>3</v>
      </c>
      <c r="J72" s="236">
        <f t="shared" si="4"/>
        <v>8</v>
      </c>
      <c r="K72" s="236"/>
      <c r="L72" s="46"/>
      <c r="M72" s="46"/>
      <c r="N72" s="46"/>
      <c r="O72" s="46"/>
      <c r="P72" s="189">
        <f>28</f>
        <v>28</v>
      </c>
      <c r="Q72" s="46"/>
      <c r="R72" s="46"/>
      <c r="S72" s="46"/>
      <c r="T72" s="46"/>
      <c r="U72" s="46"/>
      <c r="V72" s="45"/>
      <c r="W72" s="45"/>
      <c r="X72" s="45"/>
      <c r="Y72" s="45"/>
      <c r="Z72" s="45"/>
      <c r="AA72" s="45"/>
      <c r="AB72" s="45"/>
      <c r="AC72" s="45"/>
      <c r="AD72" s="197">
        <v>18</v>
      </c>
      <c r="AE72" s="45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198"/>
      <c r="BP72" s="46"/>
      <c r="BQ72" s="198"/>
      <c r="BR72" s="46"/>
      <c r="BS72" s="46"/>
      <c r="BT72" s="50">
        <f t="shared" si="1"/>
        <v>46</v>
      </c>
    </row>
    <row r="73" spans="1:73" ht="16" customHeight="1" x14ac:dyDescent="0.15">
      <c r="A73" s="238" t="s">
        <v>852</v>
      </c>
      <c r="B73" s="236" t="s">
        <v>649</v>
      </c>
      <c r="C73" s="239"/>
      <c r="D73" s="239" t="s">
        <v>853</v>
      </c>
      <c r="E73" s="49" t="s">
        <v>115</v>
      </c>
      <c r="F73" s="49" t="s">
        <v>116</v>
      </c>
      <c r="G73" s="237">
        <v>0.2</v>
      </c>
      <c r="H73" s="237">
        <v>0.4</v>
      </c>
      <c r="I73" s="236">
        <f t="shared" si="4"/>
        <v>4</v>
      </c>
      <c r="J73" s="236">
        <f t="shared" si="4"/>
        <v>8</v>
      </c>
      <c r="K73" s="23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5"/>
      <c r="W73" s="45"/>
      <c r="X73" s="45"/>
      <c r="Y73" s="45"/>
      <c r="Z73" s="45"/>
      <c r="AA73" s="45"/>
      <c r="AB73" s="45"/>
      <c r="AC73" s="45"/>
      <c r="AD73" s="45"/>
      <c r="AE73" s="197">
        <f>12</f>
        <v>12</v>
      </c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189">
        <v>5</v>
      </c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192">
        <f>11</f>
        <v>11</v>
      </c>
      <c r="BN73" s="46"/>
      <c r="BO73" s="46"/>
      <c r="BP73" s="240">
        <v>115</v>
      </c>
      <c r="BQ73" s="189">
        <v>6</v>
      </c>
      <c r="BR73" s="46"/>
      <c r="BS73" s="46"/>
      <c r="BT73" s="50">
        <f t="shared" si="1"/>
        <v>149</v>
      </c>
    </row>
    <row r="74" spans="1:73" ht="16" customHeight="1" x14ac:dyDescent="0.15">
      <c r="A74" s="238" t="s">
        <v>854</v>
      </c>
      <c r="B74" s="236" t="s">
        <v>649</v>
      </c>
      <c r="C74" s="239"/>
      <c r="D74" s="239" t="s">
        <v>855</v>
      </c>
      <c r="E74" s="49" t="s">
        <v>115</v>
      </c>
      <c r="F74" s="49" t="s">
        <v>116</v>
      </c>
      <c r="G74" s="237">
        <v>0.3</v>
      </c>
      <c r="H74" s="237">
        <v>0.7</v>
      </c>
      <c r="I74" s="236">
        <f t="shared" si="4"/>
        <v>6</v>
      </c>
      <c r="J74" s="236">
        <f t="shared" si="4"/>
        <v>14</v>
      </c>
      <c r="K74" s="236"/>
      <c r="L74" s="46"/>
      <c r="M74" s="189">
        <v>7</v>
      </c>
      <c r="N74" s="46"/>
      <c r="O74" s="46"/>
      <c r="P74" s="46"/>
      <c r="Q74" s="46"/>
      <c r="R74" s="46"/>
      <c r="S74" s="46"/>
      <c r="T74" s="46"/>
      <c r="U74" s="46"/>
      <c r="V74" s="45"/>
      <c r="W74" s="45"/>
      <c r="X74" s="45"/>
      <c r="Y74" s="45"/>
      <c r="Z74" s="45"/>
      <c r="AA74" s="45"/>
      <c r="AB74" s="45"/>
      <c r="AC74" s="45"/>
      <c r="AD74" s="45"/>
      <c r="AE74" s="45">
        <v>2</v>
      </c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192">
        <f>2</f>
        <v>2</v>
      </c>
      <c r="BO74" s="46"/>
      <c r="BP74" s="46"/>
      <c r="BQ74" s="46"/>
      <c r="BR74" s="46"/>
      <c r="BS74" s="46"/>
      <c r="BT74" s="50">
        <f t="shared" si="1"/>
        <v>11</v>
      </c>
    </row>
    <row r="75" spans="1:73" ht="16" customHeight="1" x14ac:dyDescent="0.15">
      <c r="A75" s="238" t="s">
        <v>856</v>
      </c>
      <c r="B75" s="236" t="s">
        <v>649</v>
      </c>
      <c r="C75" s="239"/>
      <c r="D75" s="239" t="s">
        <v>857</v>
      </c>
      <c r="E75" s="49" t="s">
        <v>115</v>
      </c>
      <c r="F75" s="49" t="s">
        <v>116</v>
      </c>
      <c r="G75" s="237">
        <v>0.4</v>
      </c>
      <c r="H75" s="237">
        <v>0.6</v>
      </c>
      <c r="I75" s="236">
        <f t="shared" si="4"/>
        <v>8</v>
      </c>
      <c r="J75" s="236">
        <f t="shared" si="4"/>
        <v>12</v>
      </c>
      <c r="K75" s="23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194">
        <f>1</f>
        <v>1</v>
      </c>
      <c r="AG75" s="46"/>
      <c r="AH75" s="46"/>
      <c r="AI75" s="46"/>
      <c r="AJ75" s="46"/>
      <c r="AK75" s="46"/>
      <c r="AL75" s="46"/>
      <c r="AM75" s="46"/>
      <c r="AN75" s="46"/>
      <c r="AO75" s="46"/>
      <c r="AP75" s="189">
        <v>9</v>
      </c>
      <c r="AQ75" s="46"/>
      <c r="AR75" s="46"/>
      <c r="AS75" s="46"/>
      <c r="AT75" s="46"/>
      <c r="AU75" s="46"/>
      <c r="AV75" s="46"/>
      <c r="AW75" s="46"/>
      <c r="AX75" s="46"/>
      <c r="AY75" s="46"/>
      <c r="AZ75" s="189">
        <v>1</v>
      </c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50">
        <f t="shared" si="1"/>
        <v>11</v>
      </c>
    </row>
    <row r="76" spans="1:73" ht="16" customHeight="1" x14ac:dyDescent="0.15">
      <c r="A76" s="241" t="s">
        <v>858</v>
      </c>
      <c r="B76" s="236" t="s">
        <v>649</v>
      </c>
      <c r="C76" s="242"/>
      <c r="D76" s="242" t="s">
        <v>859</v>
      </c>
      <c r="E76" s="49" t="s">
        <v>90</v>
      </c>
      <c r="F76" s="243" t="s">
        <v>91</v>
      </c>
      <c r="G76" s="244">
        <v>0.5</v>
      </c>
      <c r="H76" s="244">
        <v>0.5</v>
      </c>
      <c r="I76" s="245">
        <f t="shared" si="4"/>
        <v>10</v>
      </c>
      <c r="J76" s="245">
        <f t="shared" si="4"/>
        <v>10</v>
      </c>
      <c r="K76" s="245"/>
      <c r="L76" s="246"/>
      <c r="M76" s="246"/>
      <c r="N76" s="246"/>
      <c r="O76" s="246"/>
      <c r="P76" s="246"/>
      <c r="Q76" s="246"/>
      <c r="R76" s="247">
        <f>1</f>
        <v>1</v>
      </c>
      <c r="S76" s="247">
        <f>6</f>
        <v>6</v>
      </c>
      <c r="T76" s="246"/>
      <c r="U76" s="246"/>
      <c r="V76" s="248"/>
      <c r="W76" s="248"/>
      <c r="X76" s="248"/>
      <c r="Y76" s="248"/>
      <c r="Z76" s="248"/>
      <c r="AA76" s="248"/>
      <c r="AB76" s="248"/>
      <c r="AC76" s="248"/>
      <c r="AD76" s="248"/>
      <c r="AE76" s="248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  <c r="AX76" s="246"/>
      <c r="AY76" s="246"/>
      <c r="AZ76" s="246"/>
      <c r="BA76" s="246"/>
      <c r="BB76" s="246"/>
      <c r="BC76" s="246"/>
      <c r="BD76" s="246"/>
      <c r="BE76" s="246"/>
      <c r="BF76" s="246"/>
      <c r="BG76" s="246"/>
      <c r="BH76" s="246"/>
      <c r="BI76" s="2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50">
        <f t="shared" ref="BT76:BT88" si="5">SUM(L76:BS76)</f>
        <v>7</v>
      </c>
    </row>
    <row r="77" spans="1:73" s="47" customFormat="1" ht="16" customHeight="1" x14ac:dyDescent="0.15">
      <c r="A77" s="236" t="s">
        <v>860</v>
      </c>
      <c r="B77" s="236" t="s">
        <v>649</v>
      </c>
      <c r="C77" s="239"/>
      <c r="D77" s="239" t="s">
        <v>861</v>
      </c>
      <c r="E77" s="49" t="s">
        <v>90</v>
      </c>
      <c r="F77" s="243" t="s">
        <v>91</v>
      </c>
      <c r="G77" s="237">
        <v>0.5</v>
      </c>
      <c r="H77" s="237">
        <v>0.8</v>
      </c>
      <c r="I77" s="236">
        <f t="shared" si="4"/>
        <v>10</v>
      </c>
      <c r="J77" s="236">
        <f t="shared" si="4"/>
        <v>16</v>
      </c>
      <c r="K77" s="236"/>
      <c r="L77" s="46"/>
      <c r="M77" s="46"/>
      <c r="N77" s="46"/>
      <c r="O77" s="46"/>
      <c r="P77" s="189">
        <f>6</f>
        <v>6</v>
      </c>
      <c r="Q77" s="46"/>
      <c r="R77" s="46"/>
      <c r="S77" s="46"/>
      <c r="T77" s="46"/>
      <c r="U77" s="46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189">
        <v>4</v>
      </c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50">
        <f t="shared" si="5"/>
        <v>10</v>
      </c>
      <c r="BU77" s="249"/>
    </row>
    <row r="78" spans="1:73" s="47" customFormat="1" ht="16" customHeight="1" x14ac:dyDescent="0.15">
      <c r="A78" s="236" t="s">
        <v>862</v>
      </c>
      <c r="B78" s="236" t="s">
        <v>649</v>
      </c>
      <c r="C78" s="236"/>
      <c r="D78" s="236" t="s">
        <v>863</v>
      </c>
      <c r="E78" s="36" t="s">
        <v>90</v>
      </c>
      <c r="F78" s="243" t="s">
        <v>91</v>
      </c>
      <c r="G78" s="237">
        <v>0.6</v>
      </c>
      <c r="H78" s="237">
        <v>0.6</v>
      </c>
      <c r="I78" s="236">
        <f t="shared" si="4"/>
        <v>12</v>
      </c>
      <c r="J78" s="236">
        <f t="shared" si="4"/>
        <v>12</v>
      </c>
      <c r="K78" s="236"/>
      <c r="L78" s="46"/>
      <c r="M78" s="46"/>
      <c r="N78" s="46"/>
      <c r="O78" s="189">
        <f>6</f>
        <v>6</v>
      </c>
      <c r="P78" s="46"/>
      <c r="Q78" s="46"/>
      <c r="R78" s="46"/>
      <c r="S78" s="46"/>
      <c r="T78" s="46"/>
      <c r="U78" s="46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50">
        <f t="shared" si="5"/>
        <v>6</v>
      </c>
      <c r="BU78" s="249"/>
    </row>
    <row r="79" spans="1:73" s="47" customFormat="1" ht="16" customHeight="1" x14ac:dyDescent="0.15">
      <c r="A79" s="236" t="s">
        <v>864</v>
      </c>
      <c r="B79" s="236" t="s">
        <v>649</v>
      </c>
      <c r="C79" s="236"/>
      <c r="D79" s="236" t="s">
        <v>865</v>
      </c>
      <c r="E79" s="36" t="s">
        <v>108</v>
      </c>
      <c r="F79" s="36" t="s">
        <v>109</v>
      </c>
      <c r="G79" s="237">
        <v>0.1</v>
      </c>
      <c r="H79" s="237">
        <v>0.5</v>
      </c>
      <c r="I79" s="236">
        <f t="shared" si="4"/>
        <v>2</v>
      </c>
      <c r="J79" s="236">
        <f t="shared" si="4"/>
        <v>10</v>
      </c>
      <c r="K79" s="236">
        <v>2</v>
      </c>
      <c r="L79" s="46"/>
      <c r="M79" s="46"/>
      <c r="N79" s="46"/>
      <c r="O79" s="189"/>
      <c r="P79" s="46"/>
      <c r="Q79" s="46"/>
      <c r="R79" s="46"/>
      <c r="S79" s="46"/>
      <c r="T79" s="46"/>
      <c r="U79" s="46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192">
        <f>27</f>
        <v>27</v>
      </c>
      <c r="BQ79" s="46"/>
      <c r="BR79" s="46"/>
      <c r="BS79" s="46"/>
      <c r="BT79" s="50">
        <f t="shared" si="5"/>
        <v>27</v>
      </c>
      <c r="BU79" s="249"/>
    </row>
    <row r="80" spans="1:73" s="47" customFormat="1" ht="16" customHeight="1" x14ac:dyDescent="0.15">
      <c r="A80" s="193" t="s">
        <v>866</v>
      </c>
      <c r="B80" s="193" t="s">
        <v>649</v>
      </c>
      <c r="C80" s="193" t="s">
        <v>867</v>
      </c>
      <c r="D80" s="193" t="s">
        <v>868</v>
      </c>
      <c r="E80" s="36" t="s">
        <v>203</v>
      </c>
      <c r="F80" s="36" t="s">
        <v>204</v>
      </c>
      <c r="G80" s="221">
        <v>0.15</v>
      </c>
      <c r="H80" s="221">
        <v>1.3</v>
      </c>
      <c r="I80" s="193">
        <f t="shared" si="4"/>
        <v>3</v>
      </c>
      <c r="J80" s="193">
        <f t="shared" si="4"/>
        <v>26</v>
      </c>
      <c r="K80" s="193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6"/>
      <c r="AG80" s="46"/>
      <c r="AH80" s="46"/>
      <c r="AI80" s="46"/>
      <c r="AJ80" s="194">
        <f>42</f>
        <v>42</v>
      </c>
      <c r="AK80" s="194">
        <f>25</f>
        <v>25</v>
      </c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50">
        <f t="shared" si="5"/>
        <v>67</v>
      </c>
      <c r="BU80" s="249"/>
    </row>
    <row r="81" spans="1:73" s="47" customFormat="1" ht="16" customHeight="1" x14ac:dyDescent="0.15">
      <c r="A81" s="193" t="s">
        <v>869</v>
      </c>
      <c r="B81" s="193" t="s">
        <v>649</v>
      </c>
      <c r="C81" s="193" t="s">
        <v>867</v>
      </c>
      <c r="D81" s="193" t="s">
        <v>870</v>
      </c>
      <c r="E81" s="36" t="s">
        <v>203</v>
      </c>
      <c r="F81" s="36" t="s">
        <v>204</v>
      </c>
      <c r="G81" s="221">
        <v>0.2</v>
      </c>
      <c r="H81" s="221">
        <v>0.4</v>
      </c>
      <c r="I81" s="193">
        <f t="shared" si="4"/>
        <v>4</v>
      </c>
      <c r="J81" s="193">
        <f t="shared" si="4"/>
        <v>8</v>
      </c>
      <c r="K81" s="193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6"/>
      <c r="AG81" s="46"/>
      <c r="AH81" s="46"/>
      <c r="AI81" s="46"/>
      <c r="AJ81" s="46"/>
      <c r="AK81" s="46"/>
      <c r="AL81" s="46"/>
      <c r="AM81" s="46"/>
      <c r="AN81" s="46"/>
      <c r="AO81" s="189">
        <v>2</v>
      </c>
      <c r="AP81" s="46"/>
      <c r="AQ81" s="46"/>
      <c r="AR81" s="46"/>
      <c r="AS81" s="46"/>
      <c r="AT81" s="194">
        <f>46</f>
        <v>46</v>
      </c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192">
        <f>31</f>
        <v>31</v>
      </c>
      <c r="BM81" s="46"/>
      <c r="BN81" s="46"/>
      <c r="BO81" s="46"/>
      <c r="BQ81" s="46"/>
      <c r="BR81" s="46"/>
      <c r="BS81" s="46"/>
      <c r="BT81" s="50">
        <f t="shared" si="5"/>
        <v>79</v>
      </c>
      <c r="BU81" s="249"/>
    </row>
    <row r="82" spans="1:73" s="47" customFormat="1" ht="16" customHeight="1" x14ac:dyDescent="0.15">
      <c r="A82" s="193" t="s">
        <v>871</v>
      </c>
      <c r="B82" s="193" t="s">
        <v>649</v>
      </c>
      <c r="C82" s="193" t="s">
        <v>867</v>
      </c>
      <c r="D82" s="193" t="s">
        <v>872</v>
      </c>
      <c r="E82" s="36" t="s">
        <v>203</v>
      </c>
      <c r="F82" s="36" t="s">
        <v>204</v>
      </c>
      <c r="G82" s="221">
        <v>0.2</v>
      </c>
      <c r="H82" s="221">
        <v>0.5</v>
      </c>
      <c r="I82" s="193">
        <f t="shared" si="4"/>
        <v>4</v>
      </c>
      <c r="J82" s="193">
        <f t="shared" si="4"/>
        <v>10</v>
      </c>
      <c r="K82" s="193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5"/>
      <c r="W82" s="45"/>
      <c r="X82" s="45"/>
      <c r="Y82" s="45"/>
      <c r="Z82" s="45"/>
      <c r="AA82" s="45"/>
      <c r="AB82" s="45"/>
      <c r="AC82" s="45"/>
      <c r="AD82" s="197">
        <f>62</f>
        <v>62</v>
      </c>
      <c r="AE82" s="45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192">
        <f>76</f>
        <v>76</v>
      </c>
      <c r="BN82" s="46"/>
      <c r="BO82" s="46"/>
      <c r="BP82" s="46"/>
      <c r="BQ82" s="46"/>
      <c r="BR82" s="46"/>
      <c r="BS82" s="46"/>
      <c r="BT82" s="50">
        <f t="shared" si="5"/>
        <v>138</v>
      </c>
      <c r="BU82" s="249"/>
    </row>
    <row r="83" spans="1:73" ht="16" customHeight="1" x14ac:dyDescent="0.15">
      <c r="A83" s="250" t="s">
        <v>873</v>
      </c>
      <c r="B83" s="251" t="s">
        <v>649</v>
      </c>
      <c r="C83" s="193" t="s">
        <v>867</v>
      </c>
      <c r="D83" s="251" t="s">
        <v>874</v>
      </c>
      <c r="E83" s="252" t="s">
        <v>203</v>
      </c>
      <c r="F83" s="36" t="s">
        <v>204</v>
      </c>
      <c r="G83" s="253">
        <v>0.2</v>
      </c>
      <c r="H83" s="253">
        <v>0.6</v>
      </c>
      <c r="I83" s="254">
        <f t="shared" si="4"/>
        <v>4</v>
      </c>
      <c r="J83" s="254">
        <f t="shared" si="4"/>
        <v>12</v>
      </c>
      <c r="K83" s="254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255"/>
      <c r="W83" s="256">
        <v>4</v>
      </c>
      <c r="X83" s="255"/>
      <c r="Y83" s="256">
        <v>10</v>
      </c>
      <c r="Z83" s="255"/>
      <c r="AA83" s="255"/>
      <c r="AB83" s="255"/>
      <c r="AC83" s="255"/>
      <c r="AD83" s="255"/>
      <c r="AE83" s="255"/>
      <c r="AF83" s="187">
        <f>107</f>
        <v>107</v>
      </c>
      <c r="AG83" s="198"/>
      <c r="AH83" s="198"/>
      <c r="AI83" s="198"/>
      <c r="AJ83" s="46"/>
      <c r="AK83" s="46"/>
      <c r="AL83" s="198"/>
      <c r="AM83" s="198"/>
      <c r="AN83" s="198"/>
      <c r="AO83" s="198"/>
      <c r="AP83" s="198"/>
      <c r="AQ83" s="198"/>
      <c r="AR83" s="198"/>
      <c r="AS83" s="198"/>
      <c r="AT83" s="198"/>
      <c r="AU83" s="198"/>
      <c r="AV83" s="198"/>
      <c r="AW83" s="198"/>
      <c r="AX83" s="198"/>
      <c r="AY83" s="198"/>
      <c r="AZ83" s="187">
        <f>59+26</f>
        <v>85</v>
      </c>
      <c r="BA83" s="198"/>
      <c r="BB83" s="187">
        <f>112</f>
        <v>112</v>
      </c>
      <c r="BC83" s="198"/>
      <c r="BD83" s="187">
        <f>89</f>
        <v>89</v>
      </c>
      <c r="BE83" s="198"/>
      <c r="BF83" s="198"/>
      <c r="BG83" s="198"/>
      <c r="BH83" s="198"/>
      <c r="BI83" s="198"/>
      <c r="BJ83" s="46"/>
      <c r="BK83" s="192">
        <f>116</f>
        <v>116</v>
      </c>
      <c r="BL83" s="46"/>
      <c r="BM83" s="189">
        <v>18</v>
      </c>
      <c r="BN83" s="46"/>
      <c r="BO83" s="46"/>
      <c r="BP83" s="192">
        <f>40</f>
        <v>40</v>
      </c>
      <c r="BQ83" s="46"/>
      <c r="BR83" s="46"/>
      <c r="BS83" s="46"/>
      <c r="BT83" s="50">
        <f t="shared" si="5"/>
        <v>581</v>
      </c>
    </row>
    <row r="84" spans="1:73" ht="16" customHeight="1" x14ac:dyDescent="0.15">
      <c r="A84" s="219" t="s">
        <v>875</v>
      </c>
      <c r="B84" s="251" t="s">
        <v>649</v>
      </c>
      <c r="C84" s="193" t="s">
        <v>867</v>
      </c>
      <c r="D84" s="251" t="s">
        <v>876</v>
      </c>
      <c r="E84" s="252" t="s">
        <v>203</v>
      </c>
      <c r="F84" s="36" t="s">
        <v>204</v>
      </c>
      <c r="G84" s="221">
        <v>0.2</v>
      </c>
      <c r="H84" s="221">
        <v>1</v>
      </c>
      <c r="I84" s="193">
        <f t="shared" si="4"/>
        <v>4</v>
      </c>
      <c r="J84" s="193">
        <f t="shared" si="4"/>
        <v>20</v>
      </c>
      <c r="K84" s="193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5"/>
      <c r="W84" s="45"/>
      <c r="X84" s="45"/>
      <c r="Y84" s="45"/>
      <c r="Z84" s="45"/>
      <c r="AA84" s="197">
        <v>22</v>
      </c>
      <c r="AB84" s="45"/>
      <c r="AC84" s="197">
        <v>38</v>
      </c>
      <c r="AD84" s="45"/>
      <c r="AE84" s="197">
        <f>22</f>
        <v>22</v>
      </c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194">
        <f>31</f>
        <v>31</v>
      </c>
      <c r="BH84" s="46"/>
      <c r="BI84" s="46"/>
      <c r="BJ84" s="192">
        <f>3</f>
        <v>3</v>
      </c>
      <c r="BK84" s="46"/>
      <c r="BL84" s="46"/>
      <c r="BM84" s="46"/>
      <c r="BN84" s="46"/>
      <c r="BO84" s="46"/>
      <c r="BP84" s="225"/>
      <c r="BQ84" s="46"/>
      <c r="BR84" s="46"/>
      <c r="BS84" s="46"/>
      <c r="BT84" s="50">
        <f t="shared" si="5"/>
        <v>116</v>
      </c>
    </row>
    <row r="85" spans="1:73" ht="16" customHeight="1" x14ac:dyDescent="0.15">
      <c r="A85" s="219" t="s">
        <v>877</v>
      </c>
      <c r="B85" s="251" t="s">
        <v>649</v>
      </c>
      <c r="C85" s="193" t="s">
        <v>867</v>
      </c>
      <c r="D85" s="251" t="s">
        <v>878</v>
      </c>
      <c r="E85" s="252" t="s">
        <v>203</v>
      </c>
      <c r="F85" s="36" t="s">
        <v>204</v>
      </c>
      <c r="G85" s="221">
        <v>0.2</v>
      </c>
      <c r="H85" s="221">
        <v>1.3</v>
      </c>
      <c r="I85" s="193">
        <f t="shared" si="4"/>
        <v>4</v>
      </c>
      <c r="J85" s="193">
        <f t="shared" si="4"/>
        <v>26</v>
      </c>
      <c r="K85" s="193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6"/>
      <c r="AG85" s="194">
        <f>37</f>
        <v>37</v>
      </c>
      <c r="AH85" s="194">
        <f>84</f>
        <v>84</v>
      </c>
      <c r="AI85" s="194">
        <f>20</f>
        <v>20</v>
      </c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194">
        <f>39</f>
        <v>39</v>
      </c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50">
        <f t="shared" si="5"/>
        <v>180</v>
      </c>
    </row>
    <row r="86" spans="1:73" ht="16" customHeight="1" x14ac:dyDescent="0.15">
      <c r="A86" s="257" t="s">
        <v>879</v>
      </c>
      <c r="B86" s="258" t="s">
        <v>649</v>
      </c>
      <c r="C86" s="258" t="s">
        <v>174</v>
      </c>
      <c r="D86" s="258" t="s">
        <v>880</v>
      </c>
      <c r="E86" s="259" t="s">
        <v>90</v>
      </c>
      <c r="F86" s="259" t="s">
        <v>91</v>
      </c>
      <c r="G86" s="206"/>
      <c r="H86" s="206"/>
      <c r="I86" s="207">
        <v>5.5</v>
      </c>
      <c r="J86" s="207">
        <v>5.5</v>
      </c>
      <c r="K86" s="207"/>
      <c r="L86" s="189">
        <v>142</v>
      </c>
      <c r="M86" s="189">
        <v>146</v>
      </c>
      <c r="N86" s="189">
        <v>74</v>
      </c>
      <c r="O86" s="218">
        <v>79</v>
      </c>
      <c r="P86" s="189">
        <v>38</v>
      </c>
      <c r="Q86" s="189">
        <v>52</v>
      </c>
      <c r="R86" s="189">
        <f>34</f>
        <v>34</v>
      </c>
      <c r="S86" s="189">
        <f>145</f>
        <v>145</v>
      </c>
      <c r="T86" s="189">
        <f>159</f>
        <v>159</v>
      </c>
      <c r="U86" s="189">
        <f>193</f>
        <v>193</v>
      </c>
      <c r="V86" s="197">
        <v>242</v>
      </c>
      <c r="W86" s="197">
        <v>191</v>
      </c>
      <c r="X86" s="218">
        <v>183</v>
      </c>
      <c r="Y86" s="197">
        <v>200</v>
      </c>
      <c r="Z86" s="197">
        <v>274</v>
      </c>
      <c r="AA86" s="197">
        <v>270</v>
      </c>
      <c r="AB86" s="197">
        <v>271</v>
      </c>
      <c r="AC86" s="197">
        <v>163</v>
      </c>
      <c r="AD86" s="197">
        <v>209</v>
      </c>
      <c r="AE86" s="197">
        <v>162</v>
      </c>
      <c r="AF86" s="194">
        <v>119</v>
      </c>
      <c r="AG86" s="194">
        <f>118</f>
        <v>118</v>
      </c>
      <c r="AH86" s="194">
        <v>125</v>
      </c>
      <c r="AI86" s="194">
        <f>64</f>
        <v>64</v>
      </c>
      <c r="AJ86" s="194">
        <f>123</f>
        <v>123</v>
      </c>
      <c r="AK86" s="194">
        <f>168</f>
        <v>168</v>
      </c>
      <c r="AL86" s="194">
        <f>133</f>
        <v>133</v>
      </c>
      <c r="AM86" s="194">
        <f>106</f>
        <v>106</v>
      </c>
      <c r="AN86" s="194">
        <f>87</f>
        <v>87</v>
      </c>
      <c r="AO86" s="194">
        <v>209</v>
      </c>
      <c r="AP86" s="194">
        <f>108</f>
        <v>108</v>
      </c>
      <c r="AQ86" s="194">
        <f>413</f>
        <v>413</v>
      </c>
      <c r="AR86" s="194">
        <f>271</f>
        <v>271</v>
      </c>
      <c r="AS86" s="194">
        <f>268</f>
        <v>268</v>
      </c>
      <c r="AT86" s="194">
        <f>212</f>
        <v>212</v>
      </c>
      <c r="AU86" s="194">
        <f>260</f>
        <v>260</v>
      </c>
      <c r="AV86" s="194">
        <v>267</v>
      </c>
      <c r="AW86" s="194">
        <f>100</f>
        <v>100</v>
      </c>
      <c r="AX86" s="194">
        <f>159</f>
        <v>159</v>
      </c>
      <c r="AY86" s="194">
        <f>117</f>
        <v>117</v>
      </c>
      <c r="AZ86" s="194">
        <f>72+3+8+2+69</f>
        <v>154</v>
      </c>
      <c r="BA86" s="194">
        <f>4+108</f>
        <v>112</v>
      </c>
      <c r="BB86" s="194">
        <f>102</f>
        <v>102</v>
      </c>
      <c r="BC86" s="194">
        <f>107</f>
        <v>107</v>
      </c>
      <c r="BD86" s="194">
        <f>136</f>
        <v>136</v>
      </c>
      <c r="BE86" s="194">
        <f>204</f>
        <v>204</v>
      </c>
      <c r="BF86" s="194">
        <f>127</f>
        <v>127</v>
      </c>
      <c r="BG86" s="194">
        <f>223</f>
        <v>223</v>
      </c>
      <c r="BH86" s="209">
        <v>90</v>
      </c>
      <c r="BI86" s="194">
        <f>135</f>
        <v>135</v>
      </c>
      <c r="BJ86" s="192">
        <f>32</f>
        <v>32</v>
      </c>
      <c r="BK86" s="192">
        <v>113</v>
      </c>
      <c r="BL86" s="192">
        <v>181</v>
      </c>
      <c r="BM86" s="192">
        <v>168</v>
      </c>
      <c r="BN86" s="192">
        <f>138+14</f>
        <v>152</v>
      </c>
      <c r="BO86" s="210">
        <v>127</v>
      </c>
      <c r="BP86" s="192">
        <f>374</f>
        <v>374</v>
      </c>
      <c r="BQ86" s="210">
        <v>112</v>
      </c>
      <c r="BR86" s="192">
        <f>92</f>
        <v>92</v>
      </c>
      <c r="BS86" s="192">
        <f>108</f>
        <v>108</v>
      </c>
      <c r="BT86" s="50">
        <f t="shared" si="5"/>
        <v>9503</v>
      </c>
    </row>
    <row r="87" spans="1:73" ht="16" customHeight="1" x14ac:dyDescent="0.15">
      <c r="A87" s="260" t="s">
        <v>881</v>
      </c>
      <c r="B87" s="261" t="s">
        <v>649</v>
      </c>
      <c r="C87" s="261" t="s">
        <v>174</v>
      </c>
      <c r="D87" s="261" t="s">
        <v>882</v>
      </c>
      <c r="E87" s="259" t="s">
        <v>90</v>
      </c>
      <c r="F87" s="259" t="s">
        <v>91</v>
      </c>
      <c r="G87" s="262"/>
      <c r="H87" s="262"/>
      <c r="I87" s="263">
        <v>9.5</v>
      </c>
      <c r="J87" s="263">
        <v>9.5</v>
      </c>
      <c r="K87" s="263"/>
      <c r="L87" s="247">
        <v>29</v>
      </c>
      <c r="M87" s="264">
        <v>25</v>
      </c>
      <c r="N87" s="247">
        <f>1+6</f>
        <v>7</v>
      </c>
      <c r="O87" s="264">
        <v>17</v>
      </c>
      <c r="P87" s="247">
        <v>10</v>
      </c>
      <c r="Q87" s="247">
        <v>11</v>
      </c>
      <c r="R87" s="247">
        <f>7</f>
        <v>7</v>
      </c>
      <c r="S87" s="247">
        <f>36</f>
        <v>36</v>
      </c>
      <c r="T87" s="247">
        <f>33</f>
        <v>33</v>
      </c>
      <c r="U87" s="247">
        <f>29</f>
        <v>29</v>
      </c>
      <c r="V87" s="265">
        <v>62</v>
      </c>
      <c r="W87" s="265">
        <v>14</v>
      </c>
      <c r="X87" s="264">
        <v>18</v>
      </c>
      <c r="Y87" s="265">
        <v>14</v>
      </c>
      <c r="Z87" s="265">
        <v>11</v>
      </c>
      <c r="AA87" s="265">
        <v>25</v>
      </c>
      <c r="AB87" s="265">
        <v>14</v>
      </c>
      <c r="AC87" s="265">
        <v>7</v>
      </c>
      <c r="AD87" s="265">
        <v>20</v>
      </c>
      <c r="AE87" s="265">
        <v>20</v>
      </c>
      <c r="AF87" s="266">
        <v>112</v>
      </c>
      <c r="AG87" s="266">
        <f>38</f>
        <v>38</v>
      </c>
      <c r="AH87" s="266">
        <f>13</f>
        <v>13</v>
      </c>
      <c r="AI87" s="266">
        <f>17</f>
        <v>17</v>
      </c>
      <c r="AJ87" s="266">
        <f>16</f>
        <v>16</v>
      </c>
      <c r="AK87" s="266">
        <f>8</f>
        <v>8</v>
      </c>
      <c r="AL87" s="266">
        <f>4</f>
        <v>4</v>
      </c>
      <c r="AM87" s="266">
        <f>16</f>
        <v>16</v>
      </c>
      <c r="AN87" s="266">
        <f>2</f>
        <v>2</v>
      </c>
      <c r="AO87" s="266">
        <v>15</v>
      </c>
      <c r="AP87" s="266">
        <f>70</f>
        <v>70</v>
      </c>
      <c r="AQ87" s="266">
        <f>56</f>
        <v>56</v>
      </c>
      <c r="AR87" s="266">
        <f>13</f>
        <v>13</v>
      </c>
      <c r="AS87" s="266">
        <f>16</f>
        <v>16</v>
      </c>
      <c r="AT87" s="266">
        <f>14</f>
        <v>14</v>
      </c>
      <c r="AU87" s="266">
        <f>39</f>
        <v>39</v>
      </c>
      <c r="AV87" s="266">
        <f>24+3</f>
        <v>27</v>
      </c>
      <c r="AW87" s="266">
        <f>17</f>
        <v>17</v>
      </c>
      <c r="AX87" s="266">
        <f>20</f>
        <v>20</v>
      </c>
      <c r="AY87" s="266">
        <f>27</f>
        <v>27</v>
      </c>
      <c r="AZ87" s="246"/>
      <c r="BA87" s="266">
        <f>22</f>
        <v>22</v>
      </c>
      <c r="BB87" s="266">
        <f>20</f>
        <v>20</v>
      </c>
      <c r="BC87" s="266">
        <f>44</f>
        <v>44</v>
      </c>
      <c r="BD87" s="266">
        <f>9</f>
        <v>9</v>
      </c>
      <c r="BE87" s="266">
        <f>10+2</f>
        <v>12</v>
      </c>
      <c r="BF87" s="266">
        <f>15</f>
        <v>15</v>
      </c>
      <c r="BG87" s="266">
        <f>35</f>
        <v>35</v>
      </c>
      <c r="BH87" s="267">
        <v>19</v>
      </c>
      <c r="BI87" s="266">
        <f>26</f>
        <v>26</v>
      </c>
      <c r="BJ87" s="192">
        <f>16</f>
        <v>16</v>
      </c>
      <c r="BK87" s="268">
        <v>15</v>
      </c>
      <c r="BL87" s="268">
        <v>20</v>
      </c>
      <c r="BM87" s="268">
        <v>23</v>
      </c>
      <c r="BN87" s="268">
        <v>15</v>
      </c>
      <c r="BO87" s="269">
        <v>50</v>
      </c>
      <c r="BP87" s="268">
        <f>109</f>
        <v>109</v>
      </c>
      <c r="BQ87" s="269">
        <v>37</v>
      </c>
      <c r="BR87" s="268">
        <f>61</f>
        <v>61</v>
      </c>
      <c r="BS87" s="268">
        <f>103</f>
        <v>103</v>
      </c>
      <c r="BT87" s="50">
        <f t="shared" si="5"/>
        <v>1600</v>
      </c>
    </row>
    <row r="88" spans="1:73" s="47" customFormat="1" ht="16" customHeight="1" x14ac:dyDescent="0.15">
      <c r="A88" s="257" t="s">
        <v>883</v>
      </c>
      <c r="B88" s="261" t="s">
        <v>649</v>
      </c>
      <c r="C88" s="261" t="s">
        <v>174</v>
      </c>
      <c r="D88" s="261" t="s">
        <v>884</v>
      </c>
      <c r="E88" s="259" t="s">
        <v>90</v>
      </c>
      <c r="F88" s="259" t="s">
        <v>91</v>
      </c>
      <c r="G88" s="206"/>
      <c r="H88" s="206"/>
      <c r="I88" s="207">
        <v>14</v>
      </c>
      <c r="J88" s="207">
        <v>14</v>
      </c>
      <c r="K88" s="207"/>
      <c r="L88" s="46"/>
      <c r="M88" s="46"/>
      <c r="N88" s="46"/>
      <c r="O88" s="46"/>
      <c r="P88" s="46"/>
      <c r="Q88" s="46"/>
      <c r="R88" s="46"/>
      <c r="S88" s="189">
        <f>4</f>
        <v>4</v>
      </c>
      <c r="T88" s="46"/>
      <c r="U88" s="189">
        <f>4</f>
        <v>4</v>
      </c>
      <c r="V88" s="197">
        <v>25</v>
      </c>
      <c r="W88" s="45"/>
      <c r="X88" s="45"/>
      <c r="Y88" s="45"/>
      <c r="Z88" s="45"/>
      <c r="AA88" s="45"/>
      <c r="AB88" s="45"/>
      <c r="AC88" s="45"/>
      <c r="AD88" s="45"/>
      <c r="AE88" s="45"/>
      <c r="AF88" s="194">
        <f>14</f>
        <v>14</v>
      </c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194">
        <f>3</f>
        <v>3</v>
      </c>
      <c r="AR88" s="46"/>
      <c r="AS88" s="46"/>
      <c r="AT88" s="194">
        <f>8</f>
        <v>8</v>
      </c>
      <c r="AU88" s="194">
        <f>7</f>
        <v>7</v>
      </c>
      <c r="AV88" s="194">
        <f>3</f>
        <v>3</v>
      </c>
      <c r="AW88" s="46"/>
      <c r="AX88" s="46"/>
      <c r="AY88" s="46"/>
      <c r="AZ88" s="46"/>
      <c r="BA88" s="46"/>
      <c r="BB88" s="194">
        <f>2</f>
        <v>2</v>
      </c>
      <c r="BC88" s="194">
        <f>11+2</f>
        <v>13</v>
      </c>
      <c r="BD88" s="194">
        <f>5</f>
        <v>5</v>
      </c>
      <c r="BE88" s="194">
        <f>2</f>
        <v>2</v>
      </c>
      <c r="BF88" s="194">
        <f>4</f>
        <v>4</v>
      </c>
      <c r="BG88" s="194">
        <f>1</f>
        <v>1</v>
      </c>
      <c r="BH88" s="46"/>
      <c r="BI88" s="46"/>
      <c r="BJ88" s="189">
        <f>7+3</f>
        <v>10</v>
      </c>
      <c r="BK88" s="192">
        <v>6</v>
      </c>
      <c r="BL88" s="192">
        <v>9</v>
      </c>
      <c r="BM88" s="192">
        <v>16</v>
      </c>
      <c r="BN88" s="192">
        <v>10</v>
      </c>
      <c r="BO88" s="210">
        <v>31</v>
      </c>
      <c r="BP88" s="192">
        <f>6</f>
        <v>6</v>
      </c>
      <c r="BQ88" s="210">
        <v>12</v>
      </c>
      <c r="BR88" s="192">
        <f>10</f>
        <v>10</v>
      </c>
      <c r="BS88" s="192">
        <f>30</f>
        <v>30</v>
      </c>
      <c r="BT88" s="50">
        <f t="shared" si="5"/>
        <v>235</v>
      </c>
    </row>
    <row r="90" spans="1:73" ht="15" x14ac:dyDescent="0.15">
      <c r="A90" s="172" t="s">
        <v>722</v>
      </c>
      <c r="B90"/>
      <c r="C90"/>
      <c r="D90"/>
      <c r="E90"/>
      <c r="F90"/>
      <c r="G90"/>
      <c r="H90"/>
      <c r="I90"/>
      <c r="J90" s="170"/>
      <c r="K90" s="171"/>
      <c r="L90" s="173">
        <f>SUM(L12:L88)</f>
        <v>1339</v>
      </c>
      <c r="M90" s="173">
        <f t="shared" ref="M90:BT90" si="6">SUM(M12:M88)</f>
        <v>1211</v>
      </c>
      <c r="N90" s="173">
        <f t="shared" si="6"/>
        <v>532</v>
      </c>
      <c r="O90" s="173">
        <f t="shared" si="6"/>
        <v>819</v>
      </c>
      <c r="P90" s="173">
        <f t="shared" si="6"/>
        <v>433</v>
      </c>
      <c r="Q90" s="173">
        <f t="shared" si="6"/>
        <v>505</v>
      </c>
      <c r="R90" s="173">
        <f t="shared" si="6"/>
        <v>260</v>
      </c>
      <c r="S90" s="173">
        <f t="shared" si="6"/>
        <v>984</v>
      </c>
      <c r="T90" s="173">
        <f t="shared" si="6"/>
        <v>1111</v>
      </c>
      <c r="U90" s="173">
        <f t="shared" si="6"/>
        <v>1015</v>
      </c>
      <c r="V90" s="173">
        <f t="shared" si="6"/>
        <v>1076</v>
      </c>
      <c r="W90" s="173">
        <f t="shared" si="6"/>
        <v>1371</v>
      </c>
      <c r="X90" s="173">
        <f t="shared" si="6"/>
        <v>1227</v>
      </c>
      <c r="Y90" s="173">
        <f t="shared" si="6"/>
        <v>1569</v>
      </c>
      <c r="Z90" s="173">
        <f t="shared" si="6"/>
        <v>1477</v>
      </c>
      <c r="AA90" s="173">
        <f t="shared" si="6"/>
        <v>1831</v>
      </c>
      <c r="AB90" s="173">
        <f t="shared" si="6"/>
        <v>1640</v>
      </c>
      <c r="AC90" s="173">
        <f t="shared" si="6"/>
        <v>1730</v>
      </c>
      <c r="AD90" s="173">
        <f t="shared" si="6"/>
        <v>2057</v>
      </c>
      <c r="AE90" s="173">
        <f t="shared" si="6"/>
        <v>1974</v>
      </c>
      <c r="AF90" s="173">
        <f t="shared" si="6"/>
        <v>542</v>
      </c>
      <c r="AG90" s="173">
        <f t="shared" si="6"/>
        <v>1775</v>
      </c>
      <c r="AH90" s="173">
        <f t="shared" si="6"/>
        <v>888</v>
      </c>
      <c r="AI90" s="173">
        <f t="shared" si="6"/>
        <v>1018</v>
      </c>
      <c r="AJ90" s="173">
        <f t="shared" si="6"/>
        <v>751</v>
      </c>
      <c r="AK90" s="173">
        <f t="shared" si="6"/>
        <v>1924</v>
      </c>
      <c r="AL90" s="173">
        <f t="shared" si="6"/>
        <v>926</v>
      </c>
      <c r="AM90" s="173">
        <f t="shared" si="6"/>
        <v>1471</v>
      </c>
      <c r="AN90" s="173">
        <f t="shared" si="6"/>
        <v>1126</v>
      </c>
      <c r="AO90" s="173">
        <f t="shared" si="6"/>
        <v>1995</v>
      </c>
      <c r="AP90" s="173">
        <f t="shared" si="6"/>
        <v>461</v>
      </c>
      <c r="AQ90" s="173">
        <f t="shared" si="6"/>
        <v>1076</v>
      </c>
      <c r="AR90" s="173">
        <f t="shared" si="6"/>
        <v>744</v>
      </c>
      <c r="AS90" s="173">
        <f t="shared" si="6"/>
        <v>772</v>
      </c>
      <c r="AT90" s="173">
        <f t="shared" si="6"/>
        <v>828</v>
      </c>
      <c r="AU90" s="173">
        <f t="shared" si="6"/>
        <v>1044</v>
      </c>
      <c r="AV90" s="173">
        <f t="shared" si="6"/>
        <v>858</v>
      </c>
      <c r="AW90" s="173">
        <f t="shared" si="6"/>
        <v>757</v>
      </c>
      <c r="AX90" s="173">
        <f t="shared" si="6"/>
        <v>879</v>
      </c>
      <c r="AY90" s="173">
        <f t="shared" si="6"/>
        <v>995</v>
      </c>
      <c r="AZ90" s="173">
        <f t="shared" si="6"/>
        <v>268</v>
      </c>
      <c r="BA90" s="173">
        <f t="shared" si="6"/>
        <v>586</v>
      </c>
      <c r="BB90" s="173">
        <f t="shared" si="6"/>
        <v>435</v>
      </c>
      <c r="BC90" s="173">
        <f t="shared" si="6"/>
        <v>720</v>
      </c>
      <c r="BD90" s="173">
        <f t="shared" si="6"/>
        <v>605</v>
      </c>
      <c r="BE90" s="173">
        <f t="shared" si="6"/>
        <v>1497</v>
      </c>
      <c r="BF90" s="173">
        <f t="shared" si="6"/>
        <v>798</v>
      </c>
      <c r="BG90" s="173">
        <f t="shared" si="6"/>
        <v>868</v>
      </c>
      <c r="BH90" s="173">
        <f t="shared" si="6"/>
        <v>613</v>
      </c>
      <c r="BI90" s="173">
        <f t="shared" si="6"/>
        <v>639</v>
      </c>
      <c r="BJ90" s="173">
        <f t="shared" si="6"/>
        <v>171</v>
      </c>
      <c r="BK90" s="173">
        <f t="shared" si="6"/>
        <v>663</v>
      </c>
      <c r="BL90" s="173">
        <f t="shared" si="6"/>
        <v>576</v>
      </c>
      <c r="BM90" s="173">
        <f t="shared" si="6"/>
        <v>848</v>
      </c>
      <c r="BN90" s="173">
        <f t="shared" si="6"/>
        <v>390</v>
      </c>
      <c r="BO90" s="173">
        <f t="shared" si="6"/>
        <v>1148</v>
      </c>
      <c r="BP90" s="173">
        <f t="shared" si="6"/>
        <v>1492</v>
      </c>
      <c r="BQ90" s="173">
        <f t="shared" si="6"/>
        <v>843</v>
      </c>
      <c r="BR90" s="173">
        <f t="shared" si="6"/>
        <v>820</v>
      </c>
      <c r="BS90" s="173">
        <f t="shared" si="6"/>
        <v>971</v>
      </c>
      <c r="BT90" s="173">
        <f t="shared" si="6"/>
        <v>59942</v>
      </c>
    </row>
    <row r="91" spans="1:73" ht="16" thickBot="1" x14ac:dyDescent="0.2">
      <c r="A91" s="174" t="s">
        <v>723</v>
      </c>
      <c r="B91" s="175"/>
      <c r="C91" s="175"/>
      <c r="D91" s="175"/>
      <c r="E91" s="175"/>
      <c r="F91" s="175"/>
      <c r="G91" s="175"/>
      <c r="H91" s="175"/>
      <c r="I91" s="175"/>
      <c r="J91" s="176"/>
      <c r="K91" s="177"/>
      <c r="L91" s="178">
        <v>1339</v>
      </c>
      <c r="M91" s="178">
        <v>1211</v>
      </c>
      <c r="N91" s="178"/>
      <c r="O91" s="178"/>
      <c r="P91" s="178"/>
      <c r="Q91" s="178"/>
      <c r="R91" s="178">
        <v>260</v>
      </c>
      <c r="S91" s="178"/>
      <c r="T91" s="178"/>
      <c r="U91" s="178"/>
      <c r="V91" s="178"/>
      <c r="W91" s="178"/>
      <c r="X91" s="178"/>
      <c r="Y91" s="178"/>
      <c r="Z91" s="178"/>
      <c r="AA91" s="178"/>
      <c r="AB91" s="178"/>
      <c r="AC91" s="178"/>
      <c r="AD91" s="178"/>
      <c r="AE91" s="178"/>
      <c r="AF91" s="178"/>
      <c r="AG91" s="178"/>
      <c r="AH91" s="178"/>
      <c r="AI91" s="178"/>
      <c r="AJ91" s="178"/>
      <c r="AK91" s="178"/>
      <c r="AL91" s="178"/>
      <c r="AM91" s="178"/>
      <c r="AN91" s="178"/>
      <c r="AO91" s="178"/>
      <c r="AP91" s="178"/>
      <c r="AQ91" s="178"/>
      <c r="AR91" s="178"/>
      <c r="AS91" s="178"/>
      <c r="AT91" s="178"/>
      <c r="AU91" s="178"/>
      <c r="AV91" s="178"/>
      <c r="AW91" s="178"/>
      <c r="AX91" s="178"/>
      <c r="AY91" s="178"/>
      <c r="AZ91" s="178"/>
      <c r="BA91" s="178"/>
      <c r="BB91" s="178"/>
      <c r="BC91" s="178"/>
      <c r="BD91" s="178"/>
      <c r="BE91" s="178"/>
      <c r="BF91" s="178"/>
      <c r="BG91" s="178"/>
      <c r="BH91" s="178"/>
      <c r="BI91" s="178"/>
      <c r="BJ91" s="178"/>
      <c r="BK91" s="178"/>
      <c r="BL91" s="178"/>
      <c r="BM91" s="178"/>
      <c r="BN91" s="178"/>
      <c r="BO91" s="178"/>
      <c r="BP91" s="178"/>
      <c r="BQ91" s="178"/>
      <c r="BR91" s="178"/>
      <c r="BS91" s="178"/>
      <c r="BT91" s="179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2D3C-7CE9-5D45-878C-38A3A422EA44}">
  <dimension ref="A1:C11"/>
  <sheetViews>
    <sheetView zoomScale="150" zoomScaleNormal="150" workbookViewId="0">
      <selection activeCell="B12" sqref="B12"/>
    </sheetView>
  </sheetViews>
  <sheetFormatPr baseColWidth="10" defaultRowHeight="13" x14ac:dyDescent="0.15"/>
  <sheetData>
    <row r="1" spans="1:3" ht="24" customHeight="1" x14ac:dyDescent="0.15">
      <c r="A1" t="s">
        <v>891</v>
      </c>
      <c r="B1" t="s">
        <v>892</v>
      </c>
    </row>
    <row r="2" spans="1:3" ht="24" customHeight="1" x14ac:dyDescent="0.15">
      <c r="B2" t="s">
        <v>893</v>
      </c>
    </row>
    <row r="3" spans="1:3" x14ac:dyDescent="0.15">
      <c r="C3" t="s">
        <v>894</v>
      </c>
    </row>
    <row r="4" spans="1:3" x14ac:dyDescent="0.15">
      <c r="C4" t="s">
        <v>895</v>
      </c>
    </row>
    <row r="5" spans="1:3" x14ac:dyDescent="0.15">
      <c r="C5" t="s">
        <v>896</v>
      </c>
    </row>
    <row r="6" spans="1:3" x14ac:dyDescent="0.15">
      <c r="C6" t="s">
        <v>897</v>
      </c>
    </row>
    <row r="7" spans="1:3" x14ac:dyDescent="0.15">
      <c r="C7" t="s">
        <v>898</v>
      </c>
    </row>
    <row r="8" spans="1:3" x14ac:dyDescent="0.15">
      <c r="C8" t="s">
        <v>899</v>
      </c>
    </row>
    <row r="9" spans="1:3" x14ac:dyDescent="0.15">
      <c r="C9" t="s">
        <v>900</v>
      </c>
    </row>
    <row r="10" spans="1:3" x14ac:dyDescent="0.15">
      <c r="B10" t="s">
        <v>901</v>
      </c>
    </row>
    <row r="11" spans="1:3" x14ac:dyDescent="0.15">
      <c r="B11" t="s">
        <v>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RawCounts100All</vt:lpstr>
      <vt:lpstr>100xCleaned</vt:lpstr>
      <vt:lpstr>100xforR</vt:lpstr>
      <vt:lpstr>RawCounts400All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Adams</dc:creator>
  <cp:lastModifiedBy>Allison Adams</cp:lastModifiedBy>
  <dcterms:created xsi:type="dcterms:W3CDTF">2022-06-17T21:41:00Z</dcterms:created>
  <dcterms:modified xsi:type="dcterms:W3CDTF">2023-07-24T18:52:12Z</dcterms:modified>
</cp:coreProperties>
</file>