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ebherr-my.sharepoint.com/personal/ajay_sahu_liebherr_com/Documents/Desktop/doc/07082025/"/>
    </mc:Choice>
  </mc:AlternateContent>
  <xr:revisionPtr revIDLastSave="0" documentId="8_{A2DAAC79-1543-4713-B705-C5D886B1CDCF}" xr6:coauthVersionLast="47" xr6:coauthVersionMax="47" xr10:uidLastSave="{00000000-0000-0000-0000-000000000000}"/>
  <bookViews>
    <workbookView xWindow="-28920" yWindow="-1305" windowWidth="29040" windowHeight="15720" xr2:uid="{B940446B-2209-4780-9505-9380051BA98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K32" i="1"/>
  <c r="F31" i="1"/>
  <c r="D30" i="1"/>
  <c r="F30" i="1" s="1"/>
  <c r="F35" i="1" s="1"/>
  <c r="K27" i="1"/>
  <c r="L26" i="1"/>
  <c r="L27" i="1" s="1"/>
  <c r="L32" i="1" s="1"/>
  <c r="L34" i="1" s="1"/>
  <c r="E25" i="1"/>
  <c r="F25" i="1" s="1"/>
  <c r="J21" i="1"/>
  <c r="K21" i="1" s="1"/>
  <c r="L21" i="1" s="1"/>
  <c r="K19" i="1"/>
  <c r="L19" i="1" s="1"/>
  <c r="L22" i="1" s="1"/>
  <c r="J19" i="1"/>
  <c r="L8" i="1"/>
  <c r="L9" i="1" s="1"/>
  <c r="K8" i="1"/>
  <c r="K9" i="1" s="1"/>
  <c r="L7" i="1"/>
  <c r="L4" i="1"/>
  <c r="K4" i="1"/>
  <c r="L3" i="1"/>
  <c r="K11" i="1" s="1"/>
  <c r="K12" i="1" s="1"/>
  <c r="L36" i="1" l="1"/>
  <c r="L10" i="1"/>
  <c r="K36" i="1"/>
  <c r="K10" i="1"/>
  <c r="F24" i="1"/>
  <c r="F23" i="1" s="1"/>
  <c r="F22" i="1" s="1"/>
  <c r="E3" i="1"/>
  <c r="E7" i="1" s="1"/>
  <c r="E8" i="1" s="1"/>
  <c r="E9" i="1" s="1"/>
  <c r="E10" i="1" s="1"/>
  <c r="E11" i="1" s="1"/>
  <c r="L11" i="1"/>
  <c r="L12" i="1" s="1"/>
  <c r="K22" i="1"/>
  <c r="K35" i="1" l="1"/>
  <c r="K14" i="1"/>
  <c r="K38" i="1"/>
  <c r="M3" i="1" s="1"/>
  <c r="L14" i="1"/>
  <c r="L35" i="1"/>
  <c r="L38" i="1"/>
  <c r="M4" i="1" s="1"/>
  <c r="E2" i="1" l="1"/>
  <c r="E4" i="1" l="1"/>
  <c r="E5" i="1" s="1"/>
  <c r="E12" i="1"/>
</calcChain>
</file>

<file path=xl/sharedStrings.xml><?xml version="1.0" encoding="utf-8"?>
<sst xmlns="http://schemas.openxmlformats.org/spreadsheetml/2006/main" count="87" uniqueCount="74">
  <si>
    <t>TOTAL COST ( SHOVEL AND 2 DUMPER)</t>
  </si>
  <si>
    <t>EUR /YEAR</t>
  </si>
  <si>
    <t>COST</t>
  </si>
  <si>
    <t>LIFE IN YEAR</t>
  </si>
  <si>
    <t>TOTAL ALL</t>
  </si>
  <si>
    <t xml:space="preserve">TOTAL PRODUCTION </t>
  </si>
  <si>
    <t>M3 / YEAR</t>
  </si>
  <si>
    <t>Komatsu PC1000-1</t>
  </si>
  <si>
    <t>DRAGLINE COST PER M3</t>
  </si>
  <si>
    <t>EUR</t>
  </si>
  <si>
    <t>Komatsu HD785-7 X 2</t>
  </si>
  <si>
    <t>IN INR</t>
  </si>
  <si>
    <t>INR</t>
  </si>
  <si>
    <t>TOTAL PRODUCTION</t>
  </si>
  <si>
    <t>Associate costs</t>
  </si>
  <si>
    <t>simple</t>
  </si>
  <si>
    <t>m3 /year</t>
  </si>
  <si>
    <t>A</t>
  </si>
  <si>
    <t>COST OF OWNERSHIP</t>
  </si>
  <si>
    <t>Density 1.6</t>
  </si>
  <si>
    <t>ton / year</t>
  </si>
  <si>
    <t>i  )Equipment cost</t>
  </si>
  <si>
    <t>recoverable ore ( stripping raio 7:1)</t>
  </si>
  <si>
    <t>ton ore ( P2O5)</t>
  </si>
  <si>
    <t>ii) Depriciation cost for 5.68 (@4 % annual)</t>
  </si>
  <si>
    <t>Ore Cost (arround 10 eur per ton)</t>
  </si>
  <si>
    <t>eur/year</t>
  </si>
  <si>
    <t>iii)yearly coo (Average yearly investment                           =(N+1 * cost of EQUIPMENT)/ 2N )</t>
  </si>
  <si>
    <t>PROFIT GENRATED BY DRRAGLINE</t>
  </si>
  <si>
    <t>iv) yearly intrest, insurence and tax (@15% year)</t>
  </si>
  <si>
    <t>SHOVEL</t>
  </si>
  <si>
    <t>production in m3/ time</t>
  </si>
  <si>
    <t>COST OF OWNERSHIP (ii+iv)</t>
  </si>
  <si>
    <t>EUR/YEAR</t>
  </si>
  <si>
    <t>BUCKET CAP(M3)</t>
  </si>
  <si>
    <t>cycle time (Sec)</t>
  </si>
  <si>
    <t>B</t>
  </si>
  <si>
    <t>OPERATING COST PER YEAR</t>
  </si>
  <si>
    <t xml:space="preserve">BF FACTOR </t>
  </si>
  <si>
    <t>A. MANPOWER</t>
  </si>
  <si>
    <t>SWELL FACTOR</t>
  </si>
  <si>
    <t>I) OPERATOR COST -3 OPERATOR 600 EURO MONTHLY</t>
  </si>
  <si>
    <t>AVALIBILITY</t>
  </si>
  <si>
    <t>UTLIZATION</t>
  </si>
  <si>
    <t>II) HELPER  -3 OPERATOR 400 EURO MONTHLY</t>
  </si>
  <si>
    <t xml:space="preserve">Machine travel and positioning factor (M) </t>
  </si>
  <si>
    <t>TIME PER SHIFT ( 8 hour per shift)</t>
  </si>
  <si>
    <t>TOTAL</t>
  </si>
  <si>
    <t>number of shift per day ( 3 shift per day)</t>
  </si>
  <si>
    <t>total working day in year (240 working day)</t>
  </si>
  <si>
    <t>B. POWER AND CONSUMPTION</t>
  </si>
  <si>
    <t>production in a year in m3</t>
  </si>
  <si>
    <t>I) POWER REQUIREMENT</t>
  </si>
  <si>
    <t>PER HOUR</t>
  </si>
  <si>
    <t>litre</t>
  </si>
  <si>
    <t>euro/year</t>
  </si>
  <si>
    <t>truck</t>
  </si>
  <si>
    <t xml:space="preserve">Komatsu HD785-7 </t>
  </si>
  <si>
    <t>2 Dumper</t>
  </si>
  <si>
    <t>time (sec)</t>
  </si>
  <si>
    <t>loading</t>
  </si>
  <si>
    <t>Haul</t>
  </si>
  <si>
    <t>10 km/h</t>
  </si>
  <si>
    <t>dump</t>
  </si>
  <si>
    <t>return</t>
  </si>
  <si>
    <t>15km/h</t>
  </si>
  <si>
    <t>spotting and waiting</t>
  </si>
  <si>
    <t>C. Lubrication cost(@30 % of power)</t>
  </si>
  <si>
    <t>D. MAINTAINANCE COST( 20% OF DEPRECIATION)</t>
  </si>
  <si>
    <t>E. BREAKDOWN COST (2% OF COST OF EQUIP)</t>
  </si>
  <si>
    <t>VD</t>
  </si>
  <si>
    <t xml:space="preserve">hd </t>
  </si>
  <si>
    <t>RAMP GRDEIENT 10% as per dgms reg</t>
  </si>
  <si>
    <t xml:space="preserve">capecity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</si>
</sst>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424242"/>
      <name val="Calibri"/>
      <family val="2"/>
    </font>
    <font>
      <b/>
      <sz val="12"/>
      <color rgb="FF42424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FAF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0" fontId="2" fillId="0" borderId="1" xfId="0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3" fillId="0" borderId="1" xfId="0" applyFont="1" applyBorder="1"/>
    <xf numFmtId="1" fontId="1" fillId="3" borderId="1" xfId="0" applyNumberFormat="1" applyFont="1" applyFill="1" applyBorder="1"/>
    <xf numFmtId="0" fontId="1" fillId="0" borderId="2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1" fillId="0" borderId="5" xfId="0" applyFont="1" applyBorder="1"/>
    <xf numFmtId="0" fontId="1" fillId="4" borderId="1" xfId="0" applyFont="1" applyFill="1" applyBorder="1"/>
    <xf numFmtId="0" fontId="1" fillId="0" borderId="1" xfId="0" applyFont="1" applyBorder="1" applyAlignment="1">
      <alignment wrapText="1"/>
    </xf>
    <xf numFmtId="2" fontId="1" fillId="0" borderId="1" xfId="0" applyNumberFormat="1" applyFont="1" applyBorder="1"/>
    <xf numFmtId="0" fontId="1" fillId="5" borderId="0" xfId="0" applyFont="1" applyFill="1"/>
    <xf numFmtId="0" fontId="1" fillId="0" borderId="1" xfId="0" applyFont="1" applyBorder="1" applyAlignment="1">
      <alignment horizontal="left" vertical="top"/>
    </xf>
    <xf numFmtId="1" fontId="2" fillId="0" borderId="1" xfId="0" applyNumberFormat="1" applyFont="1" applyBorder="1"/>
    <xf numFmtId="0" fontId="4" fillId="6" borderId="1" xfId="0" applyFont="1" applyFill="1" applyBorder="1" applyAlignment="1">
      <alignment horizontal="left" vertical="top" wrapText="1" indent="1"/>
    </xf>
    <xf numFmtId="0" fontId="2" fillId="0" borderId="6" xfId="0" applyFont="1" applyBorder="1"/>
    <xf numFmtId="0" fontId="1" fillId="0" borderId="7" xfId="0" applyFont="1" applyBorder="1"/>
    <xf numFmtId="0" fontId="2" fillId="0" borderId="8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6645-17F5-4D76-83D4-61EABB0E3266}">
  <dimension ref="C2:M40"/>
  <sheetViews>
    <sheetView tabSelected="1" workbookViewId="0">
      <selection activeCell="B7" sqref="B7"/>
    </sheetView>
  </sheetViews>
  <sheetFormatPr baseColWidth="10" defaultRowHeight="15.75" x14ac:dyDescent="0.25"/>
  <cols>
    <col min="1" max="2" width="11.42578125" style="1"/>
    <col min="3" max="3" width="10.85546875" style="1" customWidth="1"/>
    <col min="4" max="4" width="40.28515625" style="1" customWidth="1"/>
    <col min="5" max="5" width="20" style="1" customWidth="1"/>
    <col min="6" max="6" width="24" style="1" customWidth="1"/>
    <col min="7" max="8" width="11.42578125" style="1"/>
    <col min="9" max="9" width="9" style="1" customWidth="1"/>
    <col min="10" max="10" width="53.5703125" style="1" customWidth="1"/>
    <col min="11" max="11" width="20.5703125" style="1" customWidth="1"/>
    <col min="12" max="12" width="26.5703125" style="1" customWidth="1"/>
    <col min="13" max="16384" width="11.42578125" style="1"/>
  </cols>
  <sheetData>
    <row r="2" spans="3:13" x14ac:dyDescent="0.25">
      <c r="D2" s="2" t="s">
        <v>0</v>
      </c>
      <c r="E2" s="2">
        <f>M3+M4</f>
        <v>2050999.9879999999</v>
      </c>
      <c r="F2" s="2" t="s">
        <v>1</v>
      </c>
      <c r="J2" s="3"/>
      <c r="K2" s="3" t="s">
        <v>2</v>
      </c>
      <c r="L2" s="3" t="s">
        <v>3</v>
      </c>
      <c r="M2" s="3" t="s">
        <v>4</v>
      </c>
    </row>
    <row r="3" spans="3:13" x14ac:dyDescent="0.25">
      <c r="D3" s="3" t="s">
        <v>5</v>
      </c>
      <c r="E3" s="4">
        <f>F25</f>
        <v>2907114.6239999998</v>
      </c>
      <c r="F3" s="3" t="s">
        <v>6</v>
      </c>
      <c r="J3" s="5" t="s">
        <v>7</v>
      </c>
      <c r="K3" s="3">
        <v>700000</v>
      </c>
      <c r="L3" s="4">
        <f>(30000)/(E22*E23*E24*E19*E20)</f>
        <v>10.253465671396931</v>
      </c>
      <c r="M3" s="4">
        <f>K38</f>
        <v>665380.22</v>
      </c>
    </row>
    <row r="4" spans="3:13" x14ac:dyDescent="0.25">
      <c r="D4" s="6" t="s">
        <v>8</v>
      </c>
      <c r="E4" s="7">
        <f>E2/E3</f>
        <v>0.70551053304460276</v>
      </c>
      <c r="F4" s="6" t="s">
        <v>9</v>
      </c>
      <c r="J4" s="5" t="s">
        <v>10</v>
      </c>
      <c r="K4" s="8">
        <f>2*900000</f>
        <v>1800000</v>
      </c>
      <c r="L4" s="4">
        <f>50000/(E22*E23*E24*E19*E20)</f>
        <v>17.08910945232822</v>
      </c>
      <c r="M4" s="4">
        <f>L38</f>
        <v>1385619.7679999999</v>
      </c>
    </row>
    <row r="5" spans="3:13" x14ac:dyDescent="0.25">
      <c r="D5" s="6" t="s">
        <v>11</v>
      </c>
      <c r="E5" s="9">
        <f>E4*100</f>
        <v>70.551053304460282</v>
      </c>
      <c r="F5" s="6" t="s">
        <v>12</v>
      </c>
    </row>
    <row r="6" spans="3:13" ht="16.5" thickBot="1" x14ac:dyDescent="0.3"/>
    <row r="7" spans="3:13" x14ac:dyDescent="0.25">
      <c r="D7" s="3" t="s">
        <v>13</v>
      </c>
      <c r="E7" s="4">
        <f>E3</f>
        <v>2907114.6239999998</v>
      </c>
      <c r="F7" s="3" t="s">
        <v>6</v>
      </c>
      <c r="I7" s="10"/>
      <c r="J7" s="11" t="s">
        <v>14</v>
      </c>
      <c r="K7" s="12" t="s">
        <v>7</v>
      </c>
      <c r="L7" s="12" t="str">
        <f>J4</f>
        <v>Komatsu HD785-7 X 2</v>
      </c>
      <c r="M7" s="13"/>
    </row>
    <row r="8" spans="3:13" x14ac:dyDescent="0.25">
      <c r="D8" s="3" t="s">
        <v>15</v>
      </c>
      <c r="E8" s="4">
        <f>E7</f>
        <v>2907114.6239999998</v>
      </c>
      <c r="F8" s="3" t="s">
        <v>16</v>
      </c>
      <c r="I8" s="14" t="s">
        <v>17</v>
      </c>
      <c r="J8" s="5" t="s">
        <v>18</v>
      </c>
      <c r="K8" s="3">
        <f>700000</f>
        <v>700000</v>
      </c>
      <c r="L8" s="3">
        <f>K4</f>
        <v>1800000</v>
      </c>
      <c r="M8" s="15"/>
    </row>
    <row r="9" spans="3:13" x14ac:dyDescent="0.25">
      <c r="D9" s="3" t="s">
        <v>19</v>
      </c>
      <c r="E9" s="3">
        <f>(E8)*1.6</f>
        <v>4651383.3984000003</v>
      </c>
      <c r="F9" s="3" t="s">
        <v>20</v>
      </c>
      <c r="I9" s="16"/>
      <c r="J9" s="3" t="s">
        <v>21</v>
      </c>
      <c r="K9" s="3">
        <f>K8</f>
        <v>700000</v>
      </c>
      <c r="L9" s="3">
        <f>L8</f>
        <v>1800000</v>
      </c>
      <c r="M9" s="15"/>
    </row>
    <row r="10" spans="3:13" x14ac:dyDescent="0.25">
      <c r="D10" s="3" t="s">
        <v>22</v>
      </c>
      <c r="E10" s="3">
        <f>E9*0.142</f>
        <v>660496.44257279998</v>
      </c>
      <c r="F10" s="3" t="s">
        <v>23</v>
      </c>
      <c r="I10" s="16"/>
      <c r="J10" s="3" t="s">
        <v>24</v>
      </c>
      <c r="K10" s="3">
        <f>0.04*K9</f>
        <v>28000</v>
      </c>
      <c r="L10" s="3">
        <f>0.04*L9</f>
        <v>72000</v>
      </c>
      <c r="M10" s="15"/>
    </row>
    <row r="11" spans="3:13" ht="31.5" x14ac:dyDescent="0.25">
      <c r="D11" s="17" t="s">
        <v>25</v>
      </c>
      <c r="E11" s="17">
        <f>E10*10</f>
        <v>6604964.4257279998</v>
      </c>
      <c r="F11" s="17" t="s">
        <v>26</v>
      </c>
      <c r="I11" s="16"/>
      <c r="J11" s="18" t="s">
        <v>27</v>
      </c>
      <c r="K11" s="19">
        <f>((L3+1)*K8)/(2*L3)</f>
        <v>384134.8</v>
      </c>
      <c r="L11" s="19">
        <f>((L4+1)*L8)/(2*L4)</f>
        <v>952665.12</v>
      </c>
      <c r="M11" s="15"/>
    </row>
    <row r="12" spans="3:13" x14ac:dyDescent="0.25">
      <c r="D12" s="20" t="s">
        <v>28</v>
      </c>
      <c r="E12" s="20">
        <f>E11-E2</f>
        <v>4553964.4377279999</v>
      </c>
      <c r="F12" s="20" t="s">
        <v>1</v>
      </c>
      <c r="I12" s="16"/>
      <c r="J12" s="3" t="s">
        <v>29</v>
      </c>
      <c r="K12" s="3">
        <f>K11*(15/100)</f>
        <v>57620.219999999994</v>
      </c>
      <c r="L12" s="3">
        <f>L11*(15/100)</f>
        <v>142899.76799999998</v>
      </c>
      <c r="M12" s="15"/>
    </row>
    <row r="13" spans="3:13" x14ac:dyDescent="0.25">
      <c r="I13" s="16"/>
      <c r="J13" s="3"/>
      <c r="K13" s="3"/>
      <c r="L13" s="3"/>
      <c r="M13" s="15"/>
    </row>
    <row r="14" spans="3:13" x14ac:dyDescent="0.25">
      <c r="C14" s="5" t="s">
        <v>30</v>
      </c>
      <c r="D14" s="5" t="s">
        <v>7</v>
      </c>
      <c r="E14" s="5"/>
      <c r="F14" s="5" t="s">
        <v>31</v>
      </c>
      <c r="I14" s="14"/>
      <c r="J14" s="5" t="s">
        <v>32</v>
      </c>
      <c r="K14" s="5">
        <f>K10+K12</f>
        <v>85620.22</v>
      </c>
      <c r="L14" s="5">
        <f>L10+L12</f>
        <v>214899.76799999998</v>
      </c>
      <c r="M14" s="15" t="s">
        <v>33</v>
      </c>
    </row>
    <row r="15" spans="3:13" x14ac:dyDescent="0.25">
      <c r="C15" s="3">
        <v>1</v>
      </c>
      <c r="D15" s="3" t="s">
        <v>34</v>
      </c>
      <c r="E15" s="3">
        <v>5.4</v>
      </c>
      <c r="F15" s="3"/>
      <c r="I15" s="16"/>
      <c r="J15" s="3"/>
      <c r="K15" s="3"/>
      <c r="L15" s="3"/>
      <c r="M15" s="15"/>
    </row>
    <row r="16" spans="3:13" x14ac:dyDescent="0.25">
      <c r="C16" s="3">
        <v>2</v>
      </c>
      <c r="D16" s="3" t="s">
        <v>35</v>
      </c>
      <c r="E16" s="3">
        <v>27</v>
      </c>
      <c r="F16" s="3"/>
      <c r="I16" s="16" t="s">
        <v>36</v>
      </c>
      <c r="J16" s="5" t="s">
        <v>37</v>
      </c>
      <c r="K16" s="3"/>
      <c r="L16" s="3"/>
      <c r="M16" s="15"/>
    </row>
    <row r="17" spans="3:13" x14ac:dyDescent="0.25">
      <c r="C17" s="3">
        <v>3</v>
      </c>
      <c r="D17" s="3" t="s">
        <v>38</v>
      </c>
      <c r="E17" s="3">
        <v>1.1499999999999999</v>
      </c>
      <c r="F17" s="3"/>
      <c r="I17" s="16"/>
      <c r="J17" s="3" t="s">
        <v>39</v>
      </c>
      <c r="K17" s="3"/>
      <c r="L17" s="3"/>
      <c r="M17" s="15"/>
    </row>
    <row r="18" spans="3:13" x14ac:dyDescent="0.25">
      <c r="C18" s="3">
        <v>4</v>
      </c>
      <c r="D18" s="3" t="s">
        <v>40</v>
      </c>
      <c r="E18" s="3">
        <v>1.2</v>
      </c>
      <c r="F18" s="3"/>
      <c r="I18" s="16"/>
      <c r="J18" s="21" t="s">
        <v>41</v>
      </c>
      <c r="K18" s="3"/>
      <c r="L18" s="3"/>
      <c r="M18" s="15"/>
    </row>
    <row r="19" spans="3:13" x14ac:dyDescent="0.25">
      <c r="C19" s="3">
        <v>5</v>
      </c>
      <c r="D19" s="3" t="s">
        <v>42</v>
      </c>
      <c r="E19" s="3">
        <v>0.73</v>
      </c>
      <c r="F19" s="3"/>
      <c r="I19" s="16"/>
      <c r="J19" s="3">
        <f>3*60000*12</f>
        <v>2160000</v>
      </c>
      <c r="K19" s="3">
        <f>J19/100</f>
        <v>21600</v>
      </c>
      <c r="L19" s="3">
        <f>K19*2</f>
        <v>43200</v>
      </c>
      <c r="M19" s="15" t="s">
        <v>33</v>
      </c>
    </row>
    <row r="20" spans="3:13" x14ac:dyDescent="0.25">
      <c r="C20" s="3">
        <v>6</v>
      </c>
      <c r="D20" s="3" t="s">
        <v>43</v>
      </c>
      <c r="E20" s="3">
        <v>0.6958333333333333</v>
      </c>
      <c r="F20" s="3"/>
      <c r="I20" s="16"/>
      <c r="J20" s="3" t="s">
        <v>44</v>
      </c>
      <c r="K20" s="3"/>
      <c r="L20" s="3"/>
      <c r="M20" s="15"/>
    </row>
    <row r="21" spans="3:13" x14ac:dyDescent="0.25">
      <c r="C21" s="3">
        <v>7</v>
      </c>
      <c r="D21" s="3" t="s">
        <v>45</v>
      </c>
      <c r="E21" s="3">
        <v>1</v>
      </c>
      <c r="F21" s="3"/>
      <c r="I21" s="16"/>
      <c r="J21" s="3">
        <f>3*40000*12</f>
        <v>1440000</v>
      </c>
      <c r="K21" s="3">
        <f>J21/100</f>
        <v>14400</v>
      </c>
      <c r="L21" s="3">
        <f>K21*2</f>
        <v>28800</v>
      </c>
      <c r="M21" s="15" t="s">
        <v>33</v>
      </c>
    </row>
    <row r="22" spans="3:13" x14ac:dyDescent="0.25">
      <c r="C22" s="3">
        <v>8</v>
      </c>
      <c r="D22" s="3" t="s">
        <v>46</v>
      </c>
      <c r="E22" s="3">
        <v>8</v>
      </c>
      <c r="F22" s="3">
        <f t="shared" ref="F22:F23" si="0">F23/E22</f>
        <v>504.70740000000001</v>
      </c>
      <c r="I22" s="16"/>
      <c r="J22" s="5" t="s">
        <v>47</v>
      </c>
      <c r="K22" s="5">
        <f>K19+K21</f>
        <v>36000</v>
      </c>
      <c r="L22" s="5">
        <f>L19+L21</f>
        <v>72000</v>
      </c>
      <c r="M22" s="15"/>
    </row>
    <row r="23" spans="3:13" x14ac:dyDescent="0.25">
      <c r="C23" s="3">
        <v>9</v>
      </c>
      <c r="D23" s="3" t="s">
        <v>48</v>
      </c>
      <c r="E23" s="3">
        <v>3</v>
      </c>
      <c r="F23" s="3">
        <f t="shared" si="0"/>
        <v>4037.6592000000001</v>
      </c>
      <c r="I23" s="16"/>
      <c r="J23" s="3"/>
      <c r="K23" s="3"/>
      <c r="L23" s="3"/>
      <c r="M23" s="15"/>
    </row>
    <row r="24" spans="3:13" x14ac:dyDescent="0.25">
      <c r="C24" s="3">
        <v>10</v>
      </c>
      <c r="D24" s="3" t="s">
        <v>49</v>
      </c>
      <c r="E24" s="3">
        <v>240</v>
      </c>
      <c r="F24" s="3">
        <f>F25/E24</f>
        <v>12112.9776</v>
      </c>
      <c r="I24" s="16"/>
      <c r="J24" s="3" t="s">
        <v>50</v>
      </c>
      <c r="K24" s="3"/>
      <c r="L24" s="3"/>
      <c r="M24" s="15"/>
    </row>
    <row r="25" spans="3:13" x14ac:dyDescent="0.25">
      <c r="C25" s="3"/>
      <c r="D25" s="5" t="s">
        <v>51</v>
      </c>
      <c r="E25" s="22">
        <f>E15*E17*E18*E19*E20*E21*E22*E23*E24*(3600/E16)</f>
        <v>2907114.6239999998</v>
      </c>
      <c r="F25" s="22">
        <f>E25</f>
        <v>2907114.6239999998</v>
      </c>
      <c r="I25" s="16"/>
      <c r="J25" s="21" t="s">
        <v>52</v>
      </c>
      <c r="K25" s="3"/>
      <c r="L25" s="3"/>
      <c r="M25" s="15"/>
    </row>
    <row r="26" spans="3:13" x14ac:dyDescent="0.25">
      <c r="I26" s="16"/>
      <c r="J26" s="3" t="s">
        <v>53</v>
      </c>
      <c r="K26" s="3">
        <v>70</v>
      </c>
      <c r="L26" s="3">
        <f>2*70</f>
        <v>140</v>
      </c>
      <c r="M26" s="15" t="s">
        <v>54</v>
      </c>
    </row>
    <row r="27" spans="3:13" x14ac:dyDescent="0.25">
      <c r="I27" s="16"/>
      <c r="J27" s="3"/>
      <c r="K27" s="3">
        <f>E22*E23*E24*K26</f>
        <v>403200</v>
      </c>
      <c r="L27" s="3">
        <f>E22*E23*E24*L26</f>
        <v>806400</v>
      </c>
      <c r="M27" s="15" t="s">
        <v>55</v>
      </c>
    </row>
    <row r="28" spans="3:13" x14ac:dyDescent="0.25">
      <c r="I28" s="16"/>
      <c r="J28" s="3"/>
      <c r="K28" s="3"/>
      <c r="L28" s="3"/>
      <c r="M28" s="15"/>
    </row>
    <row r="29" spans="3:13" x14ac:dyDescent="0.25">
      <c r="C29" s="5" t="s">
        <v>56</v>
      </c>
      <c r="D29" s="5" t="s">
        <v>57</v>
      </c>
      <c r="E29" s="23" t="s">
        <v>58</v>
      </c>
      <c r="F29" s="5" t="s">
        <v>59</v>
      </c>
      <c r="I29" s="16"/>
      <c r="J29" s="3"/>
      <c r="K29" s="3"/>
      <c r="L29" s="3"/>
      <c r="M29" s="15"/>
    </row>
    <row r="30" spans="3:13" x14ac:dyDescent="0.25">
      <c r="C30" s="3" t="s">
        <v>60</v>
      </c>
      <c r="D30" s="3">
        <f>60/E15</f>
        <v>11.111111111111111</v>
      </c>
      <c r="E30" s="3"/>
      <c r="F30" s="3">
        <f>D30*E16</f>
        <v>300</v>
      </c>
      <c r="I30" s="16"/>
      <c r="J30" s="3"/>
      <c r="K30" s="3"/>
      <c r="L30" s="3"/>
      <c r="M30" s="15"/>
    </row>
    <row r="31" spans="3:13" x14ac:dyDescent="0.25">
      <c r="C31" s="3" t="s">
        <v>61</v>
      </c>
      <c r="D31" s="3">
        <v>202</v>
      </c>
      <c r="E31" s="3" t="s">
        <v>62</v>
      </c>
      <c r="F31" s="3">
        <f>73</f>
        <v>73</v>
      </c>
      <c r="I31" s="16"/>
      <c r="J31" s="3"/>
      <c r="K31" s="3"/>
      <c r="L31" s="3"/>
      <c r="M31" s="15"/>
    </row>
    <row r="32" spans="3:13" x14ac:dyDescent="0.25">
      <c r="C32" s="3" t="s">
        <v>63</v>
      </c>
      <c r="D32" s="3"/>
      <c r="E32" s="3"/>
      <c r="F32" s="3">
        <v>52</v>
      </c>
      <c r="I32" s="16"/>
      <c r="J32" s="5" t="s">
        <v>47</v>
      </c>
      <c r="K32" s="5">
        <f>K27+K30</f>
        <v>403200</v>
      </c>
      <c r="L32" s="5">
        <f>L27+L30</f>
        <v>806400</v>
      </c>
      <c r="M32" s="24" t="s">
        <v>33</v>
      </c>
    </row>
    <row r="33" spans="3:13" x14ac:dyDescent="0.25">
      <c r="C33" s="3" t="s">
        <v>64</v>
      </c>
      <c r="D33" s="3"/>
      <c r="E33" s="3" t="s">
        <v>65</v>
      </c>
      <c r="F33" s="3">
        <v>50</v>
      </c>
      <c r="I33" s="16"/>
      <c r="J33" s="3"/>
      <c r="K33" s="3"/>
      <c r="L33" s="3"/>
      <c r="M33" s="15"/>
    </row>
    <row r="34" spans="3:13" x14ac:dyDescent="0.25">
      <c r="C34" s="3" t="s">
        <v>66</v>
      </c>
      <c r="D34" s="3"/>
      <c r="E34" s="3"/>
      <c r="F34" s="3">
        <v>125</v>
      </c>
      <c r="I34" s="16"/>
      <c r="J34" s="3" t="s">
        <v>67</v>
      </c>
      <c r="K34" s="3">
        <f>K32*(30/100)</f>
        <v>120960</v>
      </c>
      <c r="L34" s="3">
        <f>L32*(30/100)</f>
        <v>241920</v>
      </c>
      <c r="M34" s="24" t="s">
        <v>33</v>
      </c>
    </row>
    <row r="35" spans="3:13" x14ac:dyDescent="0.25">
      <c r="C35" s="3"/>
      <c r="D35" s="3"/>
      <c r="E35" s="3"/>
      <c r="F35" s="3">
        <f>SUM(F30:F34)</f>
        <v>600</v>
      </c>
      <c r="I35" s="16"/>
      <c r="J35" s="3" t="s">
        <v>68</v>
      </c>
      <c r="K35" s="3">
        <f>K10*(20/100)</f>
        <v>5600</v>
      </c>
      <c r="L35" s="3">
        <f>L10*(20/100)</f>
        <v>14400</v>
      </c>
      <c r="M35" s="24" t="s">
        <v>33</v>
      </c>
    </row>
    <row r="36" spans="3:13" x14ac:dyDescent="0.25">
      <c r="I36" s="16"/>
      <c r="J36" s="3" t="s">
        <v>69</v>
      </c>
      <c r="K36" s="3">
        <f>K9*(2/100)</f>
        <v>14000</v>
      </c>
      <c r="L36" s="3">
        <f>L9*(2/100)</f>
        <v>36000</v>
      </c>
      <c r="M36" s="24" t="s">
        <v>33</v>
      </c>
    </row>
    <row r="37" spans="3:13" x14ac:dyDescent="0.25">
      <c r="C37" s="3" t="s">
        <v>70</v>
      </c>
      <c r="D37" s="3">
        <v>20</v>
      </c>
      <c r="E37" s="3"/>
      <c r="F37" s="3"/>
      <c r="I37" s="16"/>
      <c r="J37" s="3"/>
      <c r="K37" s="5"/>
      <c r="L37" s="5"/>
      <c r="M37" s="15"/>
    </row>
    <row r="38" spans="3:13" ht="16.5" thickBot="1" x14ac:dyDescent="0.3">
      <c r="C38" s="3" t="s">
        <v>71</v>
      </c>
      <c r="D38" s="3">
        <v>200</v>
      </c>
      <c r="E38" s="3" t="s">
        <v>72</v>
      </c>
      <c r="F38" s="3"/>
      <c r="I38" s="25"/>
      <c r="J38" s="26" t="s">
        <v>4</v>
      </c>
      <c r="K38" s="26">
        <f>K36+K35+K34+K32+K22+K14</f>
        <v>665380.22</v>
      </c>
      <c r="L38" s="26">
        <f>L36+L35+L34+L32+L22+L14</f>
        <v>1385619.7679999999</v>
      </c>
      <c r="M38" s="24" t="s">
        <v>33</v>
      </c>
    </row>
    <row r="39" spans="3:13" x14ac:dyDescent="0.25">
      <c r="C39" s="3" t="s">
        <v>73</v>
      </c>
      <c r="D39" s="3">
        <v>60</v>
      </c>
      <c r="E39" s="3"/>
      <c r="F39" s="3"/>
    </row>
    <row r="40" spans="3:13" x14ac:dyDescent="0.25">
      <c r="C40" s="3"/>
      <c r="D40" s="3"/>
      <c r="E40" s="3"/>
      <c r="F40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Sahu Ajay (LWN)</dc:creator>
  <cp:lastModifiedBy>Sahu Ajay (LWN)</cp:lastModifiedBy>
  <dcterms:created xsi:type="dcterms:W3CDTF">2025-08-07T11:59:09Z</dcterms:created>
  <dcterms:modified xsi:type="dcterms:W3CDTF">2025-08-07T11:59:41Z</dcterms:modified>
</cp:coreProperties>
</file>