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ebherr-my.sharepoint.com/personal/ajay_sahu_liebherr_com/Documents/Desktop/doc/07082025/"/>
    </mc:Choice>
  </mc:AlternateContent>
  <xr:revisionPtr revIDLastSave="67" documentId="13_ncr:1_{765F7D7B-3929-4F26-94BE-FFDD10622F8A}" xr6:coauthVersionLast="47" xr6:coauthVersionMax="47" xr10:uidLastSave="{0F655D5B-34D1-4BA8-8CF8-F0E85E0F9B05}"/>
  <bookViews>
    <workbookView xWindow="-28920" yWindow="-1305" windowWidth="29040" windowHeight="15720" activeTab="2" xr2:uid="{E34013D5-BB2D-4AB5-8738-07B7DF8F48B1}"/>
  </bookViews>
  <sheets>
    <sheet name="CALCULATION" sheetId="1" r:id="rId1"/>
    <sheet name="BURDEN SPACING" sheetId="2" r:id="rId2"/>
    <sheet name="TRUCK AND SHOVEL" sheetId="6" r:id="rId3"/>
    <sheet name="DRAGLINE TCO" sheetId="3" r:id="rId4"/>
  </sheets>
  <definedNames>
    <definedName name="_xlnm.Print_Area" localSheetId="3">'DRAGLINE TCO'!$A$1:$L$43</definedName>
    <definedName name="_xlnm.Print_Area" localSheetId="2">'TRUCK AND SHOVEL'!$A$1:$N$49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6" l="1"/>
  <c r="L11" i="6"/>
  <c r="L10" i="6"/>
  <c r="L8" i="6"/>
  <c r="K8" i="6"/>
  <c r="E2" i="6"/>
  <c r="D14" i="3"/>
  <c r="D12" i="3"/>
  <c r="D11" i="3"/>
  <c r="D10" i="3"/>
  <c r="D9" i="3"/>
  <c r="L26" i="6"/>
  <c r="L27" i="6" s="1"/>
  <c r="L32" i="6" s="1"/>
  <c r="L34" i="6" s="1"/>
  <c r="J19" i="6"/>
  <c r="K19" i="6" s="1"/>
  <c r="L19" i="6" s="1"/>
  <c r="J21" i="6"/>
  <c r="K21" i="6" s="1"/>
  <c r="L21" i="6" s="1"/>
  <c r="L7" i="6"/>
  <c r="K27" i="6"/>
  <c r="K32" i="6" s="1"/>
  <c r="K34" i="6" s="1"/>
  <c r="K4" i="6"/>
  <c r="L9" i="6" s="1"/>
  <c r="L4" i="6"/>
  <c r="L3" i="6"/>
  <c r="F31" i="6"/>
  <c r="D30" i="6"/>
  <c r="F30" i="6" s="1"/>
  <c r="F35" i="6" s="1"/>
  <c r="E25" i="6"/>
  <c r="D30" i="3"/>
  <c r="D29" i="3"/>
  <c r="J4" i="3"/>
  <c r="J3" i="3"/>
  <c r="K5" i="1"/>
  <c r="K4" i="1"/>
  <c r="J2" i="3"/>
  <c r="J9" i="3"/>
  <c r="J32" i="3" s="1"/>
  <c r="E6" i="1"/>
  <c r="I26" i="3"/>
  <c r="J26" i="3" s="1"/>
  <c r="J27" i="3" s="1"/>
  <c r="J28" i="3" s="1"/>
  <c r="I21" i="3"/>
  <c r="J21" i="3" s="1"/>
  <c r="I19" i="3"/>
  <c r="J19" i="3" s="1"/>
  <c r="D27" i="3"/>
  <c r="D3" i="3" s="1"/>
  <c r="D7" i="3" s="1"/>
  <c r="N36" i="2"/>
  <c r="N37" i="2"/>
  <c r="J29" i="2"/>
  <c r="J28" i="2"/>
  <c r="M36" i="2"/>
  <c r="N42" i="2"/>
  <c r="N44" i="2" s="1"/>
  <c r="M31" i="2"/>
  <c r="N31" i="2" s="1"/>
  <c r="M29" i="2"/>
  <c r="N21" i="2"/>
  <c r="N19" i="2"/>
  <c r="N46" i="2" s="1"/>
  <c r="N18" i="2"/>
  <c r="N15" i="2"/>
  <c r="N29" i="2"/>
  <c r="N22" i="2"/>
  <c r="I25" i="2"/>
  <c r="E19" i="2"/>
  <c r="H21" i="2"/>
  <c r="M8" i="2"/>
  <c r="N8" i="2" s="1"/>
  <c r="M7" i="2"/>
  <c r="N7" i="2" s="1"/>
  <c r="J8" i="2"/>
  <c r="H7" i="2"/>
  <c r="J7" i="2" s="1"/>
  <c r="D5" i="2"/>
  <c r="D6" i="2" s="1"/>
  <c r="K8" i="2" s="1"/>
  <c r="G24" i="1"/>
  <c r="L28" i="1"/>
  <c r="M28" i="1" s="1"/>
  <c r="L26" i="1"/>
  <c r="L33" i="1"/>
  <c r="M33" i="1" s="1"/>
  <c r="M34" i="1" s="1"/>
  <c r="E22" i="1"/>
  <c r="I2" i="1"/>
  <c r="M26" i="1"/>
  <c r="M16" i="1"/>
  <c r="K3" i="1"/>
  <c r="F19" i="1"/>
  <c r="F18" i="1"/>
  <c r="F17" i="1"/>
  <c r="I17" i="1"/>
  <c r="I7" i="1" s="1"/>
  <c r="I15" i="1"/>
  <c r="I6" i="1" s="1"/>
  <c r="K12" i="6" l="1"/>
  <c r="L12" i="6"/>
  <c r="L14" i="6" s="1"/>
  <c r="L22" i="6"/>
  <c r="L35" i="6"/>
  <c r="L36" i="6"/>
  <c r="K22" i="6"/>
  <c r="K9" i="6"/>
  <c r="K36" i="6" s="1"/>
  <c r="F25" i="6"/>
  <c r="E27" i="3"/>
  <c r="E26" i="3" s="1"/>
  <c r="E25" i="3" s="1"/>
  <c r="E24" i="3" s="1"/>
  <c r="J5" i="3"/>
  <c r="J11" i="3" s="1"/>
  <c r="J12" i="3" s="1"/>
  <c r="J22" i="3"/>
  <c r="J30" i="3"/>
  <c r="J10" i="3"/>
  <c r="I11" i="1"/>
  <c r="M29" i="1"/>
  <c r="M17" i="1"/>
  <c r="M42" i="1" s="1"/>
  <c r="M43" i="1"/>
  <c r="M10" i="1"/>
  <c r="G23" i="1"/>
  <c r="H23" i="1" s="1"/>
  <c r="K6" i="1"/>
  <c r="M18" i="1"/>
  <c r="M19" i="1" s="1"/>
  <c r="M21" i="1" s="1"/>
  <c r="N32" i="2"/>
  <c r="N20" i="2"/>
  <c r="O8" i="2"/>
  <c r="P8" i="2" s="1"/>
  <c r="K7" i="2"/>
  <c r="O7" i="2" s="1"/>
  <c r="P7" i="2" s="1"/>
  <c r="I15" i="2"/>
  <c r="I17" i="2" s="1"/>
  <c r="I18" i="2" s="1"/>
  <c r="I12" i="1"/>
  <c r="M39" i="1"/>
  <c r="M41" i="1" s="1"/>
  <c r="F24" i="6" l="1"/>
  <c r="F23" i="6" s="1"/>
  <c r="F22" i="6" s="1"/>
  <c r="E3" i="6"/>
  <c r="E7" i="6" s="1"/>
  <c r="L38" i="6"/>
  <c r="M4" i="6" s="1"/>
  <c r="K10" i="6"/>
  <c r="J14" i="3"/>
  <c r="J31" i="3"/>
  <c r="M45" i="1"/>
  <c r="M9" i="1"/>
  <c r="N24" i="2"/>
  <c r="N45" i="2"/>
  <c r="N48" i="2" s="1"/>
  <c r="I31" i="2" s="1"/>
  <c r="I33" i="2" s="1"/>
  <c r="L11" i="1"/>
  <c r="E8" i="6" l="1"/>
  <c r="E9" i="6" s="1"/>
  <c r="E10" i="6" s="1"/>
  <c r="E11" i="6" s="1"/>
  <c r="K14" i="6"/>
  <c r="K35" i="6"/>
  <c r="J33" i="3"/>
  <c r="D2" i="3" s="1"/>
  <c r="D4" i="3" s="1"/>
  <c r="D5" i="3" s="1"/>
  <c r="K38" i="6" l="1"/>
  <c r="M3" i="6" s="1"/>
  <c r="E4" i="6" s="1"/>
  <c r="E5" i="6" s="1"/>
  <c r="E12" i="6" l="1"/>
</calcChain>
</file>

<file path=xl/sharedStrings.xml><?xml version="1.0" encoding="utf-8"?>
<sst xmlns="http://schemas.openxmlformats.org/spreadsheetml/2006/main" count="341" uniqueCount="168">
  <si>
    <t>BUCKET CAP</t>
  </si>
  <si>
    <t>FOR MINING</t>
  </si>
  <si>
    <t>BOOM LENGTH</t>
  </si>
  <si>
    <t>LIFE OF DRAGLINE</t>
  </si>
  <si>
    <t>COST OF DRAGLINE</t>
  </si>
  <si>
    <t>POWER PER HOUR</t>
  </si>
  <si>
    <t>YEAR</t>
  </si>
  <si>
    <t>euro</t>
  </si>
  <si>
    <t>kwh</t>
  </si>
  <si>
    <t>RADIUS/ Reach</t>
  </si>
  <si>
    <t>cycle time</t>
  </si>
  <si>
    <t>sec</t>
  </si>
  <si>
    <t>BF FACTOR</t>
  </si>
  <si>
    <t>SWELL FACTOR</t>
  </si>
  <si>
    <t>HOURS</t>
  </si>
  <si>
    <t>M</t>
  </si>
  <si>
    <t>M3</t>
  </si>
  <si>
    <t>CALCULATION</t>
  </si>
  <si>
    <t xml:space="preserve">EFFECTIVE WORKING TIME </t>
  </si>
  <si>
    <t>AVALIBILITY</t>
  </si>
  <si>
    <t>MH maintenance hours</t>
  </si>
  <si>
    <t>BH  breakdown hours</t>
  </si>
  <si>
    <t>IH idle hours</t>
  </si>
  <si>
    <t xml:space="preserve">SSH scheduled shift hours </t>
  </si>
  <si>
    <t xml:space="preserve"> A=(SSH -(MH+BH))/SSH </t>
  </si>
  <si>
    <t xml:space="preserve"> U=(SSH -(MH+BH+IH))/SSH </t>
  </si>
  <si>
    <t>MONTHLY</t>
  </si>
  <si>
    <t>RESULTS</t>
  </si>
  <si>
    <t>UTLIZATION</t>
  </si>
  <si>
    <t>HOURS TOTAL</t>
  </si>
  <si>
    <t>CYCLES</t>
  </si>
  <si>
    <t>Associate costs</t>
  </si>
  <si>
    <t>A</t>
  </si>
  <si>
    <t>COST OF OWNERSHIP</t>
  </si>
  <si>
    <t>i  )Equipment cost</t>
  </si>
  <si>
    <t>ii) Depriciation cost for 5.68 (@4 % annual)</t>
  </si>
  <si>
    <t>iii)yearly coo (Average yearly investment                           =(N+1 * cost of dragline )/ 2N )</t>
  </si>
  <si>
    <t>HS 8300.2</t>
  </si>
  <si>
    <t>iv) yearly intrest, insurence and tax (@15% year)</t>
  </si>
  <si>
    <t>COST OF OWNERSHIP (ii+iv)</t>
  </si>
  <si>
    <t>B</t>
  </si>
  <si>
    <t>OPERATING COST PER YEAR</t>
  </si>
  <si>
    <t>EUR/YEAR</t>
  </si>
  <si>
    <t>A. MANPOWER</t>
  </si>
  <si>
    <t>B. POWER AND CONSUMPTION</t>
  </si>
  <si>
    <t>TOTAL</t>
  </si>
  <si>
    <t>C. Lubrication cost(@30 % of power)</t>
  </si>
  <si>
    <t>D. MAINTAINANCE COST( 20% OF DEPRECIATION)</t>
  </si>
  <si>
    <t>E. BREAKDOWN COST (2% OF COST OF EQUIP)</t>
  </si>
  <si>
    <t>TOTAL ALL</t>
  </si>
  <si>
    <t>TOTAL COST</t>
  </si>
  <si>
    <t>TOTAL PRODUCTION</t>
  </si>
  <si>
    <t>YEAR LIFE OF DRAGLINE( N)</t>
  </si>
  <si>
    <t>S</t>
  </si>
  <si>
    <t>(E2*E10)*E11</t>
  </si>
  <si>
    <t>avalibility</t>
  </si>
  <si>
    <t xml:space="preserve">Machine travel and positioning factor (M) </t>
  </si>
  <si>
    <t>TIME PER SHIFT</t>
  </si>
  <si>
    <t>no of shift</t>
  </si>
  <si>
    <t>working day</t>
  </si>
  <si>
    <t>LOAD IN BUCKET B</t>
  </si>
  <si>
    <t>CYCLE TIME</t>
  </si>
  <si>
    <t>PRODUCTION PER YEAR</t>
  </si>
  <si>
    <t>TON</t>
  </si>
  <si>
    <t>I) POWER REQUIREMENT</t>
  </si>
  <si>
    <t>litre</t>
  </si>
  <si>
    <t>euro/year</t>
  </si>
  <si>
    <t>70 litre per hour</t>
  </si>
  <si>
    <t>EURO PER M3</t>
  </si>
  <si>
    <t>INR PER M3</t>
  </si>
  <si>
    <t>I) OPERATOR COST -3 OPERATOR 600 EURO MONTHLY</t>
  </si>
  <si>
    <t>II) HELPER  -3 OPERATOR 400 EURO MONTHLY</t>
  </si>
  <si>
    <t>48 INR PER TON</t>
  </si>
  <si>
    <t>M3 PER SHIFT</t>
  </si>
  <si>
    <t>HOLE DEPTH</t>
  </si>
  <si>
    <t>no of holes require per shift</t>
  </si>
  <si>
    <t>volume of surface</t>
  </si>
  <si>
    <t>hole dia 100mm</t>
  </si>
  <si>
    <t>HOLE VOLUME</t>
  </si>
  <si>
    <t xml:space="preserve">TOTAL ANFO </t>
  </si>
  <si>
    <t>70% ANFOPER HOLE 1200KG/M3</t>
  </si>
  <si>
    <t>POWDER FACTOR KG /M3</t>
  </si>
  <si>
    <t>YEARLY EFFECTIVE WORKING HOUR</t>
  </si>
  <si>
    <t>hydraulic shovels</t>
  </si>
  <si>
    <t>BUCKET (2.5-3.5)</t>
  </si>
  <si>
    <t>NO OF BUCKET REQUIRE</t>
  </si>
  <si>
    <t xml:space="preserve">35 t payload </t>
  </si>
  <si>
    <t>Truck Size M3</t>
  </si>
  <si>
    <t>1 BUCKET FILL TIME</t>
  </si>
  <si>
    <t>SEC</t>
  </si>
  <si>
    <t>GENERAL CYCLE TIME</t>
  </si>
  <si>
    <t>MINUTES</t>
  </si>
  <si>
    <t>4.5 (load) + 2.5 (haul) + 1 (dump) + 1.5 (return) + 0.5 (spot) = 10 min/trip</t>
  </si>
  <si>
    <t>NO OF TRUCK REQUIRED</t>
  </si>
  <si>
    <t>Haul distance for side casting: typically short (assume 80 m), dump is 20 m higher</t>
  </si>
  <si>
    <t xml:space="preserve">COST </t>
  </si>
  <si>
    <t>1 SHOVEL</t>
  </si>
  <si>
    <t>iii)yearly coo (Average yearly investment                           =(N+1 * cost of EQUIPMENT)/ 2N )</t>
  </si>
  <si>
    <t>I) OPERATOR COST -9 OPERATOR 600 EURO MONTHLY</t>
  </si>
  <si>
    <t>II) HELPER  -9 OPERATOR 400 EURO MONTHLY</t>
  </si>
  <si>
    <t>200 litre per hour</t>
  </si>
  <si>
    <t xml:space="preserve">2 TRUCK </t>
  </si>
  <si>
    <t>Production</t>
  </si>
  <si>
    <t>number of shift per day</t>
  </si>
  <si>
    <t>total working day in year</t>
  </si>
  <si>
    <t>production in a year in m3</t>
  </si>
  <si>
    <t>given</t>
  </si>
  <si>
    <t>calculated data</t>
  </si>
  <si>
    <t>Bucket Fill Factor (%)=( Actual Volume of Material​)/(Rated Bucket Capacity)×100</t>
  </si>
  <si>
    <t>Swell Factor= Bank Volume/Loose Volume</t>
  </si>
  <si>
    <t>where</t>
  </si>
  <si>
    <t>Time lost during dragline movement and setup, typically valued between 0.90 and 0.95.</t>
  </si>
  <si>
    <t>BUCKET CAP(M3)</t>
  </si>
  <si>
    <t xml:space="preserve">BF FACTOR </t>
  </si>
  <si>
    <t>TIME PER SHIFT ( 8 hour per shift)</t>
  </si>
  <si>
    <t>number of shift per day ( 3 shift per day)</t>
  </si>
  <si>
    <t>total working day in year (240 working day)</t>
  </si>
  <si>
    <t>production in m3/ time</t>
  </si>
  <si>
    <t>(B×F×S×M×A×U×NdxNsxNhx3600)/C</t>
  </si>
  <si>
    <t>Machine cost (HS 8300)</t>
  </si>
  <si>
    <t>TOTAL LIFE CYCLE</t>
  </si>
  <si>
    <t>CYCLE PER YEAR IN PRODUCTION</t>
  </si>
  <si>
    <t>LIFE OF DRAGLINE (N)</t>
  </si>
  <si>
    <t>EUR /YEAR</t>
  </si>
  <si>
    <t>M3 / YEAR</t>
  </si>
  <si>
    <t>DRAGLINE COST PER M3</t>
  </si>
  <si>
    <t>EUR</t>
  </si>
  <si>
    <t>IN INR</t>
  </si>
  <si>
    <t>INR</t>
  </si>
  <si>
    <t>cycle time (Sec)</t>
  </si>
  <si>
    <t>percentage Rehandling</t>
  </si>
  <si>
    <t>simple side casting (no rehandling)</t>
  </si>
  <si>
    <t>m3 /year</t>
  </si>
  <si>
    <t>ton / year</t>
  </si>
  <si>
    <t>Density 1.6</t>
  </si>
  <si>
    <t>ton ore ( P2O5)</t>
  </si>
  <si>
    <t>recoverable ore ( stripping raio 7:1)</t>
  </si>
  <si>
    <t>eur/year</t>
  </si>
  <si>
    <t>TOTAL COST OF DRAGLINE</t>
  </si>
  <si>
    <t>TOTAL PRODUCTION BY DRAGLINE</t>
  </si>
  <si>
    <t>PROFIT GENRATED BY DRRAGLINE</t>
  </si>
  <si>
    <t>iv) yearly intrest, insurence and tax (@15% year coo)</t>
  </si>
  <si>
    <t>VD</t>
  </si>
  <si>
    <t xml:space="preserve">hd </t>
  </si>
  <si>
    <t>RAMP GRDEIENT 10% as per dgms reg</t>
  </si>
  <si>
    <t>SHOVEL</t>
  </si>
  <si>
    <t>Komatsu PC1000-1</t>
  </si>
  <si>
    <t xml:space="preserve">capecity </t>
  </si>
  <si>
    <t>truck</t>
  </si>
  <si>
    <t>time (sec)</t>
  </si>
  <si>
    <t>loading</t>
  </si>
  <si>
    <t>Haul</t>
  </si>
  <si>
    <t>dump</t>
  </si>
  <si>
    <t>return</t>
  </si>
  <si>
    <t>10 km/h</t>
  </si>
  <si>
    <t>15km/h</t>
  </si>
  <si>
    <t>spotting and waiting</t>
  </si>
  <si>
    <t xml:space="preserve">Komatsu HD785-7 </t>
  </si>
  <si>
    <t>2 Dumper</t>
  </si>
  <si>
    <t>COST</t>
  </si>
  <si>
    <t>LIFE IN YEAR</t>
  </si>
  <si>
    <t>Komatsu HD785-7 X 2</t>
  </si>
  <si>
    <t>PER HOUR</t>
  </si>
  <si>
    <t>TOTAL COST ( SHOVEL AND 2 DUMPER)</t>
  </si>
  <si>
    <t xml:space="preserve">TOTAL PRODUCTION </t>
  </si>
  <si>
    <t>simple</t>
  </si>
  <si>
    <t>Ore Cost (arround 10 eur per ton)</t>
  </si>
  <si>
    <t xml:space="preserve"> A AND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</si>
</sst>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1F2328"/>
      <name val="Calibri"/>
      <family val="2"/>
    </font>
    <font>
      <sz val="11"/>
      <color rgb="FF1F2328"/>
      <name val="Calibri"/>
      <family val="2"/>
    </font>
    <font>
      <b/>
      <sz val="11"/>
      <color rgb="FF1F2328"/>
      <name val="Calibri"/>
      <family val="2"/>
    </font>
    <font>
      <sz val="12"/>
      <color theme="1"/>
      <name val="Calibri"/>
      <family val="2"/>
    </font>
    <font>
      <b/>
      <sz val="12"/>
      <color theme="6" tint="-0.249977111117893"/>
      <name val="Calibri"/>
      <family val="2"/>
    </font>
    <font>
      <b/>
      <sz val="12"/>
      <color theme="1"/>
      <name val="Calibri"/>
      <family val="2"/>
    </font>
    <font>
      <sz val="12"/>
      <color rgb="FF424242"/>
      <name val="Calibri"/>
      <family val="2"/>
    </font>
    <font>
      <b/>
      <sz val="12"/>
      <color rgb="FF42424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4" xfId="0" applyBorder="1" applyAlignment="1">
      <alignment wrapText="1"/>
    </xf>
    <xf numFmtId="2" fontId="0" fillId="0" borderId="4" xfId="0" applyNumberFormat="1" applyBorder="1"/>
    <xf numFmtId="0" fontId="0" fillId="0" borderId="4" xfId="0" applyBorder="1" applyAlignment="1">
      <alignment horizontal="left" vertical="top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1" fillId="2" borderId="4" xfId="0" applyFont="1" applyFill="1" applyBorder="1"/>
    <xf numFmtId="2" fontId="1" fillId="2" borderId="4" xfId="0" applyNumberFormat="1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9" fontId="0" fillId="0" borderId="4" xfId="0" applyNumberFormat="1" applyBorder="1"/>
    <xf numFmtId="1" fontId="0" fillId="0" borderId="4" xfId="0" applyNumberFormat="1" applyBorder="1"/>
    <xf numFmtId="164" fontId="0" fillId="0" borderId="4" xfId="0" applyNumberFormat="1" applyBorder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5" fillId="0" borderId="0" xfId="0" applyFont="1"/>
    <xf numFmtId="0" fontId="1" fillId="3" borderId="4" xfId="0" applyFont="1" applyFill="1" applyBorder="1"/>
    <xf numFmtId="0" fontId="6" fillId="0" borderId="0" xfId="0" applyFont="1"/>
    <xf numFmtId="0" fontId="6" fillId="0" borderId="4" xfId="0" applyFont="1" applyBorder="1"/>
    <xf numFmtId="0" fontId="6" fillId="2" borderId="4" xfId="0" applyFont="1" applyFill="1" applyBorder="1"/>
    <xf numFmtId="1" fontId="6" fillId="0" borderId="4" xfId="0" applyNumberFormat="1" applyFont="1" applyBorder="1"/>
    <xf numFmtId="0" fontId="7" fillId="0" borderId="4" xfId="0" applyFont="1" applyBorder="1"/>
    <xf numFmtId="0" fontId="6" fillId="0" borderId="5" xfId="0" applyFont="1" applyBorder="1"/>
    <xf numFmtId="0" fontId="8" fillId="0" borderId="6" xfId="0" applyFont="1" applyBorder="1"/>
    <xf numFmtId="0" fontId="6" fillId="0" borderId="6" xfId="0" applyFont="1" applyBorder="1"/>
    <xf numFmtId="0" fontId="6" fillId="0" borderId="7" xfId="0" applyFont="1" applyBorder="1"/>
    <xf numFmtId="0" fontId="8" fillId="0" borderId="8" xfId="0" applyFont="1" applyBorder="1"/>
    <xf numFmtId="0" fontId="8" fillId="0" borderId="4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4" xfId="0" applyFont="1" applyBorder="1" applyAlignment="1">
      <alignment wrapText="1"/>
    </xf>
    <xf numFmtId="2" fontId="6" fillId="0" borderId="4" xfId="0" applyNumberFormat="1" applyFont="1" applyBorder="1"/>
    <xf numFmtId="0" fontId="6" fillId="4" borderId="4" xfId="0" applyFont="1" applyFill="1" applyBorder="1"/>
    <xf numFmtId="0" fontId="6" fillId="5" borderId="0" xfId="0" applyFont="1" applyFill="1"/>
    <xf numFmtId="0" fontId="6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6" fillId="0" borderId="13" xfId="0" applyFont="1" applyBorder="1"/>
    <xf numFmtId="0" fontId="6" fillId="0" borderId="4" xfId="0" applyFont="1" applyBorder="1" applyAlignment="1">
      <alignment horizontal="left" vertical="top"/>
    </xf>
    <xf numFmtId="1" fontId="8" fillId="0" borderId="4" xfId="0" applyNumberFormat="1" applyFont="1" applyBorder="1"/>
    <xf numFmtId="0" fontId="8" fillId="0" borderId="9" xfId="0" applyFont="1" applyBorder="1"/>
    <xf numFmtId="0" fontId="6" fillId="0" borderId="10" xfId="0" applyFont="1" applyBorder="1"/>
    <xf numFmtId="0" fontId="8" fillId="0" borderId="11" xfId="0" applyFont="1" applyBorder="1"/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/>
    <xf numFmtId="0" fontId="6" fillId="7" borderId="4" xfId="0" applyFont="1" applyFill="1" applyBorder="1"/>
    <xf numFmtId="0" fontId="9" fillId="0" borderId="4" xfId="0" applyFont="1" applyBorder="1"/>
    <xf numFmtId="0" fontId="10" fillId="6" borderId="4" xfId="0" applyFont="1" applyFill="1" applyBorder="1" applyAlignment="1">
      <alignment horizontal="left" vertical="top" wrapText="1" indent="1"/>
    </xf>
    <xf numFmtId="2" fontId="6" fillId="2" borderId="4" xfId="0" applyNumberFormat="1" applyFont="1" applyFill="1" applyBorder="1"/>
    <xf numFmtId="1" fontId="6" fillId="2" borderId="4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7266-6577-4452-BA77-E414007A127F}">
  <dimension ref="C1:N45"/>
  <sheetViews>
    <sheetView topLeftCell="A4" zoomScale="80" zoomScaleNormal="80" workbookViewId="0">
      <selection activeCell="D21" sqref="D21"/>
    </sheetView>
  </sheetViews>
  <sheetFormatPr baseColWidth="10" defaultRowHeight="15" x14ac:dyDescent="0.25"/>
  <cols>
    <col min="4" max="4" width="36.85546875" customWidth="1"/>
    <col min="5" max="5" width="11.140625" customWidth="1"/>
    <col min="7" max="7" width="40.140625" customWidth="1"/>
    <col min="8" max="8" width="19.7109375" customWidth="1"/>
    <col min="9" max="9" width="11.42578125" customWidth="1"/>
    <col min="10" max="10" width="6.85546875" customWidth="1"/>
    <col min="11" max="11" width="15.85546875" customWidth="1"/>
    <col min="12" max="12" width="49.28515625" customWidth="1"/>
    <col min="13" max="13" width="12.42578125" customWidth="1"/>
  </cols>
  <sheetData>
    <row r="1" spans="3:14" x14ac:dyDescent="0.25">
      <c r="D1" s="1" t="s">
        <v>1</v>
      </c>
      <c r="E1" s="3" t="s">
        <v>37</v>
      </c>
      <c r="F1" s="1"/>
      <c r="G1" s="1"/>
      <c r="H1" s="1" t="s">
        <v>17</v>
      </c>
      <c r="I1" s="1" t="s">
        <v>27</v>
      </c>
      <c r="J1" s="1"/>
      <c r="K1" s="1"/>
      <c r="L1" s="1" t="s">
        <v>3</v>
      </c>
    </row>
    <row r="2" spans="3:14" x14ac:dyDescent="0.25">
      <c r="D2" t="s">
        <v>0</v>
      </c>
      <c r="E2">
        <v>10.8</v>
      </c>
      <c r="F2" t="s">
        <v>16</v>
      </c>
      <c r="G2" t="s">
        <v>60</v>
      </c>
      <c r="H2" t="s">
        <v>54</v>
      </c>
      <c r="I2">
        <f>(E2*E10)*E11</f>
        <v>14.904</v>
      </c>
      <c r="J2" t="s">
        <v>16</v>
      </c>
    </row>
    <row r="3" spans="3:14" x14ac:dyDescent="0.25">
      <c r="D3" t="s">
        <v>2</v>
      </c>
      <c r="E3">
        <v>47</v>
      </c>
      <c r="F3" t="s">
        <v>15</v>
      </c>
      <c r="G3" t="s">
        <v>57</v>
      </c>
      <c r="I3">
        <v>8</v>
      </c>
      <c r="J3" t="s">
        <v>14</v>
      </c>
      <c r="K3">
        <f>500000*4</f>
        <v>2000000</v>
      </c>
      <c r="L3" t="s">
        <v>30</v>
      </c>
    </row>
    <row r="4" spans="3:14" x14ac:dyDescent="0.25">
      <c r="D4" t="s">
        <v>9</v>
      </c>
      <c r="E4">
        <v>40</v>
      </c>
      <c r="F4" t="s">
        <v>15</v>
      </c>
      <c r="G4" t="s">
        <v>58</v>
      </c>
      <c r="I4">
        <v>3</v>
      </c>
      <c r="K4">
        <f>K3/60</f>
        <v>33333.333333333336</v>
      </c>
      <c r="L4" t="s">
        <v>29</v>
      </c>
    </row>
    <row r="5" spans="3:14" x14ac:dyDescent="0.25">
      <c r="D5" t="s">
        <v>3</v>
      </c>
      <c r="F5" t="s">
        <v>6</v>
      </c>
      <c r="G5" t="s">
        <v>59</v>
      </c>
      <c r="I5">
        <v>240</v>
      </c>
      <c r="K5">
        <f>I3*I4*I5*I15*I17</f>
        <v>2933.6333333333332</v>
      </c>
      <c r="L5" t="s">
        <v>82</v>
      </c>
    </row>
    <row r="6" spans="3:14" x14ac:dyDescent="0.25">
      <c r="D6" t="s">
        <v>4</v>
      </c>
      <c r="E6">
        <f>1000000*5</f>
        <v>5000000</v>
      </c>
      <c r="F6" t="s">
        <v>7</v>
      </c>
      <c r="G6" t="s">
        <v>55</v>
      </c>
      <c r="I6">
        <f>I15</f>
        <v>0.7319444444444444</v>
      </c>
      <c r="K6">
        <f>K4/K5</f>
        <v>11.362474292401915</v>
      </c>
      <c r="L6" t="s">
        <v>52</v>
      </c>
    </row>
    <row r="7" spans="3:14" ht="15.75" thickBot="1" x14ac:dyDescent="0.3">
      <c r="D7" t="s">
        <v>5</v>
      </c>
      <c r="E7">
        <v>750</v>
      </c>
      <c r="F7" t="s">
        <v>8</v>
      </c>
      <c r="G7" t="s">
        <v>28</v>
      </c>
      <c r="I7">
        <f>I17</f>
        <v>0.6958333333333333</v>
      </c>
    </row>
    <row r="8" spans="3:14" x14ac:dyDescent="0.25">
      <c r="G8" t="s">
        <v>56</v>
      </c>
      <c r="I8">
        <v>1</v>
      </c>
      <c r="K8" s="22"/>
      <c r="L8" s="11" t="s">
        <v>6</v>
      </c>
      <c r="M8" s="23"/>
    </row>
    <row r="9" spans="3:14" x14ac:dyDescent="0.25">
      <c r="D9" t="s">
        <v>10</v>
      </c>
      <c r="E9">
        <v>60</v>
      </c>
      <c r="F9" t="s">
        <v>11</v>
      </c>
      <c r="G9" t="s">
        <v>61</v>
      </c>
      <c r="I9">
        <v>60</v>
      </c>
      <c r="K9" s="14"/>
      <c r="L9" s="5" t="s">
        <v>50</v>
      </c>
      <c r="M9" s="17">
        <f>M45</f>
        <v>1263952</v>
      </c>
    </row>
    <row r="10" spans="3:14" x14ac:dyDescent="0.25">
      <c r="D10" t="s">
        <v>12</v>
      </c>
      <c r="E10">
        <v>1.1499999999999999</v>
      </c>
      <c r="K10" s="14"/>
      <c r="L10" s="5" t="s">
        <v>51</v>
      </c>
      <c r="M10" s="17">
        <f>I11</f>
        <v>2623372.2719999999</v>
      </c>
    </row>
    <row r="11" spans="3:14" x14ac:dyDescent="0.25">
      <c r="D11" t="s">
        <v>13</v>
      </c>
      <c r="E11">
        <v>1.2</v>
      </c>
      <c r="G11" t="s">
        <v>62</v>
      </c>
      <c r="H11" t="s">
        <v>16</v>
      </c>
      <c r="I11">
        <f>(I2*I6*I7*I8*I4*I3*I5*3600)/60</f>
        <v>2623372.2719999999</v>
      </c>
      <c r="K11" s="24" t="s">
        <v>68</v>
      </c>
      <c r="L11" s="21">
        <f>M9/M10</f>
        <v>0.48180428431394201</v>
      </c>
      <c r="M11" s="17"/>
    </row>
    <row r="12" spans="3:14" ht="15.75" thickBot="1" x14ac:dyDescent="0.3">
      <c r="H12" t="s">
        <v>63</v>
      </c>
      <c r="I12">
        <f>I11*1.6</f>
        <v>4197395.6352000004</v>
      </c>
      <c r="K12" s="26" t="s">
        <v>69</v>
      </c>
      <c r="L12" s="27" t="s">
        <v>72</v>
      </c>
      <c r="M12" s="25"/>
    </row>
    <row r="13" spans="3:14" ht="15.75" thickBot="1" x14ac:dyDescent="0.3"/>
    <row r="14" spans="3:14" x14ac:dyDescent="0.25">
      <c r="D14" t="s">
        <v>18</v>
      </c>
      <c r="K14" s="10"/>
      <c r="L14" s="11" t="s">
        <v>31</v>
      </c>
      <c r="M14" s="12"/>
      <c r="N14" s="13"/>
    </row>
    <row r="15" spans="3:14" x14ac:dyDescent="0.25">
      <c r="G15" t="s">
        <v>19</v>
      </c>
      <c r="H15" t="s">
        <v>24</v>
      </c>
      <c r="I15">
        <f>(E16-(E17+E18))/E16</f>
        <v>0.7319444444444444</v>
      </c>
      <c r="K15" s="14" t="s">
        <v>32</v>
      </c>
      <c r="L15" s="5" t="s">
        <v>33</v>
      </c>
      <c r="M15" s="6"/>
      <c r="N15" s="15"/>
    </row>
    <row r="16" spans="3:14" x14ac:dyDescent="0.25">
      <c r="C16" t="s">
        <v>26</v>
      </c>
      <c r="D16" t="s">
        <v>23</v>
      </c>
      <c r="E16">
        <v>720</v>
      </c>
      <c r="K16" s="16"/>
      <c r="L16" s="6" t="s">
        <v>34</v>
      </c>
      <c r="M16" s="6">
        <f>E6</f>
        <v>5000000</v>
      </c>
      <c r="N16" s="15"/>
    </row>
    <row r="17" spans="3:14" x14ac:dyDescent="0.25">
      <c r="C17" t="s">
        <v>26</v>
      </c>
      <c r="D17" s="2" t="s">
        <v>20</v>
      </c>
      <c r="E17">
        <v>161</v>
      </c>
      <c r="F17">
        <f>E17/E16</f>
        <v>0.22361111111111112</v>
      </c>
      <c r="G17" t="s">
        <v>28</v>
      </c>
      <c r="H17" t="s">
        <v>25</v>
      </c>
      <c r="I17">
        <f>(E16-(E17+E18+E19))/E16</f>
        <v>0.6958333333333333</v>
      </c>
      <c r="K17" s="16"/>
      <c r="L17" s="6" t="s">
        <v>35</v>
      </c>
      <c r="M17" s="6">
        <f>0.04*M16</f>
        <v>200000</v>
      </c>
      <c r="N17" s="15"/>
    </row>
    <row r="18" spans="3:14" ht="30" x14ac:dyDescent="0.25">
      <c r="C18" t="s">
        <v>26</v>
      </c>
      <c r="D18" t="s">
        <v>21</v>
      </c>
      <c r="E18">
        <v>32</v>
      </c>
      <c r="F18">
        <f>E18/E16</f>
        <v>4.4444444444444446E-2</v>
      </c>
      <c r="K18" s="16"/>
      <c r="L18" s="7" t="s">
        <v>36</v>
      </c>
      <c r="M18" s="8">
        <f>((25+1)*E6)/(2*25)</f>
        <v>2600000</v>
      </c>
      <c r="N18" s="15"/>
    </row>
    <row r="19" spans="3:14" x14ac:dyDescent="0.25">
      <c r="C19" t="s">
        <v>26</v>
      </c>
      <c r="D19" t="s">
        <v>22</v>
      </c>
      <c r="E19">
        <v>26</v>
      </c>
      <c r="F19">
        <f>E19/E16</f>
        <v>3.6111111111111108E-2</v>
      </c>
      <c r="K19" s="16"/>
      <c r="L19" s="6" t="s">
        <v>38</v>
      </c>
      <c r="M19" s="6">
        <f>M18*(15/100)</f>
        <v>390000</v>
      </c>
      <c r="N19" s="15"/>
    </row>
    <row r="20" spans="3:14" x14ac:dyDescent="0.25">
      <c r="K20" s="16"/>
      <c r="L20" s="6"/>
      <c r="M20" s="6"/>
      <c r="N20" s="15"/>
    </row>
    <row r="21" spans="3:14" x14ac:dyDescent="0.25">
      <c r="K21" s="14"/>
      <c r="L21" s="5" t="s">
        <v>39</v>
      </c>
      <c r="M21" s="5">
        <f>M17+M19</f>
        <v>590000</v>
      </c>
      <c r="N21" s="15" t="s">
        <v>42</v>
      </c>
    </row>
    <row r="22" spans="3:14" x14ac:dyDescent="0.25">
      <c r="E22">
        <f>E16-E17-E18-E19</f>
        <v>501</v>
      </c>
      <c r="K22" s="16"/>
      <c r="L22" s="6"/>
      <c r="M22" s="6"/>
      <c r="N22" s="15"/>
    </row>
    <row r="23" spans="3:14" x14ac:dyDescent="0.25">
      <c r="G23">
        <f>I11/240</f>
        <v>10930.7178</v>
      </c>
      <c r="H23">
        <f>G23/24</f>
        <v>455.446575</v>
      </c>
      <c r="K23" s="16" t="s">
        <v>40</v>
      </c>
      <c r="L23" s="5" t="s">
        <v>41</v>
      </c>
      <c r="M23" s="6"/>
      <c r="N23" s="15"/>
    </row>
    <row r="24" spans="3:14" x14ac:dyDescent="0.25">
      <c r="G24">
        <f>24*240</f>
        <v>5760</v>
      </c>
      <c r="K24" s="16"/>
      <c r="L24" s="6" t="s">
        <v>43</v>
      </c>
      <c r="M24" s="6"/>
      <c r="N24" s="15"/>
    </row>
    <row r="25" spans="3:14" x14ac:dyDescent="0.25">
      <c r="K25" s="16"/>
      <c r="L25" s="9" t="s">
        <v>70</v>
      </c>
      <c r="M25" s="6"/>
      <c r="N25" s="15"/>
    </row>
    <row r="26" spans="3:14" x14ac:dyDescent="0.25">
      <c r="K26" s="16"/>
      <c r="L26" s="6">
        <f>3*60000*12</f>
        <v>2160000</v>
      </c>
      <c r="M26" s="6">
        <f>L26/100</f>
        <v>21600</v>
      </c>
      <c r="N26" s="15" t="s">
        <v>42</v>
      </c>
    </row>
    <row r="27" spans="3:14" x14ac:dyDescent="0.25">
      <c r="K27" s="16"/>
      <c r="L27" s="6" t="s">
        <v>71</v>
      </c>
      <c r="M27" s="6"/>
      <c r="N27" s="15"/>
    </row>
    <row r="28" spans="3:14" x14ac:dyDescent="0.25">
      <c r="K28" s="16"/>
      <c r="L28" s="6">
        <f>3*40000*12</f>
        <v>1440000</v>
      </c>
      <c r="M28" s="6">
        <f>L28/100</f>
        <v>14400</v>
      </c>
      <c r="N28" s="15" t="s">
        <v>42</v>
      </c>
    </row>
    <row r="29" spans="3:14" x14ac:dyDescent="0.25">
      <c r="K29" s="16"/>
      <c r="L29" s="5" t="s">
        <v>45</v>
      </c>
      <c r="M29" s="5">
        <f>M26+M28</f>
        <v>36000</v>
      </c>
      <c r="N29" s="15"/>
    </row>
    <row r="30" spans="3:14" x14ac:dyDescent="0.25">
      <c r="K30" s="16"/>
      <c r="L30" s="6"/>
      <c r="M30" s="6"/>
      <c r="N30" s="15"/>
    </row>
    <row r="31" spans="3:14" x14ac:dyDescent="0.25">
      <c r="K31" s="16"/>
      <c r="L31" s="6" t="s">
        <v>44</v>
      </c>
      <c r="M31" s="6"/>
      <c r="N31" s="15"/>
    </row>
    <row r="32" spans="3:14" x14ac:dyDescent="0.25">
      <c r="K32" s="16"/>
      <c r="L32" s="9" t="s">
        <v>64</v>
      </c>
      <c r="M32" s="6"/>
      <c r="N32" s="15"/>
    </row>
    <row r="33" spans="11:14" x14ac:dyDescent="0.25">
      <c r="K33" s="16"/>
      <c r="L33" s="6">
        <f>I3*I4*I5</f>
        <v>5760</v>
      </c>
      <c r="M33" s="6">
        <f>L33*70</f>
        <v>403200</v>
      </c>
      <c r="N33" s="15" t="s">
        <v>65</v>
      </c>
    </row>
    <row r="34" spans="11:14" x14ac:dyDescent="0.25">
      <c r="K34" s="16"/>
      <c r="L34" s="6" t="s">
        <v>67</v>
      </c>
      <c r="M34" s="6">
        <f>0.95*M33</f>
        <v>383040</v>
      </c>
      <c r="N34" s="15" t="s">
        <v>66</v>
      </c>
    </row>
    <row r="35" spans="11:14" x14ac:dyDescent="0.25">
      <c r="K35" s="16"/>
      <c r="L35" s="6"/>
      <c r="M35" s="6"/>
      <c r="N35" s="15"/>
    </row>
    <row r="36" spans="11:14" x14ac:dyDescent="0.25">
      <c r="K36" s="16"/>
      <c r="L36" s="6"/>
      <c r="M36" s="6"/>
      <c r="N36" s="15"/>
    </row>
    <row r="37" spans="11:14" x14ac:dyDescent="0.25">
      <c r="K37" s="16"/>
      <c r="L37" s="6"/>
      <c r="M37" s="6"/>
      <c r="N37" s="15"/>
    </row>
    <row r="38" spans="11:14" x14ac:dyDescent="0.25">
      <c r="K38" s="16"/>
      <c r="L38" s="6"/>
      <c r="M38" s="6"/>
      <c r="N38" s="15"/>
    </row>
    <row r="39" spans="11:14" x14ac:dyDescent="0.25">
      <c r="K39" s="16"/>
      <c r="L39" s="5" t="s">
        <v>45</v>
      </c>
      <c r="M39" s="5">
        <f>M34+M37</f>
        <v>383040</v>
      </c>
      <c r="N39" s="17" t="s">
        <v>42</v>
      </c>
    </row>
    <row r="40" spans="11:14" x14ac:dyDescent="0.25">
      <c r="K40" s="16"/>
      <c r="L40" s="6"/>
      <c r="M40" s="6"/>
      <c r="N40" s="15"/>
    </row>
    <row r="41" spans="11:14" x14ac:dyDescent="0.25">
      <c r="K41" s="16"/>
      <c r="L41" s="6" t="s">
        <v>46</v>
      </c>
      <c r="M41" s="6">
        <f>M39*(30/100)</f>
        <v>114912</v>
      </c>
      <c r="N41" s="17" t="s">
        <v>42</v>
      </c>
    </row>
    <row r="42" spans="11:14" x14ac:dyDescent="0.25">
      <c r="K42" s="16"/>
      <c r="L42" s="6" t="s">
        <v>47</v>
      </c>
      <c r="M42" s="6">
        <f>M17*(20/100)</f>
        <v>40000</v>
      </c>
      <c r="N42" s="17" t="s">
        <v>42</v>
      </c>
    </row>
    <row r="43" spans="11:14" x14ac:dyDescent="0.25">
      <c r="K43" s="16"/>
      <c r="L43" s="6" t="s">
        <v>48</v>
      </c>
      <c r="M43" s="6">
        <f>M16*(2/100)</f>
        <v>100000</v>
      </c>
      <c r="N43" s="17" t="s">
        <v>42</v>
      </c>
    </row>
    <row r="44" spans="11:14" x14ac:dyDescent="0.25">
      <c r="K44" s="16"/>
      <c r="L44" s="6"/>
      <c r="M44" s="5"/>
      <c r="N44" s="15"/>
    </row>
    <row r="45" spans="11:14" ht="15.75" thickBot="1" x14ac:dyDescent="0.3">
      <c r="K45" s="18"/>
      <c r="L45" s="19" t="s">
        <v>49</v>
      </c>
      <c r="M45" s="19">
        <f>M43+M42+M41+M39+M29+M21</f>
        <v>1263952</v>
      </c>
      <c r="N45" s="17" t="s">
        <v>42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EF71-B1B2-43FE-9554-C583DD6C0A4A}">
  <dimension ref="C4:P48"/>
  <sheetViews>
    <sheetView topLeftCell="C1" zoomScale="70" zoomScaleNormal="70" workbookViewId="0">
      <selection activeCell="L17" sqref="L17:O48"/>
    </sheetView>
  </sheetViews>
  <sheetFormatPr baseColWidth="10" defaultRowHeight="15" x14ac:dyDescent="0.25"/>
  <cols>
    <col min="3" max="3" width="24.5703125" customWidth="1"/>
    <col min="4" max="4" width="16.7109375" customWidth="1"/>
    <col min="5" max="5" width="17.7109375" customWidth="1"/>
    <col min="8" max="8" width="25.5703125" customWidth="1"/>
    <col min="9" max="9" width="27.140625" customWidth="1"/>
    <col min="10" max="10" width="19" customWidth="1"/>
    <col min="11" max="11" width="31.7109375" customWidth="1"/>
    <col min="12" max="12" width="18.7109375" customWidth="1"/>
    <col min="13" max="13" width="54.28515625" customWidth="1"/>
    <col min="14" max="14" width="33.42578125" customWidth="1"/>
    <col min="15" max="15" width="12.85546875" customWidth="1"/>
    <col min="16" max="16" width="23" customWidth="1"/>
  </cols>
  <sheetData>
    <row r="4" spans="3:16" x14ac:dyDescent="0.25">
      <c r="C4" t="s">
        <v>16</v>
      </c>
      <c r="D4">
        <v>2623372.2719999999</v>
      </c>
    </row>
    <row r="5" spans="3:16" x14ac:dyDescent="0.25">
      <c r="D5">
        <f>D4/240</f>
        <v>10930.7178</v>
      </c>
    </row>
    <row r="6" spans="3:16" ht="39.75" customHeight="1" x14ac:dyDescent="0.25">
      <c r="D6" s="6">
        <f>D5/3</f>
        <v>3643.5726</v>
      </c>
      <c r="E6" s="6" t="s">
        <v>73</v>
      </c>
      <c r="F6" s="6"/>
      <c r="G6" s="6" t="s">
        <v>40</v>
      </c>
      <c r="H6" s="6" t="s">
        <v>53</v>
      </c>
      <c r="I6" s="6" t="s">
        <v>74</v>
      </c>
      <c r="J6" s="6" t="s">
        <v>76</v>
      </c>
      <c r="K6" s="6" t="s">
        <v>75</v>
      </c>
      <c r="L6" s="6" t="s">
        <v>77</v>
      </c>
      <c r="M6" s="6" t="s">
        <v>78</v>
      </c>
      <c r="N6" s="6" t="s">
        <v>80</v>
      </c>
      <c r="O6" s="28" t="s">
        <v>79</v>
      </c>
      <c r="P6" s="6" t="s">
        <v>81</v>
      </c>
    </row>
    <row r="7" spans="3:16" x14ac:dyDescent="0.25">
      <c r="D7" s="6"/>
      <c r="E7" s="6"/>
      <c r="F7" s="6"/>
      <c r="G7" s="6">
        <v>3.5</v>
      </c>
      <c r="H7" s="6">
        <f>1.5*G7</f>
        <v>5.25</v>
      </c>
      <c r="I7" s="6">
        <v>8</v>
      </c>
      <c r="J7" s="6">
        <f>I7*H7*G7</f>
        <v>147</v>
      </c>
      <c r="K7" s="29">
        <f>D6/J7</f>
        <v>24.786208163265307</v>
      </c>
      <c r="L7" s="6">
        <v>0.1</v>
      </c>
      <c r="M7" s="6">
        <f>((3.14*L7*L7)/4)*I7</f>
        <v>6.2800000000000009E-2</v>
      </c>
      <c r="N7" s="29">
        <f>M7*1200*0.7</f>
        <v>52.75200000000001</v>
      </c>
      <c r="O7" s="29">
        <f>N7*K7</f>
        <v>1307.5220530285717</v>
      </c>
      <c r="P7" s="30">
        <f>O7/D6</f>
        <v>0.35885714285714293</v>
      </c>
    </row>
    <row r="8" spans="3:16" x14ac:dyDescent="0.25">
      <c r="D8" s="6"/>
      <c r="E8" s="6"/>
      <c r="F8" s="6"/>
      <c r="G8" s="8">
        <v>3.2</v>
      </c>
      <c r="H8" s="6">
        <v>4.5</v>
      </c>
      <c r="I8" s="6">
        <v>7.5</v>
      </c>
      <c r="J8" s="6">
        <f>G8*H8*I8</f>
        <v>108</v>
      </c>
      <c r="K8" s="29">
        <f>D6/J8</f>
        <v>33.736783333333335</v>
      </c>
      <c r="L8" s="6">
        <v>0.1</v>
      </c>
      <c r="M8" s="6">
        <f>((3.14*L8*L8)/4)*I8</f>
        <v>5.8875000000000011E-2</v>
      </c>
      <c r="N8" s="29">
        <f>M8*1200*0.7</f>
        <v>49.454999999999998</v>
      </c>
      <c r="O8" s="29">
        <f>N8*K8</f>
        <v>1668.4526197499999</v>
      </c>
      <c r="P8" s="30">
        <f>O8/D6</f>
        <v>0.45791666666666664</v>
      </c>
    </row>
    <row r="13" spans="3:16" x14ac:dyDescent="0.25">
      <c r="H13" s="35" t="s">
        <v>83</v>
      </c>
      <c r="I13" s="31"/>
      <c r="J13" s="31"/>
      <c r="K13" s="34"/>
    </row>
    <row r="14" spans="3:16" x14ac:dyDescent="0.25">
      <c r="H14" s="31" t="s">
        <v>84</v>
      </c>
      <c r="I14" s="32">
        <v>3.5</v>
      </c>
      <c r="J14" s="31" t="s">
        <v>16</v>
      </c>
      <c r="K14" s="33"/>
      <c r="L14" t="s">
        <v>95</v>
      </c>
      <c r="M14" t="s">
        <v>96</v>
      </c>
      <c r="N14" t="s">
        <v>101</v>
      </c>
    </row>
    <row r="15" spans="3:16" x14ac:dyDescent="0.25">
      <c r="H15" s="31" t="s">
        <v>85</v>
      </c>
      <c r="I15" s="31">
        <f>D6/I14</f>
        <v>1041.0207428571427</v>
      </c>
      <c r="J15" s="31"/>
      <c r="K15" s="31"/>
      <c r="M15">
        <v>1000000</v>
      </c>
      <c r="N15">
        <f>750000*2</f>
        <v>1500000</v>
      </c>
    </row>
    <row r="16" spans="3:16" ht="15.75" thickBot="1" x14ac:dyDescent="0.3">
      <c r="H16" t="s">
        <v>88</v>
      </c>
      <c r="I16">
        <v>30</v>
      </c>
      <c r="J16" t="s">
        <v>89</v>
      </c>
    </row>
    <row r="17" spans="5:15" x14ac:dyDescent="0.25">
      <c r="H17">
        <v>1214.5242000000001</v>
      </c>
      <c r="I17">
        <f>I15*30</f>
        <v>31230.622285714282</v>
      </c>
      <c r="J17" s="31" t="s">
        <v>89</v>
      </c>
      <c r="L17" s="10"/>
      <c r="M17" s="11" t="s">
        <v>31</v>
      </c>
      <c r="N17" s="12"/>
      <c r="O17" s="13"/>
    </row>
    <row r="18" spans="5:15" x14ac:dyDescent="0.25">
      <c r="I18">
        <f>I17/3600</f>
        <v>8.6751728571428561</v>
      </c>
      <c r="J18" s="31" t="s">
        <v>14</v>
      </c>
      <c r="L18" s="14" t="s">
        <v>32</v>
      </c>
      <c r="M18" s="5" t="s">
        <v>33</v>
      </c>
      <c r="N18" s="6">
        <f>M15+N15</f>
        <v>2500000</v>
      </c>
      <c r="O18" s="15"/>
    </row>
    <row r="19" spans="5:15" x14ac:dyDescent="0.25">
      <c r="E19">
        <f>D19/60</f>
        <v>0</v>
      </c>
      <c r="L19" s="16"/>
      <c r="M19" s="6" t="s">
        <v>34</v>
      </c>
      <c r="N19" s="6">
        <f>N18</f>
        <v>2500000</v>
      </c>
      <c r="O19" s="15"/>
    </row>
    <row r="20" spans="5:15" x14ac:dyDescent="0.25">
      <c r="H20" s="34" t="s">
        <v>87</v>
      </c>
      <c r="L20" s="16"/>
      <c r="M20" s="6" t="s">
        <v>35</v>
      </c>
      <c r="N20" s="6">
        <f>0.04*N19</f>
        <v>100000</v>
      </c>
      <c r="O20" s="15"/>
    </row>
    <row r="21" spans="5:15" ht="30" x14ac:dyDescent="0.25">
      <c r="H21" s="33">
        <f>35/1.15</f>
        <v>30.434782608695656</v>
      </c>
      <c r="I21" t="s">
        <v>86</v>
      </c>
      <c r="L21" s="16"/>
      <c r="M21" s="7" t="s">
        <v>97</v>
      </c>
      <c r="N21" s="8">
        <f>((25+1)*N18)/(2*25)</f>
        <v>1300000</v>
      </c>
      <c r="O21" s="15"/>
    </row>
    <row r="22" spans="5:15" x14ac:dyDescent="0.25">
      <c r="H22" t="s">
        <v>90</v>
      </c>
      <c r="I22">
        <v>10</v>
      </c>
      <c r="J22" t="s">
        <v>91</v>
      </c>
      <c r="L22" s="16"/>
      <c r="M22" s="6" t="s">
        <v>38</v>
      </c>
      <c r="N22" s="6">
        <f>N21*(15/100)</f>
        <v>195000</v>
      </c>
      <c r="O22" s="15"/>
    </row>
    <row r="23" spans="5:15" x14ac:dyDescent="0.25">
      <c r="H23" t="s">
        <v>92</v>
      </c>
      <c r="L23" s="16"/>
      <c r="M23" s="6"/>
      <c r="N23" s="6"/>
      <c r="O23" s="15"/>
    </row>
    <row r="24" spans="5:15" x14ac:dyDescent="0.25">
      <c r="H24" t="s">
        <v>94</v>
      </c>
      <c r="L24" s="14"/>
      <c r="M24" s="5" t="s">
        <v>39</v>
      </c>
      <c r="N24" s="5">
        <f>N20+N22</f>
        <v>295000</v>
      </c>
      <c r="O24" s="15" t="s">
        <v>42</v>
      </c>
    </row>
    <row r="25" spans="5:15" x14ac:dyDescent="0.25">
      <c r="H25" t="s">
        <v>93</v>
      </c>
      <c r="I25" s="4">
        <f>10/4.5</f>
        <v>2.2222222222222223</v>
      </c>
      <c r="L25" s="16"/>
      <c r="M25" s="6"/>
      <c r="N25" s="6"/>
      <c r="O25" s="15"/>
    </row>
    <row r="26" spans="5:15" x14ac:dyDescent="0.25">
      <c r="L26" s="16" t="s">
        <v>40</v>
      </c>
      <c r="M26" s="5" t="s">
        <v>41</v>
      </c>
      <c r="N26" s="6"/>
      <c r="O26" s="15"/>
    </row>
    <row r="27" spans="5:15" x14ac:dyDescent="0.25">
      <c r="L27" s="16"/>
      <c r="M27" s="6" t="s">
        <v>43</v>
      </c>
      <c r="N27" s="6"/>
      <c r="O27" s="15"/>
    </row>
    <row r="28" spans="5:15" x14ac:dyDescent="0.25">
      <c r="J28">
        <f>I14*8*3*240*1.15*1.2*0.73*0.69*3600</f>
        <v>50448013.055999987</v>
      </c>
      <c r="L28" s="16"/>
      <c r="M28" s="9" t="s">
        <v>98</v>
      </c>
      <c r="N28" s="6"/>
      <c r="O28" s="15"/>
    </row>
    <row r="29" spans="5:15" x14ac:dyDescent="0.25">
      <c r="J29">
        <f>J28/30</f>
        <v>1681600.4351999995</v>
      </c>
      <c r="L29" s="16"/>
      <c r="M29" s="6">
        <f>9*60000*12</f>
        <v>6480000</v>
      </c>
      <c r="N29" s="6">
        <f>M29/100</f>
        <v>64800</v>
      </c>
      <c r="O29" s="15" t="s">
        <v>42</v>
      </c>
    </row>
    <row r="30" spans="5:15" x14ac:dyDescent="0.25">
      <c r="H30" s="5" t="s">
        <v>6</v>
      </c>
      <c r="I30" s="5"/>
      <c r="L30" s="16"/>
      <c r="M30" s="6" t="s">
        <v>99</v>
      </c>
      <c r="N30" s="6"/>
      <c r="O30" s="15"/>
    </row>
    <row r="31" spans="5:15" x14ac:dyDescent="0.25">
      <c r="H31" s="5" t="s">
        <v>50</v>
      </c>
      <c r="I31" s="5">
        <f>N48</f>
        <v>1753448</v>
      </c>
      <c r="L31" s="16"/>
      <c r="M31" s="6">
        <f>9*40000*12</f>
        <v>4320000</v>
      </c>
      <c r="N31" s="6">
        <f>M31/100</f>
        <v>43200</v>
      </c>
      <c r="O31" s="15" t="s">
        <v>42</v>
      </c>
    </row>
    <row r="32" spans="5:15" x14ac:dyDescent="0.25">
      <c r="H32" s="5" t="s">
        <v>51</v>
      </c>
      <c r="I32" s="5">
        <v>1681600</v>
      </c>
      <c r="L32" s="16"/>
      <c r="M32" s="5" t="s">
        <v>45</v>
      </c>
      <c r="N32" s="5">
        <f>N29+N31</f>
        <v>108000</v>
      </c>
      <c r="O32" s="15"/>
    </row>
    <row r="33" spans="8:15" x14ac:dyDescent="0.25">
      <c r="H33" s="20" t="s">
        <v>68</v>
      </c>
      <c r="I33" s="6">
        <f>I31/I32</f>
        <v>1.0427259752616556</v>
      </c>
      <c r="L33" s="16"/>
      <c r="M33" s="6"/>
      <c r="N33" s="6"/>
      <c r="O33" s="15"/>
    </row>
    <row r="34" spans="8:15" x14ac:dyDescent="0.25">
      <c r="H34" s="36" t="s">
        <v>69</v>
      </c>
      <c r="I34" s="6">
        <v>104</v>
      </c>
      <c r="L34" s="16"/>
      <c r="M34" s="6" t="s">
        <v>44</v>
      </c>
      <c r="N34" s="6"/>
      <c r="O34" s="15"/>
    </row>
    <row r="35" spans="8:15" x14ac:dyDescent="0.25">
      <c r="L35" s="16"/>
      <c r="M35" s="9" t="s">
        <v>64</v>
      </c>
      <c r="N35" s="6"/>
      <c r="O35" s="15"/>
    </row>
    <row r="36" spans="8:15" x14ac:dyDescent="0.25">
      <c r="L36" s="16"/>
      <c r="M36" s="6">
        <f>8*3*240</f>
        <v>5760</v>
      </c>
      <c r="N36" s="6">
        <f>M36*180</f>
        <v>1036800</v>
      </c>
      <c r="O36" s="15" t="s">
        <v>65</v>
      </c>
    </row>
    <row r="37" spans="8:15" x14ac:dyDescent="0.25">
      <c r="L37" s="16"/>
      <c r="M37" s="6" t="s">
        <v>100</v>
      </c>
      <c r="N37" s="6">
        <f>0.95*N36</f>
        <v>984960</v>
      </c>
      <c r="O37" s="15" t="s">
        <v>66</v>
      </c>
    </row>
    <row r="38" spans="8:15" x14ac:dyDescent="0.25">
      <c r="L38" s="16"/>
      <c r="M38" s="6"/>
      <c r="N38" s="6"/>
      <c r="O38" s="15"/>
    </row>
    <row r="39" spans="8:15" x14ac:dyDescent="0.25">
      <c r="L39" s="16"/>
      <c r="M39" s="6"/>
      <c r="N39" s="6"/>
      <c r="O39" s="15"/>
    </row>
    <row r="40" spans="8:15" x14ac:dyDescent="0.25">
      <c r="L40" s="16"/>
      <c r="M40" s="6"/>
      <c r="N40" s="6"/>
      <c r="O40" s="15"/>
    </row>
    <row r="41" spans="8:15" x14ac:dyDescent="0.25">
      <c r="L41" s="16"/>
      <c r="M41" s="6"/>
      <c r="N41" s="6"/>
      <c r="O41" s="15"/>
    </row>
    <row r="42" spans="8:15" x14ac:dyDescent="0.25">
      <c r="L42" s="16"/>
      <c r="M42" s="5" t="s">
        <v>45</v>
      </c>
      <c r="N42" s="5">
        <f>N37+N40</f>
        <v>984960</v>
      </c>
      <c r="O42" s="17" t="s">
        <v>42</v>
      </c>
    </row>
    <row r="43" spans="8:15" x14ac:dyDescent="0.25">
      <c r="L43" s="16"/>
      <c r="M43" s="6"/>
      <c r="N43" s="6"/>
      <c r="O43" s="15"/>
    </row>
    <row r="44" spans="8:15" x14ac:dyDescent="0.25">
      <c r="L44" s="16"/>
      <c r="M44" s="6" t="s">
        <v>46</v>
      </c>
      <c r="N44" s="6">
        <f>N42*(30/100)</f>
        <v>295488</v>
      </c>
      <c r="O44" s="17" t="s">
        <v>42</v>
      </c>
    </row>
    <row r="45" spans="8:15" x14ac:dyDescent="0.25">
      <c r="L45" s="16"/>
      <c r="M45" s="6" t="s">
        <v>47</v>
      </c>
      <c r="N45" s="6">
        <f>N20*(20/100)</f>
        <v>20000</v>
      </c>
      <c r="O45" s="17" t="s">
        <v>42</v>
      </c>
    </row>
    <row r="46" spans="8:15" x14ac:dyDescent="0.25">
      <c r="L46" s="16"/>
      <c r="M46" s="6" t="s">
        <v>48</v>
      </c>
      <c r="N46" s="6">
        <f>N19*(2/100)</f>
        <v>50000</v>
      </c>
      <c r="O46" s="17" t="s">
        <v>42</v>
      </c>
    </row>
    <row r="47" spans="8:15" x14ac:dyDescent="0.25">
      <c r="L47" s="16"/>
      <c r="M47" s="6"/>
      <c r="N47" s="5"/>
      <c r="O47" s="15"/>
    </row>
    <row r="48" spans="8:15" ht="15.75" thickBot="1" x14ac:dyDescent="0.3">
      <c r="L48" s="18"/>
      <c r="M48" s="19" t="s">
        <v>49</v>
      </c>
      <c r="N48" s="19">
        <f>N46+N45+N44+N42+N32+N24</f>
        <v>1753448</v>
      </c>
      <c r="O48" s="17" t="s">
        <v>42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112F-AF48-4AE6-BC3A-A060050F8155}">
  <dimension ref="C2:M40"/>
  <sheetViews>
    <sheetView tabSelected="1" topLeftCell="B9" zoomScaleNormal="100" workbookViewId="0">
      <selection activeCell="G14" sqref="C14:G40"/>
    </sheetView>
  </sheetViews>
  <sheetFormatPr baseColWidth="10" defaultRowHeight="15.75" x14ac:dyDescent="0.25"/>
  <cols>
    <col min="1" max="2" width="11.42578125" style="37"/>
    <col min="3" max="3" width="10.85546875" style="37" customWidth="1"/>
    <col min="4" max="4" width="40.28515625" style="37" customWidth="1"/>
    <col min="5" max="5" width="20" style="37" customWidth="1"/>
    <col min="6" max="6" width="24" style="37" customWidth="1"/>
    <col min="7" max="8" width="11.42578125" style="37"/>
    <col min="9" max="9" width="9" style="37" customWidth="1"/>
    <col min="10" max="10" width="53.5703125" style="37" customWidth="1"/>
    <col min="11" max="11" width="20.5703125" style="37" customWidth="1"/>
    <col min="12" max="12" width="26.5703125" style="37" customWidth="1"/>
    <col min="13" max="16384" width="11.42578125" style="37"/>
  </cols>
  <sheetData>
    <row r="2" spans="3:13" x14ac:dyDescent="0.25">
      <c r="D2" s="66" t="s">
        <v>163</v>
      </c>
      <c r="E2" s="66">
        <f>M3+M4</f>
        <v>2050999.9879999999</v>
      </c>
      <c r="F2" s="66" t="s">
        <v>123</v>
      </c>
      <c r="J2" s="38"/>
      <c r="K2" s="38" t="s">
        <v>159</v>
      </c>
      <c r="L2" s="38" t="s">
        <v>160</v>
      </c>
      <c r="M2" s="38" t="s">
        <v>49</v>
      </c>
    </row>
    <row r="3" spans="3:13" x14ac:dyDescent="0.25">
      <c r="D3" s="38" t="s">
        <v>164</v>
      </c>
      <c r="E3" s="40">
        <f>F25</f>
        <v>2907114.6239999998</v>
      </c>
      <c r="F3" s="38" t="s">
        <v>124</v>
      </c>
      <c r="J3" s="47" t="s">
        <v>146</v>
      </c>
      <c r="K3" s="38">
        <v>700000</v>
      </c>
      <c r="L3" s="40">
        <f>(30000)/(E22*E23*E24*E19*E20)</f>
        <v>10.253465671396931</v>
      </c>
      <c r="M3" s="40">
        <f>K38</f>
        <v>665380.22</v>
      </c>
    </row>
    <row r="4" spans="3:13" x14ac:dyDescent="0.25">
      <c r="D4" s="39" t="s">
        <v>125</v>
      </c>
      <c r="E4" s="69">
        <f>E2/E3</f>
        <v>0.70551053304460276</v>
      </c>
      <c r="F4" s="39" t="s">
        <v>126</v>
      </c>
      <c r="J4" s="47" t="s">
        <v>161</v>
      </c>
      <c r="K4" s="67">
        <f>2*900000</f>
        <v>1800000</v>
      </c>
      <c r="L4" s="40">
        <f>50000/(E22*E23*E24*E19*E20)</f>
        <v>17.08910945232822</v>
      </c>
      <c r="M4" s="40">
        <f>L38</f>
        <v>1385619.7679999999</v>
      </c>
    </row>
    <row r="5" spans="3:13" x14ac:dyDescent="0.25">
      <c r="D5" s="39" t="s">
        <v>127</v>
      </c>
      <c r="E5" s="70">
        <f>E4*100</f>
        <v>70.551053304460282</v>
      </c>
      <c r="F5" s="39" t="s">
        <v>128</v>
      </c>
    </row>
    <row r="6" spans="3:13" ht="16.5" thickBot="1" x14ac:dyDescent="0.3"/>
    <row r="7" spans="3:13" x14ac:dyDescent="0.25">
      <c r="D7" s="38" t="s">
        <v>51</v>
      </c>
      <c r="E7" s="40">
        <f>E3</f>
        <v>2907114.6239999998</v>
      </c>
      <c r="F7" s="38" t="s">
        <v>124</v>
      </c>
      <c r="I7" s="42"/>
      <c r="J7" s="43" t="s">
        <v>31</v>
      </c>
      <c r="K7" s="44" t="s">
        <v>146</v>
      </c>
      <c r="L7" s="44" t="str">
        <f>J4</f>
        <v>Komatsu HD785-7 X 2</v>
      </c>
      <c r="M7" s="45"/>
    </row>
    <row r="8" spans="3:13" x14ac:dyDescent="0.25">
      <c r="D8" s="38" t="s">
        <v>165</v>
      </c>
      <c r="E8" s="40">
        <f>E7</f>
        <v>2907114.6239999998</v>
      </c>
      <c r="F8" s="38" t="s">
        <v>132</v>
      </c>
      <c r="I8" s="46" t="s">
        <v>32</v>
      </c>
      <c r="J8" s="47" t="s">
        <v>33</v>
      </c>
      <c r="K8" s="38">
        <f>700000</f>
        <v>700000</v>
      </c>
      <c r="L8" s="38">
        <f>K4</f>
        <v>1800000</v>
      </c>
      <c r="M8" s="48"/>
    </row>
    <row r="9" spans="3:13" x14ac:dyDescent="0.25">
      <c r="D9" s="38" t="s">
        <v>134</v>
      </c>
      <c r="E9" s="38">
        <f>(E8)*1.6</f>
        <v>4651383.3984000003</v>
      </c>
      <c r="F9" s="38" t="s">
        <v>133</v>
      </c>
      <c r="I9" s="49"/>
      <c r="J9" s="38" t="s">
        <v>34</v>
      </c>
      <c r="K9" s="38">
        <f>K8</f>
        <v>700000</v>
      </c>
      <c r="L9" s="38">
        <f>L8</f>
        <v>1800000</v>
      </c>
      <c r="M9" s="48"/>
    </row>
    <row r="10" spans="3:13" x14ac:dyDescent="0.25">
      <c r="D10" s="38" t="s">
        <v>136</v>
      </c>
      <c r="E10" s="38">
        <f>E9*0.142</f>
        <v>660496.44257279998</v>
      </c>
      <c r="F10" s="38" t="s">
        <v>135</v>
      </c>
      <c r="I10" s="49"/>
      <c r="J10" s="38" t="s">
        <v>35</v>
      </c>
      <c r="K10" s="38">
        <f>0.04*K9</f>
        <v>28000</v>
      </c>
      <c r="L10" s="38">
        <f>0.04*L9</f>
        <v>72000</v>
      </c>
      <c r="M10" s="48"/>
    </row>
    <row r="11" spans="3:13" ht="31.5" x14ac:dyDescent="0.25">
      <c r="D11" s="52" t="s">
        <v>166</v>
      </c>
      <c r="E11" s="52">
        <f>E10*10</f>
        <v>6604964.4257279998</v>
      </c>
      <c r="F11" s="52" t="s">
        <v>137</v>
      </c>
      <c r="I11" s="49"/>
      <c r="J11" s="50" t="s">
        <v>97</v>
      </c>
      <c r="K11" s="51">
        <f>((L3+1)*K8)/(2*L3)</f>
        <v>384134.8</v>
      </c>
      <c r="L11" s="51">
        <f>((L4+1)*L8)/(2*L4)</f>
        <v>952665.12</v>
      </c>
      <c r="M11" s="48"/>
    </row>
    <row r="12" spans="3:13" x14ac:dyDescent="0.25">
      <c r="D12" s="53" t="s">
        <v>140</v>
      </c>
      <c r="E12" s="53">
        <f>E11-E2</f>
        <v>4553964.4377279999</v>
      </c>
      <c r="F12" s="53" t="s">
        <v>123</v>
      </c>
      <c r="I12" s="49"/>
      <c r="J12" s="38" t="s">
        <v>38</v>
      </c>
      <c r="K12" s="38">
        <f>K11*(15/100)</f>
        <v>57620.219999999994</v>
      </c>
      <c r="L12" s="38">
        <f>L11*(15/100)</f>
        <v>142899.76799999998</v>
      </c>
      <c r="M12" s="48"/>
    </row>
    <row r="13" spans="3:13" x14ac:dyDescent="0.25">
      <c r="I13" s="49"/>
      <c r="J13" s="38"/>
      <c r="K13" s="38"/>
      <c r="L13" s="38"/>
      <c r="M13" s="48"/>
    </row>
    <row r="14" spans="3:13" x14ac:dyDescent="0.25">
      <c r="C14" s="47" t="s">
        <v>145</v>
      </c>
      <c r="D14" s="47" t="s">
        <v>146</v>
      </c>
      <c r="E14" s="47"/>
      <c r="F14" s="47" t="s">
        <v>117</v>
      </c>
      <c r="I14" s="46"/>
      <c r="J14" s="47" t="s">
        <v>39</v>
      </c>
      <c r="K14" s="47">
        <f>K10+K12</f>
        <v>85620.22</v>
      </c>
      <c r="L14" s="47">
        <f>L10+L12</f>
        <v>214899.76799999998</v>
      </c>
      <c r="M14" s="48" t="s">
        <v>42</v>
      </c>
    </row>
    <row r="15" spans="3:13" x14ac:dyDescent="0.25">
      <c r="C15" s="38">
        <v>1</v>
      </c>
      <c r="D15" s="38" t="s">
        <v>112</v>
      </c>
      <c r="E15" s="38">
        <v>5.4</v>
      </c>
      <c r="F15" s="38"/>
      <c r="I15" s="49"/>
      <c r="J15" s="38"/>
      <c r="K15" s="38"/>
      <c r="L15" s="38"/>
      <c r="M15" s="48"/>
    </row>
    <row r="16" spans="3:13" x14ac:dyDescent="0.25">
      <c r="C16" s="38">
        <v>2</v>
      </c>
      <c r="D16" s="38" t="s">
        <v>129</v>
      </c>
      <c r="E16" s="38">
        <v>27</v>
      </c>
      <c r="F16" s="38"/>
      <c r="I16" s="49" t="s">
        <v>40</v>
      </c>
      <c r="J16" s="47" t="s">
        <v>41</v>
      </c>
      <c r="K16" s="38"/>
      <c r="L16" s="38"/>
      <c r="M16" s="48"/>
    </row>
    <row r="17" spans="3:13" x14ac:dyDescent="0.25">
      <c r="C17" s="38">
        <v>3</v>
      </c>
      <c r="D17" s="38" t="s">
        <v>113</v>
      </c>
      <c r="E17" s="38">
        <v>1.1499999999999999</v>
      </c>
      <c r="F17" s="38"/>
      <c r="I17" s="49"/>
      <c r="J17" s="38" t="s">
        <v>43</v>
      </c>
      <c r="K17" s="38"/>
      <c r="L17" s="38"/>
      <c r="M17" s="48"/>
    </row>
    <row r="18" spans="3:13" x14ac:dyDescent="0.25">
      <c r="C18" s="38">
        <v>4</v>
      </c>
      <c r="D18" s="38" t="s">
        <v>13</v>
      </c>
      <c r="E18" s="38">
        <v>1.2</v>
      </c>
      <c r="F18" s="38"/>
      <c r="I18" s="49"/>
      <c r="J18" s="58" t="s">
        <v>70</v>
      </c>
      <c r="K18" s="38"/>
      <c r="L18" s="38"/>
      <c r="M18" s="48"/>
    </row>
    <row r="19" spans="3:13" x14ac:dyDescent="0.25">
      <c r="C19" s="38">
        <v>5</v>
      </c>
      <c r="D19" s="38" t="s">
        <v>19</v>
      </c>
      <c r="E19" s="38">
        <v>0.73</v>
      </c>
      <c r="F19" s="38"/>
      <c r="I19" s="49"/>
      <c r="J19" s="38">
        <f>3*60000*12</f>
        <v>2160000</v>
      </c>
      <c r="K19" s="38">
        <f>J19/100</f>
        <v>21600</v>
      </c>
      <c r="L19" s="38">
        <f>K19*2</f>
        <v>43200</v>
      </c>
      <c r="M19" s="48" t="s">
        <v>42</v>
      </c>
    </row>
    <row r="20" spans="3:13" x14ac:dyDescent="0.25">
      <c r="C20" s="38">
        <v>6</v>
      </c>
      <c r="D20" s="38" t="s">
        <v>28</v>
      </c>
      <c r="E20" s="38">
        <v>0.6958333333333333</v>
      </c>
      <c r="F20" s="38"/>
      <c r="I20" s="49"/>
      <c r="J20" s="38" t="s">
        <v>71</v>
      </c>
      <c r="K20" s="38"/>
      <c r="L20" s="38"/>
      <c r="M20" s="48"/>
    </row>
    <row r="21" spans="3:13" x14ac:dyDescent="0.25">
      <c r="C21" s="38">
        <v>7</v>
      </c>
      <c r="D21" s="38" t="s">
        <v>56</v>
      </c>
      <c r="E21" s="38">
        <v>1</v>
      </c>
      <c r="F21" s="38"/>
      <c r="I21" s="49"/>
      <c r="J21" s="38">
        <f>3*40000*12</f>
        <v>1440000</v>
      </c>
      <c r="K21" s="38">
        <f>J21/100</f>
        <v>14400</v>
      </c>
      <c r="L21" s="38">
        <f>K21*2</f>
        <v>28800</v>
      </c>
      <c r="M21" s="48" t="s">
        <v>42</v>
      </c>
    </row>
    <row r="22" spans="3:13" x14ac:dyDescent="0.25">
      <c r="C22" s="38">
        <v>8</v>
      </c>
      <c r="D22" s="38" t="s">
        <v>114</v>
      </c>
      <c r="E22" s="38">
        <v>8</v>
      </c>
      <c r="F22" s="38">
        <f t="shared" ref="F22:F23" si="0">F23/E22</f>
        <v>504.70740000000001</v>
      </c>
      <c r="I22" s="49"/>
      <c r="J22" s="47" t="s">
        <v>45</v>
      </c>
      <c r="K22" s="47">
        <f>K19+K21</f>
        <v>36000</v>
      </c>
      <c r="L22" s="47">
        <f>L19+L21</f>
        <v>72000</v>
      </c>
      <c r="M22" s="48"/>
    </row>
    <row r="23" spans="3:13" x14ac:dyDescent="0.25">
      <c r="C23" s="38">
        <v>9</v>
      </c>
      <c r="D23" s="38" t="s">
        <v>115</v>
      </c>
      <c r="E23" s="38">
        <v>3</v>
      </c>
      <c r="F23" s="38">
        <f t="shared" si="0"/>
        <v>4037.6592000000001</v>
      </c>
      <c r="I23" s="49"/>
      <c r="J23" s="38"/>
      <c r="K23" s="38"/>
      <c r="L23" s="38"/>
      <c r="M23" s="48"/>
    </row>
    <row r="24" spans="3:13" x14ac:dyDescent="0.25">
      <c r="C24" s="38">
        <v>10</v>
      </c>
      <c r="D24" s="38" t="s">
        <v>116</v>
      </c>
      <c r="E24" s="38">
        <v>240</v>
      </c>
      <c r="F24" s="38">
        <f>F25/E24</f>
        <v>12112.9776</v>
      </c>
      <c r="I24" s="49"/>
      <c r="J24" s="38" t="s">
        <v>44</v>
      </c>
      <c r="K24" s="38"/>
      <c r="L24" s="38"/>
      <c r="M24" s="48"/>
    </row>
    <row r="25" spans="3:13" x14ac:dyDescent="0.25">
      <c r="C25" s="38"/>
      <c r="D25" s="47" t="s">
        <v>105</v>
      </c>
      <c r="E25" s="59">
        <f>E15*E17*E18*E19*E20*E21*E22*E23*E24*(3600/E16)</f>
        <v>2907114.6239999998</v>
      </c>
      <c r="F25" s="59">
        <f>E25</f>
        <v>2907114.6239999998</v>
      </c>
      <c r="I25" s="49"/>
      <c r="J25" s="58" t="s">
        <v>64</v>
      </c>
      <c r="K25" s="38"/>
      <c r="L25" s="38"/>
      <c r="M25" s="48"/>
    </row>
    <row r="26" spans="3:13" x14ac:dyDescent="0.25">
      <c r="I26" s="49"/>
      <c r="J26" s="38" t="s">
        <v>162</v>
      </c>
      <c r="K26" s="38">
        <v>70</v>
      </c>
      <c r="L26" s="38">
        <f>2*70</f>
        <v>140</v>
      </c>
      <c r="M26" s="48" t="s">
        <v>65</v>
      </c>
    </row>
    <row r="27" spans="3:13" x14ac:dyDescent="0.25">
      <c r="I27" s="49"/>
      <c r="J27" s="38"/>
      <c r="K27" s="38">
        <f>E22*E23*E24*K26</f>
        <v>403200</v>
      </c>
      <c r="L27" s="38">
        <f>E22*E23*E24*L26</f>
        <v>806400</v>
      </c>
      <c r="M27" s="48" t="s">
        <v>66</v>
      </c>
    </row>
    <row r="28" spans="3:13" x14ac:dyDescent="0.25">
      <c r="I28" s="49"/>
      <c r="J28" s="38"/>
      <c r="K28" s="38"/>
      <c r="L28" s="38"/>
      <c r="M28" s="48"/>
    </row>
    <row r="29" spans="3:13" x14ac:dyDescent="0.25">
      <c r="C29" s="47" t="s">
        <v>148</v>
      </c>
      <c r="D29" s="47" t="s">
        <v>157</v>
      </c>
      <c r="E29" s="68" t="s">
        <v>158</v>
      </c>
      <c r="F29" s="47" t="s">
        <v>149</v>
      </c>
      <c r="I29" s="49"/>
      <c r="J29" s="38"/>
      <c r="K29" s="38"/>
      <c r="L29" s="38"/>
      <c r="M29" s="48"/>
    </row>
    <row r="30" spans="3:13" x14ac:dyDescent="0.25">
      <c r="C30" s="38" t="s">
        <v>150</v>
      </c>
      <c r="D30" s="38">
        <f>60/E15</f>
        <v>11.111111111111111</v>
      </c>
      <c r="E30" s="38"/>
      <c r="F30" s="38">
        <f>D30*E16</f>
        <v>300</v>
      </c>
      <c r="I30" s="49"/>
      <c r="J30" s="38"/>
      <c r="K30" s="38"/>
      <c r="L30" s="38"/>
      <c r="M30" s="48"/>
    </row>
    <row r="31" spans="3:13" x14ac:dyDescent="0.25">
      <c r="C31" s="38" t="s">
        <v>151</v>
      </c>
      <c r="D31" s="38">
        <v>202</v>
      </c>
      <c r="E31" s="38" t="s">
        <v>154</v>
      </c>
      <c r="F31" s="38">
        <f>73</f>
        <v>73</v>
      </c>
      <c r="I31" s="49"/>
      <c r="J31" s="38"/>
      <c r="K31" s="38"/>
      <c r="L31" s="38"/>
      <c r="M31" s="48"/>
    </row>
    <row r="32" spans="3:13" x14ac:dyDescent="0.25">
      <c r="C32" s="38" t="s">
        <v>152</v>
      </c>
      <c r="D32" s="38"/>
      <c r="E32" s="38"/>
      <c r="F32" s="38">
        <v>52</v>
      </c>
      <c r="I32" s="49"/>
      <c r="J32" s="47" t="s">
        <v>45</v>
      </c>
      <c r="K32" s="47">
        <f>K27+K30</f>
        <v>403200</v>
      </c>
      <c r="L32" s="47">
        <f>L27+L30</f>
        <v>806400</v>
      </c>
      <c r="M32" s="60" t="s">
        <v>42</v>
      </c>
    </row>
    <row r="33" spans="3:13" x14ac:dyDescent="0.25">
      <c r="C33" s="38" t="s">
        <v>153</v>
      </c>
      <c r="D33" s="38"/>
      <c r="E33" s="38" t="s">
        <v>155</v>
      </c>
      <c r="F33" s="38">
        <v>50</v>
      </c>
      <c r="I33" s="49"/>
      <c r="J33" s="38"/>
      <c r="K33" s="38"/>
      <c r="L33" s="38"/>
      <c r="M33" s="48"/>
    </row>
    <row r="34" spans="3:13" x14ac:dyDescent="0.25">
      <c r="C34" s="38" t="s">
        <v>156</v>
      </c>
      <c r="D34" s="38"/>
      <c r="E34" s="38"/>
      <c r="F34" s="38">
        <v>125</v>
      </c>
      <c r="I34" s="49"/>
      <c r="J34" s="38" t="s">
        <v>46</v>
      </c>
      <c r="K34" s="38">
        <f>K32*(30/100)</f>
        <v>120960</v>
      </c>
      <c r="L34" s="38">
        <f>L32*(30/100)</f>
        <v>241920</v>
      </c>
      <c r="M34" s="60" t="s">
        <v>42</v>
      </c>
    </row>
    <row r="35" spans="3:13" x14ac:dyDescent="0.25">
      <c r="C35" s="38"/>
      <c r="D35" s="38"/>
      <c r="E35" s="38"/>
      <c r="F35" s="38">
        <f>SUM(F30:F34)</f>
        <v>600</v>
      </c>
      <c r="I35" s="49"/>
      <c r="J35" s="38" t="s">
        <v>47</v>
      </c>
      <c r="K35" s="38">
        <f>K10*(20/100)</f>
        <v>5600</v>
      </c>
      <c r="L35" s="38">
        <f>L10*(20/100)</f>
        <v>14400</v>
      </c>
      <c r="M35" s="60" t="s">
        <v>42</v>
      </c>
    </row>
    <row r="36" spans="3:13" x14ac:dyDescent="0.25">
      <c r="I36" s="49"/>
      <c r="J36" s="38" t="s">
        <v>48</v>
      </c>
      <c r="K36" s="38">
        <f>K9*(2/100)</f>
        <v>14000</v>
      </c>
      <c r="L36" s="38">
        <f>L9*(2/100)</f>
        <v>36000</v>
      </c>
      <c r="M36" s="60" t="s">
        <v>42</v>
      </c>
    </row>
    <row r="37" spans="3:13" x14ac:dyDescent="0.25">
      <c r="C37" s="38" t="s">
        <v>142</v>
      </c>
      <c r="D37" s="38">
        <v>20</v>
      </c>
      <c r="E37" s="38"/>
      <c r="F37" s="38"/>
      <c r="I37" s="49"/>
      <c r="J37" s="38"/>
      <c r="K37" s="47"/>
      <c r="L37" s="47"/>
      <c r="M37" s="48"/>
    </row>
    <row r="38" spans="3:13" ht="16.5" thickBot="1" x14ac:dyDescent="0.3">
      <c r="C38" s="38" t="s">
        <v>143</v>
      </c>
      <c r="D38" s="38">
        <v>200</v>
      </c>
      <c r="E38" s="38" t="s">
        <v>144</v>
      </c>
      <c r="F38" s="38"/>
      <c r="I38" s="61"/>
      <c r="J38" s="62" t="s">
        <v>49</v>
      </c>
      <c r="K38" s="62">
        <f>K36+K35+K34+K32+K22+K14</f>
        <v>665380.22</v>
      </c>
      <c r="L38" s="62">
        <f>L36+L35+L34+L32+L22+L14</f>
        <v>1385619.7679999999</v>
      </c>
      <c r="M38" s="60" t="s">
        <v>42</v>
      </c>
    </row>
    <row r="39" spans="3:13" x14ac:dyDescent="0.25">
      <c r="C39" s="38" t="s">
        <v>147</v>
      </c>
      <c r="D39" s="38">
        <v>60</v>
      </c>
      <c r="E39" s="38"/>
      <c r="F39" s="38"/>
    </row>
    <row r="40" spans="3:13" x14ac:dyDescent="0.25">
      <c r="C40" s="38"/>
      <c r="D40" s="38"/>
      <c r="E40" s="38"/>
      <c r="F40" s="38"/>
    </row>
  </sheetData>
  <pageMargins left="0.25" right="0.25" top="0.75" bottom="0.75" header="0.3" footer="0.3"/>
  <pageSetup paperSize="9" scale="60" orientation="portrait" verticalDpi="0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C6E-DF13-4F87-83A6-254F1D073E0D}">
  <dimension ref="B2:K39"/>
  <sheetViews>
    <sheetView zoomScale="90" zoomScaleNormal="90" workbookViewId="0">
      <selection activeCell="G11" sqref="G11"/>
    </sheetView>
  </sheetViews>
  <sheetFormatPr baseColWidth="10" defaultRowHeight="15.75" x14ac:dyDescent="0.25"/>
  <cols>
    <col min="1" max="1" width="2.5703125" style="37" customWidth="1"/>
    <col min="2" max="2" width="6.42578125" style="37" customWidth="1"/>
    <col min="3" max="3" width="39.7109375" style="37" customWidth="1"/>
    <col min="4" max="4" width="24.85546875" style="37" customWidth="1"/>
    <col min="5" max="5" width="32.28515625" style="37" customWidth="1"/>
    <col min="6" max="6" width="6.28515625" style="37" customWidth="1"/>
    <col min="7" max="7" width="11.42578125" style="37"/>
    <col min="8" max="8" width="5.5703125" style="37" customWidth="1"/>
    <col min="9" max="9" width="54" style="37" customWidth="1"/>
    <col min="10" max="10" width="35.7109375" style="37" customWidth="1"/>
    <col min="11" max="11" width="18.5703125" style="37" customWidth="1"/>
    <col min="12" max="16384" width="11.42578125" style="37"/>
  </cols>
  <sheetData>
    <row r="2" spans="2:11" x14ac:dyDescent="0.25">
      <c r="C2" s="66" t="s">
        <v>138</v>
      </c>
      <c r="D2" s="66">
        <f>J33</f>
        <v>1267238.5</v>
      </c>
      <c r="E2" s="66" t="s">
        <v>123</v>
      </c>
      <c r="H2" s="38"/>
      <c r="I2" s="39" t="s">
        <v>119</v>
      </c>
      <c r="J2" s="39">
        <f>1000000*5</f>
        <v>5000000</v>
      </c>
      <c r="K2" s="38"/>
    </row>
    <row r="3" spans="2:11" x14ac:dyDescent="0.25">
      <c r="C3" s="38" t="s">
        <v>139</v>
      </c>
      <c r="D3" s="40">
        <f>D27</f>
        <v>2907114.6239999998</v>
      </c>
      <c r="E3" s="38" t="s">
        <v>124</v>
      </c>
      <c r="H3" s="38"/>
      <c r="I3" s="39" t="s">
        <v>120</v>
      </c>
      <c r="J3" s="39">
        <f>500000*4*2</f>
        <v>4000000</v>
      </c>
      <c r="K3" s="38"/>
    </row>
    <row r="4" spans="2:11" x14ac:dyDescent="0.25">
      <c r="C4" s="39" t="s">
        <v>125</v>
      </c>
      <c r="D4" s="69">
        <f>D2/D3</f>
        <v>0.43590936853269396</v>
      </c>
      <c r="E4" s="39" t="s">
        <v>126</v>
      </c>
      <c r="H4" s="38"/>
      <c r="I4" s="38" t="s">
        <v>121</v>
      </c>
      <c r="J4" s="38">
        <f>(3600/D18)*D24*D25*D26*D21*D22</f>
        <v>195056</v>
      </c>
      <c r="K4" s="38"/>
    </row>
    <row r="5" spans="2:11" ht="15.75" customHeight="1" x14ac:dyDescent="0.25">
      <c r="C5" s="39" t="s">
        <v>127</v>
      </c>
      <c r="D5" s="70">
        <f>D4*100</f>
        <v>43.590936853269397</v>
      </c>
      <c r="E5" s="39" t="s">
        <v>128</v>
      </c>
      <c r="H5" s="38"/>
      <c r="I5" s="39" t="s">
        <v>122</v>
      </c>
      <c r="J5" s="39">
        <f>J3/J4</f>
        <v>20.506931342793866</v>
      </c>
      <c r="K5" s="41" t="s">
        <v>167</v>
      </c>
    </row>
    <row r="6" spans="2:11" ht="16.5" thickBot="1" x14ac:dyDescent="0.3"/>
    <row r="7" spans="2:11" x14ac:dyDescent="0.25">
      <c r="C7" s="38" t="s">
        <v>51</v>
      </c>
      <c r="D7" s="40">
        <f>D3</f>
        <v>2907114.6239999998</v>
      </c>
      <c r="E7" s="38" t="s">
        <v>124</v>
      </c>
      <c r="H7" s="42"/>
      <c r="I7" s="43" t="s">
        <v>31</v>
      </c>
      <c r="J7" s="44"/>
      <c r="K7" s="45"/>
    </row>
    <row r="8" spans="2:11" x14ac:dyDescent="0.25">
      <c r="C8" s="38" t="s">
        <v>130</v>
      </c>
      <c r="D8" s="38"/>
      <c r="E8" s="38"/>
      <c r="H8" s="46" t="s">
        <v>32</v>
      </c>
      <c r="I8" s="47" t="s">
        <v>33</v>
      </c>
      <c r="J8" s="38"/>
      <c r="K8" s="48"/>
    </row>
    <row r="9" spans="2:11" x14ac:dyDescent="0.25">
      <c r="C9" s="38" t="s">
        <v>131</v>
      </c>
      <c r="D9" s="40">
        <f>D7</f>
        <v>2907114.6239999998</v>
      </c>
      <c r="E9" s="38" t="s">
        <v>132</v>
      </c>
      <c r="H9" s="49"/>
      <c r="I9" s="38" t="s">
        <v>34</v>
      </c>
      <c r="J9" s="38">
        <f>1000000*5</f>
        <v>5000000</v>
      </c>
      <c r="K9" s="48"/>
    </row>
    <row r="10" spans="2:11" x14ac:dyDescent="0.25">
      <c r="C10" s="38" t="s">
        <v>134</v>
      </c>
      <c r="D10" s="38">
        <f>(D9)*1.6</f>
        <v>4651383.3984000003</v>
      </c>
      <c r="E10" s="38" t="s">
        <v>133</v>
      </c>
      <c r="H10" s="49"/>
      <c r="I10" s="38" t="s">
        <v>35</v>
      </c>
      <c r="J10" s="38">
        <f>0.04*J9</f>
        <v>200000</v>
      </c>
      <c r="K10" s="48"/>
    </row>
    <row r="11" spans="2:11" ht="31.5" x14ac:dyDescent="0.25">
      <c r="C11" s="38" t="s">
        <v>136</v>
      </c>
      <c r="D11" s="38">
        <f>D10*0.142</f>
        <v>660496.44257279998</v>
      </c>
      <c r="E11" s="38" t="s">
        <v>135</v>
      </c>
      <c r="H11" s="49"/>
      <c r="I11" s="50" t="s">
        <v>36</v>
      </c>
      <c r="J11" s="51">
        <f>((J5+1)*J9)/(2*J5)</f>
        <v>2621910</v>
      </c>
      <c r="K11" s="48"/>
    </row>
    <row r="12" spans="2:11" x14ac:dyDescent="0.25">
      <c r="C12" s="52" t="s">
        <v>166</v>
      </c>
      <c r="D12" s="52">
        <f>D11*10</f>
        <v>6604964.4257279998</v>
      </c>
      <c r="E12" s="52" t="s">
        <v>137</v>
      </c>
      <c r="H12" s="49"/>
      <c r="I12" s="38" t="s">
        <v>141</v>
      </c>
      <c r="J12" s="38">
        <f>J11*(15/100)</f>
        <v>393286.5</v>
      </c>
      <c r="K12" s="48"/>
    </row>
    <row r="13" spans="2:11" x14ac:dyDescent="0.25">
      <c r="H13" s="49"/>
      <c r="I13" s="38"/>
      <c r="J13" s="38"/>
      <c r="K13" s="48"/>
    </row>
    <row r="14" spans="2:11" x14ac:dyDescent="0.25">
      <c r="C14" s="53" t="s">
        <v>140</v>
      </c>
      <c r="D14" s="53">
        <f>D12-D2</f>
        <v>5337725.9257279998</v>
      </c>
      <c r="E14" s="53" t="s">
        <v>123</v>
      </c>
      <c r="H14" s="46"/>
      <c r="I14" s="47" t="s">
        <v>39</v>
      </c>
      <c r="J14" s="47">
        <f>J10+J12</f>
        <v>593286.5</v>
      </c>
      <c r="K14" s="48" t="s">
        <v>42</v>
      </c>
    </row>
    <row r="15" spans="2:11" ht="16.5" thickBot="1" x14ac:dyDescent="0.3">
      <c r="H15" s="49"/>
      <c r="I15" s="38"/>
      <c r="J15" s="38"/>
      <c r="K15" s="48"/>
    </row>
    <row r="16" spans="2:11" ht="16.5" thickBot="1" x14ac:dyDescent="0.3">
      <c r="B16" s="54"/>
      <c r="C16" s="55" t="s">
        <v>102</v>
      </c>
      <c r="D16" s="55"/>
      <c r="E16" s="56" t="s">
        <v>117</v>
      </c>
      <c r="H16" s="49" t="s">
        <v>40</v>
      </c>
      <c r="I16" s="47" t="s">
        <v>41</v>
      </c>
      <c r="J16" s="38"/>
      <c r="K16" s="48"/>
    </row>
    <row r="17" spans="2:11" x14ac:dyDescent="0.25">
      <c r="B17" s="57">
        <v>1</v>
      </c>
      <c r="C17" s="57" t="s">
        <v>112</v>
      </c>
      <c r="D17" s="57">
        <v>10.8</v>
      </c>
      <c r="E17" s="57"/>
      <c r="H17" s="49"/>
      <c r="I17" s="38" t="s">
        <v>43</v>
      </c>
      <c r="J17" s="38"/>
      <c r="K17" s="48"/>
    </row>
    <row r="18" spans="2:11" x14ac:dyDescent="0.25">
      <c r="B18" s="38">
        <v>2</v>
      </c>
      <c r="C18" s="38" t="s">
        <v>129</v>
      </c>
      <c r="D18" s="38">
        <v>54</v>
      </c>
      <c r="E18" s="38"/>
      <c r="H18" s="49"/>
      <c r="I18" s="58" t="s">
        <v>70</v>
      </c>
      <c r="J18" s="38"/>
      <c r="K18" s="48"/>
    </row>
    <row r="19" spans="2:11" x14ac:dyDescent="0.25">
      <c r="B19" s="38">
        <v>3</v>
      </c>
      <c r="C19" s="38" t="s">
        <v>113</v>
      </c>
      <c r="D19" s="38">
        <v>1.1499999999999999</v>
      </c>
      <c r="E19" s="38"/>
      <c r="H19" s="49"/>
      <c r="I19" s="38">
        <f>3*60000*12</f>
        <v>2160000</v>
      </c>
      <c r="J19" s="38">
        <f>I19/100</f>
        <v>21600</v>
      </c>
      <c r="K19" s="48" t="s">
        <v>42</v>
      </c>
    </row>
    <row r="20" spans="2:11" x14ac:dyDescent="0.25">
      <c r="B20" s="38">
        <v>4</v>
      </c>
      <c r="C20" s="38" t="s">
        <v>13</v>
      </c>
      <c r="D20" s="38">
        <v>1.2</v>
      </c>
      <c r="E20" s="38"/>
      <c r="H20" s="49"/>
      <c r="I20" s="38" t="s">
        <v>71</v>
      </c>
      <c r="J20" s="38"/>
      <c r="K20" s="48"/>
    </row>
    <row r="21" spans="2:11" x14ac:dyDescent="0.25">
      <c r="B21" s="38">
        <v>5</v>
      </c>
      <c r="C21" s="38" t="s">
        <v>19</v>
      </c>
      <c r="D21" s="38">
        <v>0.73</v>
      </c>
      <c r="E21" s="38"/>
      <c r="H21" s="49"/>
      <c r="I21" s="38">
        <f>3*40000*12</f>
        <v>1440000</v>
      </c>
      <c r="J21" s="38">
        <f>I21/100</f>
        <v>14400</v>
      </c>
      <c r="K21" s="48" t="s">
        <v>42</v>
      </c>
    </row>
    <row r="22" spans="2:11" x14ac:dyDescent="0.25">
      <c r="B22" s="38">
        <v>6</v>
      </c>
      <c r="C22" s="38" t="s">
        <v>28</v>
      </c>
      <c r="D22" s="51">
        <v>0.6958333333333333</v>
      </c>
      <c r="E22" s="38"/>
      <c r="H22" s="49"/>
      <c r="I22" s="47" t="s">
        <v>45</v>
      </c>
      <c r="J22" s="47">
        <f>J19+J21</f>
        <v>36000</v>
      </c>
      <c r="K22" s="48"/>
    </row>
    <row r="23" spans="2:11" x14ac:dyDescent="0.25">
      <c r="B23" s="38">
        <v>7</v>
      </c>
      <c r="C23" s="38" t="s">
        <v>56</v>
      </c>
      <c r="D23" s="38">
        <v>1</v>
      </c>
      <c r="E23" s="38"/>
      <c r="H23" s="49"/>
      <c r="I23" s="38"/>
      <c r="J23" s="38"/>
      <c r="K23" s="48"/>
    </row>
    <row r="24" spans="2:11" x14ac:dyDescent="0.25">
      <c r="B24" s="38">
        <v>8</v>
      </c>
      <c r="C24" s="38" t="s">
        <v>114</v>
      </c>
      <c r="D24" s="38">
        <v>8</v>
      </c>
      <c r="E24" s="38">
        <f t="shared" ref="E24:E25" si="0">E25/D24</f>
        <v>504.70740000000001</v>
      </c>
      <c r="H24" s="49"/>
      <c r="I24" s="38" t="s">
        <v>44</v>
      </c>
      <c r="J24" s="38"/>
      <c r="K24" s="48"/>
    </row>
    <row r="25" spans="2:11" x14ac:dyDescent="0.25">
      <c r="B25" s="38">
        <v>9</v>
      </c>
      <c r="C25" s="38" t="s">
        <v>115</v>
      </c>
      <c r="D25" s="38">
        <v>3</v>
      </c>
      <c r="E25" s="38">
        <f t="shared" si="0"/>
        <v>4037.6592000000001</v>
      </c>
      <c r="H25" s="49"/>
      <c r="I25" s="58" t="s">
        <v>64</v>
      </c>
      <c r="J25" s="38"/>
      <c r="K25" s="48"/>
    </row>
    <row r="26" spans="2:11" ht="32.25" customHeight="1" x14ac:dyDescent="0.25">
      <c r="B26" s="38">
        <v>10</v>
      </c>
      <c r="C26" s="38" t="s">
        <v>116</v>
      </c>
      <c r="D26" s="38">
        <v>240</v>
      </c>
      <c r="E26" s="38">
        <f>E27/D26</f>
        <v>12112.9776</v>
      </c>
      <c r="H26" s="49"/>
      <c r="I26" s="38">
        <f>D24*D25*D26</f>
        <v>5760</v>
      </c>
      <c r="J26" s="38">
        <f>I26*70</f>
        <v>403200</v>
      </c>
      <c r="K26" s="48" t="s">
        <v>65</v>
      </c>
    </row>
    <row r="27" spans="2:11" ht="36.75" customHeight="1" x14ac:dyDescent="0.25">
      <c r="B27" s="38">
        <v>11</v>
      </c>
      <c r="C27" s="47" t="s">
        <v>105</v>
      </c>
      <c r="D27" s="59">
        <f>D17*D19*D20*D21*D22*D23*D24*D25*D26*(3600/D18)</f>
        <v>2907114.6239999998</v>
      </c>
      <c r="E27" s="59">
        <f>D27</f>
        <v>2907114.6239999998</v>
      </c>
      <c r="H27" s="49"/>
      <c r="I27" s="38" t="s">
        <v>67</v>
      </c>
      <c r="J27" s="38">
        <f>0.95*J26</f>
        <v>383040</v>
      </c>
      <c r="K27" s="48" t="s">
        <v>66</v>
      </c>
    </row>
    <row r="28" spans="2:11" x14ac:dyDescent="0.25">
      <c r="H28" s="49"/>
      <c r="I28" s="47" t="s">
        <v>45</v>
      </c>
      <c r="J28" s="47">
        <f>J27</f>
        <v>383040</v>
      </c>
      <c r="K28" s="60" t="s">
        <v>42</v>
      </c>
    </row>
    <row r="29" spans="2:11" x14ac:dyDescent="0.25">
      <c r="B29" s="49">
        <v>1</v>
      </c>
      <c r="C29" s="38" t="s">
        <v>0</v>
      </c>
      <c r="D29" s="38">
        <f>D17</f>
        <v>10.8</v>
      </c>
      <c r="E29" s="48" t="s">
        <v>106</v>
      </c>
      <c r="H29" s="49"/>
      <c r="I29" s="38"/>
      <c r="J29" s="38"/>
      <c r="K29" s="48"/>
    </row>
    <row r="30" spans="2:11" x14ac:dyDescent="0.25">
      <c r="B30" s="49">
        <v>2</v>
      </c>
      <c r="C30" s="38" t="s">
        <v>10</v>
      </c>
      <c r="D30" s="38">
        <f>D18</f>
        <v>54</v>
      </c>
      <c r="E30" s="48" t="s">
        <v>107</v>
      </c>
      <c r="H30" s="49"/>
      <c r="I30" s="38" t="s">
        <v>46</v>
      </c>
      <c r="J30" s="38">
        <f>J28*(30/100)</f>
        <v>114912</v>
      </c>
      <c r="K30" s="60" t="s">
        <v>42</v>
      </c>
    </row>
    <row r="31" spans="2:11" ht="63" x14ac:dyDescent="0.25">
      <c r="B31" s="49">
        <v>3</v>
      </c>
      <c r="C31" s="38" t="s">
        <v>12</v>
      </c>
      <c r="D31" s="50" t="s">
        <v>108</v>
      </c>
      <c r="E31" s="48" t="s">
        <v>107</v>
      </c>
      <c r="H31" s="49"/>
      <c r="I31" s="38" t="s">
        <v>47</v>
      </c>
      <c r="J31" s="38">
        <f>J10*(20/100)</f>
        <v>40000</v>
      </c>
      <c r="K31" s="60" t="s">
        <v>42</v>
      </c>
    </row>
    <row r="32" spans="2:11" ht="31.5" x14ac:dyDescent="0.25">
      <c r="B32" s="49">
        <v>4</v>
      </c>
      <c r="C32" s="38" t="s">
        <v>13</v>
      </c>
      <c r="D32" s="50" t="s">
        <v>109</v>
      </c>
      <c r="E32" s="48" t="s">
        <v>107</v>
      </c>
      <c r="H32" s="49"/>
      <c r="I32" s="38" t="s">
        <v>48</v>
      </c>
      <c r="J32" s="38">
        <f>J9*(2/100)</f>
        <v>100000</v>
      </c>
      <c r="K32" s="60" t="s">
        <v>42</v>
      </c>
    </row>
    <row r="33" spans="2:11" ht="16.5" thickBot="1" x14ac:dyDescent="0.3">
      <c r="B33" s="49">
        <v>5</v>
      </c>
      <c r="C33" s="38" t="s">
        <v>19</v>
      </c>
      <c r="D33" s="38" t="s">
        <v>24</v>
      </c>
      <c r="E33" s="48" t="s">
        <v>110</v>
      </c>
      <c r="H33" s="61"/>
      <c r="I33" s="62" t="s">
        <v>49</v>
      </c>
      <c r="J33" s="62">
        <f>J32+J31+J30+J28+J22+J14</f>
        <v>1267238.5</v>
      </c>
      <c r="K33" s="60" t="s">
        <v>42</v>
      </c>
    </row>
    <row r="34" spans="2:11" x14ac:dyDescent="0.25">
      <c r="B34" s="49">
        <v>6</v>
      </c>
      <c r="C34" s="38" t="s">
        <v>28</v>
      </c>
      <c r="D34" s="38" t="s">
        <v>25</v>
      </c>
      <c r="E34" s="48" t="s">
        <v>23</v>
      </c>
    </row>
    <row r="35" spans="2:11" x14ac:dyDescent="0.25">
      <c r="B35" s="49">
        <v>7</v>
      </c>
      <c r="C35" s="38" t="s">
        <v>56</v>
      </c>
      <c r="D35" s="38" t="s">
        <v>111</v>
      </c>
      <c r="E35" s="63" t="s">
        <v>20</v>
      </c>
    </row>
    <row r="36" spans="2:11" x14ac:dyDescent="0.25">
      <c r="B36" s="49">
        <v>8</v>
      </c>
      <c r="C36" s="38" t="s">
        <v>57</v>
      </c>
      <c r="D36" s="38">
        <v>8</v>
      </c>
      <c r="E36" s="48" t="s">
        <v>21</v>
      </c>
    </row>
    <row r="37" spans="2:11" x14ac:dyDescent="0.25">
      <c r="B37" s="49">
        <v>9</v>
      </c>
      <c r="C37" s="38" t="s">
        <v>103</v>
      </c>
      <c r="D37" s="38">
        <v>3</v>
      </c>
      <c r="E37" s="48" t="s">
        <v>22</v>
      </c>
    </row>
    <row r="38" spans="2:11" x14ac:dyDescent="0.25">
      <c r="B38" s="49">
        <v>10</v>
      </c>
      <c r="C38" s="38" t="s">
        <v>104</v>
      </c>
      <c r="D38" s="38">
        <v>240</v>
      </c>
      <c r="E38" s="48"/>
    </row>
    <row r="39" spans="2:11" ht="32.25" thickBot="1" x14ac:dyDescent="0.3">
      <c r="B39" s="61">
        <v>11</v>
      </c>
      <c r="C39" s="62" t="s">
        <v>105</v>
      </c>
      <c r="D39" s="64" t="s">
        <v>118</v>
      </c>
      <c r="E39" s="65"/>
    </row>
  </sheetData>
  <pageMargins left="0.7" right="0.7" top="0.78740157499999996" bottom="0.78740157499999996" header="0.3" footer="0.3"/>
  <pageSetup paperSize="9" scale="63" orientation="portrait" verticalDpi="0" r:id="rId1"/>
  <colBreaks count="1" manualBreakCount="1">
    <brk id="7" max="42" man="1"/>
  </colBreaks>
</worksheet>
</file>

<file path=docMetadata/LabelInfo.xml><?xml version="1.0" encoding="utf-8"?>
<clbl:labelList xmlns:clbl="http://schemas.microsoft.com/office/2020/mipLabelMetadata">
  <clbl:label id="{3336d6b0-b132-47ee-a49b-3ab470a5336e}" enabled="0" method="" siteId="{3336d6b0-b132-47ee-a49b-3ab470a5336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CALCULATION</vt:lpstr>
      <vt:lpstr>BURDEN SPACING</vt:lpstr>
      <vt:lpstr>TRUCK AND SHOVEL</vt:lpstr>
      <vt:lpstr>DRAGLINE TCO</vt:lpstr>
      <vt:lpstr>'DRAGLINE TCO'!Druckbereich</vt:lpstr>
      <vt:lpstr>'TRUCK AND SHOVEL'!Druckbereich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Sahu Ajay (LWN)</dc:creator>
  <cp:lastModifiedBy>Sahu Ajay (LWN)</cp:lastModifiedBy>
  <cp:lastPrinted>2025-08-07T11:39:20Z</cp:lastPrinted>
  <dcterms:created xsi:type="dcterms:W3CDTF">2025-08-06T05:18:10Z</dcterms:created>
  <dcterms:modified xsi:type="dcterms:W3CDTF">2025-08-07T11:52:48Z</dcterms:modified>
</cp:coreProperties>
</file>