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jaythakur/Desktop/630/Case Studies/CS3/"/>
    </mc:Choice>
  </mc:AlternateContent>
  <xr:revisionPtr revIDLastSave="0" documentId="13_ncr:1_{58D368EA-6881-724D-8344-18108396EC24}" xr6:coauthVersionLast="47" xr6:coauthVersionMax="47" xr10:uidLastSave="{00000000-0000-0000-0000-000000000000}"/>
  <bookViews>
    <workbookView xWindow="0" yWindow="500" windowWidth="28800" windowHeight="16080" tabRatio="884" activeTab="4" xr2:uid="{00000000-000D-0000-FFFF-FFFF00000000}"/>
  </bookViews>
  <sheets>
    <sheet name="Ans 1" sheetId="21" r:id="rId1"/>
    <sheet name="Ans 2" sheetId="30" r:id="rId2"/>
    <sheet name="Ans 2 (2)" sheetId="31" state="hidden" r:id="rId3"/>
    <sheet name="Ans 3" sheetId="32" r:id="rId4"/>
    <sheet name="Ans 4" sheetId="33" r:id="rId5"/>
    <sheet name="Sheet9" sheetId="29" state="hidden" r:id="rId6"/>
    <sheet name="Sullivans_profit" sheetId="6" state="hidden" r:id="rId7"/>
    <sheet name="Sullivans_SolverTable" sheetId="18" state="hidden" r:id="rId8"/>
    <sheet name="Pickens" sheetId="9" state="hidden" r:id="rId9"/>
    <sheet name="Pickens_SolverTable" sheetId="20" state="hidden" r:id="rId10"/>
    <sheet name="Warehouse" sheetId="14" state="hidden" r:id="rId11"/>
    <sheet name="Warehouse_const" sheetId="15" state="hidden" r:id="rId12"/>
    <sheet name="Pickens_STS" sheetId="19" state="veryHidden" r:id="rId13"/>
    <sheet name="Sullivans_profit_STS" sheetId="16" state="veryHidden" r:id="rId14"/>
    <sheet name="Madison_demand_STS" sheetId="10" state="veryHidden" r:id="rId15"/>
    <sheet name="Constant Elasticity_STS" sheetId="5" state="veryHidden" r:id="rId16"/>
  </sheets>
  <definedNames>
    <definedName name="_xlnm._FilterDatabase" localSheetId="0" hidden="1">'Ans 1'!$K$4:$L$28</definedName>
    <definedName name="ChartData" localSheetId="9">Pickens_SolverTable!$K$5:$K$25</definedName>
    <definedName name="ChartData" localSheetId="7">Sullivans_SolverTable!$K$5:$K$21</definedName>
    <definedName name="InputValues" localSheetId="9">Pickens_SolverTable!$A$5:$A$25</definedName>
    <definedName name="InputValues" localSheetId="7">Sullivans_SolverTable!$A$5:$A$21</definedName>
    <definedName name="OutputAddresses" localSheetId="9">Pickens_SolverTable!$B$4:$E$4</definedName>
    <definedName name="OutputAddresses" localSheetId="7">Sullivans_SolverTable!$B$4:$C$4</definedName>
    <definedName name="OutputValues" localSheetId="9">Pickens_SolverTable!$B$5:$E$25</definedName>
    <definedName name="OutputValues" localSheetId="7">Sullivans_SolverTable!$B$5:$C$21</definedName>
    <definedName name="solver_adj" localSheetId="1" hidden="1">'Ans 2'!$C$17:$C$18</definedName>
    <definedName name="solver_adj" localSheetId="2" hidden="1">'Ans 2 (2)'!$B$15:$B$16</definedName>
    <definedName name="solver_adj" localSheetId="3" hidden="1">'Ans 3'!$C$17:$C$18</definedName>
    <definedName name="solver_adj" localSheetId="4" hidden="1">'Ans 4'!$C$17:$C$18</definedName>
    <definedName name="solver_adj" localSheetId="8" hidden="1">Pickens!$C$3:$C$5</definedName>
    <definedName name="solver_adj" localSheetId="6" hidden="1">Sullivans_profit!$B$13</definedName>
    <definedName name="solver_adj" localSheetId="10" hidden="1">Warehouse!$B$14:$C$14</definedName>
    <definedName name="solver_adj" localSheetId="11" hidden="1">Warehouse_const!$B$14:$C$14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8" hidden="1">0.0001</definedName>
    <definedName name="solver_cvg" localSheetId="6" hidden="1">0.0001</definedName>
    <definedName name="solver_cvg" localSheetId="10" hidden="1">0.0001</definedName>
    <definedName name="solver_cvg" localSheetId="11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8" hidden="1">1</definedName>
    <definedName name="solver_drv" localSheetId="6" hidden="1">1</definedName>
    <definedName name="solver_drv" localSheetId="10" hidden="1">1</definedName>
    <definedName name="solver_drv" localSheetId="11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8" hidden="1">1</definedName>
    <definedName name="solver_eng" localSheetId="6" hidden="1">1</definedName>
    <definedName name="solver_eng" localSheetId="10" hidden="1">1</definedName>
    <definedName name="solver_eng" localSheetId="11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8" hidden="1">1</definedName>
    <definedName name="solver_est" localSheetId="6" hidden="1">1</definedName>
    <definedName name="solver_est" localSheetId="10" hidden="1">1</definedName>
    <definedName name="solver_est" localSheetId="11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6" hidden="1">2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8" hidden="1">2147483647</definedName>
    <definedName name="solver_itr" localSheetId="6" hidden="1">100</definedName>
    <definedName name="solver_itr" localSheetId="10" hidden="1">2147483647</definedName>
    <definedName name="solver_itr" localSheetId="11" hidden="1">2147483647</definedName>
    <definedName name="solver_lhs1" localSheetId="1" hidden="1">'Ans 2'!$C$29:$C$31</definedName>
    <definedName name="solver_lhs1" localSheetId="2" hidden="1">'Ans 2 (2)'!$B$27:$B$28</definedName>
    <definedName name="solver_lhs1" localSheetId="3" hidden="1">'Ans 3'!$C$29:$C$31</definedName>
    <definedName name="solver_lhs1" localSheetId="4" hidden="1">'Ans 4'!$C$29</definedName>
    <definedName name="solver_lhs1" localSheetId="8" hidden="1">Pickens!$B$13:$B$18</definedName>
    <definedName name="solver_lhs1" localSheetId="6" hidden="1">Sullivans_profit!$B$20</definedName>
    <definedName name="solver_lhs1" localSheetId="11" hidden="1">Warehouse_const!$B$21</definedName>
    <definedName name="solver_lhs2" localSheetId="1" hidden="1">'Ans 2'!$C$32:$C$33</definedName>
    <definedName name="solver_lhs2" localSheetId="2" hidden="1">'Ans 2 (2)'!$B$29</definedName>
    <definedName name="solver_lhs2" localSheetId="3" hidden="1">'Ans 3'!$C$32:$C$33</definedName>
    <definedName name="solver_lhs2" localSheetId="4" hidden="1">'Ans 4'!$C$32:$C$33</definedName>
    <definedName name="solver_lhs2" localSheetId="8" hidden="1">Pickens!$C$3:$C$5</definedName>
    <definedName name="solver_lhs2" localSheetId="11" hidden="1">Warehouse_const!$B$22</definedName>
    <definedName name="solver_lhs3" localSheetId="8" hidden="1">Pickens!#REF!</definedName>
    <definedName name="solver_lhs3" localSheetId="11" hidden="1">Warehouse_const!$B$23</definedName>
    <definedName name="solver_lhs4" localSheetId="11" hidden="1">Warehouse_const!$B$24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8" hidden="1">1</definedName>
    <definedName name="solver_lin" localSheetId="6" hidden="1">2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4" hidden="1">2</definedName>
    <definedName name="solver_lva" localSheetId="6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4" hidden="1">5000</definedName>
    <definedName name="solver_mip" localSheetId="8" hidden="1">2147483647</definedName>
    <definedName name="solver_mip" localSheetId="6" hidden="1">5000</definedName>
    <definedName name="solver_mip" localSheetId="10" hidden="1">2147483647</definedName>
    <definedName name="solver_mip" localSheetId="11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8" hidden="1">30</definedName>
    <definedName name="solver_mni" localSheetId="6" hidden="1">30</definedName>
    <definedName name="solver_mni" localSheetId="10" hidden="1">30</definedName>
    <definedName name="solver_mni" localSheetId="11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8" hidden="1">0.075</definedName>
    <definedName name="solver_mrt" localSheetId="6" hidden="1">0.075</definedName>
    <definedName name="solver_mrt" localSheetId="10" hidden="1">0.075</definedName>
    <definedName name="solver_mrt" localSheetId="11" hidden="1">0.075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msl" localSheetId="4" hidden="1">1</definedName>
    <definedName name="solver_msl" localSheetId="8" hidden="1">2</definedName>
    <definedName name="solver_msl" localSheetId="6" hidden="1">1</definedName>
    <definedName name="solver_msl" localSheetId="10" hidden="1">2</definedName>
    <definedName name="solver_msl" localSheetId="11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8" hidden="1">1</definedName>
    <definedName name="solver_neg" localSheetId="6" hidden="1">1</definedName>
    <definedName name="solver_neg" localSheetId="10" hidden="1">2</definedName>
    <definedName name="solver_neg" localSheetId="11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4" hidden="1">5000</definedName>
    <definedName name="solver_nod" localSheetId="8" hidden="1">2147483647</definedName>
    <definedName name="solver_nod" localSheetId="6" hidden="1">5000</definedName>
    <definedName name="solver_nod" localSheetId="10" hidden="1">2147483647</definedName>
    <definedName name="solver_nod" localSheetId="11" hidden="1">2147483647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num" localSheetId="4" hidden="1">1</definedName>
    <definedName name="solver_num" localSheetId="8" hidden="1">2</definedName>
    <definedName name="solver_num" localSheetId="6" hidden="1">1</definedName>
    <definedName name="solver_num" localSheetId="10" hidden="1">0</definedName>
    <definedName name="solver_num" localSheetId="11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8" hidden="1">1</definedName>
    <definedName name="solver_nwt" localSheetId="6" hidden="1">1</definedName>
    <definedName name="solver_nwt" localSheetId="10" hidden="1">1</definedName>
    <definedName name="solver_nwt" localSheetId="11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6" hidden="1">2</definedName>
    <definedName name="solver_opt" localSheetId="1" hidden="1">'Ans 2'!$C$26</definedName>
    <definedName name="solver_opt" localSheetId="2" hidden="1">'Ans 2 (2)'!$B$24</definedName>
    <definedName name="solver_opt" localSheetId="3" hidden="1">'Ans 3'!$C$26</definedName>
    <definedName name="solver_opt" localSheetId="4" hidden="1">'Ans 4'!$C$26</definedName>
    <definedName name="solver_opt" localSheetId="8" hidden="1">Pickens!$C$10</definedName>
    <definedName name="solver_opt" localSheetId="6" hidden="1">Sullivans_profit!$B$17</definedName>
    <definedName name="solver_opt" localSheetId="10" hidden="1">Warehouse!$B$18</definedName>
    <definedName name="solver_opt" localSheetId="11" hidden="1">Warehouse_const!$B$18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6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8" hidden="1">0.000001</definedName>
    <definedName name="solver_pre" localSheetId="6" hidden="1">0.000001</definedName>
    <definedName name="solver_pre" localSheetId="10" hidden="1">0.000001</definedName>
    <definedName name="solver_pre" localSheetId="11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6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8" hidden="1">2</definedName>
    <definedName name="solver_rbv" localSheetId="6" hidden="1">2</definedName>
    <definedName name="solver_rbv" localSheetId="10" hidden="1">2</definedName>
    <definedName name="solver_rbv" localSheetId="11" hidden="1">2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6" hidden="1">0.000001</definedName>
    <definedName name="solver_rel1" localSheetId="1" hidden="1">1</definedName>
    <definedName name="solver_rel1" localSheetId="2" hidden="1">2</definedName>
    <definedName name="solver_rel1" localSheetId="3" hidden="1">1</definedName>
    <definedName name="solver_rel1" localSheetId="4" hidden="1">1</definedName>
    <definedName name="solver_rel1" localSheetId="8" hidden="1">1</definedName>
    <definedName name="solver_rel1" localSheetId="6" hidden="1">3</definedName>
    <definedName name="solver_rel1" localSheetId="11" hidden="1">3</definedName>
    <definedName name="solver_rel2" localSheetId="1" hidden="1">3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2" localSheetId="8" hidden="1">4</definedName>
    <definedName name="solver_rel2" localSheetId="11" hidden="1">1</definedName>
    <definedName name="solver_rel3" localSheetId="8" hidden="1">2</definedName>
    <definedName name="solver_rel3" localSheetId="11" hidden="1">3</definedName>
    <definedName name="solver_rel4" localSheetId="1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6" hidden="1">2</definedName>
    <definedName name="solver_rhs1" localSheetId="1" hidden="1">'Ans 2'!$E$29:$E$31</definedName>
    <definedName name="solver_rhs1" localSheetId="2" hidden="1">'Ans 2 (2)'!$D$27:$D$28</definedName>
    <definedName name="solver_rhs1" localSheetId="3" hidden="1">'Ans 3'!$E$29:$E$31</definedName>
    <definedName name="solver_rhs1" localSheetId="4" hidden="1">'Ans 4'!$E$29</definedName>
    <definedName name="solver_rhs1" localSheetId="8" hidden="1">Pickens!$D$13:$D$18</definedName>
    <definedName name="solver_rhs1" localSheetId="6" hidden="1">Sullivans_profit!$D$20</definedName>
    <definedName name="solver_rhs1" localSheetId="11" hidden="1">Warehouse_const!$D$21</definedName>
    <definedName name="solver_rhs2" localSheetId="1" hidden="1">'Ans 2'!$E$32:$E$33</definedName>
    <definedName name="solver_rhs2" localSheetId="2" hidden="1">'Ans 2 (2)'!$D$29</definedName>
    <definedName name="solver_rhs2" localSheetId="3" hidden="1">'Ans 3'!$E$32:$E$33</definedName>
    <definedName name="solver_rhs2" localSheetId="4" hidden="1">'Ans 4'!$E$32:$E$33</definedName>
    <definedName name="solver_rhs2" localSheetId="8" hidden="1">integer</definedName>
    <definedName name="solver_rhs2" localSheetId="11" hidden="1">Warehouse_const!$D$22</definedName>
    <definedName name="solver_rhs3" localSheetId="8" hidden="1">Pickens!#REF!</definedName>
    <definedName name="solver_rhs3" localSheetId="11" hidden="1">Warehouse_const!$D$23</definedName>
    <definedName name="solver_rhs4" localSheetId="11" hidden="1">Warehouse_const!$D$24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8" hidden="1">2</definedName>
    <definedName name="solver_rlx" localSheetId="6" hidden="1">2</definedName>
    <definedName name="solver_rlx" localSheetId="10" hidden="1">2</definedName>
    <definedName name="solver_rlx" localSheetId="11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8" hidden="1">0</definedName>
    <definedName name="solver_rsd" localSheetId="6" hidden="1">0</definedName>
    <definedName name="solver_rsd" localSheetId="10" hidden="1">0</definedName>
    <definedName name="solver_rsd" localSheetId="11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8" hidden="1">1</definedName>
    <definedName name="solver_scl" localSheetId="6" hidden="1">2</definedName>
    <definedName name="solver_scl" localSheetId="10" hidden="1">1</definedName>
    <definedName name="solver_scl" localSheetId="11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8" hidden="1">2</definedName>
    <definedName name="solver_sho" localSheetId="6" hidden="1">2</definedName>
    <definedName name="solver_sho" localSheetId="10" hidden="1">2</definedName>
    <definedName name="solver_sho" localSheetId="11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8" hidden="1">100</definedName>
    <definedName name="solver_ssz" localSheetId="6" hidden="1">100</definedName>
    <definedName name="solver_ssz" localSheetId="10" hidden="1">100</definedName>
    <definedName name="solver_ssz" localSheetId="11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4" hidden="1">1</definedName>
    <definedName name="solver_std" localSheetId="6" hidden="1">1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8" hidden="1">2147483647</definedName>
    <definedName name="solver_tim" localSheetId="6" hidden="1">100</definedName>
    <definedName name="solver_tim" localSheetId="10" hidden="1">2147483647</definedName>
    <definedName name="solver_tim" localSheetId="11" hidden="1">2147483647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ol" localSheetId="4" hidden="1">0.0005</definedName>
    <definedName name="solver_tol" localSheetId="8" hidden="1">0.01</definedName>
    <definedName name="solver_tol" localSheetId="6" hidden="1">0.0005</definedName>
    <definedName name="solver_tol" localSheetId="10" hidden="1">0.01</definedName>
    <definedName name="solver_tol" localSheetId="11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8" hidden="1">1</definedName>
    <definedName name="solver_typ" localSheetId="6" hidden="1">1</definedName>
    <definedName name="solver_typ" localSheetId="10" hidden="1">2</definedName>
    <definedName name="solver_typ" localSheetId="11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8" hidden="1">0</definedName>
    <definedName name="solver_val" localSheetId="6" hidden="1">0</definedName>
    <definedName name="solver_val" localSheetId="10" hidden="1">0</definedName>
    <definedName name="solver_val" localSheetId="11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8" hidden="1">3</definedName>
    <definedName name="solver_ver" localSheetId="6" hidden="1">3</definedName>
    <definedName name="solver_ver" localSheetId="10" hidden="1">3</definedName>
    <definedName name="solver_ver" localSheetId="11" hidden="1">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3" l="1"/>
  <c r="C32" i="33"/>
  <c r="C31" i="33"/>
  <c r="C30" i="33"/>
  <c r="C29" i="33"/>
  <c r="C25" i="33"/>
  <c r="C24" i="33"/>
  <c r="C25" i="32"/>
  <c r="C31" i="32"/>
  <c r="C20" i="30"/>
  <c r="C21" i="30"/>
  <c r="B19" i="31"/>
  <c r="B23" i="31" s="1"/>
  <c r="B18" i="31"/>
  <c r="C26" i="33" l="1"/>
  <c r="C24" i="32"/>
  <c r="C26" i="32" s="1"/>
  <c r="C29" i="32"/>
  <c r="C30" i="32"/>
  <c r="B29" i="31"/>
  <c r="B22" i="31"/>
  <c r="B24" i="31" s="1"/>
  <c r="B28" i="31"/>
  <c r="B27" i="31"/>
  <c r="C25" i="30"/>
  <c r="C24" i="30"/>
  <c r="B16" i="6"/>
  <c r="B15" i="6"/>
  <c r="B17" i="6"/>
  <c r="K1" i="20"/>
  <c r="J4" i="20"/>
  <c r="K22" i="20" s="1"/>
  <c r="K1" i="18"/>
  <c r="J4" i="18"/>
  <c r="K10" i="18" s="1"/>
  <c r="D3" i="9"/>
  <c r="B13" i="9"/>
  <c r="B40" i="6"/>
  <c r="B41" i="6"/>
  <c r="B42" i="6"/>
  <c r="B43" i="6"/>
  <c r="B44" i="6"/>
  <c r="C29" i="30" l="1"/>
  <c r="C31" i="30"/>
  <c r="C30" i="30"/>
  <c r="C26" i="30"/>
  <c r="K8" i="20"/>
  <c r="K12" i="20"/>
  <c r="K16" i="20"/>
  <c r="K20" i="20"/>
  <c r="K24" i="20"/>
  <c r="K7" i="20"/>
  <c r="K11" i="20"/>
  <c r="K15" i="20"/>
  <c r="K19" i="20"/>
  <c r="K23" i="20"/>
  <c r="K5" i="20"/>
  <c r="K9" i="20"/>
  <c r="K13" i="20"/>
  <c r="K17" i="20"/>
  <c r="K21" i="20"/>
  <c r="K25" i="20"/>
  <c r="K6" i="20"/>
  <c r="K10" i="20"/>
  <c r="K14" i="20"/>
  <c r="K18" i="20"/>
  <c r="K8" i="18"/>
  <c r="K12" i="18"/>
  <c r="K16" i="18"/>
  <c r="K20" i="18"/>
  <c r="K6" i="18"/>
  <c r="K14" i="18"/>
  <c r="K18" i="18"/>
  <c r="K7" i="18"/>
  <c r="K11" i="18"/>
  <c r="K15" i="18"/>
  <c r="K19" i="18"/>
  <c r="K5" i="18"/>
  <c r="K9" i="18"/>
  <c r="K13" i="18"/>
  <c r="K17" i="18"/>
  <c r="K21" i="18"/>
  <c r="E5" i="14"/>
  <c r="B24" i="15" l="1"/>
  <c r="B23" i="15"/>
  <c r="B22" i="15"/>
  <c r="B21" i="15"/>
  <c r="E10" i="15"/>
  <c r="E9" i="15"/>
  <c r="E8" i="15"/>
  <c r="E7" i="15"/>
  <c r="E6" i="15"/>
  <c r="E5" i="15"/>
  <c r="B18" i="15" l="1"/>
  <c r="E6" i="14"/>
  <c r="E7" i="14"/>
  <c r="E8" i="14"/>
  <c r="E9" i="14"/>
  <c r="E10" i="14"/>
  <c r="B18" i="14" l="1"/>
  <c r="D20" i="6"/>
  <c r="B20" i="6"/>
  <c r="D4" i="9" l="1"/>
  <c r="D5" i="9"/>
  <c r="C7" i="9"/>
  <c r="B18" i="9" s="1"/>
  <c r="D13" i="9"/>
  <c r="B14" i="9"/>
  <c r="D14" i="9"/>
  <c r="B15" i="9"/>
  <c r="D15" i="9"/>
  <c r="B16" i="9"/>
  <c r="D16" i="9"/>
  <c r="B17" i="9"/>
  <c r="D17" i="9"/>
  <c r="D18" i="9"/>
  <c r="B14" i="6"/>
  <c r="C10" i="9" l="1"/>
  <c r="B35" i="6"/>
  <c r="B36" i="6"/>
  <c r="B37" i="6"/>
  <c r="B38" i="6"/>
  <c r="B39" i="6"/>
  <c r="B25" i="6"/>
  <c r="B26" i="6"/>
  <c r="B27" i="6"/>
  <c r="B28" i="6"/>
  <c r="B29" i="6"/>
  <c r="B30" i="6"/>
  <c r="B31" i="6"/>
  <c r="B32" i="6"/>
  <c r="B33" i="6"/>
  <c r="B34" i="6"/>
  <c r="B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Zinovy Radovilsky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00000000-0006-0000-0200-000002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00000000-0006-0000-0200-000003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00000000-0006-0000-0200-000004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00000000-0006-0000-0200-000005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00000000-0006-0000-0200-000006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00000000-0006-0000-0200-000007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00000000-0006-0000-0200-000008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00000000-0006-0000-0200-000009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00000000-0006-0000-0200-00000A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00000000-0006-0000-0200-00000B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00000000-0006-0000-0200-00000C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00000000-0006-0000-0200-00000D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00000000-0006-0000-0200-00000E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00000000-0006-0000-0200-00000F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00000000-0006-0000-0200-000010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00000000-0006-0000-0200-0000110000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Zinovy Radovilsky</author>
  </authors>
  <commentList>
    <comment ref="B5" authorId="0" shapeId="0" xr:uid="{00000000-0006-0000-0400-000001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6" authorId="0" shapeId="0" xr:uid="{00000000-0006-0000-0400-000002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7" authorId="0" shapeId="0" xr:uid="{00000000-0006-0000-0400-000003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8" authorId="0" shapeId="0" xr:uid="{00000000-0006-0000-0400-000004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9" authorId="0" shapeId="0" xr:uid="{00000000-0006-0000-0400-000005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0" authorId="0" shapeId="0" xr:uid="{00000000-0006-0000-0400-000006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00000000-0006-0000-0400-000007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2" authorId="0" shapeId="0" xr:uid="{00000000-0006-0000-0400-000008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00000000-0006-0000-0400-000009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4" authorId="0" shapeId="0" xr:uid="{00000000-0006-0000-0400-00000A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00000000-0006-0000-0400-00000B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6" authorId="0" shapeId="0" xr:uid="{00000000-0006-0000-0400-00000C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00000000-0006-0000-0400-00000D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8" authorId="0" shapeId="0" xr:uid="{00000000-0006-0000-0400-00000E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" authorId="0" shapeId="0" xr:uid="{00000000-0006-0000-0400-00000F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0" authorId="0" shapeId="0" xr:uid="{00000000-0006-0000-0400-000010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1" authorId="0" shapeId="0" xr:uid="{00000000-0006-0000-0400-000011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2" authorId="0" shapeId="0" xr:uid="{00000000-0006-0000-0400-000012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3" authorId="0" shapeId="0" xr:uid="{00000000-0006-0000-0400-000013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4" authorId="0" shapeId="0" xr:uid="{00000000-0006-0000-0400-000014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5" authorId="0" shapeId="0" xr:uid="{00000000-0006-0000-0400-00001500000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</commentList>
</comments>
</file>

<file path=xl/sharedStrings.xml><?xml version="1.0" encoding="utf-8"?>
<sst xmlns="http://schemas.openxmlformats.org/spreadsheetml/2006/main" count="294" uniqueCount="126">
  <si>
    <t>Price</t>
  </si>
  <si>
    <t>Demand</t>
  </si>
  <si>
    <t>Unit cost</t>
  </si>
  <si>
    <t>Profit</t>
  </si>
  <si>
    <t>Verification with a data table and corresponding chart</t>
  </si>
  <si>
    <t>Constant</t>
  </si>
  <si>
    <t>Elasticity</t>
  </si>
  <si>
    <t>$C$7</t>
  </si>
  <si>
    <t>$B$10,$B$11,$B$12</t>
  </si>
  <si>
    <t>Suits</t>
  </si>
  <si>
    <t>Complementary products</t>
  </si>
  <si>
    <t>Ties</t>
  </si>
  <si>
    <t>Shirts</t>
  </si>
  <si>
    <t>Units sold per suit</t>
  </si>
  <si>
    <t>Profit per unit</t>
  </si>
  <si>
    <t>Demand function</t>
  </si>
  <si>
    <t>Decision taking complementary products into account</t>
  </si>
  <si>
    <t>Profit from suits only</t>
  </si>
  <si>
    <t>Profit from shirts and ties</t>
  </si>
  <si>
    <t>Total profit</t>
  </si>
  <si>
    <t>Decisions</t>
  </si>
  <si>
    <t>Objective</t>
  </si>
  <si>
    <t>Constraints</t>
  </si>
  <si>
    <t>&lt;=</t>
  </si>
  <si>
    <t>Pickens Memorial Hospital</t>
  </si>
  <si>
    <t>M =</t>
  </si>
  <si>
    <t xml:space="preserve">S = </t>
  </si>
  <si>
    <t xml:space="preserve">P = </t>
  </si>
  <si>
    <t>Number of scannings per Patient</t>
  </si>
  <si>
    <t>Total  Capacity per Patient Category</t>
  </si>
  <si>
    <t>Capacity of medical patients</t>
  </si>
  <si>
    <t>Capacity of surgical patients</t>
  </si>
  <si>
    <t>Capacity of pediatric patients</t>
  </si>
  <si>
    <t>Scanning capacity</t>
  </si>
  <si>
    <t>Surgical capacity</t>
  </si>
  <si>
    <t>Lab capacity, hours</t>
  </si>
  <si>
    <t xml:space="preserve">Income Contribution </t>
  </si>
  <si>
    <t>Value</t>
  </si>
  <si>
    <t>Total resource availability</t>
  </si>
  <si>
    <t>Number of Lab Tests per Patient</t>
  </si>
  <si>
    <t>Time required per lab test (in hours)</t>
  </si>
  <si>
    <t>Medical patients</t>
  </si>
  <si>
    <t>Surgical patients</t>
  </si>
  <si>
    <t>Pediatric patients</t>
  </si>
  <si>
    <t>Decision variable</t>
  </si>
  <si>
    <t>Demand based on price</t>
  </si>
  <si>
    <t>Objective to maximize total profit</t>
  </si>
  <si>
    <t>Maximize total weekly income</t>
  </si>
  <si>
    <t>Minimum price</t>
  </si>
  <si>
    <t>&gt;=</t>
  </si>
  <si>
    <t xml:space="preserve">W-Mart Warehouse Location </t>
  </si>
  <si>
    <t>Sullivan's Pricing with Complementary Products</t>
  </si>
  <si>
    <t>Retail Stores</t>
  </si>
  <si>
    <t>Y-coord.</t>
  </si>
  <si>
    <t>X-coord.</t>
  </si>
  <si>
    <t>Store 1</t>
  </si>
  <si>
    <t>Store 2</t>
  </si>
  <si>
    <t>Store 3</t>
  </si>
  <si>
    <t>Store 4</t>
  </si>
  <si>
    <t>Store 5</t>
  </si>
  <si>
    <t>Store 6</t>
  </si>
  <si>
    <t>Number of Annual Shipments</t>
  </si>
  <si>
    <t>Inputs</t>
  </si>
  <si>
    <t>Decision variable: warehouse location coordinates</t>
  </si>
  <si>
    <t>Warehouse Coordinates</t>
  </si>
  <si>
    <t>Warehouse</t>
  </si>
  <si>
    <t>X</t>
  </si>
  <si>
    <t>Y</t>
  </si>
  <si>
    <t xml:space="preserve"> Distance from Warehouse to Stores, miles</t>
  </si>
  <si>
    <t>X-coord., miles</t>
  </si>
  <si>
    <t>Y-coord., miles</t>
  </si>
  <si>
    <t>Minimize total distances from warehouse to stores</t>
  </si>
  <si>
    <t xml:space="preserve">Objective </t>
  </si>
  <si>
    <t>Warehouse X-coord.</t>
  </si>
  <si>
    <t>Warehouse Y-coord.</t>
  </si>
  <si>
    <t>W-Mart Warehouse Location with Constraints</t>
  </si>
  <si>
    <t>Number of Surgical  Procedures per Patient</t>
  </si>
  <si>
    <t>$B$17,$B$13</t>
  </si>
  <si>
    <t>Oneway analysis for Solver model in Sullivans_profit worksheet</t>
  </si>
  <si>
    <t>$B$17</t>
  </si>
  <si>
    <t>$B$13</t>
  </si>
  <si>
    <t>Data for chart</t>
  </si>
  <si>
    <t>$B$4</t>
  </si>
  <si>
    <t>Unit Cost</t>
  </si>
  <si>
    <r>
      <rPr>
        <b/>
        <i/>
        <sz val="11"/>
        <color theme="1"/>
        <rFont val="Calibri"/>
        <family val="2"/>
        <scheme val="minor"/>
      </rPr>
      <t>Unit Cost (cell $B$4)</t>
    </r>
    <r>
      <rPr>
        <sz val="11"/>
        <color theme="1"/>
        <rFont val="Calibri"/>
        <family val="2"/>
        <scheme val="minor"/>
      </rPr>
      <t xml:space="preserve"> values along side, output cell(s) along top</t>
    </r>
  </si>
  <si>
    <t>$E$3</t>
  </si>
  <si>
    <t>$C$10,$C$3:$C$5</t>
  </si>
  <si>
    <t>Total capacity for medical patients</t>
  </si>
  <si>
    <t>Oneway analysis for Solver model in Pickens worksheet</t>
  </si>
  <si>
    <t>$C$10</t>
  </si>
  <si>
    <t>$C$3</t>
  </si>
  <si>
    <t>$C$4</t>
  </si>
  <si>
    <t>$C$5</t>
  </si>
  <si>
    <r>
      <rPr>
        <b/>
        <i/>
        <sz val="11"/>
        <color theme="1"/>
        <rFont val="Calibri"/>
        <family val="2"/>
        <scheme val="minor"/>
      </rPr>
      <t>Total capacity for medical patients (cell $E$3)</t>
    </r>
    <r>
      <rPr>
        <sz val="11"/>
        <color theme="1"/>
        <rFont val="Calibri"/>
        <family val="2"/>
        <scheme val="minor"/>
      </rPr>
      <t xml:space="preserve"> values along side, output cell(s) along top</t>
    </r>
  </si>
  <si>
    <t>Historical Data for Prices and Demand for Blue Ridge Hot Tubs</t>
  </si>
  <si>
    <t>Pump</t>
  </si>
  <si>
    <t>Labor</t>
  </si>
  <si>
    <t>Aqua Spa Tub</t>
  </si>
  <si>
    <t>Hydro-Luxe</t>
  </si>
  <si>
    <r>
      <t>D</t>
    </r>
    <r>
      <rPr>
        <i/>
        <vertAlign val="subscript"/>
        <sz val="16"/>
        <color theme="1"/>
        <rFont val="Calibri"/>
        <family val="2"/>
        <scheme val="minor"/>
      </rPr>
      <t>Hydro</t>
    </r>
    <r>
      <rPr>
        <b/>
        <i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= 1,994,141.79 x</t>
    </r>
    <r>
      <rPr>
        <vertAlign val="superscript"/>
        <sz val="16"/>
        <color theme="1"/>
        <rFont val="Calibri"/>
        <family val="2"/>
        <scheme val="minor"/>
      </rPr>
      <t>-1.35</t>
    </r>
  </si>
  <si>
    <r>
      <t>D</t>
    </r>
    <r>
      <rPr>
        <i/>
        <vertAlign val="subscript"/>
        <sz val="16"/>
        <color theme="1"/>
        <rFont val="Calibri"/>
        <family val="2"/>
        <scheme val="minor"/>
      </rPr>
      <t xml:space="preserve">Aqua </t>
    </r>
    <r>
      <rPr>
        <i/>
        <sz val="16"/>
        <color theme="1"/>
        <rFont val="Calibri"/>
        <family val="2"/>
        <scheme val="minor"/>
      </rPr>
      <t xml:space="preserve"> = 4,999,940.50 x</t>
    </r>
    <r>
      <rPr>
        <i/>
        <vertAlign val="superscript"/>
        <sz val="16"/>
        <color theme="1"/>
        <rFont val="Calibri"/>
        <family val="2"/>
        <scheme val="minor"/>
      </rPr>
      <t>-1.53</t>
    </r>
  </si>
  <si>
    <t>Unit cost of Aqua Spa</t>
  </si>
  <si>
    <t>Unit cost of Hydro Luxe</t>
  </si>
  <si>
    <t>Demand function of Aqua Spa</t>
  </si>
  <si>
    <t>Demand function of Hydro Luxe</t>
  </si>
  <si>
    <t>Tub Material</t>
  </si>
  <si>
    <t xml:space="preserve">Requirment per Aqua Spa </t>
  </si>
  <si>
    <t>Requirment per Hydro Luxe</t>
  </si>
  <si>
    <t>Manufacturing Requirment</t>
  </si>
  <si>
    <t>Price for Aqua Spa</t>
  </si>
  <si>
    <t>Decision variable 1</t>
  </si>
  <si>
    <t>Decision variable 2</t>
  </si>
  <si>
    <t>Price for Hydro Luxe</t>
  </si>
  <si>
    <t>Demand based on Decision Variable 1</t>
  </si>
  <si>
    <t>Total Demand for Aqua Spa</t>
  </si>
  <si>
    <t>Total Demand for Hydro Luxe</t>
  </si>
  <si>
    <t>Demand based on Decision Variable 2</t>
  </si>
  <si>
    <t>Profit from Aqua Spa</t>
  </si>
  <si>
    <t>Profit from Hydro Luxe</t>
  </si>
  <si>
    <t>Maximum Pump supply</t>
  </si>
  <si>
    <t>Maximum Tubing Material Supply</t>
  </si>
  <si>
    <t>Tital Labor</t>
  </si>
  <si>
    <t>=</t>
  </si>
  <si>
    <t>Decision Varibles: Selling Price</t>
  </si>
  <si>
    <t>Maximum price for Aqua Spa</t>
  </si>
  <si>
    <t>Maximum Prixe for Hydro 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</si>
</sst>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;\-&quot;$&quot;#,##0"/>
    <numFmt numFmtId="165" formatCode="0.000"/>
    <numFmt numFmtId="166" formatCode="&quot;$&quot;#,##0"/>
    <numFmt numFmtId="167" formatCode="0.0"/>
    <numFmt numFmtId="169" formatCode="&quot;$&quot;#,##0.0;\-&quot;$&quot;#,##0.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0000FF"/>
      <name val="Arial"/>
      <family val="2"/>
    </font>
    <font>
      <b/>
      <i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vertAlign val="subscript"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vertAlign val="superscript"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NumberFormat="1" applyFont="1"/>
    <xf numFmtId="49" fontId="0" fillId="0" borderId="0" xfId="0" applyNumberFormat="1"/>
    <xf numFmtId="0" fontId="4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167" fontId="2" fillId="0" borderId="0" xfId="1" applyNumberFormat="1" applyFont="1"/>
    <xf numFmtId="164" fontId="2" fillId="0" borderId="1" xfId="1" applyNumberFormat="1" applyFont="1" applyBorder="1"/>
    <xf numFmtId="0" fontId="2" fillId="0" borderId="0" xfId="1" applyFont="1" applyBorder="1"/>
    <xf numFmtId="0" fontId="4" fillId="0" borderId="0" xfId="1" applyFont="1"/>
    <xf numFmtId="0" fontId="4" fillId="0" borderId="0" xfId="1" applyFont="1" applyBorder="1"/>
    <xf numFmtId="7" fontId="2" fillId="0" borderId="0" xfId="1" applyNumberFormat="1" applyFont="1" applyBorder="1"/>
    <xf numFmtId="164" fontId="2" fillId="0" borderId="0" xfId="1" applyNumberFormat="1" applyFont="1" applyBorder="1"/>
    <xf numFmtId="164" fontId="5" fillId="3" borderId="1" xfId="1" applyNumberFormat="1" applyFont="1" applyFill="1" applyBorder="1"/>
    <xf numFmtId="0" fontId="1" fillId="0" borderId="0" xfId="1"/>
    <xf numFmtId="0" fontId="1" fillId="0" borderId="1" xfId="1" applyBorder="1"/>
    <xf numFmtId="0" fontId="7" fillId="0" borderId="1" xfId="1" applyFont="1" applyBorder="1"/>
    <xf numFmtId="0" fontId="7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right"/>
    </xf>
    <xf numFmtId="165" fontId="9" fillId="0" borderId="1" xfId="1" applyNumberFormat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/>
    </xf>
    <xf numFmtId="0" fontId="1" fillId="0" borderId="1" xfId="1" applyBorder="1" applyAlignment="1">
      <alignment horizontal="right"/>
    </xf>
    <xf numFmtId="0" fontId="7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2" fillId="0" borderId="0" xfId="1" applyFont="1" applyFill="1" applyBorder="1"/>
    <xf numFmtId="0" fontId="3" fillId="0" borderId="0" xfId="1" applyFont="1" applyFill="1" applyBorder="1"/>
    <xf numFmtId="2" fontId="6" fillId="0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/>
    <xf numFmtId="0" fontId="2" fillId="4" borderId="1" xfId="1" applyFont="1" applyFill="1" applyBorder="1"/>
    <xf numFmtId="167" fontId="2" fillId="4" borderId="1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0" xfId="1" applyFont="1" applyBorder="1" applyAlignment="1"/>
    <xf numFmtId="2" fontId="6" fillId="4" borderId="1" xfId="1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67" fontId="6" fillId="4" borderId="1" xfId="1" applyNumberFormat="1" applyFont="1" applyFill="1" applyBorder="1" applyAlignment="1">
      <alignment horizontal="center"/>
    </xf>
    <xf numFmtId="0" fontId="0" fillId="0" borderId="0" xfId="0" applyAlignment="1"/>
    <xf numFmtId="164" fontId="5" fillId="0" borderId="0" xfId="1" applyNumberFormat="1" applyFont="1" applyFill="1" applyBorder="1"/>
    <xf numFmtId="2" fontId="2" fillId="5" borderId="1" xfId="1" applyNumberFormat="1" applyFont="1" applyFill="1" applyBorder="1"/>
    <xf numFmtId="2" fontId="2" fillId="0" borderId="1" xfId="1" applyNumberFormat="1" applyFont="1" applyBorder="1" applyAlignment="1">
      <alignment horizontal="center"/>
    </xf>
    <xf numFmtId="7" fontId="2" fillId="0" borderId="0" xfId="1" applyNumberFormat="1" applyFont="1" applyBorder="1" applyAlignment="1"/>
    <xf numFmtId="2" fontId="2" fillId="5" borderId="1" xfId="1" applyNumberFormat="1" applyFont="1" applyFill="1" applyBorder="1" applyAlignment="1">
      <alignment horizontal="left"/>
    </xf>
    <xf numFmtId="0" fontId="15" fillId="0" borderId="0" xfId="1" applyFont="1"/>
    <xf numFmtId="0" fontId="16" fillId="0" borderId="0" xfId="1" applyFont="1"/>
    <xf numFmtId="0" fontId="16" fillId="0" borderId="0" xfId="0" applyFont="1"/>
    <xf numFmtId="0" fontId="0" fillId="0" borderId="1" xfId="0" applyBorder="1"/>
    <xf numFmtId="167" fontId="9" fillId="6" borderId="1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0" fillId="0" borderId="1" xfId="0" applyFont="1" applyBorder="1"/>
    <xf numFmtId="0" fontId="10" fillId="4" borderId="1" xfId="0" applyFont="1" applyFill="1" applyBorder="1" applyAlignment="1">
      <alignment horizontal="center"/>
    </xf>
    <xf numFmtId="0" fontId="12" fillId="0" borderId="0" xfId="0" applyFont="1"/>
    <xf numFmtId="0" fontId="17" fillId="0" borderId="0" xfId="0" applyFont="1"/>
    <xf numFmtId="0" fontId="12" fillId="0" borderId="0" xfId="0" applyFont="1" applyFill="1" applyBorder="1"/>
    <xf numFmtId="0" fontId="18" fillId="0" borderId="0" xfId="0" applyFont="1"/>
    <xf numFmtId="0" fontId="12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6" fillId="5" borderId="1" xfId="1" applyNumberFormat="1" applyFont="1" applyFill="1" applyBorder="1"/>
    <xf numFmtId="1" fontId="6" fillId="5" borderId="1" xfId="1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4" fontId="11" fillId="3" borderId="1" xfId="0" applyNumberFormat="1" applyFont="1" applyFill="1" applyBorder="1"/>
    <xf numFmtId="4" fontId="9" fillId="3" borderId="1" xfId="2" applyNumberFormat="1" applyFont="1" applyFill="1" applyBorder="1" applyAlignment="1">
      <alignment horizontal="center"/>
    </xf>
    <xf numFmtId="0" fontId="0" fillId="0" borderId="0" xfId="0" applyBorder="1"/>
    <xf numFmtId="0" fontId="1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/>
    <xf numFmtId="0" fontId="14" fillId="0" borderId="0" xfId="0" applyFont="1" applyAlignment="1">
      <alignment horizontal="right"/>
    </xf>
    <xf numFmtId="0" fontId="14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/>
    <xf numFmtId="0" fontId="12" fillId="0" borderId="1" xfId="0" applyFont="1" applyFill="1" applyBorder="1"/>
    <xf numFmtId="0" fontId="18" fillId="0" borderId="1" xfId="0" applyFont="1" applyBorder="1"/>
    <xf numFmtId="0" fontId="17" fillId="0" borderId="1" xfId="0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2" fillId="0" borderId="1" xfId="0" applyFont="1" applyBorder="1"/>
    <xf numFmtId="2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7" borderId="1" xfId="0" applyFill="1" applyBorder="1"/>
    <xf numFmtId="169" fontId="5" fillId="2" borderId="1" xfId="1" applyNumberFormat="1" applyFont="1" applyFill="1" applyBorder="1"/>
    <xf numFmtId="2" fontId="2" fillId="4" borderId="1" xfId="1" applyNumberFormat="1" applyFont="1" applyFill="1" applyBorder="1"/>
    <xf numFmtId="4" fontId="20" fillId="0" borderId="1" xfId="0" applyNumberFormat="1" applyFont="1" applyBorder="1"/>
    <xf numFmtId="164" fontId="2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right" textRotation="90"/>
    </xf>
    <xf numFmtId="0" fontId="0" fillId="8" borderId="0" xfId="0" applyFill="1" applyAlignment="1">
      <alignment horizontal="right" textRotation="90"/>
    </xf>
    <xf numFmtId="0" fontId="21" fillId="0" borderId="0" xfId="0" applyFont="1"/>
    <xf numFmtId="164" fontId="0" fillId="0" borderId="7" xfId="0" applyNumberFormat="1" applyBorder="1"/>
    <xf numFmtId="169" fontId="0" fillId="0" borderId="8" xfId="0" applyNumberFormat="1" applyBorder="1"/>
    <xf numFmtId="164" fontId="0" fillId="0" borderId="4" xfId="0" applyNumberFormat="1" applyBorder="1"/>
    <xf numFmtId="169" fontId="0" fillId="0" borderId="9" xfId="0" applyNumberFormat="1" applyBorder="1"/>
    <xf numFmtId="164" fontId="0" fillId="0" borderId="0" xfId="0" applyNumberFormat="1"/>
    <xf numFmtId="164" fontId="0" fillId="0" borderId="10" xfId="0" applyNumberFormat="1" applyBorder="1"/>
    <xf numFmtId="169" fontId="0" fillId="0" borderId="11" xfId="0" applyNumberFormat="1" applyBorder="1"/>
    <xf numFmtId="1" fontId="0" fillId="0" borderId="0" xfId="0" applyNumberFormat="1"/>
    <xf numFmtId="4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4" fontId="0" fillId="0" borderId="4" xfId="0" applyNumberFormat="1" applyBorder="1"/>
    <xf numFmtId="167" fontId="0" fillId="0" borderId="0" xfId="0" applyNumberFormat="1" applyBorder="1"/>
    <xf numFmtId="167" fontId="0" fillId="0" borderId="9" xfId="0" applyNumberFormat="1" applyBorder="1"/>
    <xf numFmtId="4" fontId="0" fillId="0" borderId="10" xfId="0" applyNumberFormat="1" applyBorder="1"/>
    <xf numFmtId="167" fontId="0" fillId="0" borderId="13" xfId="0" applyNumberFormat="1" applyBorder="1"/>
    <xf numFmtId="167" fontId="0" fillId="0" borderId="11" xfId="0" applyNumberFormat="1" applyBorder="1"/>
    <xf numFmtId="0" fontId="13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3" fillId="0" borderId="6" xfId="0" applyFont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0" borderId="0" xfId="0" applyAlignment="1"/>
    <xf numFmtId="4" fontId="2" fillId="0" borderId="4" xfId="1" applyNumberFormat="1" applyFont="1" applyBorder="1" applyAlignment="1"/>
    <xf numFmtId="0" fontId="0" fillId="0" borderId="0" xfId="0" applyAlignment="1"/>
    <xf numFmtId="7" fontId="2" fillId="0" borderId="4" xfId="1" applyNumberFormat="1" applyFont="1" applyBorder="1" applyAlignment="1"/>
    <xf numFmtId="0" fontId="12" fillId="0" borderId="5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6" fontId="24" fillId="0" borderId="1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9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9" borderId="1" xfId="1" applyFont="1" applyFill="1" applyBorder="1"/>
    <xf numFmtId="0" fontId="4" fillId="0" borderId="1" xfId="1" applyFont="1" applyBorder="1"/>
    <xf numFmtId="4" fontId="20" fillId="9" borderId="1" xfId="0" applyNumberFormat="1" applyFont="1" applyFill="1" applyBorder="1"/>
    <xf numFmtId="164" fontId="2" fillId="9" borderId="1" xfId="1" applyNumberFormat="1" applyFont="1" applyFill="1" applyBorder="1"/>
    <xf numFmtId="4" fontId="2" fillId="0" borderId="0" xfId="1" applyNumberFormat="1" applyFont="1" applyBorder="1" applyAlignment="1"/>
    <xf numFmtId="2" fontId="2" fillId="5" borderId="1" xfId="1" applyNumberFormat="1" applyFont="1" applyFill="1" applyBorder="1" applyAlignment="1">
      <alignment horizontal="right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AQUA SPA:</a:t>
            </a:r>
            <a:r>
              <a:rPr lang="en-US" baseline="0"/>
              <a:t> </a:t>
            </a:r>
            <a:r>
              <a:rPr lang="en-US"/>
              <a:t>Demand vs</a:t>
            </a:r>
            <a:r>
              <a:rPr lang="en-US" baseline="0"/>
              <a:t> price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 1'!$C$4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13575064166703"/>
                  <c:y val="0.25644435695538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'Ans 1'!$B$5:$B$28</c:f>
              <c:numCache>
                <c:formatCode>"$"#,##0_);[Red]\("$"#,##0\)</c:formatCode>
                <c:ptCount val="24"/>
                <c:pt idx="0">
                  <c:v>890</c:v>
                </c:pt>
                <c:pt idx="1">
                  <c:v>899</c:v>
                </c:pt>
                <c:pt idx="2">
                  <c:v>912</c:v>
                </c:pt>
                <c:pt idx="3">
                  <c:v>989</c:v>
                </c:pt>
                <c:pt idx="4">
                  <c:v>990</c:v>
                </c:pt>
                <c:pt idx="5">
                  <c:v>999</c:v>
                </c:pt>
                <c:pt idx="6">
                  <c:v>999</c:v>
                </c:pt>
                <c:pt idx="7">
                  <c:v>1010</c:v>
                </c:pt>
                <c:pt idx="8">
                  <c:v>1019</c:v>
                </c:pt>
                <c:pt idx="9">
                  <c:v>1020</c:v>
                </c:pt>
                <c:pt idx="10">
                  <c:v>1090</c:v>
                </c:pt>
                <c:pt idx="11">
                  <c:v>1095</c:v>
                </c:pt>
                <c:pt idx="12">
                  <c:v>1095</c:v>
                </c:pt>
                <c:pt idx="13">
                  <c:v>1100</c:v>
                </c:pt>
                <c:pt idx="14">
                  <c:v>1115</c:v>
                </c:pt>
                <c:pt idx="15">
                  <c:v>1115</c:v>
                </c:pt>
                <c:pt idx="16">
                  <c:v>1140</c:v>
                </c:pt>
                <c:pt idx="17">
                  <c:v>1180</c:v>
                </c:pt>
                <c:pt idx="18">
                  <c:v>1190</c:v>
                </c:pt>
                <c:pt idx="19">
                  <c:v>1190</c:v>
                </c:pt>
                <c:pt idx="20">
                  <c:v>1250</c:v>
                </c:pt>
                <c:pt idx="21">
                  <c:v>1250</c:v>
                </c:pt>
                <c:pt idx="22">
                  <c:v>1290</c:v>
                </c:pt>
                <c:pt idx="23">
                  <c:v>1290</c:v>
                </c:pt>
              </c:numCache>
            </c:numRef>
          </c:xVal>
          <c:yVal>
            <c:numRef>
              <c:f>'Ans 1'!$C$5:$C$28</c:f>
              <c:numCache>
                <c:formatCode>General</c:formatCode>
                <c:ptCount val="24"/>
                <c:pt idx="0">
                  <c:v>143</c:v>
                </c:pt>
                <c:pt idx="1">
                  <c:v>146</c:v>
                </c:pt>
                <c:pt idx="2">
                  <c:v>142</c:v>
                </c:pt>
                <c:pt idx="3">
                  <c:v>126</c:v>
                </c:pt>
                <c:pt idx="4">
                  <c:v>142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128</c:v>
                </c:pt>
                <c:pt idx="9">
                  <c:v>136</c:v>
                </c:pt>
                <c:pt idx="10">
                  <c:v>110</c:v>
                </c:pt>
                <c:pt idx="11">
                  <c:v>122</c:v>
                </c:pt>
                <c:pt idx="12">
                  <c:v>110</c:v>
                </c:pt>
                <c:pt idx="13">
                  <c:v>120</c:v>
                </c:pt>
                <c:pt idx="14">
                  <c:v>117</c:v>
                </c:pt>
                <c:pt idx="15">
                  <c:v>110</c:v>
                </c:pt>
                <c:pt idx="16">
                  <c:v>113</c:v>
                </c:pt>
                <c:pt idx="17">
                  <c:v>106</c:v>
                </c:pt>
                <c:pt idx="18">
                  <c:v>97</c:v>
                </c:pt>
                <c:pt idx="19">
                  <c:v>105</c:v>
                </c:pt>
                <c:pt idx="20">
                  <c:v>90</c:v>
                </c:pt>
                <c:pt idx="21">
                  <c:v>89</c:v>
                </c:pt>
                <c:pt idx="22">
                  <c:v>79</c:v>
                </c:pt>
                <c:pt idx="23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3-B34C-92E4-B34672CB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12448"/>
        <c:axId val="587514096"/>
      </c:scatterChart>
      <c:valAx>
        <c:axId val="587512448"/>
        <c:scaling>
          <c:orientation val="minMax"/>
          <c:max val="13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4096"/>
        <c:crosses val="autoZero"/>
        <c:crossBetween val="midCat"/>
      </c:valAx>
      <c:valAx>
        <c:axId val="587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 lUXE:</a:t>
            </a:r>
            <a:r>
              <a:rPr lang="en-US" baseline="0"/>
              <a:t> demand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 1'!$L$4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41863181424573"/>
                  <c:y val="0.40775555461984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'Ans 1'!$K$5:$K$28</c:f>
              <c:numCache>
                <c:formatCode>"$"#,##0_);[Red]\("$"#,##0\)</c:formatCode>
                <c:ptCount val="24"/>
                <c:pt idx="0">
                  <c:v>1109</c:v>
                </c:pt>
                <c:pt idx="1">
                  <c:v>1112</c:v>
                </c:pt>
                <c:pt idx="2">
                  <c:v>1115</c:v>
                </c:pt>
                <c:pt idx="3">
                  <c:v>1145</c:v>
                </c:pt>
                <c:pt idx="4">
                  <c:v>1149</c:v>
                </c:pt>
                <c:pt idx="5">
                  <c:v>1149</c:v>
                </c:pt>
                <c:pt idx="6">
                  <c:v>1149</c:v>
                </c:pt>
                <c:pt idx="7">
                  <c:v>1190</c:v>
                </c:pt>
                <c:pt idx="8">
                  <c:v>1190</c:v>
                </c:pt>
                <c:pt idx="9">
                  <c:v>1195</c:v>
                </c:pt>
                <c:pt idx="10">
                  <c:v>1195</c:v>
                </c:pt>
                <c:pt idx="11">
                  <c:v>1199</c:v>
                </c:pt>
                <c:pt idx="12">
                  <c:v>1199</c:v>
                </c:pt>
                <c:pt idx="13">
                  <c:v>1199</c:v>
                </c:pt>
                <c:pt idx="14">
                  <c:v>1210</c:v>
                </c:pt>
                <c:pt idx="15">
                  <c:v>1210</c:v>
                </c:pt>
                <c:pt idx="16">
                  <c:v>1210</c:v>
                </c:pt>
                <c:pt idx="17">
                  <c:v>1230</c:v>
                </c:pt>
                <c:pt idx="18">
                  <c:v>1250</c:v>
                </c:pt>
                <c:pt idx="19">
                  <c:v>1250</c:v>
                </c:pt>
                <c:pt idx="20">
                  <c:v>1280</c:v>
                </c:pt>
                <c:pt idx="21">
                  <c:v>1290</c:v>
                </c:pt>
                <c:pt idx="22">
                  <c:v>1299</c:v>
                </c:pt>
                <c:pt idx="23">
                  <c:v>1315</c:v>
                </c:pt>
              </c:numCache>
            </c:numRef>
          </c:xVal>
          <c:yVal>
            <c:numRef>
              <c:f>'Ans 1'!$L$5:$L$28</c:f>
              <c:numCache>
                <c:formatCode>General</c:formatCode>
                <c:ptCount val="24"/>
                <c:pt idx="0">
                  <c:v>158</c:v>
                </c:pt>
                <c:pt idx="1">
                  <c:v>154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153</c:v>
                </c:pt>
                <c:pt idx="6">
                  <c:v>155</c:v>
                </c:pt>
                <c:pt idx="7">
                  <c:v>152</c:v>
                </c:pt>
                <c:pt idx="8">
                  <c:v>146</c:v>
                </c:pt>
                <c:pt idx="9">
                  <c:v>148</c:v>
                </c:pt>
                <c:pt idx="10">
                  <c:v>141</c:v>
                </c:pt>
                <c:pt idx="11">
                  <c:v>147</c:v>
                </c:pt>
                <c:pt idx="12">
                  <c:v>144</c:v>
                </c:pt>
                <c:pt idx="13">
                  <c:v>145</c:v>
                </c:pt>
                <c:pt idx="14">
                  <c:v>143</c:v>
                </c:pt>
                <c:pt idx="15">
                  <c:v>137</c:v>
                </c:pt>
                <c:pt idx="16">
                  <c:v>148</c:v>
                </c:pt>
                <c:pt idx="17">
                  <c:v>139</c:v>
                </c:pt>
                <c:pt idx="18">
                  <c:v>136</c:v>
                </c:pt>
                <c:pt idx="19">
                  <c:v>134</c:v>
                </c:pt>
                <c:pt idx="20">
                  <c:v>133</c:v>
                </c:pt>
                <c:pt idx="21">
                  <c:v>129</c:v>
                </c:pt>
                <c:pt idx="22">
                  <c:v>125</c:v>
                </c:pt>
                <c:pt idx="23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2-DC46-9890-24967B29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5728"/>
        <c:axId val="589627376"/>
      </c:scatterChart>
      <c:valAx>
        <c:axId val="589625728"/>
        <c:scaling>
          <c:orientation val="minMax"/>
          <c:min val="1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7376"/>
        <c:crosses val="autoZero"/>
        <c:crossBetween val="midCat"/>
      </c:valAx>
      <c:valAx>
        <c:axId val="589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versus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Sullivans_profit!$A$24:$A$44</c:f>
              <c:numCache>
                <c:formatCode>"$"#,##0</c:formatCode>
                <c:ptCount val="2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</c:numCache>
            </c:numRef>
          </c:xVal>
          <c:yVal>
            <c:numRef>
              <c:f>Sullivans_profit!$B$24:$B$44</c:f>
              <c:numCache>
                <c:formatCode>"$"#,##0;\-"$"#,##0</c:formatCode>
                <c:ptCount val="21"/>
                <c:pt idx="0">
                  <c:v>24060.222778800522</c:v>
                </c:pt>
                <c:pt idx="1">
                  <c:v>26285.1468516184</c:v>
                </c:pt>
                <c:pt idx="2">
                  <c:v>28057.120125900128</c:v>
                </c:pt>
                <c:pt idx="3">
                  <c:v>29454.079471629077</c:v>
                </c:pt>
                <c:pt idx="4">
                  <c:v>30539.716296819275</c:v>
                </c:pt>
                <c:pt idx="5">
                  <c:v>31366.32350829224</c:v>
                </c:pt>
                <c:pt idx="6">
                  <c:v>31977.020742753033</c:v>
                </c:pt>
                <c:pt idx="7">
                  <c:v>32407.50523470468</c:v>
                </c:pt>
                <c:pt idx="8">
                  <c:v>32687.438066421768</c:v>
                </c:pt>
                <c:pt idx="9">
                  <c:v>32841.548193811832</c:v>
                </c:pt>
                <c:pt idx="10">
                  <c:v>32890.516581984193</c:v>
                </c:pt>
                <c:pt idx="11">
                  <c:v>32851.687949836814</c:v>
                </c:pt>
                <c:pt idx="12">
                  <c:v>32739.646566689851</c:v>
                </c:pt>
                <c:pt idx="13">
                  <c:v>32566.684242493917</c:v>
                </c:pt>
                <c:pt idx="14">
                  <c:v>32343.182376209872</c:v>
                </c:pt>
                <c:pt idx="15">
                  <c:v>32077.925149149713</c:v>
                </c:pt>
                <c:pt idx="16">
                  <c:v>31778.357290311094</c:v>
                </c:pt>
                <c:pt idx="17">
                  <c:v>31450.797020471113</c:v>
                </c:pt>
                <c:pt idx="18">
                  <c:v>31100.612595989609</c:v>
                </c:pt>
                <c:pt idx="19">
                  <c:v>30732.369169906655</c:v>
                </c:pt>
                <c:pt idx="20">
                  <c:v>30349.951353567849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0-4212-A05E-FF4C872A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31144"/>
        <c:axId val="394216000"/>
      </c:scatterChart>
      <c:valAx>
        <c:axId val="544031144"/>
        <c:scaling>
          <c:orientation val="minMax"/>
          <c:max val="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16000"/>
        <c:crosses val="autoZero"/>
        <c:crossBetween val="midCat"/>
        <c:majorUnit val="10"/>
      </c:valAx>
      <c:valAx>
        <c:axId val="394216000"/>
        <c:scaling>
          <c:orientation val="minMax"/>
          <c:max val="33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;\-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311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Sullivans_SolverTable!$K$1</c:f>
          <c:strCache>
            <c:ptCount val="1"/>
            <c:pt idx="0">
              <c:v>Sensitivity of $B$17 to Unit Cost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Sullivans_SolverTable!$A$5:$A$21</c:f>
              <c:numCache>
                <c:formatCode>"$"#,##0;\-"$"#,##0</c:formatCode>
                <c:ptCount val="17"/>
                <c:pt idx="0">
                  <c:v>160</c:v>
                </c:pt>
                <c:pt idx="1">
                  <c:v>180</c:v>
                </c:pt>
                <c:pt idx="2">
                  <c:v>200</c:v>
                </c:pt>
                <c:pt idx="3">
                  <c:v>220</c:v>
                </c:pt>
                <c:pt idx="4">
                  <c:v>240</c:v>
                </c:pt>
                <c:pt idx="5">
                  <c:v>260</c:v>
                </c:pt>
                <c:pt idx="6">
                  <c:v>280</c:v>
                </c:pt>
                <c:pt idx="7">
                  <c:v>300</c:v>
                </c:pt>
                <c:pt idx="8">
                  <c:v>320</c:v>
                </c:pt>
                <c:pt idx="9">
                  <c:v>340</c:v>
                </c:pt>
                <c:pt idx="10">
                  <c:v>360</c:v>
                </c:pt>
                <c:pt idx="11">
                  <c:v>380</c:v>
                </c:pt>
                <c:pt idx="12">
                  <c:v>400</c:v>
                </c:pt>
                <c:pt idx="13">
                  <c:v>420</c:v>
                </c:pt>
                <c:pt idx="14">
                  <c:v>440</c:v>
                </c:pt>
                <c:pt idx="15">
                  <c:v>460</c:v>
                </c:pt>
                <c:pt idx="16">
                  <c:v>480</c:v>
                </c:pt>
              </c:numCache>
            </c:numRef>
          </c:cat>
          <c:val>
            <c:numRef>
              <c:f>Sullivans_SolverTable!$K$5:$K$21</c:f>
              <c:numCache>
                <c:formatCode>General</c:formatCode>
                <c:ptCount val="17"/>
                <c:pt idx="0">
                  <c:v>172481.27</c:v>
                </c:pt>
                <c:pt idx="1">
                  <c:v>126684.16</c:v>
                </c:pt>
                <c:pt idx="2">
                  <c:v>96324.49</c:v>
                </c:pt>
                <c:pt idx="3">
                  <c:v>76071.179999999993</c:v>
                </c:pt>
                <c:pt idx="4">
                  <c:v>61909.78</c:v>
                </c:pt>
                <c:pt idx="5">
                  <c:v>51570.48</c:v>
                </c:pt>
                <c:pt idx="6">
                  <c:v>43761.67</c:v>
                </c:pt>
                <c:pt idx="7">
                  <c:v>37701.050000000003</c:v>
                </c:pt>
                <c:pt idx="8">
                  <c:v>32890.57</c:v>
                </c:pt>
                <c:pt idx="9">
                  <c:v>29000.05</c:v>
                </c:pt>
                <c:pt idx="10">
                  <c:v>25802.99</c:v>
                </c:pt>
                <c:pt idx="11">
                  <c:v>23139.51</c:v>
                </c:pt>
                <c:pt idx="12">
                  <c:v>20893.97</c:v>
                </c:pt>
                <c:pt idx="13">
                  <c:v>18980.89</c:v>
                </c:pt>
                <c:pt idx="14">
                  <c:v>17335.900000000001</c:v>
                </c:pt>
                <c:pt idx="15">
                  <c:v>15909.74</c:v>
                </c:pt>
                <c:pt idx="16">
                  <c:v>14664.14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4-4004-8576-8E1EE7D0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49720"/>
        <c:axId val="564951688"/>
      </c:lineChart>
      <c:catAx>
        <c:axId val="56494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Cost ($B$4)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564951688"/>
        <c:crosses val="autoZero"/>
        <c:auto val="1"/>
        <c:lblAlgn val="ctr"/>
        <c:lblOffset val="100"/>
        <c:noMultiLvlLbl val="0"/>
      </c:catAx>
      <c:valAx>
        <c:axId val="56495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9497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Pickens_SolverTable!$K$1</c:f>
          <c:strCache>
            <c:ptCount val="1"/>
            <c:pt idx="0">
              <c:v>Sensitivity of $C$10 to Total capacity for medical patients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Pickens_SolverTable!$A$5:$A$25</c:f>
              <c:numCache>
                <c:formatCode>0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Pickens_SolverTable!$K$5:$K$25</c:f>
              <c:numCache>
                <c:formatCode>General</c:formatCode>
                <c:ptCount val="21"/>
                <c:pt idx="0">
                  <c:v>152240</c:v>
                </c:pt>
                <c:pt idx="1">
                  <c:v>158210</c:v>
                </c:pt>
                <c:pt idx="2">
                  <c:v>164580</c:v>
                </c:pt>
                <c:pt idx="3">
                  <c:v>171350</c:v>
                </c:pt>
                <c:pt idx="4">
                  <c:v>176206</c:v>
                </c:pt>
                <c:pt idx="5">
                  <c:v>180440</c:v>
                </c:pt>
                <c:pt idx="6">
                  <c:v>186276</c:v>
                </c:pt>
                <c:pt idx="7">
                  <c:v>191580</c:v>
                </c:pt>
                <c:pt idx="8">
                  <c:v>198396</c:v>
                </c:pt>
                <c:pt idx="9">
                  <c:v>204770</c:v>
                </c:pt>
                <c:pt idx="10">
                  <c:v>212566</c:v>
                </c:pt>
                <c:pt idx="11">
                  <c:v>220010</c:v>
                </c:pt>
                <c:pt idx="12">
                  <c:v>228786</c:v>
                </c:pt>
                <c:pt idx="13">
                  <c:v>237300</c:v>
                </c:pt>
                <c:pt idx="14">
                  <c:v>247056</c:v>
                </c:pt>
                <c:pt idx="15">
                  <c:v>256640</c:v>
                </c:pt>
                <c:pt idx="16">
                  <c:v>267376</c:v>
                </c:pt>
                <c:pt idx="17">
                  <c:v>277494</c:v>
                </c:pt>
                <c:pt idx="18">
                  <c:v>287854</c:v>
                </c:pt>
                <c:pt idx="19">
                  <c:v>299064</c:v>
                </c:pt>
                <c:pt idx="20">
                  <c:v>311124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56A-B1C0-2B243354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78128"/>
        <c:axId val="673867960"/>
      </c:lineChart>
      <c:catAx>
        <c:axId val="6738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capacity for medical patients ($E$3)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73867960"/>
        <c:crosses val="autoZero"/>
        <c:auto val="1"/>
        <c:lblAlgn val="ctr"/>
        <c:lblOffset val="100"/>
        <c:noMultiLvlLbl val="0"/>
      </c:catAx>
      <c:valAx>
        <c:axId val="67386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878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12700</xdr:rowOff>
    </xdr:from>
    <xdr:to>
      <xdr:col>8</xdr:col>
      <xdr:colOff>533400</xdr:colOff>
      <xdr:row>22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FE9440-0BDE-D894-772D-9BC30C46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1</xdr:row>
      <xdr:rowOff>184150</xdr:rowOff>
    </xdr:from>
    <xdr:to>
      <xdr:col>18</xdr:col>
      <xdr:colOff>203200</xdr:colOff>
      <xdr:row>22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625F8D-0D8D-EF46-8249-E02E9D48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22</xdr:row>
      <xdr:rowOff>30480</xdr:rowOff>
    </xdr:from>
    <xdr:to>
      <xdr:col>10</xdr:col>
      <xdr:colOff>579120</xdr:colOff>
      <xdr:row>43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11473-3D3F-4B4C-B41D-C31C6620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76200</xdr:colOff>
      <xdr:row>4</xdr:row>
      <xdr:rowOff>53340</xdr:rowOff>
    </xdr:from>
    <xdr:to>
      <xdr:col>11</xdr:col>
      <xdr:colOff>76200</xdr:colOff>
      <xdr:row>20</xdr:row>
      <xdr:rowOff>137160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9221CC18-FFF0-470A-BDE5-E0E1F03BF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563880</xdr:colOff>
      <xdr:row>1</xdr:row>
      <xdr:rowOff>15240</xdr:rowOff>
    </xdr:from>
    <xdr:to>
      <xdr:col>9</xdr:col>
      <xdr:colOff>563880</xdr:colOff>
      <xdr:row>3</xdr:row>
      <xdr:rowOff>411480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AF56CB-A248-40B4-8FF2-D50B1B25D043}"/>
            </a:ext>
          </a:extLst>
        </xdr:cNvPr>
        <xdr:cNvSpPr txBox="1"/>
      </xdr:nvSpPr>
      <xdr:spPr>
        <a:xfrm>
          <a:off x="3611880" y="19812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45720</xdr:colOff>
      <xdr:row>4</xdr:row>
      <xdr:rowOff>15240</xdr:rowOff>
    </xdr:from>
    <xdr:to>
      <xdr:col>13</xdr:col>
      <xdr:colOff>45720</xdr:colOff>
      <xdr:row>24</xdr:row>
      <xdr:rowOff>175260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5F330C4-9BA3-428E-95C3-BF67747E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259080</xdr:colOff>
      <xdr:row>1</xdr:row>
      <xdr:rowOff>68580</xdr:rowOff>
    </xdr:from>
    <xdr:to>
      <xdr:col>14</xdr:col>
      <xdr:colOff>571500</xdr:colOff>
      <xdr:row>3</xdr:row>
      <xdr:rowOff>373380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4EA991-B771-4B64-9279-5F15BA42316A}"/>
            </a:ext>
          </a:extLst>
        </xdr:cNvPr>
        <xdr:cNvSpPr txBox="1"/>
      </xdr:nvSpPr>
      <xdr:spPr>
        <a:xfrm>
          <a:off x="7040880" y="251460"/>
          <a:ext cx="2141220" cy="67056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525780</xdr:rowOff>
    </xdr:from>
    <xdr:to>
      <xdr:col>7</xdr:col>
      <xdr:colOff>7620</xdr:colOff>
      <xdr:row>21</xdr:row>
      <xdr:rowOff>7620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D14BDD1-3AD7-4529-A919-6BDEF3D5B2FF}"/>
            </a:ext>
          </a:extLst>
        </xdr:cNvPr>
        <xdr:cNvCxnSpPr/>
      </xdr:nvCxnSpPr>
      <xdr:spPr>
        <a:xfrm>
          <a:off x="5326380" y="1074420"/>
          <a:ext cx="0" cy="299466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0</xdr:rowOff>
    </xdr:from>
    <xdr:to>
      <xdr:col>24</xdr:col>
      <xdr:colOff>0</xdr:colOff>
      <xdr:row>21</xdr:row>
      <xdr:rowOff>7620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139B8F-5AC0-4A62-B07C-52CB53E4B5FE}"/>
            </a:ext>
          </a:extLst>
        </xdr:cNvPr>
        <xdr:cNvCxnSpPr/>
      </xdr:nvCxnSpPr>
      <xdr:spPr>
        <a:xfrm flipV="1">
          <a:off x="5318760" y="4061460"/>
          <a:ext cx="3497580" cy="76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10</xdr:row>
      <xdr:rowOff>152400</xdr:rowOff>
    </xdr:from>
    <xdr:to>
      <xdr:col>12</xdr:col>
      <xdr:colOff>38100</xdr:colOff>
      <xdr:row>11</xdr:row>
      <xdr:rowOff>30480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CB32659-AF25-4B02-9EEA-20CA95B2AFF4}"/>
            </a:ext>
          </a:extLst>
        </xdr:cNvPr>
        <xdr:cNvSpPr/>
      </xdr:nvSpPr>
      <xdr:spPr>
        <a:xfrm>
          <a:off x="6324600" y="228600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182880</xdr:colOff>
      <xdr:row>15</xdr:row>
      <xdr:rowOff>144780</xdr:rowOff>
    </xdr:from>
    <xdr:to>
      <xdr:col>17</xdr:col>
      <xdr:colOff>38100</xdr:colOff>
      <xdr:row>16</xdr:row>
      <xdr:rowOff>22860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2E595B8-157B-4999-9864-A5566ED446C7}"/>
            </a:ext>
          </a:extLst>
        </xdr:cNvPr>
        <xdr:cNvSpPr/>
      </xdr:nvSpPr>
      <xdr:spPr>
        <a:xfrm>
          <a:off x="7353300" y="31546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175260</xdr:colOff>
      <xdr:row>18</xdr:row>
      <xdr:rowOff>152400</xdr:rowOff>
    </xdr:from>
    <xdr:to>
      <xdr:col>19</xdr:col>
      <xdr:colOff>30480</xdr:colOff>
      <xdr:row>19</xdr:row>
      <xdr:rowOff>30480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EFB74A1-E056-4EA3-9F10-7567D6B55B5A}"/>
            </a:ext>
          </a:extLst>
        </xdr:cNvPr>
        <xdr:cNvSpPr/>
      </xdr:nvSpPr>
      <xdr:spPr>
        <a:xfrm>
          <a:off x="7757160" y="36880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167640</xdr:colOff>
      <xdr:row>9</xdr:row>
      <xdr:rowOff>144780</xdr:rowOff>
    </xdr:from>
    <xdr:to>
      <xdr:col>15</xdr:col>
      <xdr:colOff>22860</xdr:colOff>
      <xdr:row>10</xdr:row>
      <xdr:rowOff>22860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462E396-7641-43B3-A397-A2C13B17E9F1}"/>
            </a:ext>
          </a:extLst>
        </xdr:cNvPr>
        <xdr:cNvSpPr/>
      </xdr:nvSpPr>
      <xdr:spPr>
        <a:xfrm>
          <a:off x="6926580" y="210312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182880</xdr:colOff>
      <xdr:row>14</xdr:row>
      <xdr:rowOff>152400</xdr:rowOff>
    </xdr:from>
    <xdr:to>
      <xdr:col>11</xdr:col>
      <xdr:colOff>38100</xdr:colOff>
      <xdr:row>15</xdr:row>
      <xdr:rowOff>30480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6A20861-4F3A-4D00-8078-1977EFE06006}"/>
            </a:ext>
          </a:extLst>
        </xdr:cNvPr>
        <xdr:cNvSpPr/>
      </xdr:nvSpPr>
      <xdr:spPr>
        <a:xfrm>
          <a:off x="6118860" y="298704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20</xdr:row>
      <xdr:rowOff>144780</xdr:rowOff>
    </xdr:from>
    <xdr:to>
      <xdr:col>7</xdr:col>
      <xdr:colOff>38100</xdr:colOff>
      <xdr:row>21</xdr:row>
      <xdr:rowOff>30480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16ED9BB-2267-4972-A76A-E19DFBB8AEA9}"/>
            </a:ext>
          </a:extLst>
        </xdr:cNvPr>
        <xdr:cNvSpPr/>
      </xdr:nvSpPr>
      <xdr:spPr>
        <a:xfrm>
          <a:off x="4450080" y="4030980"/>
          <a:ext cx="68580" cy="6096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8</xdr:row>
      <xdr:rowOff>144780</xdr:rowOff>
    </xdr:from>
    <xdr:to>
      <xdr:col>7</xdr:col>
      <xdr:colOff>30480</xdr:colOff>
      <xdr:row>9</xdr:row>
      <xdr:rowOff>22860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0F92C1F-6C28-4C48-90A1-A5C9AE576597}"/>
            </a:ext>
          </a:extLst>
        </xdr:cNvPr>
        <xdr:cNvSpPr/>
      </xdr:nvSpPr>
      <xdr:spPr>
        <a:xfrm>
          <a:off x="4450080" y="192786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20</xdr:row>
      <xdr:rowOff>114300</xdr:rowOff>
    </xdr:from>
    <xdr:to>
      <xdr:col>9</xdr:col>
      <xdr:colOff>7620</xdr:colOff>
      <xdr:row>21</xdr:row>
      <xdr:rowOff>60960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7838D18-5F9D-45A6-84ED-79EA9716A21B}"/>
            </a:ext>
          </a:extLst>
        </xdr:cNvPr>
        <xdr:cNvCxnSpPr/>
      </xdr:nvCxnSpPr>
      <xdr:spPr>
        <a:xfrm>
          <a:off x="489966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20</xdr:row>
      <xdr:rowOff>121920</xdr:rowOff>
    </xdr:from>
    <xdr:to>
      <xdr:col>11</xdr:col>
      <xdr:colOff>7620</xdr:colOff>
      <xdr:row>21</xdr:row>
      <xdr:rowOff>68580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3878C6D9-32C7-43F1-904C-D481AA38C69B}"/>
            </a:ext>
          </a:extLst>
        </xdr:cNvPr>
        <xdr:cNvCxnSpPr/>
      </xdr:nvCxnSpPr>
      <xdr:spPr>
        <a:xfrm>
          <a:off x="5311140" y="400812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20</xdr:row>
      <xdr:rowOff>114300</xdr:rowOff>
    </xdr:from>
    <xdr:to>
      <xdr:col>13</xdr:col>
      <xdr:colOff>7620</xdr:colOff>
      <xdr:row>21</xdr:row>
      <xdr:rowOff>60960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F777606-48BE-488E-8A62-93EA4C58AC82}"/>
            </a:ext>
          </a:extLst>
        </xdr:cNvPr>
        <xdr:cNvCxnSpPr/>
      </xdr:nvCxnSpPr>
      <xdr:spPr>
        <a:xfrm>
          <a:off x="572262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20</xdr:row>
      <xdr:rowOff>121920</xdr:rowOff>
    </xdr:from>
    <xdr:to>
      <xdr:col>15</xdr:col>
      <xdr:colOff>7620</xdr:colOff>
      <xdr:row>21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F4980C5-5F70-4899-A01D-11B95D8D89C2}"/>
            </a:ext>
          </a:extLst>
        </xdr:cNvPr>
        <xdr:cNvCxnSpPr/>
      </xdr:nvCxnSpPr>
      <xdr:spPr>
        <a:xfrm>
          <a:off x="6134100" y="400812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20</xdr:row>
      <xdr:rowOff>121920</xdr:rowOff>
    </xdr:from>
    <xdr:to>
      <xdr:col>17</xdr:col>
      <xdr:colOff>7620</xdr:colOff>
      <xdr:row>21</xdr:row>
      <xdr:rowOff>68580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82AA795-5F4F-48BD-876E-475AC39164BF}"/>
            </a:ext>
          </a:extLst>
        </xdr:cNvPr>
        <xdr:cNvCxnSpPr/>
      </xdr:nvCxnSpPr>
      <xdr:spPr>
        <a:xfrm>
          <a:off x="6545580" y="400812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121920</xdr:rowOff>
    </xdr:from>
    <xdr:to>
      <xdr:col>19</xdr:col>
      <xdr:colOff>0</xdr:colOff>
      <xdr:row>21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8134E01-4E9C-4C5E-AE5E-A529090D7C55}"/>
            </a:ext>
          </a:extLst>
        </xdr:cNvPr>
        <xdr:cNvCxnSpPr/>
      </xdr:nvCxnSpPr>
      <xdr:spPr>
        <a:xfrm>
          <a:off x="6949440" y="400812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114300</xdr:rowOff>
    </xdr:from>
    <xdr:to>
      <xdr:col>21</xdr:col>
      <xdr:colOff>0</xdr:colOff>
      <xdr:row>21</xdr:row>
      <xdr:rowOff>60960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EC8558F-93E3-4402-AFFA-0B7298E60D29}"/>
            </a:ext>
          </a:extLst>
        </xdr:cNvPr>
        <xdr:cNvCxnSpPr/>
      </xdr:nvCxnSpPr>
      <xdr:spPr>
        <a:xfrm>
          <a:off x="736092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114300</xdr:rowOff>
    </xdr:from>
    <xdr:to>
      <xdr:col>23</xdr:col>
      <xdr:colOff>0</xdr:colOff>
      <xdr:row>21</xdr:row>
      <xdr:rowOff>60960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4BB002D-705F-43F7-A1C3-33C335A2ACE3}"/>
            </a:ext>
          </a:extLst>
        </xdr:cNvPr>
        <xdr:cNvCxnSpPr/>
      </xdr:nvCxnSpPr>
      <xdr:spPr>
        <a:xfrm>
          <a:off x="777240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19</xdr:row>
      <xdr:rowOff>0</xdr:rowOff>
    </xdr:from>
    <xdr:to>
      <xdr:col>7</xdr:col>
      <xdr:colOff>60960</xdr:colOff>
      <xdr:row>19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18E94D0-2E85-4CC9-A954-CDE193EA6237}"/>
            </a:ext>
          </a:extLst>
        </xdr:cNvPr>
        <xdr:cNvCxnSpPr/>
      </xdr:nvCxnSpPr>
      <xdr:spPr>
        <a:xfrm flipH="1">
          <a:off x="4419600" y="37109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17</xdr:row>
      <xdr:rowOff>7620</xdr:rowOff>
    </xdr:from>
    <xdr:to>
      <xdr:col>7</xdr:col>
      <xdr:colOff>68580</xdr:colOff>
      <xdr:row>17</xdr:row>
      <xdr:rowOff>7620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B0C0C804-9F23-4758-9ABE-6F393DB50802}"/>
            </a:ext>
          </a:extLst>
        </xdr:cNvPr>
        <xdr:cNvCxnSpPr/>
      </xdr:nvCxnSpPr>
      <xdr:spPr>
        <a:xfrm flipH="1">
          <a:off x="4427220" y="33680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15</xdr:row>
      <xdr:rowOff>7620</xdr:rowOff>
    </xdr:from>
    <xdr:to>
      <xdr:col>7</xdr:col>
      <xdr:colOff>68580</xdr:colOff>
      <xdr:row>15</xdr:row>
      <xdr:rowOff>7620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91D4B91-4B82-4938-9A31-175DC60F68F9}"/>
            </a:ext>
          </a:extLst>
        </xdr:cNvPr>
        <xdr:cNvCxnSpPr/>
      </xdr:nvCxnSpPr>
      <xdr:spPr>
        <a:xfrm flipH="1">
          <a:off x="4427220" y="301752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13</xdr:row>
      <xdr:rowOff>7620</xdr:rowOff>
    </xdr:from>
    <xdr:to>
      <xdr:col>7</xdr:col>
      <xdr:colOff>68580</xdr:colOff>
      <xdr:row>13</xdr:row>
      <xdr:rowOff>7620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1CF4877-2FFC-4889-838A-2B78E20D91A0}"/>
            </a:ext>
          </a:extLst>
        </xdr:cNvPr>
        <xdr:cNvCxnSpPr/>
      </xdr:nvCxnSpPr>
      <xdr:spPr>
        <a:xfrm flipH="1">
          <a:off x="4427220" y="266700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11</xdr:row>
      <xdr:rowOff>0</xdr:rowOff>
    </xdr:from>
    <xdr:to>
      <xdr:col>7</xdr:col>
      <xdr:colOff>68580</xdr:colOff>
      <xdr:row>11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2D60067-77C5-4388-813F-A71BE6C783F8}"/>
            </a:ext>
          </a:extLst>
        </xdr:cNvPr>
        <xdr:cNvCxnSpPr/>
      </xdr:nvCxnSpPr>
      <xdr:spPr>
        <a:xfrm flipH="1">
          <a:off x="4427220" y="230886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9</xdr:row>
      <xdr:rowOff>0</xdr:rowOff>
    </xdr:from>
    <xdr:to>
      <xdr:col>7</xdr:col>
      <xdr:colOff>60960</xdr:colOff>
      <xdr:row>9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498484-6776-4723-B433-50AB2078BFBE}"/>
            </a:ext>
          </a:extLst>
        </xdr:cNvPr>
        <xdr:cNvCxnSpPr/>
      </xdr:nvCxnSpPr>
      <xdr:spPr>
        <a:xfrm flipH="1">
          <a:off x="4419600" y="19583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7</xdr:row>
      <xdr:rowOff>7620</xdr:rowOff>
    </xdr:from>
    <xdr:to>
      <xdr:col>7</xdr:col>
      <xdr:colOff>60960</xdr:colOff>
      <xdr:row>7</xdr:row>
      <xdr:rowOff>7620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8CA10B5-43C2-4330-9606-580D1475D388}"/>
            </a:ext>
          </a:extLst>
        </xdr:cNvPr>
        <xdr:cNvCxnSpPr/>
      </xdr:nvCxnSpPr>
      <xdr:spPr>
        <a:xfrm flipH="1">
          <a:off x="4419600" y="16154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5</xdr:row>
      <xdr:rowOff>7620</xdr:rowOff>
    </xdr:from>
    <xdr:to>
      <xdr:col>7</xdr:col>
      <xdr:colOff>68580</xdr:colOff>
      <xdr:row>5</xdr:row>
      <xdr:rowOff>7620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E1EDEC0E-77B0-4355-9513-73CFDFFA7390}"/>
            </a:ext>
          </a:extLst>
        </xdr:cNvPr>
        <xdr:cNvCxnSpPr/>
      </xdr:nvCxnSpPr>
      <xdr:spPr>
        <a:xfrm flipH="1">
          <a:off x="4427220" y="126492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152400</xdr:rowOff>
    </xdr:from>
    <xdr:to>
      <xdr:col>7</xdr:col>
      <xdr:colOff>30480</xdr:colOff>
      <xdr:row>9</xdr:row>
      <xdr:rowOff>30480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B2B818E-EC5F-4705-A0F0-69161F2050DF}"/>
            </a:ext>
          </a:extLst>
        </xdr:cNvPr>
        <xdr:cNvSpPr/>
      </xdr:nvSpPr>
      <xdr:spPr>
        <a:xfrm>
          <a:off x="4450080" y="19354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190500</xdr:colOff>
      <xdr:row>10</xdr:row>
      <xdr:rowOff>144780</xdr:rowOff>
    </xdr:from>
    <xdr:to>
      <xdr:col>12</xdr:col>
      <xdr:colOff>45720</xdr:colOff>
      <xdr:row>11</xdr:row>
      <xdr:rowOff>22860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AB147B0-A51F-4A33-A74B-E28BD778696A}"/>
            </a:ext>
          </a:extLst>
        </xdr:cNvPr>
        <xdr:cNvSpPr/>
      </xdr:nvSpPr>
      <xdr:spPr>
        <a:xfrm>
          <a:off x="5494020" y="22783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175260</xdr:colOff>
      <xdr:row>14</xdr:row>
      <xdr:rowOff>144780</xdr:rowOff>
    </xdr:from>
    <xdr:to>
      <xdr:col>11</xdr:col>
      <xdr:colOff>30480</xdr:colOff>
      <xdr:row>15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4EBD0C-DA48-4D3D-889D-C138C4324C3F}"/>
            </a:ext>
          </a:extLst>
        </xdr:cNvPr>
        <xdr:cNvSpPr/>
      </xdr:nvSpPr>
      <xdr:spPr>
        <a:xfrm>
          <a:off x="5273040" y="297942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182880</xdr:colOff>
      <xdr:row>15</xdr:row>
      <xdr:rowOff>144780</xdr:rowOff>
    </xdr:from>
    <xdr:to>
      <xdr:col>17</xdr:col>
      <xdr:colOff>38100</xdr:colOff>
      <xdr:row>16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9DCF97F-F317-42CC-959C-9C187D22B4BF}"/>
            </a:ext>
          </a:extLst>
        </xdr:cNvPr>
        <xdr:cNvSpPr/>
      </xdr:nvSpPr>
      <xdr:spPr>
        <a:xfrm>
          <a:off x="6515100" y="31546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175260</xdr:colOff>
      <xdr:row>9</xdr:row>
      <xdr:rowOff>144780</xdr:rowOff>
    </xdr:from>
    <xdr:to>
      <xdr:col>15</xdr:col>
      <xdr:colOff>30480</xdr:colOff>
      <xdr:row>10</xdr:row>
      <xdr:rowOff>22860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30DEA0B-CDDF-4E6B-98CD-394194627C38}"/>
            </a:ext>
          </a:extLst>
        </xdr:cNvPr>
        <xdr:cNvSpPr/>
      </xdr:nvSpPr>
      <xdr:spPr>
        <a:xfrm>
          <a:off x="6096000" y="210312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175260</xdr:colOff>
      <xdr:row>18</xdr:row>
      <xdr:rowOff>152400</xdr:rowOff>
    </xdr:from>
    <xdr:to>
      <xdr:col>19</xdr:col>
      <xdr:colOff>30480</xdr:colOff>
      <xdr:row>19</xdr:row>
      <xdr:rowOff>30480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EE0576E-4C52-4286-B4AA-5873A8F9896B}"/>
            </a:ext>
          </a:extLst>
        </xdr:cNvPr>
        <xdr:cNvSpPr/>
      </xdr:nvSpPr>
      <xdr:spPr>
        <a:xfrm>
          <a:off x="6918960" y="3688080"/>
          <a:ext cx="60960" cy="53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</xdr:row>
      <xdr:rowOff>525780</xdr:rowOff>
    </xdr:from>
    <xdr:to>
      <xdr:col>7</xdr:col>
      <xdr:colOff>0</xdr:colOff>
      <xdr:row>21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AA2F52-8203-4BE1-922C-1F4CC1AD3F6B}"/>
            </a:ext>
          </a:extLst>
        </xdr:cNvPr>
        <xdr:cNvCxnSpPr/>
      </xdr:nvCxnSpPr>
      <xdr:spPr>
        <a:xfrm>
          <a:off x="4480560" y="1074420"/>
          <a:ext cx="0" cy="299466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0</xdr:rowOff>
    </xdr:from>
    <xdr:to>
      <xdr:col>24</xdr:col>
      <xdr:colOff>30480</xdr:colOff>
      <xdr:row>21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8AEA292-5503-4706-BEA1-2B35BC23A103}"/>
            </a:ext>
          </a:extLst>
        </xdr:cNvPr>
        <xdr:cNvCxnSpPr/>
      </xdr:nvCxnSpPr>
      <xdr:spPr>
        <a:xfrm>
          <a:off x="4472940" y="4061460"/>
          <a:ext cx="353568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99060</xdr:colOff>
      <xdr:row>12</xdr:row>
      <xdr:rowOff>144780</xdr:rowOff>
    </xdr:from>
    <xdr:to>
      <xdr:col>14</xdr:col>
      <xdr:colOff>167640</xdr:colOff>
      <xdr:row>13</xdr:row>
      <xdr:rowOff>30480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301783A-7173-40A4-AE7B-6D7430C51150}"/>
            </a:ext>
          </a:extLst>
        </xdr:cNvPr>
        <xdr:cNvSpPr/>
      </xdr:nvSpPr>
      <xdr:spPr>
        <a:xfrm>
          <a:off x="6301740" y="2628900"/>
          <a:ext cx="68580" cy="6096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20</xdr:row>
      <xdr:rowOff>114300</xdr:rowOff>
    </xdr:from>
    <xdr:to>
      <xdr:col>9</xdr:col>
      <xdr:colOff>7620</xdr:colOff>
      <xdr:row>21</xdr:row>
      <xdr:rowOff>60960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5C78FB9-156E-4D10-A0B6-3CBDDF17B439}"/>
            </a:ext>
          </a:extLst>
        </xdr:cNvPr>
        <xdr:cNvCxnSpPr/>
      </xdr:nvCxnSpPr>
      <xdr:spPr>
        <a:xfrm>
          <a:off x="518160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114300</xdr:rowOff>
    </xdr:from>
    <xdr:to>
      <xdr:col>11</xdr:col>
      <xdr:colOff>0</xdr:colOff>
      <xdr:row>21</xdr:row>
      <xdr:rowOff>60960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49D20A6-1CF4-4228-8CBA-7855D9D77A24}"/>
            </a:ext>
          </a:extLst>
        </xdr:cNvPr>
        <xdr:cNvCxnSpPr/>
      </xdr:nvCxnSpPr>
      <xdr:spPr>
        <a:xfrm>
          <a:off x="558546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20</xdr:row>
      <xdr:rowOff>121920</xdr:rowOff>
    </xdr:from>
    <xdr:to>
      <xdr:col>13</xdr:col>
      <xdr:colOff>7620</xdr:colOff>
      <xdr:row>21</xdr:row>
      <xdr:rowOff>68580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2686478-B544-49F1-BD1C-7B5591EBC740}"/>
            </a:ext>
          </a:extLst>
        </xdr:cNvPr>
        <xdr:cNvCxnSpPr/>
      </xdr:nvCxnSpPr>
      <xdr:spPr>
        <a:xfrm>
          <a:off x="6004560" y="400812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20</xdr:row>
      <xdr:rowOff>114300</xdr:rowOff>
    </xdr:from>
    <xdr:to>
      <xdr:col>15</xdr:col>
      <xdr:colOff>7620</xdr:colOff>
      <xdr:row>21</xdr:row>
      <xdr:rowOff>60960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086D373-8139-4926-AE37-DE14490689C5}"/>
            </a:ext>
          </a:extLst>
        </xdr:cNvPr>
        <xdr:cNvCxnSpPr/>
      </xdr:nvCxnSpPr>
      <xdr:spPr>
        <a:xfrm>
          <a:off x="641604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20</xdr:row>
      <xdr:rowOff>114300</xdr:rowOff>
    </xdr:from>
    <xdr:to>
      <xdr:col>17</xdr:col>
      <xdr:colOff>7620</xdr:colOff>
      <xdr:row>21</xdr:row>
      <xdr:rowOff>60960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673A160-0BE8-45C8-A9D4-CEFD11738337}"/>
            </a:ext>
          </a:extLst>
        </xdr:cNvPr>
        <xdr:cNvCxnSpPr/>
      </xdr:nvCxnSpPr>
      <xdr:spPr>
        <a:xfrm>
          <a:off x="682752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20</xdr:row>
      <xdr:rowOff>114300</xdr:rowOff>
    </xdr:from>
    <xdr:to>
      <xdr:col>19</xdr:col>
      <xdr:colOff>7620</xdr:colOff>
      <xdr:row>21</xdr:row>
      <xdr:rowOff>60960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3CFBA0E-A30B-47AE-925C-BF4B8A6C0B03}"/>
            </a:ext>
          </a:extLst>
        </xdr:cNvPr>
        <xdr:cNvCxnSpPr/>
      </xdr:nvCxnSpPr>
      <xdr:spPr>
        <a:xfrm>
          <a:off x="723900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20</xdr:row>
      <xdr:rowOff>114300</xdr:rowOff>
    </xdr:from>
    <xdr:to>
      <xdr:col>21</xdr:col>
      <xdr:colOff>7620</xdr:colOff>
      <xdr:row>21</xdr:row>
      <xdr:rowOff>60960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BD7C39D-5C20-4571-A564-066A3C6149C9}"/>
            </a:ext>
          </a:extLst>
        </xdr:cNvPr>
        <xdr:cNvCxnSpPr/>
      </xdr:nvCxnSpPr>
      <xdr:spPr>
        <a:xfrm>
          <a:off x="765048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114300</xdr:rowOff>
    </xdr:from>
    <xdr:to>
      <xdr:col>23</xdr:col>
      <xdr:colOff>0</xdr:colOff>
      <xdr:row>21</xdr:row>
      <xdr:rowOff>60960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C9D296E-46AB-40C2-9295-A3F74D22BCC8}"/>
            </a:ext>
          </a:extLst>
        </xdr:cNvPr>
        <xdr:cNvCxnSpPr/>
      </xdr:nvCxnSpPr>
      <xdr:spPr>
        <a:xfrm>
          <a:off x="8054340" y="4000500"/>
          <a:ext cx="0" cy="121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19</xdr:row>
      <xdr:rowOff>0</xdr:rowOff>
    </xdr:from>
    <xdr:to>
      <xdr:col>7</xdr:col>
      <xdr:colOff>53340</xdr:colOff>
      <xdr:row>19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3C2F4F1-824D-4B34-8E39-65790AA86B2B}"/>
            </a:ext>
          </a:extLst>
        </xdr:cNvPr>
        <xdr:cNvCxnSpPr/>
      </xdr:nvCxnSpPr>
      <xdr:spPr>
        <a:xfrm flipH="1">
          <a:off x="4693920" y="37109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17</xdr:row>
      <xdr:rowOff>7620</xdr:rowOff>
    </xdr:from>
    <xdr:to>
      <xdr:col>7</xdr:col>
      <xdr:colOff>60960</xdr:colOff>
      <xdr:row>17</xdr:row>
      <xdr:rowOff>7620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EBCB11A-ED8D-4E77-B945-C53873A6E9D6}"/>
            </a:ext>
          </a:extLst>
        </xdr:cNvPr>
        <xdr:cNvCxnSpPr/>
      </xdr:nvCxnSpPr>
      <xdr:spPr>
        <a:xfrm flipH="1">
          <a:off x="4701540" y="336804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13</xdr:row>
      <xdr:rowOff>7620</xdr:rowOff>
    </xdr:from>
    <xdr:to>
      <xdr:col>7</xdr:col>
      <xdr:colOff>60960</xdr:colOff>
      <xdr:row>13</xdr:row>
      <xdr:rowOff>7620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DADBA2A-1B96-4B7F-9C38-9C445A698167}"/>
            </a:ext>
          </a:extLst>
        </xdr:cNvPr>
        <xdr:cNvCxnSpPr/>
      </xdr:nvCxnSpPr>
      <xdr:spPr>
        <a:xfrm flipH="1">
          <a:off x="4701540" y="266700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0</xdr:rowOff>
    </xdr:from>
    <xdr:to>
      <xdr:col>7</xdr:col>
      <xdr:colOff>60960</xdr:colOff>
      <xdr:row>15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BC44880-4FF6-4F2F-A648-00F7BCB81A65}"/>
            </a:ext>
          </a:extLst>
        </xdr:cNvPr>
        <xdr:cNvCxnSpPr/>
      </xdr:nvCxnSpPr>
      <xdr:spPr>
        <a:xfrm flipH="1">
          <a:off x="4701540" y="300990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11</xdr:row>
      <xdr:rowOff>0</xdr:rowOff>
    </xdr:from>
    <xdr:to>
      <xdr:col>7</xdr:col>
      <xdr:colOff>60960</xdr:colOff>
      <xdr:row>11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D1B438F-F807-4D33-B703-114F659544C2}"/>
            </a:ext>
          </a:extLst>
        </xdr:cNvPr>
        <xdr:cNvCxnSpPr/>
      </xdr:nvCxnSpPr>
      <xdr:spPr>
        <a:xfrm flipH="1">
          <a:off x="4701540" y="230886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9</xdr:row>
      <xdr:rowOff>7620</xdr:rowOff>
    </xdr:from>
    <xdr:to>
      <xdr:col>7</xdr:col>
      <xdr:colOff>60960</xdr:colOff>
      <xdr:row>9</xdr:row>
      <xdr:rowOff>7620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1ECF24F-762C-4C3B-85B7-36E1B272A735}"/>
            </a:ext>
          </a:extLst>
        </xdr:cNvPr>
        <xdr:cNvCxnSpPr/>
      </xdr:nvCxnSpPr>
      <xdr:spPr>
        <a:xfrm flipH="1">
          <a:off x="4701540" y="196596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7</xdr:row>
      <xdr:rowOff>0</xdr:rowOff>
    </xdr:from>
    <xdr:to>
      <xdr:col>7</xdr:col>
      <xdr:colOff>60960</xdr:colOff>
      <xdr:row>7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63BA819-AC61-49F0-9D6A-FCE03A6B61A7}"/>
            </a:ext>
          </a:extLst>
        </xdr:cNvPr>
        <xdr:cNvCxnSpPr/>
      </xdr:nvCxnSpPr>
      <xdr:spPr>
        <a:xfrm flipH="1">
          <a:off x="4701540" y="160782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5</xdr:row>
      <xdr:rowOff>7620</xdr:rowOff>
    </xdr:from>
    <xdr:to>
      <xdr:col>7</xdr:col>
      <xdr:colOff>60960</xdr:colOff>
      <xdr:row>5</xdr:row>
      <xdr:rowOff>7620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EE63AE6-CA8D-4301-BFD9-1CAD0519B69B}"/>
            </a:ext>
          </a:extLst>
        </xdr:cNvPr>
        <xdr:cNvCxnSpPr/>
      </xdr:nvCxnSpPr>
      <xdr:spPr>
        <a:xfrm flipH="1">
          <a:off x="4701540" y="1264920"/>
          <a:ext cx="121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5BDE-FDB5-1A49-A947-BA84B6275DCA}">
  <sheetPr>
    <tabColor theme="9" tint="0.39997558519241921"/>
  </sheetPr>
  <dimension ref="B1:Q40"/>
  <sheetViews>
    <sheetView showGridLines="0" workbookViewId="0">
      <selection activeCell="R34" sqref="R34"/>
    </sheetView>
  </sheetViews>
  <sheetFormatPr baseColWidth="10" defaultRowHeight="15" x14ac:dyDescent="0.2"/>
  <sheetData>
    <row r="1" spans="2:12" x14ac:dyDescent="0.2">
      <c r="H1" s="48" t="s">
        <v>94</v>
      </c>
    </row>
    <row r="3" spans="2:12" x14ac:dyDescent="0.2">
      <c r="B3" s="137" t="s">
        <v>97</v>
      </c>
      <c r="C3" s="137"/>
      <c r="D3" s="134"/>
      <c r="E3" s="134"/>
      <c r="F3" s="134"/>
      <c r="G3" s="134"/>
      <c r="H3" s="134"/>
      <c r="I3" s="134"/>
      <c r="K3" s="137" t="s">
        <v>98</v>
      </c>
      <c r="L3" s="137"/>
    </row>
    <row r="4" spans="2:12" x14ac:dyDescent="0.2">
      <c r="B4" s="131" t="s">
        <v>0</v>
      </c>
      <c r="C4" s="131" t="s">
        <v>1</v>
      </c>
      <c r="D4" s="134"/>
      <c r="E4" s="134"/>
      <c r="F4" s="134"/>
      <c r="G4" s="134"/>
      <c r="H4" s="134"/>
      <c r="I4" s="134"/>
      <c r="K4" s="131" t="s">
        <v>0</v>
      </c>
      <c r="L4" s="131" t="s">
        <v>1</v>
      </c>
    </row>
    <row r="5" spans="2:12" x14ac:dyDescent="0.2">
      <c r="B5" s="133">
        <v>890</v>
      </c>
      <c r="C5" s="132">
        <v>143</v>
      </c>
      <c r="D5" s="135"/>
      <c r="E5" s="135"/>
      <c r="F5" s="135"/>
      <c r="G5" s="135"/>
      <c r="H5" s="135"/>
      <c r="I5" s="135"/>
      <c r="K5" s="133">
        <v>1109</v>
      </c>
      <c r="L5" s="132">
        <v>158</v>
      </c>
    </row>
    <row r="6" spans="2:12" x14ac:dyDescent="0.2">
      <c r="B6" s="133">
        <v>899</v>
      </c>
      <c r="C6" s="132">
        <v>146</v>
      </c>
      <c r="D6" s="135"/>
      <c r="E6" s="135"/>
      <c r="F6" s="135"/>
      <c r="G6" s="135"/>
      <c r="H6" s="135"/>
      <c r="I6" s="135"/>
      <c r="K6" s="133">
        <v>1112</v>
      </c>
      <c r="L6" s="132">
        <v>154</v>
      </c>
    </row>
    <row r="7" spans="2:12" x14ac:dyDescent="0.2">
      <c r="B7" s="133">
        <v>912</v>
      </c>
      <c r="C7" s="132">
        <v>142</v>
      </c>
      <c r="D7" s="135"/>
      <c r="E7" s="135"/>
      <c r="F7" s="135"/>
      <c r="G7" s="135"/>
      <c r="H7" s="135"/>
      <c r="I7" s="135"/>
      <c r="K7" s="133">
        <v>1115</v>
      </c>
      <c r="L7" s="132">
        <v>159</v>
      </c>
    </row>
    <row r="8" spans="2:12" x14ac:dyDescent="0.2">
      <c r="B8" s="133">
        <v>989</v>
      </c>
      <c r="C8" s="132">
        <v>126</v>
      </c>
      <c r="D8" s="135"/>
      <c r="E8" s="135"/>
      <c r="F8" s="135"/>
      <c r="G8" s="135"/>
      <c r="H8" s="135"/>
      <c r="I8" s="135"/>
      <c r="K8" s="133">
        <v>1145</v>
      </c>
      <c r="L8" s="132">
        <v>154</v>
      </c>
    </row>
    <row r="9" spans="2:12" x14ac:dyDescent="0.2">
      <c r="B9" s="133">
        <v>990</v>
      </c>
      <c r="C9" s="132">
        <v>142</v>
      </c>
      <c r="D9" s="135"/>
      <c r="E9" s="135"/>
      <c r="F9" s="135"/>
      <c r="G9" s="135"/>
      <c r="H9" s="135"/>
      <c r="I9" s="135"/>
      <c r="K9" s="133">
        <v>1149</v>
      </c>
      <c r="L9" s="132">
        <v>144</v>
      </c>
    </row>
    <row r="10" spans="2:12" x14ac:dyDescent="0.2">
      <c r="B10" s="133">
        <v>999</v>
      </c>
      <c r="C10" s="132">
        <v>140</v>
      </c>
      <c r="D10" s="135"/>
      <c r="E10" s="135"/>
      <c r="F10" s="135"/>
      <c r="G10" s="135"/>
      <c r="H10" s="135"/>
      <c r="I10" s="135"/>
      <c r="K10" s="133">
        <v>1149</v>
      </c>
      <c r="L10" s="132">
        <v>153</v>
      </c>
    </row>
    <row r="11" spans="2:12" x14ac:dyDescent="0.2">
      <c r="B11" s="133">
        <v>999</v>
      </c>
      <c r="C11" s="132">
        <v>139</v>
      </c>
      <c r="D11" s="135"/>
      <c r="E11" s="135"/>
      <c r="F11" s="135"/>
      <c r="G11" s="135"/>
      <c r="H11" s="135"/>
      <c r="I11" s="135"/>
      <c r="K11" s="133">
        <v>1149</v>
      </c>
      <c r="L11" s="132">
        <v>155</v>
      </c>
    </row>
    <row r="12" spans="2:12" x14ac:dyDescent="0.2">
      <c r="B12" s="133">
        <v>1010</v>
      </c>
      <c r="C12" s="132">
        <v>138</v>
      </c>
      <c r="D12" s="135"/>
      <c r="E12" s="135"/>
      <c r="F12" s="135"/>
      <c r="G12" s="135"/>
      <c r="H12" s="135"/>
      <c r="I12" s="135"/>
      <c r="K12" s="133">
        <v>1190</v>
      </c>
      <c r="L12" s="132">
        <v>152</v>
      </c>
    </row>
    <row r="13" spans="2:12" x14ac:dyDescent="0.2">
      <c r="B13" s="133">
        <v>1019</v>
      </c>
      <c r="C13" s="132">
        <v>128</v>
      </c>
      <c r="D13" s="135"/>
      <c r="E13" s="135"/>
      <c r="F13" s="135"/>
      <c r="G13" s="135"/>
      <c r="H13" s="135"/>
      <c r="I13" s="135"/>
      <c r="K13" s="133">
        <v>1190</v>
      </c>
      <c r="L13" s="132">
        <v>146</v>
      </c>
    </row>
    <row r="14" spans="2:12" x14ac:dyDescent="0.2">
      <c r="B14" s="133">
        <v>1020</v>
      </c>
      <c r="C14" s="132">
        <v>136</v>
      </c>
      <c r="D14" s="135"/>
      <c r="E14" s="135"/>
      <c r="F14" s="135"/>
      <c r="G14" s="135"/>
      <c r="H14" s="135"/>
      <c r="I14" s="135"/>
      <c r="K14" s="133">
        <v>1195</v>
      </c>
      <c r="L14" s="132">
        <v>148</v>
      </c>
    </row>
    <row r="15" spans="2:12" x14ac:dyDescent="0.2">
      <c r="B15" s="133">
        <v>1090</v>
      </c>
      <c r="C15" s="132">
        <v>110</v>
      </c>
      <c r="D15" s="135"/>
      <c r="E15" s="135"/>
      <c r="F15" s="135"/>
      <c r="G15" s="135"/>
      <c r="H15" s="135"/>
      <c r="I15" s="135"/>
      <c r="K15" s="133">
        <v>1195</v>
      </c>
      <c r="L15" s="132">
        <v>141</v>
      </c>
    </row>
    <row r="16" spans="2:12" x14ac:dyDescent="0.2">
      <c r="B16" s="133">
        <v>1095</v>
      </c>
      <c r="C16" s="132">
        <v>122</v>
      </c>
      <c r="D16" s="135"/>
      <c r="E16" s="135"/>
      <c r="F16" s="135"/>
      <c r="G16" s="135"/>
      <c r="H16" s="135"/>
      <c r="I16" s="135"/>
      <c r="K16" s="133">
        <v>1199</v>
      </c>
      <c r="L16" s="132">
        <v>147</v>
      </c>
    </row>
    <row r="17" spans="2:17" x14ac:dyDescent="0.2">
      <c r="B17" s="133">
        <v>1095</v>
      </c>
      <c r="C17" s="132">
        <v>110</v>
      </c>
      <c r="D17" s="135"/>
      <c r="E17" s="135"/>
      <c r="F17" s="135"/>
      <c r="G17" s="135"/>
      <c r="H17" s="135"/>
      <c r="I17" s="135"/>
      <c r="K17" s="133">
        <v>1199</v>
      </c>
      <c r="L17" s="132">
        <v>144</v>
      </c>
    </row>
    <row r="18" spans="2:17" x14ac:dyDescent="0.2">
      <c r="B18" s="133">
        <v>1100</v>
      </c>
      <c r="C18" s="132">
        <v>120</v>
      </c>
      <c r="D18" s="135"/>
      <c r="E18" s="135"/>
      <c r="F18" s="135"/>
      <c r="G18" s="135"/>
      <c r="H18" s="135"/>
      <c r="I18" s="135"/>
      <c r="K18" s="133">
        <v>1199</v>
      </c>
      <c r="L18" s="132">
        <v>145</v>
      </c>
    </row>
    <row r="19" spans="2:17" x14ac:dyDescent="0.2">
      <c r="B19" s="133">
        <v>1115</v>
      </c>
      <c r="C19" s="132">
        <v>117</v>
      </c>
      <c r="D19" s="135"/>
      <c r="E19" s="135"/>
      <c r="F19" s="135"/>
      <c r="G19" s="135"/>
      <c r="H19" s="135"/>
      <c r="I19" s="135"/>
      <c r="K19" s="133">
        <v>1210</v>
      </c>
      <c r="L19" s="132">
        <v>143</v>
      </c>
    </row>
    <row r="20" spans="2:17" x14ac:dyDescent="0.2">
      <c r="B20" s="133">
        <v>1115</v>
      </c>
      <c r="C20" s="132">
        <v>110</v>
      </c>
      <c r="D20" s="135"/>
      <c r="E20" s="135"/>
      <c r="F20" s="135"/>
      <c r="G20" s="135"/>
      <c r="H20" s="135"/>
      <c r="I20" s="135"/>
      <c r="K20" s="133">
        <v>1210</v>
      </c>
      <c r="L20" s="132">
        <v>137</v>
      </c>
    </row>
    <row r="21" spans="2:17" x14ac:dyDescent="0.2">
      <c r="B21" s="133">
        <v>1140</v>
      </c>
      <c r="C21" s="132">
        <v>113</v>
      </c>
      <c r="D21" s="135"/>
      <c r="E21" s="135"/>
      <c r="F21" s="135"/>
      <c r="G21" s="135"/>
      <c r="H21" s="135"/>
      <c r="I21" s="135"/>
      <c r="K21" s="133">
        <v>1210</v>
      </c>
      <c r="L21" s="132">
        <v>148</v>
      </c>
    </row>
    <row r="22" spans="2:17" x14ac:dyDescent="0.2">
      <c r="B22" s="133">
        <v>1180</v>
      </c>
      <c r="C22" s="132">
        <v>106</v>
      </c>
      <c r="D22" s="135"/>
      <c r="E22" s="135"/>
      <c r="F22" s="135"/>
      <c r="G22" s="135"/>
      <c r="H22" s="135"/>
      <c r="I22" s="135"/>
      <c r="K22" s="133">
        <v>1230</v>
      </c>
      <c r="L22" s="132">
        <v>139</v>
      </c>
    </row>
    <row r="23" spans="2:17" x14ac:dyDescent="0.2">
      <c r="B23" s="133">
        <v>1190</v>
      </c>
      <c r="C23" s="132">
        <v>97</v>
      </c>
      <c r="D23" s="135"/>
      <c r="E23" s="135"/>
      <c r="F23" s="135"/>
      <c r="G23" s="135"/>
      <c r="H23" s="135"/>
      <c r="I23" s="135"/>
      <c r="K23" s="133">
        <v>1250</v>
      </c>
      <c r="L23" s="132">
        <v>136</v>
      </c>
    </row>
    <row r="24" spans="2:17" x14ac:dyDescent="0.2">
      <c r="B24" s="133">
        <v>1190</v>
      </c>
      <c r="C24" s="132">
        <v>105</v>
      </c>
      <c r="D24" s="135"/>
      <c r="E24" s="135"/>
      <c r="F24" s="135"/>
      <c r="G24" s="135"/>
      <c r="H24" s="135"/>
      <c r="I24" s="135"/>
      <c r="K24" s="133">
        <v>1250</v>
      </c>
      <c r="L24" s="132">
        <v>134</v>
      </c>
    </row>
    <row r="25" spans="2:17" ht="17" customHeight="1" x14ac:dyDescent="0.2">
      <c r="B25" s="133">
        <v>1250</v>
      </c>
      <c r="C25" s="132">
        <v>90</v>
      </c>
      <c r="D25" s="135"/>
      <c r="E25" s="138" t="s">
        <v>100</v>
      </c>
      <c r="F25" s="138"/>
      <c r="G25" s="138"/>
      <c r="H25" s="135"/>
      <c r="I25" s="135"/>
      <c r="K25" s="133">
        <v>1280</v>
      </c>
      <c r="L25" s="132">
        <v>133</v>
      </c>
      <c r="O25" s="138" t="s">
        <v>99</v>
      </c>
      <c r="P25" s="138"/>
      <c r="Q25" s="138"/>
    </row>
    <row r="26" spans="2:17" x14ac:dyDescent="0.2">
      <c r="B26" s="133">
        <v>1250</v>
      </c>
      <c r="C26" s="132">
        <v>89</v>
      </c>
      <c r="D26" s="135"/>
      <c r="E26" s="138"/>
      <c r="F26" s="138"/>
      <c r="G26" s="138"/>
      <c r="H26" s="135"/>
      <c r="I26" s="135"/>
      <c r="K26" s="133">
        <v>1290</v>
      </c>
      <c r="L26" s="132">
        <v>129</v>
      </c>
      <c r="O26" s="138"/>
      <c r="P26" s="138"/>
      <c r="Q26" s="138"/>
    </row>
    <row r="27" spans="2:17" x14ac:dyDescent="0.2">
      <c r="B27" s="133">
        <v>1290</v>
      </c>
      <c r="C27" s="132">
        <v>79</v>
      </c>
      <c r="D27" s="135"/>
      <c r="E27" s="138"/>
      <c r="F27" s="138"/>
      <c r="G27" s="138"/>
      <c r="H27" s="135"/>
      <c r="I27" s="135"/>
      <c r="K27" s="133">
        <v>1299</v>
      </c>
      <c r="L27" s="132">
        <v>125</v>
      </c>
      <c r="O27" s="138"/>
      <c r="P27" s="138"/>
      <c r="Q27" s="138"/>
    </row>
    <row r="28" spans="2:17" x14ac:dyDescent="0.2">
      <c r="B28" s="133">
        <v>1290</v>
      </c>
      <c r="C28" s="132">
        <v>91</v>
      </c>
      <c r="D28" s="135"/>
      <c r="E28" s="135"/>
      <c r="F28" s="135"/>
      <c r="G28" s="135"/>
      <c r="H28" s="135"/>
      <c r="I28" s="135"/>
      <c r="K28" s="133">
        <v>1315</v>
      </c>
      <c r="L28" s="132">
        <v>126</v>
      </c>
    </row>
    <row r="40" spans="3:5" x14ac:dyDescent="0.2">
      <c r="C40" s="136"/>
      <c r="D40" s="136"/>
      <c r="E40" s="136"/>
    </row>
  </sheetData>
  <autoFilter ref="K4:L28" xr:uid="{C5935BDE-FDB5-1A49-A947-BA84B6275DCA}">
    <sortState xmlns:xlrd2="http://schemas.microsoft.com/office/spreadsheetml/2017/richdata2" ref="K5:L28">
      <sortCondition ref="K4:K28"/>
    </sortState>
  </autoFilter>
  <mergeCells count="4">
    <mergeCell ref="B3:C3"/>
    <mergeCell ref="K3:L3"/>
    <mergeCell ref="O25:Q27"/>
    <mergeCell ref="E25:G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K25"/>
  <sheetViews>
    <sheetView workbookViewId="0">
      <selection activeCell="E23" sqref="E23"/>
    </sheetView>
  </sheetViews>
  <sheetFormatPr baseColWidth="10" defaultColWidth="8.83203125" defaultRowHeight="15" x14ac:dyDescent="0.2"/>
  <cols>
    <col min="2" max="2" width="10" bestFit="1" customWidth="1"/>
  </cols>
  <sheetData>
    <row r="1" spans="1:11" x14ac:dyDescent="0.2">
      <c r="A1" s="49" t="s">
        <v>88</v>
      </c>
      <c r="K1" s="91" t="str">
        <f>CONCATENATE("Sensitivity of ",$K$4," to ","Total capacity for medical patients")</f>
        <v>Sensitivity of $C$10 to Total capacity for medical patients</v>
      </c>
    </row>
    <row r="3" spans="1:11" x14ac:dyDescent="0.2">
      <c r="A3" t="s">
        <v>93</v>
      </c>
      <c r="K3" t="s">
        <v>81</v>
      </c>
    </row>
    <row r="4" spans="1:11" ht="37" x14ac:dyDescent="0.2">
      <c r="B4" s="89" t="s">
        <v>89</v>
      </c>
      <c r="C4" s="89" t="s">
        <v>90</v>
      </c>
      <c r="D4" s="89" t="s">
        <v>91</v>
      </c>
      <c r="E4" s="89" t="s">
        <v>92</v>
      </c>
      <c r="J4" s="91">
        <f>MATCH($K$4,OutputAddresses,0)</f>
        <v>1</v>
      </c>
      <c r="K4" s="90" t="s">
        <v>89</v>
      </c>
    </row>
    <row r="5" spans="1:11" x14ac:dyDescent="0.2">
      <c r="A5" s="99">
        <v>50</v>
      </c>
      <c r="B5" s="100">
        <v>152240</v>
      </c>
      <c r="C5" s="101">
        <v>50</v>
      </c>
      <c r="D5" s="101">
        <v>78</v>
      </c>
      <c r="E5" s="102">
        <v>60</v>
      </c>
      <c r="K5">
        <f>INDEX(OutputValues,1,$J$4)</f>
        <v>152240</v>
      </c>
    </row>
    <row r="6" spans="1:11" x14ac:dyDescent="0.2">
      <c r="A6" s="99">
        <v>55</v>
      </c>
      <c r="B6" s="103">
        <v>158210</v>
      </c>
      <c r="C6" s="104">
        <v>55</v>
      </c>
      <c r="D6" s="104">
        <v>78</v>
      </c>
      <c r="E6" s="105">
        <v>60</v>
      </c>
      <c r="K6">
        <f>INDEX(OutputValues,2,$J$4)</f>
        <v>158210</v>
      </c>
    </row>
    <row r="7" spans="1:11" x14ac:dyDescent="0.2">
      <c r="A7" s="99">
        <v>60</v>
      </c>
      <c r="B7" s="103">
        <v>164580</v>
      </c>
      <c r="C7" s="104">
        <v>60</v>
      </c>
      <c r="D7" s="104">
        <v>78</v>
      </c>
      <c r="E7" s="105">
        <v>60</v>
      </c>
      <c r="K7">
        <f>INDEX(OutputValues,3,$J$4)</f>
        <v>164580</v>
      </c>
    </row>
    <row r="8" spans="1:11" x14ac:dyDescent="0.2">
      <c r="A8" s="99">
        <v>65</v>
      </c>
      <c r="B8" s="103">
        <v>171350</v>
      </c>
      <c r="C8" s="104">
        <v>65</v>
      </c>
      <c r="D8" s="104">
        <v>78</v>
      </c>
      <c r="E8" s="105">
        <v>60</v>
      </c>
      <c r="K8">
        <f>INDEX(OutputValues,4,$J$4)</f>
        <v>171350</v>
      </c>
    </row>
    <row r="9" spans="1:11" x14ac:dyDescent="0.2">
      <c r="A9" s="99">
        <v>70</v>
      </c>
      <c r="B9" s="103">
        <v>176206</v>
      </c>
      <c r="C9" s="104">
        <v>70</v>
      </c>
      <c r="D9" s="104">
        <v>78</v>
      </c>
      <c r="E9" s="105">
        <v>58</v>
      </c>
      <c r="K9">
        <f>INDEX(OutputValues,5,$J$4)</f>
        <v>176206</v>
      </c>
    </row>
    <row r="10" spans="1:11" x14ac:dyDescent="0.2">
      <c r="A10" s="99">
        <v>75</v>
      </c>
      <c r="B10" s="103">
        <v>180440</v>
      </c>
      <c r="C10" s="104">
        <v>75</v>
      </c>
      <c r="D10" s="104">
        <v>78</v>
      </c>
      <c r="E10" s="105">
        <v>55</v>
      </c>
      <c r="K10">
        <f>INDEX(OutputValues,6,$J$4)</f>
        <v>180440</v>
      </c>
    </row>
    <row r="11" spans="1:11" x14ac:dyDescent="0.2">
      <c r="A11" s="99">
        <v>80</v>
      </c>
      <c r="B11" s="103">
        <v>186276</v>
      </c>
      <c r="C11" s="104">
        <v>80</v>
      </c>
      <c r="D11" s="104">
        <v>78</v>
      </c>
      <c r="E11" s="105">
        <v>53</v>
      </c>
      <c r="K11">
        <f>INDEX(OutputValues,7,$J$4)</f>
        <v>186276</v>
      </c>
    </row>
    <row r="12" spans="1:11" x14ac:dyDescent="0.2">
      <c r="A12" s="99">
        <v>85</v>
      </c>
      <c r="B12" s="103">
        <v>191580</v>
      </c>
      <c r="C12" s="104">
        <v>85</v>
      </c>
      <c r="D12" s="104">
        <v>78</v>
      </c>
      <c r="E12" s="105">
        <v>50</v>
      </c>
      <c r="K12">
        <f>INDEX(OutputValues,8,$J$4)</f>
        <v>191580</v>
      </c>
    </row>
    <row r="13" spans="1:11" x14ac:dyDescent="0.2">
      <c r="A13" s="99">
        <v>90</v>
      </c>
      <c r="B13" s="103">
        <v>198396</v>
      </c>
      <c r="C13" s="104">
        <v>90</v>
      </c>
      <c r="D13" s="104">
        <v>78</v>
      </c>
      <c r="E13" s="105">
        <v>48</v>
      </c>
      <c r="K13">
        <f>INDEX(OutputValues,9,$J$4)</f>
        <v>198396</v>
      </c>
    </row>
    <row r="14" spans="1:11" x14ac:dyDescent="0.2">
      <c r="A14" s="99">
        <v>95</v>
      </c>
      <c r="B14" s="103">
        <v>204770</v>
      </c>
      <c r="C14" s="104">
        <v>95</v>
      </c>
      <c r="D14" s="104">
        <v>78</v>
      </c>
      <c r="E14" s="105">
        <v>45</v>
      </c>
      <c r="K14">
        <f>INDEX(OutputValues,10,$J$4)</f>
        <v>204770</v>
      </c>
    </row>
    <row r="15" spans="1:11" x14ac:dyDescent="0.2">
      <c r="A15" s="99">
        <v>100</v>
      </c>
      <c r="B15" s="103">
        <v>212566</v>
      </c>
      <c r="C15" s="104">
        <v>100</v>
      </c>
      <c r="D15" s="104">
        <v>78</v>
      </c>
      <c r="E15" s="105">
        <v>43</v>
      </c>
      <c r="K15">
        <f>INDEX(OutputValues,11,$J$4)</f>
        <v>212566</v>
      </c>
    </row>
    <row r="16" spans="1:11" x14ac:dyDescent="0.2">
      <c r="A16" s="99">
        <v>105</v>
      </c>
      <c r="B16" s="103">
        <v>220010</v>
      </c>
      <c r="C16" s="104">
        <v>105</v>
      </c>
      <c r="D16" s="104">
        <v>78</v>
      </c>
      <c r="E16" s="105">
        <v>40</v>
      </c>
      <c r="K16">
        <f>INDEX(OutputValues,12,$J$4)</f>
        <v>220010</v>
      </c>
    </row>
    <row r="17" spans="1:11" x14ac:dyDescent="0.2">
      <c r="A17" s="99">
        <v>110</v>
      </c>
      <c r="B17" s="103">
        <v>228786</v>
      </c>
      <c r="C17" s="104">
        <v>110</v>
      </c>
      <c r="D17" s="104">
        <v>78</v>
      </c>
      <c r="E17" s="105">
        <v>38</v>
      </c>
      <c r="K17">
        <f>INDEX(OutputValues,13,$J$4)</f>
        <v>228786</v>
      </c>
    </row>
    <row r="18" spans="1:11" x14ac:dyDescent="0.2">
      <c r="A18" s="99">
        <v>115</v>
      </c>
      <c r="B18" s="103">
        <v>237300</v>
      </c>
      <c r="C18" s="104">
        <v>115</v>
      </c>
      <c r="D18" s="104">
        <v>78</v>
      </c>
      <c r="E18" s="105">
        <v>35</v>
      </c>
      <c r="K18">
        <f>INDEX(OutputValues,14,$J$4)</f>
        <v>237300</v>
      </c>
    </row>
    <row r="19" spans="1:11" x14ac:dyDescent="0.2">
      <c r="A19" s="99">
        <v>120</v>
      </c>
      <c r="B19" s="103">
        <v>247056</v>
      </c>
      <c r="C19" s="104">
        <v>120</v>
      </c>
      <c r="D19" s="104">
        <v>78</v>
      </c>
      <c r="E19" s="105">
        <v>33</v>
      </c>
      <c r="K19">
        <f>INDEX(OutputValues,15,$J$4)</f>
        <v>247056</v>
      </c>
    </row>
    <row r="20" spans="1:11" x14ac:dyDescent="0.2">
      <c r="A20" s="99">
        <v>125</v>
      </c>
      <c r="B20" s="103">
        <v>256640</v>
      </c>
      <c r="C20" s="104">
        <v>125</v>
      </c>
      <c r="D20" s="104">
        <v>78</v>
      </c>
      <c r="E20" s="105">
        <v>30</v>
      </c>
      <c r="K20">
        <f>INDEX(OutputValues,16,$J$4)</f>
        <v>256640</v>
      </c>
    </row>
    <row r="21" spans="1:11" x14ac:dyDescent="0.2">
      <c r="A21" s="99">
        <v>130</v>
      </c>
      <c r="B21" s="103">
        <v>267376</v>
      </c>
      <c r="C21" s="104">
        <v>130</v>
      </c>
      <c r="D21" s="104">
        <v>78</v>
      </c>
      <c r="E21" s="105">
        <v>28</v>
      </c>
      <c r="K21">
        <f>INDEX(OutputValues,17,$J$4)</f>
        <v>267376</v>
      </c>
    </row>
    <row r="22" spans="1:11" x14ac:dyDescent="0.2">
      <c r="A22" s="99">
        <v>135</v>
      </c>
      <c r="B22" s="103">
        <v>277494</v>
      </c>
      <c r="C22" s="104">
        <v>135</v>
      </c>
      <c r="D22" s="104">
        <v>78</v>
      </c>
      <c r="E22" s="105">
        <v>24</v>
      </c>
      <c r="K22">
        <f>INDEX(OutputValues,18,$J$4)</f>
        <v>277494</v>
      </c>
    </row>
    <row r="23" spans="1:11" x14ac:dyDescent="0.2">
      <c r="A23" s="99">
        <v>140</v>
      </c>
      <c r="B23" s="103">
        <v>287854</v>
      </c>
      <c r="C23" s="104">
        <v>140</v>
      </c>
      <c r="D23" s="104">
        <v>78</v>
      </c>
      <c r="E23" s="105">
        <v>19</v>
      </c>
      <c r="K23">
        <f>INDEX(OutputValues,19,$J$4)</f>
        <v>287854</v>
      </c>
    </row>
    <row r="24" spans="1:11" x14ac:dyDescent="0.2">
      <c r="A24" s="99">
        <v>145</v>
      </c>
      <c r="B24" s="103">
        <v>299064</v>
      </c>
      <c r="C24" s="104">
        <v>145</v>
      </c>
      <c r="D24" s="104">
        <v>78</v>
      </c>
      <c r="E24" s="105">
        <v>14</v>
      </c>
      <c r="K24">
        <f>INDEX(OutputValues,20,$J$4)</f>
        <v>299064</v>
      </c>
    </row>
    <row r="25" spans="1:11" x14ac:dyDescent="0.2">
      <c r="A25" s="99">
        <v>150</v>
      </c>
      <c r="B25" s="106">
        <v>311124</v>
      </c>
      <c r="C25" s="107">
        <v>150</v>
      </c>
      <c r="D25" s="107">
        <v>78</v>
      </c>
      <c r="E25" s="108">
        <v>9</v>
      </c>
      <c r="K25">
        <f>INDEX(OutputValues,21,$J$4)</f>
        <v>311124</v>
      </c>
    </row>
  </sheetData>
  <dataValidations count="1">
    <dataValidation type="list" allowBlank="1" showInputMessage="1" showErrorMessage="1" sqref="K4" xr:uid="{00000000-0002-0000-04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X2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1.5" customWidth="1"/>
    <col min="2" max="2" width="9.1640625" bestFit="1" customWidth="1"/>
    <col min="4" max="4" width="15.33203125" customWidth="1"/>
    <col min="5" max="5" width="14.83203125" customWidth="1"/>
    <col min="6" max="6" width="2.5" customWidth="1"/>
    <col min="7" max="7" width="3.1640625" customWidth="1"/>
    <col min="8" max="24" width="3" customWidth="1"/>
  </cols>
  <sheetData>
    <row r="1" spans="1:24" x14ac:dyDescent="0.2">
      <c r="A1" s="49" t="s">
        <v>50</v>
      </c>
    </row>
    <row r="2" spans="1:24" x14ac:dyDescent="0.2">
      <c r="A2" s="49"/>
    </row>
    <row r="3" spans="1:24" x14ac:dyDescent="0.2">
      <c r="A3" s="55" t="s">
        <v>62</v>
      </c>
      <c r="B3" s="56"/>
      <c r="C3" s="56"/>
      <c r="D3" s="56"/>
      <c r="E3" s="56"/>
    </row>
    <row r="4" spans="1:24" ht="42" customHeight="1" x14ac:dyDescent="0.2">
      <c r="A4" s="52" t="s">
        <v>52</v>
      </c>
      <c r="B4" s="52" t="s">
        <v>69</v>
      </c>
      <c r="C4" s="52" t="s">
        <v>70</v>
      </c>
      <c r="D4" s="52" t="s">
        <v>61</v>
      </c>
      <c r="E4" s="52" t="s">
        <v>68</v>
      </c>
    </row>
    <row r="5" spans="1:24" ht="14" customHeight="1" x14ac:dyDescent="0.2">
      <c r="A5" s="75" t="s">
        <v>55</v>
      </c>
      <c r="B5" s="54">
        <v>5</v>
      </c>
      <c r="C5" s="54">
        <v>10</v>
      </c>
      <c r="D5" s="54">
        <v>180</v>
      </c>
      <c r="E5" s="64">
        <f>SQRT(($B$14-B5)^2+($C$14-C5)^2)</f>
        <v>11.180339887498949</v>
      </c>
      <c r="G5" s="72" t="s">
        <v>67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spans="1:24" ht="14" customHeight="1" x14ac:dyDescent="0.2">
      <c r="A6" s="75" t="s">
        <v>56</v>
      </c>
      <c r="B6" s="54">
        <v>10</v>
      </c>
      <c r="C6" s="54">
        <v>5</v>
      </c>
      <c r="D6" s="54">
        <v>300</v>
      </c>
      <c r="E6" s="64">
        <f t="shared" ref="E6:E10" si="0">SQRT(($B$14-B6)^2+($C$14-C6)^2)</f>
        <v>11.180339887498949</v>
      </c>
      <c r="F6" s="68"/>
      <c r="G6" s="69">
        <v>16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spans="1:24" ht="14" customHeight="1" x14ac:dyDescent="0.2">
      <c r="A7" s="75" t="s">
        <v>57</v>
      </c>
      <c r="B7" s="54">
        <v>0</v>
      </c>
      <c r="C7" s="54">
        <v>12</v>
      </c>
      <c r="D7" s="54">
        <v>200</v>
      </c>
      <c r="E7" s="64">
        <f t="shared" si="0"/>
        <v>12</v>
      </c>
      <c r="F7" s="6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spans="1:24" ht="14" customHeight="1" x14ac:dyDescent="0.2">
      <c r="A8" s="75" t="s">
        <v>58</v>
      </c>
      <c r="B8" s="54">
        <v>12</v>
      </c>
      <c r="C8" s="54">
        <v>2</v>
      </c>
      <c r="D8" s="54">
        <v>400</v>
      </c>
      <c r="E8" s="64">
        <f t="shared" si="0"/>
        <v>12.165525060596439</v>
      </c>
      <c r="F8" s="68"/>
      <c r="G8" s="69">
        <v>14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14" customHeight="1" x14ac:dyDescent="0.2">
      <c r="A9" s="75" t="s">
        <v>59</v>
      </c>
      <c r="B9" s="54">
        <v>8</v>
      </c>
      <c r="C9" s="54">
        <v>11</v>
      </c>
      <c r="D9" s="54">
        <v>290</v>
      </c>
      <c r="E9" s="64">
        <f t="shared" si="0"/>
        <v>13.601470508735444</v>
      </c>
      <c r="F9" s="68"/>
      <c r="G9" s="70"/>
      <c r="H9" s="50" t="s">
        <v>57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1:24" ht="14" customHeight="1" x14ac:dyDescent="0.2">
      <c r="A10" s="75" t="s">
        <v>60</v>
      </c>
      <c r="B10" s="54">
        <v>4</v>
      </c>
      <c r="C10" s="54">
        <v>6</v>
      </c>
      <c r="D10" s="54">
        <v>160</v>
      </c>
      <c r="E10" s="64">
        <f t="shared" si="0"/>
        <v>7.2111025509279782</v>
      </c>
      <c r="F10" s="68"/>
      <c r="G10" s="69">
        <v>12</v>
      </c>
      <c r="H10" s="50"/>
      <c r="I10" s="50"/>
      <c r="J10" s="50"/>
      <c r="K10" s="50"/>
      <c r="L10" s="50"/>
      <c r="M10" s="50"/>
      <c r="N10" s="50"/>
      <c r="O10" s="50"/>
      <c r="P10" s="50" t="s">
        <v>59</v>
      </c>
      <c r="Q10" s="50"/>
      <c r="R10" s="50"/>
      <c r="S10" s="50"/>
      <c r="T10" s="50"/>
      <c r="U10" s="50"/>
      <c r="V10" s="50"/>
      <c r="W10" s="50"/>
      <c r="X10" s="50"/>
    </row>
    <row r="11" spans="1:24" ht="14" customHeight="1" x14ac:dyDescent="0.2">
      <c r="A11" s="56"/>
      <c r="B11" s="56"/>
      <c r="C11" s="56"/>
      <c r="D11" s="56"/>
      <c r="E11" s="56"/>
      <c r="G11" s="7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spans="1:24" ht="14" customHeight="1" x14ac:dyDescent="0.2">
      <c r="A12" s="57" t="s">
        <v>63</v>
      </c>
      <c r="B12" s="58"/>
      <c r="C12" s="58"/>
      <c r="D12" s="58"/>
      <c r="E12" s="56"/>
      <c r="G12" s="69">
        <v>10</v>
      </c>
      <c r="H12" s="50"/>
      <c r="I12" s="50"/>
      <c r="J12" s="50"/>
      <c r="K12" s="50"/>
      <c r="L12" s="50" t="s">
        <v>55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spans="1:24" ht="14" customHeight="1" x14ac:dyDescent="0.2">
      <c r="A13" s="127" t="s">
        <v>64</v>
      </c>
      <c r="B13" s="59" t="s">
        <v>54</v>
      </c>
      <c r="C13" s="59" t="s">
        <v>53</v>
      </c>
      <c r="D13" s="56"/>
      <c r="E13" s="56"/>
      <c r="G13" s="7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spans="1:24" ht="14" customHeight="1" x14ac:dyDescent="0.2">
      <c r="A14" s="128"/>
      <c r="B14" s="65">
        <v>0</v>
      </c>
      <c r="C14" s="65">
        <v>0</v>
      </c>
      <c r="D14" s="56"/>
      <c r="E14" s="56"/>
      <c r="G14" s="71">
        <v>8</v>
      </c>
      <c r="H14" s="50"/>
      <c r="I14" s="50"/>
      <c r="J14" s="50"/>
      <c r="K14" s="50"/>
      <c r="L14" s="50"/>
      <c r="M14" s="50"/>
      <c r="N14" s="50"/>
      <c r="O14" s="50"/>
      <c r="Q14" s="50"/>
      <c r="R14" s="50"/>
      <c r="S14" s="50"/>
      <c r="T14" s="50"/>
      <c r="U14" s="50"/>
      <c r="V14" s="50"/>
      <c r="W14" s="50"/>
      <c r="X14" s="50"/>
    </row>
    <row r="15" spans="1:24" ht="14" customHeight="1" x14ac:dyDescent="0.2">
      <c r="A15" s="60"/>
      <c r="B15" s="61"/>
      <c r="C15" s="61"/>
      <c r="D15" s="56"/>
      <c r="E15" s="56"/>
      <c r="G15" s="71"/>
      <c r="H15" s="50"/>
      <c r="I15" s="50"/>
      <c r="J15" s="50"/>
      <c r="K15" s="50"/>
      <c r="L15" s="50" t="s">
        <v>60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ht="14" customHeight="1" x14ac:dyDescent="0.2">
      <c r="A16" s="57" t="s">
        <v>72</v>
      </c>
      <c r="B16" s="56"/>
      <c r="C16" s="56"/>
      <c r="D16" s="56"/>
      <c r="E16" s="56"/>
      <c r="G16" s="71">
        <v>6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 t="s">
        <v>56</v>
      </c>
      <c r="S16" s="50"/>
      <c r="T16" s="50"/>
      <c r="U16" s="50"/>
      <c r="V16" s="50"/>
      <c r="W16" s="50"/>
      <c r="X16" s="50"/>
    </row>
    <row r="17" spans="1:24" ht="14" customHeight="1" x14ac:dyDescent="0.2">
      <c r="A17" s="74" t="s">
        <v>71</v>
      </c>
      <c r="C17" s="56"/>
      <c r="D17" s="56"/>
      <c r="E17" s="56"/>
      <c r="G17" s="7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spans="1:24" ht="14" customHeight="1" x14ac:dyDescent="0.2">
      <c r="A18" s="56"/>
      <c r="B18" s="66">
        <f>SUMPRODUCT(D5:D10*E5:E10)</f>
        <v>17730.97602591983</v>
      </c>
      <c r="C18" s="56"/>
      <c r="D18" s="56"/>
      <c r="E18" s="56"/>
      <c r="G18" s="71">
        <v>4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</row>
    <row r="19" spans="1:24" ht="14" customHeight="1" x14ac:dyDescent="0.2">
      <c r="A19" s="56"/>
      <c r="B19" s="56"/>
      <c r="C19" s="56"/>
      <c r="D19" s="56"/>
      <c r="E19" s="56"/>
      <c r="G19" s="7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 t="s">
        <v>58</v>
      </c>
      <c r="U19" s="50"/>
      <c r="V19" s="50"/>
      <c r="W19" s="50"/>
      <c r="X19" s="50"/>
    </row>
    <row r="20" spans="1:24" ht="14" customHeight="1" x14ac:dyDescent="0.2">
      <c r="A20" s="56"/>
      <c r="B20" s="56"/>
      <c r="C20" s="56"/>
      <c r="D20" s="56"/>
      <c r="E20" s="56"/>
      <c r="G20" s="71">
        <v>2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spans="1:24" ht="14" customHeight="1" x14ac:dyDescent="0.2">
      <c r="A21" s="56"/>
      <c r="B21" s="56"/>
      <c r="C21" s="56"/>
      <c r="D21" s="56"/>
      <c r="E21" s="56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73" t="s">
        <v>66</v>
      </c>
    </row>
    <row r="22" spans="1:24" x14ac:dyDescent="0.2">
      <c r="A22" s="56"/>
      <c r="B22" s="56"/>
      <c r="C22" s="56"/>
      <c r="D22" s="56"/>
      <c r="E22" s="56"/>
      <c r="G22">
        <v>0</v>
      </c>
      <c r="I22">
        <v>2</v>
      </c>
      <c r="K22">
        <v>4</v>
      </c>
      <c r="M22">
        <v>6</v>
      </c>
      <c r="O22">
        <v>8</v>
      </c>
      <c r="Q22">
        <v>10</v>
      </c>
      <c r="S22">
        <v>12</v>
      </c>
      <c r="U22">
        <v>14</v>
      </c>
      <c r="W22">
        <v>16</v>
      </c>
    </row>
    <row r="23" spans="1:24" x14ac:dyDescent="0.2">
      <c r="A23" s="56"/>
      <c r="B23" s="56"/>
      <c r="C23" s="56"/>
      <c r="D23" s="56"/>
      <c r="E23" s="56"/>
      <c r="G23" s="109" t="s">
        <v>65</v>
      </c>
      <c r="H23" s="68"/>
      <c r="I23" s="68"/>
      <c r="J23" s="68"/>
    </row>
    <row r="24" spans="1:24" x14ac:dyDescent="0.2">
      <c r="A24" s="56"/>
      <c r="B24" s="56"/>
      <c r="C24" s="56"/>
      <c r="D24" s="56"/>
      <c r="E24" s="56"/>
    </row>
    <row r="25" spans="1:24" x14ac:dyDescent="0.2">
      <c r="A25" s="56"/>
      <c r="B25" s="56"/>
      <c r="C25" s="56"/>
      <c r="D25" s="56"/>
      <c r="E25" s="56"/>
    </row>
    <row r="26" spans="1:24" x14ac:dyDescent="0.2">
      <c r="A26" s="56"/>
      <c r="B26" s="56"/>
      <c r="C26" s="56"/>
      <c r="D26" s="56"/>
      <c r="E26" s="56"/>
    </row>
    <row r="27" spans="1:24" x14ac:dyDescent="0.2">
      <c r="A27" s="56"/>
      <c r="B27" s="56"/>
      <c r="C27" s="56"/>
      <c r="D27" s="56"/>
      <c r="E27" s="56"/>
    </row>
  </sheetData>
  <mergeCells count="1">
    <mergeCell ref="A13:A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X2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9.1640625" customWidth="1"/>
    <col min="2" max="2" width="9.1640625" bestFit="1" customWidth="1"/>
    <col min="4" max="4" width="11.83203125" customWidth="1"/>
    <col min="5" max="5" width="14.83203125" customWidth="1"/>
    <col min="6" max="6" width="2.5" customWidth="1"/>
    <col min="7" max="7" width="3.1640625" customWidth="1"/>
    <col min="8" max="24" width="3" customWidth="1"/>
  </cols>
  <sheetData>
    <row r="1" spans="1:24" x14ac:dyDescent="0.2">
      <c r="A1" s="49" t="s">
        <v>75</v>
      </c>
    </row>
    <row r="2" spans="1:24" x14ac:dyDescent="0.2">
      <c r="A2" s="49"/>
    </row>
    <row r="3" spans="1:24" x14ac:dyDescent="0.2">
      <c r="A3" s="55" t="s">
        <v>62</v>
      </c>
      <c r="B3" s="56"/>
      <c r="C3" s="56"/>
      <c r="D3" s="56"/>
      <c r="E3" s="56"/>
    </row>
    <row r="4" spans="1:24" ht="42" customHeight="1" x14ac:dyDescent="0.2">
      <c r="A4" s="52" t="s">
        <v>52</v>
      </c>
      <c r="B4" s="52" t="s">
        <v>69</v>
      </c>
      <c r="C4" s="52" t="s">
        <v>70</v>
      </c>
      <c r="D4" s="52" t="s">
        <v>61</v>
      </c>
      <c r="E4" s="52" t="s">
        <v>68</v>
      </c>
    </row>
    <row r="5" spans="1:24" ht="14" customHeight="1" x14ac:dyDescent="0.2">
      <c r="A5" s="75" t="s">
        <v>55</v>
      </c>
      <c r="B5" s="54">
        <v>5</v>
      </c>
      <c r="C5" s="54">
        <v>10</v>
      </c>
      <c r="D5" s="54">
        <v>180</v>
      </c>
      <c r="E5" s="64">
        <f>SQRT(($B$14-B5)^2+($C$14-C5)^2)</f>
        <v>3.2905994821682918</v>
      </c>
      <c r="G5" s="72" t="s">
        <v>67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spans="1:24" ht="14" customHeight="1" x14ac:dyDescent="0.2">
      <c r="A6" s="75" t="s">
        <v>56</v>
      </c>
      <c r="B6" s="54">
        <v>10</v>
      </c>
      <c r="C6" s="54">
        <v>5</v>
      </c>
      <c r="D6" s="54">
        <v>300</v>
      </c>
      <c r="E6" s="64">
        <f t="shared" ref="E6:E10" si="0">SQRT(($B$14-B6)^2+($C$14-C6)^2)</f>
        <v>3.8337340701401788</v>
      </c>
      <c r="F6" s="68"/>
      <c r="G6" s="69">
        <v>16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spans="1:24" ht="14" customHeight="1" x14ac:dyDescent="0.2">
      <c r="A7" s="75" t="s">
        <v>57</v>
      </c>
      <c r="B7" s="54">
        <v>0</v>
      </c>
      <c r="C7" s="54">
        <v>12</v>
      </c>
      <c r="D7" s="54">
        <v>200</v>
      </c>
      <c r="E7" s="64">
        <f t="shared" si="0"/>
        <v>8.599917033526479</v>
      </c>
      <c r="F7" s="6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spans="1:24" ht="14" customHeight="1" x14ac:dyDescent="0.2">
      <c r="A8" s="75" t="s">
        <v>58</v>
      </c>
      <c r="B8" s="54">
        <v>12</v>
      </c>
      <c r="C8" s="54">
        <v>2</v>
      </c>
      <c r="D8" s="54">
        <v>400</v>
      </c>
      <c r="E8" s="64">
        <f t="shared" si="0"/>
        <v>7.4327185946971328</v>
      </c>
      <c r="F8" s="68"/>
      <c r="G8" s="69">
        <v>14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14" customHeight="1" thickBot="1" x14ac:dyDescent="0.25">
      <c r="A9" s="75" t="s">
        <v>59</v>
      </c>
      <c r="B9" s="54">
        <v>8</v>
      </c>
      <c r="C9" s="54">
        <v>11</v>
      </c>
      <c r="D9" s="54">
        <v>290</v>
      </c>
      <c r="E9" s="64">
        <f t="shared" si="0"/>
        <v>3.0248517539130146</v>
      </c>
      <c r="F9" s="68"/>
      <c r="G9" s="70"/>
      <c r="H9" s="50" t="s">
        <v>57</v>
      </c>
      <c r="I9" s="50"/>
      <c r="J9" s="50"/>
      <c r="K9" s="50"/>
      <c r="L9" s="50"/>
      <c r="M9" s="50"/>
      <c r="N9" s="112"/>
      <c r="O9" s="112"/>
      <c r="P9" s="112"/>
      <c r="Q9" s="112"/>
      <c r="R9" s="112"/>
      <c r="S9" s="112"/>
      <c r="T9" s="112"/>
      <c r="U9" s="112"/>
      <c r="V9" s="50"/>
      <c r="W9" s="50"/>
      <c r="X9" s="50"/>
    </row>
    <row r="10" spans="1:24" ht="14" customHeight="1" x14ac:dyDescent="0.2">
      <c r="A10" s="75" t="s">
        <v>60</v>
      </c>
      <c r="B10" s="54">
        <v>4</v>
      </c>
      <c r="C10" s="54">
        <v>6</v>
      </c>
      <c r="D10" s="54">
        <v>160</v>
      </c>
      <c r="E10" s="64">
        <f t="shared" si="0"/>
        <v>4.1296671243993455</v>
      </c>
      <c r="F10" s="68"/>
      <c r="G10" s="69">
        <v>12</v>
      </c>
      <c r="H10" s="50"/>
      <c r="I10" s="50"/>
      <c r="J10" s="50"/>
      <c r="K10" s="50"/>
      <c r="L10" s="50"/>
      <c r="M10" s="110"/>
      <c r="N10" s="115"/>
      <c r="O10" s="116"/>
      <c r="P10" s="116" t="s">
        <v>59</v>
      </c>
      <c r="Q10" s="116"/>
      <c r="R10" s="116"/>
      <c r="S10" s="116"/>
      <c r="T10" s="116"/>
      <c r="U10" s="117"/>
      <c r="V10" s="111"/>
      <c r="W10" s="50"/>
      <c r="X10" s="50"/>
    </row>
    <row r="11" spans="1:24" ht="14" customHeight="1" x14ac:dyDescent="0.2">
      <c r="A11" s="76"/>
      <c r="B11" s="76"/>
      <c r="C11" s="76"/>
      <c r="D11" s="76"/>
      <c r="E11" s="76"/>
      <c r="G11" s="70"/>
      <c r="H11" s="50"/>
      <c r="I11" s="50"/>
      <c r="J11" s="50"/>
      <c r="K11" s="50"/>
      <c r="L11" s="50"/>
      <c r="M11" s="110"/>
      <c r="N11" s="118"/>
      <c r="O11" s="84"/>
      <c r="P11" s="84"/>
      <c r="Q11" s="84"/>
      <c r="R11" s="84"/>
      <c r="S11" s="84"/>
      <c r="T11" s="84"/>
      <c r="U11" s="119"/>
      <c r="V11" s="111"/>
      <c r="W11" s="50"/>
      <c r="X11" s="50"/>
    </row>
    <row r="12" spans="1:24" ht="14" customHeight="1" x14ac:dyDescent="0.2">
      <c r="A12" s="77" t="s">
        <v>63</v>
      </c>
      <c r="B12" s="78"/>
      <c r="C12" s="78"/>
      <c r="D12" s="78"/>
      <c r="E12" s="76"/>
      <c r="G12" s="69">
        <v>10</v>
      </c>
      <c r="H12" s="50"/>
      <c r="I12" s="50"/>
      <c r="J12" s="50"/>
      <c r="K12" s="50"/>
      <c r="L12" s="50" t="s">
        <v>55</v>
      </c>
      <c r="M12" s="110"/>
      <c r="N12" s="118"/>
      <c r="O12" s="84"/>
      <c r="P12" s="84"/>
      <c r="Q12" s="84"/>
      <c r="R12" s="84"/>
      <c r="S12" s="84"/>
      <c r="T12" s="84"/>
      <c r="U12" s="119"/>
      <c r="V12" s="111"/>
      <c r="W12" s="50"/>
      <c r="X12" s="50"/>
    </row>
    <row r="13" spans="1:24" ht="14" customHeight="1" thickBot="1" x14ac:dyDescent="0.25">
      <c r="A13" s="129" t="s">
        <v>64</v>
      </c>
      <c r="B13" s="59" t="s">
        <v>54</v>
      </c>
      <c r="C13" s="59" t="s">
        <v>53</v>
      </c>
      <c r="D13" s="76"/>
      <c r="E13" s="76"/>
      <c r="G13" s="71"/>
      <c r="H13" s="50"/>
      <c r="I13" s="50"/>
      <c r="J13" s="50"/>
      <c r="K13" s="50"/>
      <c r="L13" s="50"/>
      <c r="M13" s="110"/>
      <c r="N13" s="120"/>
      <c r="O13" s="121"/>
      <c r="P13" s="121"/>
      <c r="Q13" s="121"/>
      <c r="R13" s="121"/>
      <c r="S13" s="121"/>
      <c r="T13" s="121"/>
      <c r="U13" s="122"/>
      <c r="V13" s="111"/>
      <c r="W13" s="50"/>
      <c r="X13" s="50"/>
    </row>
    <row r="14" spans="1:24" ht="14" customHeight="1" x14ac:dyDescent="0.2">
      <c r="A14" s="130"/>
      <c r="B14" s="65">
        <v>7.613052803149265</v>
      </c>
      <c r="C14" s="65">
        <v>8</v>
      </c>
      <c r="D14" s="76"/>
      <c r="E14" s="76"/>
      <c r="G14" s="71">
        <v>8</v>
      </c>
      <c r="H14" s="50"/>
      <c r="I14" s="50"/>
      <c r="J14" s="50"/>
      <c r="K14" s="50"/>
      <c r="L14" s="50"/>
      <c r="M14" s="50"/>
      <c r="N14" s="113"/>
      <c r="O14" s="113"/>
      <c r="P14" s="114" t="s">
        <v>65</v>
      </c>
      <c r="Q14" s="113"/>
      <c r="R14" s="113"/>
      <c r="S14" s="113"/>
      <c r="T14" s="113"/>
      <c r="U14" s="113"/>
      <c r="V14" s="50"/>
      <c r="W14" s="50"/>
      <c r="X14" s="50"/>
    </row>
    <row r="15" spans="1:24" ht="14" customHeight="1" x14ac:dyDescent="0.2">
      <c r="A15" s="79"/>
      <c r="B15" s="80"/>
      <c r="C15" s="80"/>
      <c r="D15" s="76"/>
      <c r="E15" s="76"/>
      <c r="G15" s="71"/>
      <c r="H15" s="50"/>
      <c r="I15" s="50"/>
      <c r="J15" s="50"/>
      <c r="K15" s="50"/>
      <c r="L15" s="50" t="s">
        <v>60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ht="14" customHeight="1" x14ac:dyDescent="0.2">
      <c r="A16" s="77" t="s">
        <v>72</v>
      </c>
      <c r="B16" s="76"/>
      <c r="C16" s="76"/>
      <c r="D16" s="76"/>
      <c r="E16" s="76"/>
      <c r="G16" s="71">
        <v>6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 t="s">
        <v>56</v>
      </c>
      <c r="S16" s="50"/>
      <c r="T16" s="50"/>
      <c r="U16" s="50"/>
      <c r="V16" s="50"/>
      <c r="W16" s="50"/>
      <c r="X16" s="50"/>
    </row>
    <row r="17" spans="1:24" ht="14" customHeight="1" x14ac:dyDescent="0.2">
      <c r="A17" s="53" t="s">
        <v>71</v>
      </c>
      <c r="B17" s="50"/>
      <c r="C17" s="76"/>
      <c r="D17" s="76"/>
      <c r="E17" s="76"/>
      <c r="G17" s="7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spans="1:24" ht="14" customHeight="1" x14ac:dyDescent="0.2">
      <c r="A18" s="76"/>
      <c r="B18" s="66">
        <f>SUMPRODUCT(D5:D10*E5:E10)</f>
        <v>7973.4527209551643</v>
      </c>
      <c r="C18" s="76"/>
      <c r="D18" s="76"/>
      <c r="E18" s="76"/>
      <c r="G18" s="71">
        <v>4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</row>
    <row r="19" spans="1:24" ht="14" customHeight="1" x14ac:dyDescent="0.2">
      <c r="A19" s="76"/>
      <c r="B19" s="76"/>
      <c r="C19" s="76"/>
      <c r="D19" s="76"/>
      <c r="E19" s="76"/>
      <c r="G19" s="7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 t="s">
        <v>58</v>
      </c>
      <c r="U19" s="50"/>
      <c r="V19" s="50"/>
      <c r="W19" s="50"/>
      <c r="X19" s="50"/>
    </row>
    <row r="20" spans="1:24" ht="14" customHeight="1" x14ac:dyDescent="0.2">
      <c r="A20" s="81" t="s">
        <v>22</v>
      </c>
      <c r="B20" s="76"/>
      <c r="C20" s="76"/>
      <c r="D20" s="76"/>
      <c r="E20" s="76"/>
      <c r="G20" s="71">
        <v>2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spans="1:24" ht="14" customHeight="1" x14ac:dyDescent="0.2">
      <c r="A21" s="53" t="s">
        <v>73</v>
      </c>
      <c r="B21" s="82">
        <f>$B$14</f>
        <v>7.613052803149265</v>
      </c>
      <c r="C21" s="75" t="s">
        <v>49</v>
      </c>
      <c r="D21" s="83">
        <v>6</v>
      </c>
      <c r="E21" s="76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73" t="s">
        <v>66</v>
      </c>
    </row>
    <row r="22" spans="1:24" x14ac:dyDescent="0.2">
      <c r="A22" s="53" t="s">
        <v>73</v>
      </c>
      <c r="B22" s="82">
        <f>$B$14</f>
        <v>7.613052803149265</v>
      </c>
      <c r="C22" s="75" t="s">
        <v>23</v>
      </c>
      <c r="D22" s="83">
        <v>14</v>
      </c>
      <c r="E22" s="76"/>
      <c r="G22">
        <v>0</v>
      </c>
      <c r="I22">
        <v>2</v>
      </c>
      <c r="K22">
        <v>4</v>
      </c>
      <c r="M22">
        <v>6</v>
      </c>
      <c r="O22">
        <v>8</v>
      </c>
      <c r="Q22">
        <v>10</v>
      </c>
      <c r="S22">
        <v>12</v>
      </c>
      <c r="U22">
        <v>14</v>
      </c>
      <c r="W22">
        <v>16</v>
      </c>
    </row>
    <row r="23" spans="1:24" x14ac:dyDescent="0.2">
      <c r="A23" s="53" t="s">
        <v>74</v>
      </c>
      <c r="B23" s="82">
        <f>$C$14</f>
        <v>8</v>
      </c>
      <c r="C23" s="75" t="s">
        <v>49</v>
      </c>
      <c r="D23" s="83">
        <v>8</v>
      </c>
      <c r="E23" s="76"/>
    </row>
    <row r="24" spans="1:24" x14ac:dyDescent="0.2">
      <c r="A24" s="53" t="s">
        <v>74</v>
      </c>
      <c r="B24" s="82">
        <f>$C$14</f>
        <v>8</v>
      </c>
      <c r="C24" s="75" t="s">
        <v>23</v>
      </c>
      <c r="D24" s="83">
        <v>12</v>
      </c>
      <c r="E24" s="76"/>
    </row>
    <row r="25" spans="1:24" x14ac:dyDescent="0.2">
      <c r="A25" s="56"/>
      <c r="B25" s="56"/>
      <c r="C25" s="56"/>
      <c r="D25" s="56"/>
      <c r="E25" s="56"/>
    </row>
    <row r="26" spans="1:24" x14ac:dyDescent="0.2">
      <c r="A26" s="56"/>
      <c r="B26" s="56"/>
      <c r="C26" s="56"/>
      <c r="D26" s="56"/>
      <c r="E26" s="56"/>
    </row>
    <row r="27" spans="1:24" x14ac:dyDescent="0.2">
      <c r="A27" s="56"/>
      <c r="B27" s="56"/>
      <c r="C27" s="56"/>
      <c r="D27" s="56"/>
      <c r="E27" s="56"/>
    </row>
  </sheetData>
  <mergeCells count="1">
    <mergeCell ref="A13:A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85</v>
      </c>
    </row>
    <row r="3" spans="1:2" x14ac:dyDescent="0.2">
      <c r="A3">
        <v>1</v>
      </c>
    </row>
    <row r="4" spans="1:2" x14ac:dyDescent="0.2">
      <c r="A4">
        <v>50</v>
      </c>
    </row>
    <row r="5" spans="1:2" x14ac:dyDescent="0.2">
      <c r="A5">
        <v>150</v>
      </c>
    </row>
    <row r="6" spans="1:2" x14ac:dyDescent="0.2">
      <c r="A6">
        <v>5</v>
      </c>
    </row>
    <row r="8" spans="1:2" x14ac:dyDescent="0.2">
      <c r="A8" s="4"/>
      <c r="B8" s="4"/>
    </row>
    <row r="9" spans="1:2" x14ac:dyDescent="0.2">
      <c r="A9" t="s">
        <v>86</v>
      </c>
    </row>
    <row r="10" spans="1:2" x14ac:dyDescent="0.2">
      <c r="A10" t="s">
        <v>87</v>
      </c>
    </row>
    <row r="15" spans="1:2" x14ac:dyDescent="0.2">
      <c r="B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82</v>
      </c>
    </row>
    <row r="3" spans="1:2" x14ac:dyDescent="0.2">
      <c r="A3">
        <v>1</v>
      </c>
    </row>
    <row r="4" spans="1:2" x14ac:dyDescent="0.2">
      <c r="A4">
        <v>160</v>
      </c>
    </row>
    <row r="5" spans="1:2" x14ac:dyDescent="0.2">
      <c r="A5">
        <v>480</v>
      </c>
    </row>
    <row r="6" spans="1:2" x14ac:dyDescent="0.2">
      <c r="A6">
        <v>20</v>
      </c>
    </row>
    <row r="8" spans="1:2" x14ac:dyDescent="0.2">
      <c r="A8" s="4"/>
      <c r="B8" s="4"/>
    </row>
    <row r="9" spans="1:2" x14ac:dyDescent="0.2">
      <c r="A9" t="s">
        <v>77</v>
      </c>
    </row>
    <row r="10" spans="1:2" x14ac:dyDescent="0.2">
      <c r="A10" t="s">
        <v>83</v>
      </c>
    </row>
    <row r="15" spans="1:2" x14ac:dyDescent="0.2">
      <c r="B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:B15"/>
  <sheetViews>
    <sheetView workbookViewId="0"/>
  </sheetViews>
  <sheetFormatPr baseColWidth="10" defaultColWidth="8.83203125" defaultRowHeight="15" x14ac:dyDescent="0.2"/>
  <sheetData>
    <row r="8" spans="1:2" x14ac:dyDescent="0.2">
      <c r="A8" s="4"/>
      <c r="B8" s="4"/>
    </row>
    <row r="15" spans="1:2" x14ac:dyDescent="0.2">
      <c r="B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7</v>
      </c>
    </row>
    <row r="3" spans="1:2" x14ac:dyDescent="0.2">
      <c r="A3">
        <v>1</v>
      </c>
    </row>
    <row r="4" spans="1:2" x14ac:dyDescent="0.2">
      <c r="A4">
        <v>-2.4</v>
      </c>
    </row>
    <row r="5" spans="1:2" x14ac:dyDescent="0.2">
      <c r="A5">
        <v>-1.8</v>
      </c>
    </row>
    <row r="6" spans="1:2" x14ac:dyDescent="0.2">
      <c r="A6">
        <v>0.1</v>
      </c>
    </row>
    <row r="8" spans="1:2" x14ac:dyDescent="0.2">
      <c r="A8" s="4"/>
      <c r="B8" s="4"/>
    </row>
    <row r="9" spans="1:2" x14ac:dyDescent="0.2">
      <c r="A9" t="s">
        <v>8</v>
      </c>
    </row>
    <row r="10" spans="1:2" x14ac:dyDescent="0.2">
      <c r="A10" t="s">
        <v>6</v>
      </c>
    </row>
    <row r="15" spans="1:2" x14ac:dyDescent="0.2">
      <c r="B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8EF0-11F6-D847-9FB3-F042980A3433}">
  <sheetPr>
    <tabColor theme="9" tint="0.39997558519241921"/>
    <pageSetUpPr fitToPage="1"/>
  </sheetPr>
  <dimension ref="B1:J41"/>
  <sheetViews>
    <sheetView showGridLines="0" zoomScale="106" workbookViewId="0">
      <selection activeCell="C20" sqref="C20"/>
    </sheetView>
  </sheetViews>
  <sheetFormatPr baseColWidth="10" defaultColWidth="8.83203125" defaultRowHeight="15" x14ac:dyDescent="0.2"/>
  <cols>
    <col min="1" max="1" width="8.83203125" style="2"/>
    <col min="2" max="2" width="28" style="2" bestFit="1" customWidth="1"/>
    <col min="3" max="3" width="25.83203125" style="2" customWidth="1"/>
    <col min="4" max="4" width="33.6640625" style="2" customWidth="1"/>
    <col min="5" max="5" width="23.1640625" style="2" bestFit="1" customWidth="1"/>
    <col min="6" max="6" width="8.83203125" style="2"/>
    <col min="7" max="7" width="11.83203125" style="2" bestFit="1" customWidth="1"/>
    <col min="8" max="251" width="8.83203125" style="2"/>
    <col min="252" max="252" width="22.83203125" style="2" customWidth="1"/>
    <col min="253" max="253" width="16.5" style="2" customWidth="1"/>
    <col min="254" max="254" width="8.83203125" style="2"/>
    <col min="255" max="255" width="16.5" style="2" customWidth="1"/>
    <col min="256" max="507" width="8.83203125" style="2"/>
    <col min="508" max="508" width="22.83203125" style="2" customWidth="1"/>
    <col min="509" max="509" width="16.5" style="2" customWidth="1"/>
    <col min="510" max="510" width="8.83203125" style="2"/>
    <col min="511" max="511" width="16.5" style="2" customWidth="1"/>
    <col min="512" max="763" width="8.83203125" style="2"/>
    <col min="764" max="764" width="22.83203125" style="2" customWidth="1"/>
    <col min="765" max="765" width="16.5" style="2" customWidth="1"/>
    <col min="766" max="766" width="8.83203125" style="2"/>
    <col min="767" max="767" width="16.5" style="2" customWidth="1"/>
    <col min="768" max="1019" width="8.83203125" style="2"/>
    <col min="1020" max="1020" width="22.83203125" style="2" customWidth="1"/>
    <col min="1021" max="1021" width="16.5" style="2" customWidth="1"/>
    <col min="1022" max="1022" width="8.83203125" style="2"/>
    <col min="1023" max="1023" width="16.5" style="2" customWidth="1"/>
    <col min="1024" max="1275" width="8.83203125" style="2"/>
    <col min="1276" max="1276" width="22.83203125" style="2" customWidth="1"/>
    <col min="1277" max="1277" width="16.5" style="2" customWidth="1"/>
    <col min="1278" max="1278" width="8.83203125" style="2"/>
    <col min="1279" max="1279" width="16.5" style="2" customWidth="1"/>
    <col min="1280" max="1531" width="8.83203125" style="2"/>
    <col min="1532" max="1532" width="22.83203125" style="2" customWidth="1"/>
    <col min="1533" max="1533" width="16.5" style="2" customWidth="1"/>
    <col min="1534" max="1534" width="8.83203125" style="2"/>
    <col min="1535" max="1535" width="16.5" style="2" customWidth="1"/>
    <col min="1536" max="1787" width="8.83203125" style="2"/>
    <col min="1788" max="1788" width="22.83203125" style="2" customWidth="1"/>
    <col min="1789" max="1789" width="16.5" style="2" customWidth="1"/>
    <col min="1790" max="1790" width="8.83203125" style="2"/>
    <col min="1791" max="1791" width="16.5" style="2" customWidth="1"/>
    <col min="1792" max="2043" width="8.83203125" style="2"/>
    <col min="2044" max="2044" width="22.83203125" style="2" customWidth="1"/>
    <col min="2045" max="2045" width="16.5" style="2" customWidth="1"/>
    <col min="2046" max="2046" width="8.83203125" style="2"/>
    <col min="2047" max="2047" width="16.5" style="2" customWidth="1"/>
    <col min="2048" max="2299" width="8.83203125" style="2"/>
    <col min="2300" max="2300" width="22.83203125" style="2" customWidth="1"/>
    <col min="2301" max="2301" width="16.5" style="2" customWidth="1"/>
    <col min="2302" max="2302" width="8.83203125" style="2"/>
    <col min="2303" max="2303" width="16.5" style="2" customWidth="1"/>
    <col min="2304" max="2555" width="8.83203125" style="2"/>
    <col min="2556" max="2556" width="22.83203125" style="2" customWidth="1"/>
    <col min="2557" max="2557" width="16.5" style="2" customWidth="1"/>
    <col min="2558" max="2558" width="8.83203125" style="2"/>
    <col min="2559" max="2559" width="16.5" style="2" customWidth="1"/>
    <col min="2560" max="2811" width="8.83203125" style="2"/>
    <col min="2812" max="2812" width="22.83203125" style="2" customWidth="1"/>
    <col min="2813" max="2813" width="16.5" style="2" customWidth="1"/>
    <col min="2814" max="2814" width="8.83203125" style="2"/>
    <col min="2815" max="2815" width="16.5" style="2" customWidth="1"/>
    <col min="2816" max="3067" width="8.83203125" style="2"/>
    <col min="3068" max="3068" width="22.83203125" style="2" customWidth="1"/>
    <col min="3069" max="3069" width="16.5" style="2" customWidth="1"/>
    <col min="3070" max="3070" width="8.83203125" style="2"/>
    <col min="3071" max="3071" width="16.5" style="2" customWidth="1"/>
    <col min="3072" max="3323" width="8.83203125" style="2"/>
    <col min="3324" max="3324" width="22.83203125" style="2" customWidth="1"/>
    <col min="3325" max="3325" width="16.5" style="2" customWidth="1"/>
    <col min="3326" max="3326" width="8.83203125" style="2"/>
    <col min="3327" max="3327" width="16.5" style="2" customWidth="1"/>
    <col min="3328" max="3579" width="8.83203125" style="2"/>
    <col min="3580" max="3580" width="22.83203125" style="2" customWidth="1"/>
    <col min="3581" max="3581" width="16.5" style="2" customWidth="1"/>
    <col min="3582" max="3582" width="8.83203125" style="2"/>
    <col min="3583" max="3583" width="16.5" style="2" customWidth="1"/>
    <col min="3584" max="3835" width="8.83203125" style="2"/>
    <col min="3836" max="3836" width="22.83203125" style="2" customWidth="1"/>
    <col min="3837" max="3837" width="16.5" style="2" customWidth="1"/>
    <col min="3838" max="3838" width="8.83203125" style="2"/>
    <col min="3839" max="3839" width="16.5" style="2" customWidth="1"/>
    <col min="3840" max="4091" width="8.83203125" style="2"/>
    <col min="4092" max="4092" width="22.83203125" style="2" customWidth="1"/>
    <col min="4093" max="4093" width="16.5" style="2" customWidth="1"/>
    <col min="4094" max="4094" width="8.83203125" style="2"/>
    <col min="4095" max="4095" width="16.5" style="2" customWidth="1"/>
    <col min="4096" max="4347" width="8.83203125" style="2"/>
    <col min="4348" max="4348" width="22.83203125" style="2" customWidth="1"/>
    <col min="4349" max="4349" width="16.5" style="2" customWidth="1"/>
    <col min="4350" max="4350" width="8.83203125" style="2"/>
    <col min="4351" max="4351" width="16.5" style="2" customWidth="1"/>
    <col min="4352" max="4603" width="8.83203125" style="2"/>
    <col min="4604" max="4604" width="22.83203125" style="2" customWidth="1"/>
    <col min="4605" max="4605" width="16.5" style="2" customWidth="1"/>
    <col min="4606" max="4606" width="8.83203125" style="2"/>
    <col min="4607" max="4607" width="16.5" style="2" customWidth="1"/>
    <col min="4608" max="4859" width="8.83203125" style="2"/>
    <col min="4860" max="4860" width="22.83203125" style="2" customWidth="1"/>
    <col min="4861" max="4861" width="16.5" style="2" customWidth="1"/>
    <col min="4862" max="4862" width="8.83203125" style="2"/>
    <col min="4863" max="4863" width="16.5" style="2" customWidth="1"/>
    <col min="4864" max="5115" width="8.83203125" style="2"/>
    <col min="5116" max="5116" width="22.83203125" style="2" customWidth="1"/>
    <col min="5117" max="5117" width="16.5" style="2" customWidth="1"/>
    <col min="5118" max="5118" width="8.83203125" style="2"/>
    <col min="5119" max="5119" width="16.5" style="2" customWidth="1"/>
    <col min="5120" max="5371" width="8.83203125" style="2"/>
    <col min="5372" max="5372" width="22.83203125" style="2" customWidth="1"/>
    <col min="5373" max="5373" width="16.5" style="2" customWidth="1"/>
    <col min="5374" max="5374" width="8.83203125" style="2"/>
    <col min="5375" max="5375" width="16.5" style="2" customWidth="1"/>
    <col min="5376" max="5627" width="8.83203125" style="2"/>
    <col min="5628" max="5628" width="22.83203125" style="2" customWidth="1"/>
    <col min="5629" max="5629" width="16.5" style="2" customWidth="1"/>
    <col min="5630" max="5630" width="8.83203125" style="2"/>
    <col min="5631" max="5631" width="16.5" style="2" customWidth="1"/>
    <col min="5632" max="5883" width="8.83203125" style="2"/>
    <col min="5884" max="5884" width="22.83203125" style="2" customWidth="1"/>
    <col min="5885" max="5885" width="16.5" style="2" customWidth="1"/>
    <col min="5886" max="5886" width="8.83203125" style="2"/>
    <col min="5887" max="5887" width="16.5" style="2" customWidth="1"/>
    <col min="5888" max="6139" width="8.83203125" style="2"/>
    <col min="6140" max="6140" width="22.83203125" style="2" customWidth="1"/>
    <col min="6141" max="6141" width="16.5" style="2" customWidth="1"/>
    <col min="6142" max="6142" width="8.83203125" style="2"/>
    <col min="6143" max="6143" width="16.5" style="2" customWidth="1"/>
    <col min="6144" max="6395" width="8.83203125" style="2"/>
    <col min="6396" max="6396" width="22.83203125" style="2" customWidth="1"/>
    <col min="6397" max="6397" width="16.5" style="2" customWidth="1"/>
    <col min="6398" max="6398" width="8.83203125" style="2"/>
    <col min="6399" max="6399" width="16.5" style="2" customWidth="1"/>
    <col min="6400" max="6651" width="8.83203125" style="2"/>
    <col min="6652" max="6652" width="22.83203125" style="2" customWidth="1"/>
    <col min="6653" max="6653" width="16.5" style="2" customWidth="1"/>
    <col min="6654" max="6654" width="8.83203125" style="2"/>
    <col min="6655" max="6655" width="16.5" style="2" customWidth="1"/>
    <col min="6656" max="6907" width="8.83203125" style="2"/>
    <col min="6908" max="6908" width="22.83203125" style="2" customWidth="1"/>
    <col min="6909" max="6909" width="16.5" style="2" customWidth="1"/>
    <col min="6910" max="6910" width="8.83203125" style="2"/>
    <col min="6911" max="6911" width="16.5" style="2" customWidth="1"/>
    <col min="6912" max="7163" width="8.83203125" style="2"/>
    <col min="7164" max="7164" width="22.83203125" style="2" customWidth="1"/>
    <col min="7165" max="7165" width="16.5" style="2" customWidth="1"/>
    <col min="7166" max="7166" width="8.83203125" style="2"/>
    <col min="7167" max="7167" width="16.5" style="2" customWidth="1"/>
    <col min="7168" max="7419" width="8.83203125" style="2"/>
    <col min="7420" max="7420" width="22.83203125" style="2" customWidth="1"/>
    <col min="7421" max="7421" width="16.5" style="2" customWidth="1"/>
    <col min="7422" max="7422" width="8.83203125" style="2"/>
    <col min="7423" max="7423" width="16.5" style="2" customWidth="1"/>
    <col min="7424" max="7675" width="8.83203125" style="2"/>
    <col min="7676" max="7676" width="22.83203125" style="2" customWidth="1"/>
    <col min="7677" max="7677" width="16.5" style="2" customWidth="1"/>
    <col min="7678" max="7678" width="8.83203125" style="2"/>
    <col min="7679" max="7679" width="16.5" style="2" customWidth="1"/>
    <col min="7680" max="7931" width="8.83203125" style="2"/>
    <col min="7932" max="7932" width="22.83203125" style="2" customWidth="1"/>
    <col min="7933" max="7933" width="16.5" style="2" customWidth="1"/>
    <col min="7934" max="7934" width="8.83203125" style="2"/>
    <col min="7935" max="7935" width="16.5" style="2" customWidth="1"/>
    <col min="7936" max="8187" width="8.83203125" style="2"/>
    <col min="8188" max="8188" width="22.83203125" style="2" customWidth="1"/>
    <col min="8189" max="8189" width="16.5" style="2" customWidth="1"/>
    <col min="8190" max="8190" width="8.83203125" style="2"/>
    <col min="8191" max="8191" width="16.5" style="2" customWidth="1"/>
    <col min="8192" max="8443" width="8.83203125" style="2"/>
    <col min="8444" max="8444" width="22.83203125" style="2" customWidth="1"/>
    <col min="8445" max="8445" width="16.5" style="2" customWidth="1"/>
    <col min="8446" max="8446" width="8.83203125" style="2"/>
    <col min="8447" max="8447" width="16.5" style="2" customWidth="1"/>
    <col min="8448" max="8699" width="8.83203125" style="2"/>
    <col min="8700" max="8700" width="22.83203125" style="2" customWidth="1"/>
    <col min="8701" max="8701" width="16.5" style="2" customWidth="1"/>
    <col min="8702" max="8702" width="8.83203125" style="2"/>
    <col min="8703" max="8703" width="16.5" style="2" customWidth="1"/>
    <col min="8704" max="8955" width="8.83203125" style="2"/>
    <col min="8956" max="8956" width="22.83203125" style="2" customWidth="1"/>
    <col min="8957" max="8957" width="16.5" style="2" customWidth="1"/>
    <col min="8958" max="8958" width="8.83203125" style="2"/>
    <col min="8959" max="8959" width="16.5" style="2" customWidth="1"/>
    <col min="8960" max="9211" width="8.83203125" style="2"/>
    <col min="9212" max="9212" width="22.83203125" style="2" customWidth="1"/>
    <col min="9213" max="9213" width="16.5" style="2" customWidth="1"/>
    <col min="9214" max="9214" width="8.83203125" style="2"/>
    <col min="9215" max="9215" width="16.5" style="2" customWidth="1"/>
    <col min="9216" max="9467" width="8.83203125" style="2"/>
    <col min="9468" max="9468" width="22.83203125" style="2" customWidth="1"/>
    <col min="9469" max="9469" width="16.5" style="2" customWidth="1"/>
    <col min="9470" max="9470" width="8.83203125" style="2"/>
    <col min="9471" max="9471" width="16.5" style="2" customWidth="1"/>
    <col min="9472" max="9723" width="8.83203125" style="2"/>
    <col min="9724" max="9724" width="22.83203125" style="2" customWidth="1"/>
    <col min="9725" max="9725" width="16.5" style="2" customWidth="1"/>
    <col min="9726" max="9726" width="8.83203125" style="2"/>
    <col min="9727" max="9727" width="16.5" style="2" customWidth="1"/>
    <col min="9728" max="9979" width="8.83203125" style="2"/>
    <col min="9980" max="9980" width="22.83203125" style="2" customWidth="1"/>
    <col min="9981" max="9981" width="16.5" style="2" customWidth="1"/>
    <col min="9982" max="9982" width="8.83203125" style="2"/>
    <col min="9983" max="9983" width="16.5" style="2" customWidth="1"/>
    <col min="9984" max="10235" width="8.83203125" style="2"/>
    <col min="10236" max="10236" width="22.83203125" style="2" customWidth="1"/>
    <col min="10237" max="10237" width="16.5" style="2" customWidth="1"/>
    <col min="10238" max="10238" width="8.83203125" style="2"/>
    <col min="10239" max="10239" width="16.5" style="2" customWidth="1"/>
    <col min="10240" max="10491" width="8.83203125" style="2"/>
    <col min="10492" max="10492" width="22.83203125" style="2" customWidth="1"/>
    <col min="10493" max="10493" width="16.5" style="2" customWidth="1"/>
    <col min="10494" max="10494" width="8.83203125" style="2"/>
    <col min="10495" max="10495" width="16.5" style="2" customWidth="1"/>
    <col min="10496" max="10747" width="8.83203125" style="2"/>
    <col min="10748" max="10748" width="22.83203125" style="2" customWidth="1"/>
    <col min="10749" max="10749" width="16.5" style="2" customWidth="1"/>
    <col min="10750" max="10750" width="8.83203125" style="2"/>
    <col min="10751" max="10751" width="16.5" style="2" customWidth="1"/>
    <col min="10752" max="11003" width="8.83203125" style="2"/>
    <col min="11004" max="11004" width="22.83203125" style="2" customWidth="1"/>
    <col min="11005" max="11005" width="16.5" style="2" customWidth="1"/>
    <col min="11006" max="11006" width="8.83203125" style="2"/>
    <col min="11007" max="11007" width="16.5" style="2" customWidth="1"/>
    <col min="11008" max="11259" width="8.83203125" style="2"/>
    <col min="11260" max="11260" width="22.83203125" style="2" customWidth="1"/>
    <col min="11261" max="11261" width="16.5" style="2" customWidth="1"/>
    <col min="11262" max="11262" width="8.83203125" style="2"/>
    <col min="11263" max="11263" width="16.5" style="2" customWidth="1"/>
    <col min="11264" max="11515" width="8.83203125" style="2"/>
    <col min="11516" max="11516" width="22.83203125" style="2" customWidth="1"/>
    <col min="11517" max="11517" width="16.5" style="2" customWidth="1"/>
    <col min="11518" max="11518" width="8.83203125" style="2"/>
    <col min="11519" max="11519" width="16.5" style="2" customWidth="1"/>
    <col min="11520" max="11771" width="8.83203125" style="2"/>
    <col min="11772" max="11772" width="22.83203125" style="2" customWidth="1"/>
    <col min="11773" max="11773" width="16.5" style="2" customWidth="1"/>
    <col min="11774" max="11774" width="8.83203125" style="2"/>
    <col min="11775" max="11775" width="16.5" style="2" customWidth="1"/>
    <col min="11776" max="12027" width="8.83203125" style="2"/>
    <col min="12028" max="12028" width="22.83203125" style="2" customWidth="1"/>
    <col min="12029" max="12029" width="16.5" style="2" customWidth="1"/>
    <col min="12030" max="12030" width="8.83203125" style="2"/>
    <col min="12031" max="12031" width="16.5" style="2" customWidth="1"/>
    <col min="12032" max="12283" width="8.83203125" style="2"/>
    <col min="12284" max="12284" width="22.83203125" style="2" customWidth="1"/>
    <col min="12285" max="12285" width="16.5" style="2" customWidth="1"/>
    <col min="12286" max="12286" width="8.83203125" style="2"/>
    <col min="12287" max="12287" width="16.5" style="2" customWidth="1"/>
    <col min="12288" max="12539" width="8.83203125" style="2"/>
    <col min="12540" max="12540" width="22.83203125" style="2" customWidth="1"/>
    <col min="12541" max="12541" width="16.5" style="2" customWidth="1"/>
    <col min="12542" max="12542" width="8.83203125" style="2"/>
    <col min="12543" max="12543" width="16.5" style="2" customWidth="1"/>
    <col min="12544" max="12795" width="8.83203125" style="2"/>
    <col min="12796" max="12796" width="22.83203125" style="2" customWidth="1"/>
    <col min="12797" max="12797" width="16.5" style="2" customWidth="1"/>
    <col min="12798" max="12798" width="8.83203125" style="2"/>
    <col min="12799" max="12799" width="16.5" style="2" customWidth="1"/>
    <col min="12800" max="13051" width="8.83203125" style="2"/>
    <col min="13052" max="13052" width="22.83203125" style="2" customWidth="1"/>
    <col min="13053" max="13053" width="16.5" style="2" customWidth="1"/>
    <col min="13054" max="13054" width="8.83203125" style="2"/>
    <col min="13055" max="13055" width="16.5" style="2" customWidth="1"/>
    <col min="13056" max="13307" width="8.83203125" style="2"/>
    <col min="13308" max="13308" width="22.83203125" style="2" customWidth="1"/>
    <col min="13309" max="13309" width="16.5" style="2" customWidth="1"/>
    <col min="13310" max="13310" width="8.83203125" style="2"/>
    <col min="13311" max="13311" width="16.5" style="2" customWidth="1"/>
    <col min="13312" max="13563" width="8.83203125" style="2"/>
    <col min="13564" max="13564" width="22.83203125" style="2" customWidth="1"/>
    <col min="13565" max="13565" width="16.5" style="2" customWidth="1"/>
    <col min="13566" max="13566" width="8.83203125" style="2"/>
    <col min="13567" max="13567" width="16.5" style="2" customWidth="1"/>
    <col min="13568" max="13819" width="8.83203125" style="2"/>
    <col min="13820" max="13820" width="22.83203125" style="2" customWidth="1"/>
    <col min="13821" max="13821" width="16.5" style="2" customWidth="1"/>
    <col min="13822" max="13822" width="8.83203125" style="2"/>
    <col min="13823" max="13823" width="16.5" style="2" customWidth="1"/>
    <col min="13824" max="14075" width="8.83203125" style="2"/>
    <col min="14076" max="14076" width="22.83203125" style="2" customWidth="1"/>
    <col min="14077" max="14077" width="16.5" style="2" customWidth="1"/>
    <col min="14078" max="14078" width="8.83203125" style="2"/>
    <col min="14079" max="14079" width="16.5" style="2" customWidth="1"/>
    <col min="14080" max="14331" width="8.83203125" style="2"/>
    <col min="14332" max="14332" width="22.83203125" style="2" customWidth="1"/>
    <col min="14333" max="14333" width="16.5" style="2" customWidth="1"/>
    <col min="14334" max="14334" width="8.83203125" style="2"/>
    <col min="14335" max="14335" width="16.5" style="2" customWidth="1"/>
    <col min="14336" max="14587" width="8.83203125" style="2"/>
    <col min="14588" max="14588" width="22.83203125" style="2" customWidth="1"/>
    <col min="14589" max="14589" width="16.5" style="2" customWidth="1"/>
    <col min="14590" max="14590" width="8.83203125" style="2"/>
    <col min="14591" max="14591" width="16.5" style="2" customWidth="1"/>
    <col min="14592" max="14843" width="8.83203125" style="2"/>
    <col min="14844" max="14844" width="22.83203125" style="2" customWidth="1"/>
    <col min="14845" max="14845" width="16.5" style="2" customWidth="1"/>
    <col min="14846" max="14846" width="8.83203125" style="2"/>
    <col min="14847" max="14847" width="16.5" style="2" customWidth="1"/>
    <col min="14848" max="15099" width="8.83203125" style="2"/>
    <col min="15100" max="15100" width="22.83203125" style="2" customWidth="1"/>
    <col min="15101" max="15101" width="16.5" style="2" customWidth="1"/>
    <col min="15102" max="15102" width="8.83203125" style="2"/>
    <col min="15103" max="15103" width="16.5" style="2" customWidth="1"/>
    <col min="15104" max="15355" width="8.83203125" style="2"/>
    <col min="15356" max="15356" width="22.83203125" style="2" customWidth="1"/>
    <col min="15357" max="15357" width="16.5" style="2" customWidth="1"/>
    <col min="15358" max="15358" width="8.83203125" style="2"/>
    <col min="15359" max="15359" width="16.5" style="2" customWidth="1"/>
    <col min="15360" max="15611" width="8.83203125" style="2"/>
    <col min="15612" max="15612" width="22.83203125" style="2" customWidth="1"/>
    <col min="15613" max="15613" width="16.5" style="2" customWidth="1"/>
    <col min="15614" max="15614" width="8.83203125" style="2"/>
    <col min="15615" max="15615" width="16.5" style="2" customWidth="1"/>
    <col min="15616" max="15867" width="8.83203125" style="2"/>
    <col min="15868" max="15868" width="22.83203125" style="2" customWidth="1"/>
    <col min="15869" max="15869" width="16.5" style="2" customWidth="1"/>
    <col min="15870" max="15870" width="8.83203125" style="2"/>
    <col min="15871" max="15871" width="16.5" style="2" customWidth="1"/>
    <col min="15872" max="16123" width="8.83203125" style="2"/>
    <col min="16124" max="16124" width="22.83203125" style="2" customWidth="1"/>
    <col min="16125" max="16125" width="16.5" style="2" customWidth="1"/>
    <col min="16126" max="16126" width="8.83203125" style="2"/>
    <col min="16127" max="16127" width="16.5" style="2" customWidth="1"/>
    <col min="16128" max="16384" width="8.83203125" style="2"/>
  </cols>
  <sheetData>
    <row r="1" spans="2:10" x14ac:dyDescent="0.2">
      <c r="B1" s="47"/>
    </row>
    <row r="2" spans="2:10" x14ac:dyDescent="0.2">
      <c r="B2" s="12"/>
      <c r="C2" s="1"/>
      <c r="D2" s="1"/>
      <c r="F2" s="1"/>
      <c r="G2" s="1"/>
      <c r="I2" s="1"/>
    </row>
    <row r="3" spans="2:10" x14ac:dyDescent="0.2">
      <c r="B3" s="8" t="s">
        <v>101</v>
      </c>
      <c r="C3" s="142">
        <v>430</v>
      </c>
      <c r="D3" s="1"/>
      <c r="E3" s="140" t="s">
        <v>108</v>
      </c>
      <c r="F3" s="5" t="s">
        <v>95</v>
      </c>
      <c r="G3" s="5" t="s">
        <v>105</v>
      </c>
      <c r="H3" s="5" t="s">
        <v>96</v>
      </c>
      <c r="I3" s="3"/>
      <c r="J3" s="3"/>
    </row>
    <row r="4" spans="2:10" x14ac:dyDescent="0.2">
      <c r="B4" s="8" t="s">
        <v>102</v>
      </c>
      <c r="C4" s="142">
        <v>510</v>
      </c>
      <c r="D4" s="1"/>
      <c r="E4" s="8" t="s">
        <v>106</v>
      </c>
      <c r="F4" s="139">
        <v>1</v>
      </c>
      <c r="G4" s="139">
        <v>10</v>
      </c>
      <c r="H4" s="139">
        <v>4</v>
      </c>
      <c r="I4" s="3"/>
      <c r="J4" s="3"/>
    </row>
    <row r="5" spans="2:10" x14ac:dyDescent="0.2">
      <c r="B5" s="31"/>
      <c r="C5" s="31"/>
      <c r="D5" s="1"/>
      <c r="E5" s="8" t="s">
        <v>107</v>
      </c>
      <c r="F5" s="139">
        <v>1</v>
      </c>
      <c r="G5" s="139">
        <v>16</v>
      </c>
      <c r="H5" s="139">
        <v>6</v>
      </c>
      <c r="I5" s="3"/>
      <c r="J5" s="3"/>
    </row>
    <row r="6" spans="2:10" x14ac:dyDescent="0.2">
      <c r="B6" s="1"/>
      <c r="C6" s="1"/>
      <c r="D6" s="1"/>
      <c r="E6" s="1"/>
      <c r="F6" s="1"/>
      <c r="G6" s="1"/>
    </row>
    <row r="7" spans="2:10" x14ac:dyDescent="0.2">
      <c r="B7" s="13" t="s">
        <v>103</v>
      </c>
      <c r="C7" s="11"/>
      <c r="D7" s="1"/>
      <c r="E7" s="1"/>
      <c r="F7" s="1"/>
      <c r="G7" s="1"/>
    </row>
    <row r="8" spans="2:10" x14ac:dyDescent="0.2">
      <c r="B8" s="8" t="s">
        <v>5</v>
      </c>
      <c r="C8" s="141">
        <v>4999940.5</v>
      </c>
      <c r="D8" s="1"/>
      <c r="E8" s="1"/>
      <c r="F8" s="9"/>
      <c r="G8" s="1"/>
    </row>
    <row r="9" spans="2:10" x14ac:dyDescent="0.2">
      <c r="B9" s="8" t="s">
        <v>6</v>
      </c>
      <c r="C9" s="139">
        <v>-1.53</v>
      </c>
      <c r="D9" s="1"/>
      <c r="E9" s="1"/>
      <c r="F9" s="1"/>
    </row>
    <row r="10" spans="2:10" x14ac:dyDescent="0.2">
      <c r="B10" s="11"/>
      <c r="F10" s="1"/>
    </row>
    <row r="11" spans="2:10" x14ac:dyDescent="0.2">
      <c r="B11" s="13" t="s">
        <v>104</v>
      </c>
      <c r="C11" s="11"/>
      <c r="F11" s="1"/>
    </row>
    <row r="12" spans="2:10" x14ac:dyDescent="0.2">
      <c r="B12" s="8" t="s">
        <v>5</v>
      </c>
      <c r="C12" s="141">
        <v>1994141.79</v>
      </c>
      <c r="F12" s="1"/>
    </row>
    <row r="13" spans="2:10" x14ac:dyDescent="0.2">
      <c r="B13" s="8" t="s">
        <v>6</v>
      </c>
      <c r="C13" s="139">
        <v>-1.35</v>
      </c>
      <c r="F13" s="1"/>
    </row>
    <row r="14" spans="2:10" x14ac:dyDescent="0.2">
      <c r="B14" s="11"/>
      <c r="F14" s="1"/>
    </row>
    <row r="15" spans="2:10" x14ac:dyDescent="0.2">
      <c r="B15" s="1"/>
      <c r="C15" s="1"/>
      <c r="D15" s="1"/>
      <c r="E15" s="1"/>
      <c r="F15" s="1"/>
    </row>
    <row r="16" spans="2:10" x14ac:dyDescent="0.2">
      <c r="B16" s="12" t="s">
        <v>123</v>
      </c>
      <c r="C16" s="12"/>
      <c r="D16" s="12"/>
      <c r="E16" s="1"/>
      <c r="F16" s="1"/>
    </row>
    <row r="17" spans="2:6" x14ac:dyDescent="0.2">
      <c r="B17" s="8" t="s">
        <v>109</v>
      </c>
      <c r="C17" s="85">
        <v>1241.3207628007074</v>
      </c>
      <c r="D17" s="37" t="s">
        <v>110</v>
      </c>
      <c r="E17" s="1"/>
      <c r="F17" s="1"/>
    </row>
    <row r="18" spans="2:6" x14ac:dyDescent="0.2">
      <c r="B18" s="8" t="s">
        <v>112</v>
      </c>
      <c r="C18" s="85">
        <v>1967.1427167441077</v>
      </c>
      <c r="D18" s="37" t="s">
        <v>111</v>
      </c>
      <c r="E18" s="1"/>
      <c r="F18" s="1"/>
    </row>
    <row r="19" spans="2:6" x14ac:dyDescent="0.2">
      <c r="B19" s="143"/>
      <c r="C19" s="143"/>
      <c r="D19" s="37"/>
      <c r="E19" s="1"/>
      <c r="F19" s="1"/>
    </row>
    <row r="20" spans="2:6" x14ac:dyDescent="0.2">
      <c r="B20" s="8" t="s">
        <v>114</v>
      </c>
      <c r="C20" s="86">
        <f>C8*C17^C9</f>
        <v>92.325631351673877</v>
      </c>
      <c r="D20" s="124" t="s">
        <v>113</v>
      </c>
      <c r="E20" s="125"/>
      <c r="F20" s="1"/>
    </row>
    <row r="21" spans="2:6" x14ac:dyDescent="0.2">
      <c r="B21" s="8" t="s">
        <v>115</v>
      </c>
      <c r="C21" s="86">
        <f>C12*C18^C13</f>
        <v>71.298043314688073</v>
      </c>
      <c r="D21" s="124" t="s">
        <v>116</v>
      </c>
      <c r="E21" s="125"/>
      <c r="F21" s="1"/>
    </row>
    <row r="22" spans="2:6" x14ac:dyDescent="0.2">
      <c r="B22" s="143"/>
      <c r="C22" s="143"/>
      <c r="D22" s="143"/>
      <c r="E22" s="123"/>
      <c r="F22" s="1"/>
    </row>
    <row r="23" spans="2:6" x14ac:dyDescent="0.2">
      <c r="B23" s="143"/>
      <c r="C23" s="143"/>
      <c r="D23" s="143"/>
      <c r="E23" s="123"/>
      <c r="F23" s="1"/>
    </row>
    <row r="24" spans="2:6" x14ac:dyDescent="0.2">
      <c r="B24" s="8" t="s">
        <v>117</v>
      </c>
      <c r="C24" s="10">
        <f>(C17-C3)*C20</f>
        <v>74905.70165429695</v>
      </c>
      <c r="D24" s="14"/>
      <c r="E24" s="1"/>
      <c r="F24" s="1"/>
    </row>
    <row r="25" spans="2:6" x14ac:dyDescent="0.2">
      <c r="B25" s="8" t="s">
        <v>118</v>
      </c>
      <c r="C25" s="10">
        <f>(C18-C4)*C21</f>
        <v>103891.42453410364</v>
      </c>
      <c r="D25" s="15"/>
      <c r="E25" s="1"/>
      <c r="F25" s="1"/>
    </row>
    <row r="26" spans="2:6" x14ac:dyDescent="0.2">
      <c r="B26" s="8" t="s">
        <v>19</v>
      </c>
      <c r="C26" s="16">
        <f>SUM(C24:C25)</f>
        <v>178797.12618840061</v>
      </c>
      <c r="D26" s="126" t="s">
        <v>46</v>
      </c>
      <c r="E26" s="125"/>
      <c r="F26" s="1"/>
    </row>
    <row r="27" spans="2:6" x14ac:dyDescent="0.2">
      <c r="B27" s="11"/>
      <c r="C27" s="42"/>
      <c r="D27" s="45"/>
      <c r="E27" s="123"/>
      <c r="F27" s="1"/>
    </row>
    <row r="28" spans="2:6" x14ac:dyDescent="0.2">
      <c r="B28" s="11" t="s">
        <v>22</v>
      </c>
      <c r="C28" s="42"/>
      <c r="D28" s="37"/>
      <c r="E28" s="11"/>
      <c r="F28" s="1"/>
    </row>
    <row r="29" spans="2:6" x14ac:dyDescent="0.2">
      <c r="B29" s="8" t="s">
        <v>119</v>
      </c>
      <c r="C29" s="43">
        <f>SUMPRODUCT(F4:F5,C20:C21)</f>
        <v>163.62367466636195</v>
      </c>
      <c r="D29" s="44" t="s">
        <v>23</v>
      </c>
      <c r="E29" s="144">
        <v>180</v>
      </c>
      <c r="F29" s="1"/>
    </row>
    <row r="30" spans="2:6" x14ac:dyDescent="0.2">
      <c r="B30" s="8" t="s">
        <v>120</v>
      </c>
      <c r="C30" s="43">
        <f>SUMPRODUCT(G4:G5,C20:C21)</f>
        <v>2064.025006551748</v>
      </c>
      <c r="D30" s="44" t="s">
        <v>23</v>
      </c>
      <c r="E30" s="144">
        <v>2700</v>
      </c>
      <c r="F30" s="1"/>
    </row>
    <row r="31" spans="2:6" x14ac:dyDescent="0.2">
      <c r="B31" s="8" t="s">
        <v>121</v>
      </c>
      <c r="C31" s="43">
        <f>SUMPRODUCT(H4:H5,C20:C21)</f>
        <v>797.09078529482395</v>
      </c>
      <c r="D31" s="44" t="s">
        <v>23</v>
      </c>
      <c r="E31" s="144">
        <v>1100</v>
      </c>
      <c r="F31" s="1"/>
    </row>
    <row r="32" spans="2:6" x14ac:dyDescent="0.2">
      <c r="F32" s="1"/>
    </row>
    <row r="33" spans="2:6" x14ac:dyDescent="0.2">
      <c r="F33" s="1"/>
    </row>
    <row r="34" spans="2:6" x14ac:dyDescent="0.2">
      <c r="B34" s="11"/>
      <c r="C34" s="1"/>
      <c r="D34" s="1"/>
      <c r="E34" s="1"/>
      <c r="F34" s="1"/>
    </row>
    <row r="35" spans="2:6" x14ac:dyDescent="0.2">
      <c r="B35" s="11"/>
      <c r="C35" s="1"/>
      <c r="D35" s="1"/>
      <c r="E35" s="1"/>
      <c r="F35" s="1"/>
    </row>
    <row r="36" spans="2:6" x14ac:dyDescent="0.2">
      <c r="B36" s="11"/>
      <c r="C36" s="1"/>
      <c r="D36" s="1"/>
      <c r="E36" s="1"/>
      <c r="F36" s="1"/>
    </row>
    <row r="37" spans="2:6" x14ac:dyDescent="0.2">
      <c r="B37" s="11"/>
      <c r="C37" s="1"/>
      <c r="D37" s="1"/>
      <c r="E37" s="1"/>
      <c r="F37" s="1"/>
    </row>
    <row r="38" spans="2:6" x14ac:dyDescent="0.2">
      <c r="B38" s="11"/>
      <c r="C38" s="1"/>
      <c r="D38" s="1"/>
      <c r="E38" s="1"/>
      <c r="F38" s="1"/>
    </row>
    <row r="39" spans="2:6" x14ac:dyDescent="0.2">
      <c r="B39" s="11"/>
      <c r="C39" s="1"/>
      <c r="D39" s="1"/>
      <c r="E39" s="1"/>
      <c r="F39" s="1"/>
    </row>
    <row r="40" spans="2:6" x14ac:dyDescent="0.2">
      <c r="B40" s="11"/>
      <c r="C40" s="1"/>
      <c r="D40" s="1"/>
      <c r="E40" s="1"/>
      <c r="F40" s="1"/>
    </row>
    <row r="41" spans="2:6" x14ac:dyDescent="0.2">
      <c r="B41" s="11"/>
      <c r="C41" s="1"/>
      <c r="D41" s="1"/>
      <c r="E41" s="1"/>
      <c r="F41" s="1"/>
    </row>
  </sheetData>
  <mergeCells count="3">
    <mergeCell ref="D20:E20"/>
    <mergeCell ref="D26:E26"/>
    <mergeCell ref="D21:E21"/>
  </mergeCells>
  <printOptions headings="1" gridLines="1"/>
  <pageMargins left="0.75" right="0.75" top="1" bottom="1" header="0.5" footer="0.5"/>
  <pageSetup scale="72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62BA-E1E3-3C45-A111-009A2ABC9F2C}">
  <sheetPr>
    <tabColor theme="9" tint="0.39997558519241921"/>
    <pageSetUpPr fitToPage="1"/>
  </sheetPr>
  <dimension ref="A1:I39"/>
  <sheetViews>
    <sheetView showGridLines="0" zoomScale="120" workbookViewId="0">
      <selection activeCell="H16" sqref="H16"/>
    </sheetView>
  </sheetViews>
  <sheetFormatPr baseColWidth="10" defaultColWidth="8.83203125" defaultRowHeight="15" x14ac:dyDescent="0.2"/>
  <cols>
    <col min="1" max="1" width="44.83203125" style="2" bestFit="1" customWidth="1"/>
    <col min="2" max="2" width="25.83203125" style="2" customWidth="1"/>
    <col min="3" max="3" width="33.6640625" style="2" customWidth="1"/>
    <col min="4" max="4" width="23.1640625" style="2" bestFit="1" customWidth="1"/>
    <col min="5" max="5" width="7.1640625" style="2" bestFit="1" customWidth="1"/>
    <col min="6" max="6" width="11.83203125" style="2" bestFit="1" customWidth="1"/>
    <col min="7" max="250" width="8.83203125" style="2"/>
    <col min="251" max="251" width="22.83203125" style="2" customWidth="1"/>
    <col min="252" max="252" width="16.5" style="2" customWidth="1"/>
    <col min="253" max="253" width="8.83203125" style="2"/>
    <col min="254" max="254" width="16.5" style="2" customWidth="1"/>
    <col min="255" max="506" width="8.83203125" style="2"/>
    <col min="507" max="507" width="22.83203125" style="2" customWidth="1"/>
    <col min="508" max="508" width="16.5" style="2" customWidth="1"/>
    <col min="509" max="509" width="8.83203125" style="2"/>
    <col min="510" max="510" width="16.5" style="2" customWidth="1"/>
    <col min="511" max="762" width="8.83203125" style="2"/>
    <col min="763" max="763" width="22.83203125" style="2" customWidth="1"/>
    <col min="764" max="764" width="16.5" style="2" customWidth="1"/>
    <col min="765" max="765" width="8.83203125" style="2"/>
    <col min="766" max="766" width="16.5" style="2" customWidth="1"/>
    <col min="767" max="1018" width="8.83203125" style="2"/>
    <col min="1019" max="1019" width="22.83203125" style="2" customWidth="1"/>
    <col min="1020" max="1020" width="16.5" style="2" customWidth="1"/>
    <col min="1021" max="1021" width="8.83203125" style="2"/>
    <col min="1022" max="1022" width="16.5" style="2" customWidth="1"/>
    <col min="1023" max="1274" width="8.83203125" style="2"/>
    <col min="1275" max="1275" width="22.83203125" style="2" customWidth="1"/>
    <col min="1276" max="1276" width="16.5" style="2" customWidth="1"/>
    <col min="1277" max="1277" width="8.83203125" style="2"/>
    <col min="1278" max="1278" width="16.5" style="2" customWidth="1"/>
    <col min="1279" max="1530" width="8.83203125" style="2"/>
    <col min="1531" max="1531" width="22.83203125" style="2" customWidth="1"/>
    <col min="1532" max="1532" width="16.5" style="2" customWidth="1"/>
    <col min="1533" max="1533" width="8.83203125" style="2"/>
    <col min="1534" max="1534" width="16.5" style="2" customWidth="1"/>
    <col min="1535" max="1786" width="8.83203125" style="2"/>
    <col min="1787" max="1787" width="22.83203125" style="2" customWidth="1"/>
    <col min="1788" max="1788" width="16.5" style="2" customWidth="1"/>
    <col min="1789" max="1789" width="8.83203125" style="2"/>
    <col min="1790" max="1790" width="16.5" style="2" customWidth="1"/>
    <col min="1791" max="2042" width="8.83203125" style="2"/>
    <col min="2043" max="2043" width="22.83203125" style="2" customWidth="1"/>
    <col min="2044" max="2044" width="16.5" style="2" customWidth="1"/>
    <col min="2045" max="2045" width="8.83203125" style="2"/>
    <col min="2046" max="2046" width="16.5" style="2" customWidth="1"/>
    <col min="2047" max="2298" width="8.83203125" style="2"/>
    <col min="2299" max="2299" width="22.83203125" style="2" customWidth="1"/>
    <col min="2300" max="2300" width="16.5" style="2" customWidth="1"/>
    <col min="2301" max="2301" width="8.83203125" style="2"/>
    <col min="2302" max="2302" width="16.5" style="2" customWidth="1"/>
    <col min="2303" max="2554" width="8.83203125" style="2"/>
    <col min="2555" max="2555" width="22.83203125" style="2" customWidth="1"/>
    <col min="2556" max="2556" width="16.5" style="2" customWidth="1"/>
    <col min="2557" max="2557" width="8.83203125" style="2"/>
    <col min="2558" max="2558" width="16.5" style="2" customWidth="1"/>
    <col min="2559" max="2810" width="8.83203125" style="2"/>
    <col min="2811" max="2811" width="22.83203125" style="2" customWidth="1"/>
    <col min="2812" max="2812" width="16.5" style="2" customWidth="1"/>
    <col min="2813" max="2813" width="8.83203125" style="2"/>
    <col min="2814" max="2814" width="16.5" style="2" customWidth="1"/>
    <col min="2815" max="3066" width="8.83203125" style="2"/>
    <col min="3067" max="3067" width="22.83203125" style="2" customWidth="1"/>
    <col min="3068" max="3068" width="16.5" style="2" customWidth="1"/>
    <col min="3069" max="3069" width="8.83203125" style="2"/>
    <col min="3070" max="3070" width="16.5" style="2" customWidth="1"/>
    <col min="3071" max="3322" width="8.83203125" style="2"/>
    <col min="3323" max="3323" width="22.83203125" style="2" customWidth="1"/>
    <col min="3324" max="3324" width="16.5" style="2" customWidth="1"/>
    <col min="3325" max="3325" width="8.83203125" style="2"/>
    <col min="3326" max="3326" width="16.5" style="2" customWidth="1"/>
    <col min="3327" max="3578" width="8.83203125" style="2"/>
    <col min="3579" max="3579" width="22.83203125" style="2" customWidth="1"/>
    <col min="3580" max="3580" width="16.5" style="2" customWidth="1"/>
    <col min="3581" max="3581" width="8.83203125" style="2"/>
    <col min="3582" max="3582" width="16.5" style="2" customWidth="1"/>
    <col min="3583" max="3834" width="8.83203125" style="2"/>
    <col min="3835" max="3835" width="22.83203125" style="2" customWidth="1"/>
    <col min="3836" max="3836" width="16.5" style="2" customWidth="1"/>
    <col min="3837" max="3837" width="8.83203125" style="2"/>
    <col min="3838" max="3838" width="16.5" style="2" customWidth="1"/>
    <col min="3839" max="4090" width="8.83203125" style="2"/>
    <col min="4091" max="4091" width="22.83203125" style="2" customWidth="1"/>
    <col min="4092" max="4092" width="16.5" style="2" customWidth="1"/>
    <col min="4093" max="4093" width="8.83203125" style="2"/>
    <col min="4094" max="4094" width="16.5" style="2" customWidth="1"/>
    <col min="4095" max="4346" width="8.83203125" style="2"/>
    <col min="4347" max="4347" width="22.83203125" style="2" customWidth="1"/>
    <col min="4348" max="4348" width="16.5" style="2" customWidth="1"/>
    <col min="4349" max="4349" width="8.83203125" style="2"/>
    <col min="4350" max="4350" width="16.5" style="2" customWidth="1"/>
    <col min="4351" max="4602" width="8.83203125" style="2"/>
    <col min="4603" max="4603" width="22.83203125" style="2" customWidth="1"/>
    <col min="4604" max="4604" width="16.5" style="2" customWidth="1"/>
    <col min="4605" max="4605" width="8.83203125" style="2"/>
    <col min="4606" max="4606" width="16.5" style="2" customWidth="1"/>
    <col min="4607" max="4858" width="8.83203125" style="2"/>
    <col min="4859" max="4859" width="22.83203125" style="2" customWidth="1"/>
    <col min="4860" max="4860" width="16.5" style="2" customWidth="1"/>
    <col min="4861" max="4861" width="8.83203125" style="2"/>
    <col min="4862" max="4862" width="16.5" style="2" customWidth="1"/>
    <col min="4863" max="5114" width="8.83203125" style="2"/>
    <col min="5115" max="5115" width="22.83203125" style="2" customWidth="1"/>
    <col min="5116" max="5116" width="16.5" style="2" customWidth="1"/>
    <col min="5117" max="5117" width="8.83203125" style="2"/>
    <col min="5118" max="5118" width="16.5" style="2" customWidth="1"/>
    <col min="5119" max="5370" width="8.83203125" style="2"/>
    <col min="5371" max="5371" width="22.83203125" style="2" customWidth="1"/>
    <col min="5372" max="5372" width="16.5" style="2" customWidth="1"/>
    <col min="5373" max="5373" width="8.83203125" style="2"/>
    <col min="5374" max="5374" width="16.5" style="2" customWidth="1"/>
    <col min="5375" max="5626" width="8.83203125" style="2"/>
    <col min="5627" max="5627" width="22.83203125" style="2" customWidth="1"/>
    <col min="5628" max="5628" width="16.5" style="2" customWidth="1"/>
    <col min="5629" max="5629" width="8.83203125" style="2"/>
    <col min="5630" max="5630" width="16.5" style="2" customWidth="1"/>
    <col min="5631" max="5882" width="8.83203125" style="2"/>
    <col min="5883" max="5883" width="22.83203125" style="2" customWidth="1"/>
    <col min="5884" max="5884" width="16.5" style="2" customWidth="1"/>
    <col min="5885" max="5885" width="8.83203125" style="2"/>
    <col min="5886" max="5886" width="16.5" style="2" customWidth="1"/>
    <col min="5887" max="6138" width="8.83203125" style="2"/>
    <col min="6139" max="6139" width="22.83203125" style="2" customWidth="1"/>
    <col min="6140" max="6140" width="16.5" style="2" customWidth="1"/>
    <col min="6141" max="6141" width="8.83203125" style="2"/>
    <col min="6142" max="6142" width="16.5" style="2" customWidth="1"/>
    <col min="6143" max="6394" width="8.83203125" style="2"/>
    <col min="6395" max="6395" width="22.83203125" style="2" customWidth="1"/>
    <col min="6396" max="6396" width="16.5" style="2" customWidth="1"/>
    <col min="6397" max="6397" width="8.83203125" style="2"/>
    <col min="6398" max="6398" width="16.5" style="2" customWidth="1"/>
    <col min="6399" max="6650" width="8.83203125" style="2"/>
    <col min="6651" max="6651" width="22.83203125" style="2" customWidth="1"/>
    <col min="6652" max="6652" width="16.5" style="2" customWidth="1"/>
    <col min="6653" max="6653" width="8.83203125" style="2"/>
    <col min="6654" max="6654" width="16.5" style="2" customWidth="1"/>
    <col min="6655" max="6906" width="8.83203125" style="2"/>
    <col min="6907" max="6907" width="22.83203125" style="2" customWidth="1"/>
    <col min="6908" max="6908" width="16.5" style="2" customWidth="1"/>
    <col min="6909" max="6909" width="8.83203125" style="2"/>
    <col min="6910" max="6910" width="16.5" style="2" customWidth="1"/>
    <col min="6911" max="7162" width="8.83203125" style="2"/>
    <col min="7163" max="7163" width="22.83203125" style="2" customWidth="1"/>
    <col min="7164" max="7164" width="16.5" style="2" customWidth="1"/>
    <col min="7165" max="7165" width="8.83203125" style="2"/>
    <col min="7166" max="7166" width="16.5" style="2" customWidth="1"/>
    <col min="7167" max="7418" width="8.83203125" style="2"/>
    <col min="7419" max="7419" width="22.83203125" style="2" customWidth="1"/>
    <col min="7420" max="7420" width="16.5" style="2" customWidth="1"/>
    <col min="7421" max="7421" width="8.83203125" style="2"/>
    <col min="7422" max="7422" width="16.5" style="2" customWidth="1"/>
    <col min="7423" max="7674" width="8.83203125" style="2"/>
    <col min="7675" max="7675" width="22.83203125" style="2" customWidth="1"/>
    <col min="7676" max="7676" width="16.5" style="2" customWidth="1"/>
    <col min="7677" max="7677" width="8.83203125" style="2"/>
    <col min="7678" max="7678" width="16.5" style="2" customWidth="1"/>
    <col min="7679" max="7930" width="8.83203125" style="2"/>
    <col min="7931" max="7931" width="22.83203125" style="2" customWidth="1"/>
    <col min="7932" max="7932" width="16.5" style="2" customWidth="1"/>
    <col min="7933" max="7933" width="8.83203125" style="2"/>
    <col min="7934" max="7934" width="16.5" style="2" customWidth="1"/>
    <col min="7935" max="8186" width="8.83203125" style="2"/>
    <col min="8187" max="8187" width="22.83203125" style="2" customWidth="1"/>
    <col min="8188" max="8188" width="16.5" style="2" customWidth="1"/>
    <col min="8189" max="8189" width="8.83203125" style="2"/>
    <col min="8190" max="8190" width="16.5" style="2" customWidth="1"/>
    <col min="8191" max="8442" width="8.83203125" style="2"/>
    <col min="8443" max="8443" width="22.83203125" style="2" customWidth="1"/>
    <col min="8444" max="8444" width="16.5" style="2" customWidth="1"/>
    <col min="8445" max="8445" width="8.83203125" style="2"/>
    <col min="8446" max="8446" width="16.5" style="2" customWidth="1"/>
    <col min="8447" max="8698" width="8.83203125" style="2"/>
    <col min="8699" max="8699" width="22.83203125" style="2" customWidth="1"/>
    <col min="8700" max="8700" width="16.5" style="2" customWidth="1"/>
    <col min="8701" max="8701" width="8.83203125" style="2"/>
    <col min="8702" max="8702" width="16.5" style="2" customWidth="1"/>
    <col min="8703" max="8954" width="8.83203125" style="2"/>
    <col min="8955" max="8955" width="22.83203125" style="2" customWidth="1"/>
    <col min="8956" max="8956" width="16.5" style="2" customWidth="1"/>
    <col min="8957" max="8957" width="8.83203125" style="2"/>
    <col min="8958" max="8958" width="16.5" style="2" customWidth="1"/>
    <col min="8959" max="9210" width="8.83203125" style="2"/>
    <col min="9211" max="9211" width="22.83203125" style="2" customWidth="1"/>
    <col min="9212" max="9212" width="16.5" style="2" customWidth="1"/>
    <col min="9213" max="9213" width="8.83203125" style="2"/>
    <col min="9214" max="9214" width="16.5" style="2" customWidth="1"/>
    <col min="9215" max="9466" width="8.83203125" style="2"/>
    <col min="9467" max="9467" width="22.83203125" style="2" customWidth="1"/>
    <col min="9468" max="9468" width="16.5" style="2" customWidth="1"/>
    <col min="9469" max="9469" width="8.83203125" style="2"/>
    <col min="9470" max="9470" width="16.5" style="2" customWidth="1"/>
    <col min="9471" max="9722" width="8.83203125" style="2"/>
    <col min="9723" max="9723" width="22.83203125" style="2" customWidth="1"/>
    <col min="9724" max="9724" width="16.5" style="2" customWidth="1"/>
    <col min="9725" max="9725" width="8.83203125" style="2"/>
    <col min="9726" max="9726" width="16.5" style="2" customWidth="1"/>
    <col min="9727" max="9978" width="8.83203125" style="2"/>
    <col min="9979" max="9979" width="22.83203125" style="2" customWidth="1"/>
    <col min="9980" max="9980" width="16.5" style="2" customWidth="1"/>
    <col min="9981" max="9981" width="8.83203125" style="2"/>
    <col min="9982" max="9982" width="16.5" style="2" customWidth="1"/>
    <col min="9983" max="10234" width="8.83203125" style="2"/>
    <col min="10235" max="10235" width="22.83203125" style="2" customWidth="1"/>
    <col min="10236" max="10236" width="16.5" style="2" customWidth="1"/>
    <col min="10237" max="10237" width="8.83203125" style="2"/>
    <col min="10238" max="10238" width="16.5" style="2" customWidth="1"/>
    <col min="10239" max="10490" width="8.83203125" style="2"/>
    <col min="10491" max="10491" width="22.83203125" style="2" customWidth="1"/>
    <col min="10492" max="10492" width="16.5" style="2" customWidth="1"/>
    <col min="10493" max="10493" width="8.83203125" style="2"/>
    <col min="10494" max="10494" width="16.5" style="2" customWidth="1"/>
    <col min="10495" max="10746" width="8.83203125" style="2"/>
    <col min="10747" max="10747" width="22.83203125" style="2" customWidth="1"/>
    <col min="10748" max="10748" width="16.5" style="2" customWidth="1"/>
    <col min="10749" max="10749" width="8.83203125" style="2"/>
    <col min="10750" max="10750" width="16.5" style="2" customWidth="1"/>
    <col min="10751" max="11002" width="8.83203125" style="2"/>
    <col min="11003" max="11003" width="22.83203125" style="2" customWidth="1"/>
    <col min="11004" max="11004" width="16.5" style="2" customWidth="1"/>
    <col min="11005" max="11005" width="8.83203125" style="2"/>
    <col min="11006" max="11006" width="16.5" style="2" customWidth="1"/>
    <col min="11007" max="11258" width="8.83203125" style="2"/>
    <col min="11259" max="11259" width="22.83203125" style="2" customWidth="1"/>
    <col min="11260" max="11260" width="16.5" style="2" customWidth="1"/>
    <col min="11261" max="11261" width="8.83203125" style="2"/>
    <col min="11262" max="11262" width="16.5" style="2" customWidth="1"/>
    <col min="11263" max="11514" width="8.83203125" style="2"/>
    <col min="11515" max="11515" width="22.83203125" style="2" customWidth="1"/>
    <col min="11516" max="11516" width="16.5" style="2" customWidth="1"/>
    <col min="11517" max="11517" width="8.83203125" style="2"/>
    <col min="11518" max="11518" width="16.5" style="2" customWidth="1"/>
    <col min="11519" max="11770" width="8.83203125" style="2"/>
    <col min="11771" max="11771" width="22.83203125" style="2" customWidth="1"/>
    <col min="11772" max="11772" width="16.5" style="2" customWidth="1"/>
    <col min="11773" max="11773" width="8.83203125" style="2"/>
    <col min="11774" max="11774" width="16.5" style="2" customWidth="1"/>
    <col min="11775" max="12026" width="8.83203125" style="2"/>
    <col min="12027" max="12027" width="22.83203125" style="2" customWidth="1"/>
    <col min="12028" max="12028" width="16.5" style="2" customWidth="1"/>
    <col min="12029" max="12029" width="8.83203125" style="2"/>
    <col min="12030" max="12030" width="16.5" style="2" customWidth="1"/>
    <col min="12031" max="12282" width="8.83203125" style="2"/>
    <col min="12283" max="12283" width="22.83203125" style="2" customWidth="1"/>
    <col min="12284" max="12284" width="16.5" style="2" customWidth="1"/>
    <col min="12285" max="12285" width="8.83203125" style="2"/>
    <col min="12286" max="12286" width="16.5" style="2" customWidth="1"/>
    <col min="12287" max="12538" width="8.83203125" style="2"/>
    <col min="12539" max="12539" width="22.83203125" style="2" customWidth="1"/>
    <col min="12540" max="12540" width="16.5" style="2" customWidth="1"/>
    <col min="12541" max="12541" width="8.83203125" style="2"/>
    <col min="12542" max="12542" width="16.5" style="2" customWidth="1"/>
    <col min="12543" max="12794" width="8.83203125" style="2"/>
    <col min="12795" max="12795" width="22.83203125" style="2" customWidth="1"/>
    <col min="12796" max="12796" width="16.5" style="2" customWidth="1"/>
    <col min="12797" max="12797" width="8.83203125" style="2"/>
    <col min="12798" max="12798" width="16.5" style="2" customWidth="1"/>
    <col min="12799" max="13050" width="8.83203125" style="2"/>
    <col min="13051" max="13051" width="22.83203125" style="2" customWidth="1"/>
    <col min="13052" max="13052" width="16.5" style="2" customWidth="1"/>
    <col min="13053" max="13053" width="8.83203125" style="2"/>
    <col min="13054" max="13054" width="16.5" style="2" customWidth="1"/>
    <col min="13055" max="13306" width="8.83203125" style="2"/>
    <col min="13307" max="13307" width="22.83203125" style="2" customWidth="1"/>
    <col min="13308" max="13308" width="16.5" style="2" customWidth="1"/>
    <col min="13309" max="13309" width="8.83203125" style="2"/>
    <col min="13310" max="13310" width="16.5" style="2" customWidth="1"/>
    <col min="13311" max="13562" width="8.83203125" style="2"/>
    <col min="13563" max="13563" width="22.83203125" style="2" customWidth="1"/>
    <col min="13564" max="13564" width="16.5" style="2" customWidth="1"/>
    <col min="13565" max="13565" width="8.83203125" style="2"/>
    <col min="13566" max="13566" width="16.5" style="2" customWidth="1"/>
    <col min="13567" max="13818" width="8.83203125" style="2"/>
    <col min="13819" max="13819" width="22.83203125" style="2" customWidth="1"/>
    <col min="13820" max="13820" width="16.5" style="2" customWidth="1"/>
    <col min="13821" max="13821" width="8.83203125" style="2"/>
    <col min="13822" max="13822" width="16.5" style="2" customWidth="1"/>
    <col min="13823" max="14074" width="8.83203125" style="2"/>
    <col min="14075" max="14075" width="22.83203125" style="2" customWidth="1"/>
    <col min="14076" max="14076" width="16.5" style="2" customWidth="1"/>
    <col min="14077" max="14077" width="8.83203125" style="2"/>
    <col min="14078" max="14078" width="16.5" style="2" customWidth="1"/>
    <col min="14079" max="14330" width="8.83203125" style="2"/>
    <col min="14331" max="14331" width="22.83203125" style="2" customWidth="1"/>
    <col min="14332" max="14332" width="16.5" style="2" customWidth="1"/>
    <col min="14333" max="14333" width="8.83203125" style="2"/>
    <col min="14334" max="14334" width="16.5" style="2" customWidth="1"/>
    <col min="14335" max="14586" width="8.83203125" style="2"/>
    <col min="14587" max="14587" width="22.83203125" style="2" customWidth="1"/>
    <col min="14588" max="14588" width="16.5" style="2" customWidth="1"/>
    <col min="14589" max="14589" width="8.83203125" style="2"/>
    <col min="14590" max="14590" width="16.5" style="2" customWidth="1"/>
    <col min="14591" max="14842" width="8.83203125" style="2"/>
    <col min="14843" max="14843" width="22.83203125" style="2" customWidth="1"/>
    <col min="14844" max="14844" width="16.5" style="2" customWidth="1"/>
    <col min="14845" max="14845" width="8.83203125" style="2"/>
    <col min="14846" max="14846" width="16.5" style="2" customWidth="1"/>
    <col min="14847" max="15098" width="8.83203125" style="2"/>
    <col min="15099" max="15099" width="22.83203125" style="2" customWidth="1"/>
    <col min="15100" max="15100" width="16.5" style="2" customWidth="1"/>
    <col min="15101" max="15101" width="8.83203125" style="2"/>
    <col min="15102" max="15102" width="16.5" style="2" customWidth="1"/>
    <col min="15103" max="15354" width="8.83203125" style="2"/>
    <col min="15355" max="15355" width="22.83203125" style="2" customWidth="1"/>
    <col min="15356" max="15356" width="16.5" style="2" customWidth="1"/>
    <col min="15357" max="15357" width="8.83203125" style="2"/>
    <col min="15358" max="15358" width="16.5" style="2" customWidth="1"/>
    <col min="15359" max="15610" width="8.83203125" style="2"/>
    <col min="15611" max="15611" width="22.83203125" style="2" customWidth="1"/>
    <col min="15612" max="15612" width="16.5" style="2" customWidth="1"/>
    <col min="15613" max="15613" width="8.83203125" style="2"/>
    <col min="15614" max="15614" width="16.5" style="2" customWidth="1"/>
    <col min="15615" max="15866" width="8.83203125" style="2"/>
    <col min="15867" max="15867" width="22.83203125" style="2" customWidth="1"/>
    <col min="15868" max="15868" width="16.5" style="2" customWidth="1"/>
    <col min="15869" max="15869" width="8.83203125" style="2"/>
    <col min="15870" max="15870" width="16.5" style="2" customWidth="1"/>
    <col min="15871" max="16122" width="8.83203125" style="2"/>
    <col min="16123" max="16123" width="22.83203125" style="2" customWidth="1"/>
    <col min="16124" max="16124" width="16.5" style="2" customWidth="1"/>
    <col min="16125" max="16125" width="8.83203125" style="2"/>
    <col min="16126" max="16126" width="16.5" style="2" customWidth="1"/>
    <col min="16127" max="16384" width="8.83203125" style="2"/>
  </cols>
  <sheetData>
    <row r="1" spans="1:9" x14ac:dyDescent="0.2">
      <c r="A1" s="12"/>
      <c r="B1" s="1"/>
      <c r="C1" s="1"/>
      <c r="E1" s="1"/>
      <c r="F1" s="1"/>
      <c r="H1" s="1"/>
    </row>
    <row r="2" spans="1:9" x14ac:dyDescent="0.2">
      <c r="A2" s="8" t="s">
        <v>101</v>
      </c>
      <c r="B2" s="142">
        <v>430</v>
      </c>
      <c r="C2" s="1"/>
      <c r="D2" s="140" t="s">
        <v>108</v>
      </c>
      <c r="E2" s="5" t="s">
        <v>95</v>
      </c>
      <c r="F2" s="5" t="s">
        <v>105</v>
      </c>
      <c r="G2" s="5" t="s">
        <v>96</v>
      </c>
      <c r="H2" s="3"/>
      <c r="I2" s="3"/>
    </row>
    <row r="3" spans="1:9" x14ac:dyDescent="0.2">
      <c r="A3" s="8" t="s">
        <v>102</v>
      </c>
      <c r="B3" s="142">
        <v>510</v>
      </c>
      <c r="C3" s="1"/>
      <c r="D3" s="8" t="s">
        <v>106</v>
      </c>
      <c r="E3" s="139">
        <v>1</v>
      </c>
      <c r="F3" s="139">
        <v>10</v>
      </c>
      <c r="G3" s="139">
        <v>4</v>
      </c>
      <c r="H3" s="3"/>
      <c r="I3" s="3"/>
    </row>
    <row r="4" spans="1:9" x14ac:dyDescent="0.2">
      <c r="A4" s="31"/>
      <c r="B4" s="31"/>
      <c r="C4" s="1"/>
      <c r="D4" s="8" t="s">
        <v>107</v>
      </c>
      <c r="E4" s="139">
        <v>1</v>
      </c>
      <c r="F4" s="139">
        <v>16</v>
      </c>
      <c r="G4" s="139">
        <v>6</v>
      </c>
      <c r="H4" s="3"/>
      <c r="I4" s="3"/>
    </row>
    <row r="5" spans="1:9" x14ac:dyDescent="0.2">
      <c r="A5" s="1"/>
      <c r="B5" s="1"/>
      <c r="C5" s="1"/>
      <c r="D5" s="1"/>
      <c r="E5" s="1"/>
      <c r="F5" s="1"/>
    </row>
    <row r="6" spans="1:9" x14ac:dyDescent="0.2">
      <c r="A6" s="13" t="s">
        <v>103</v>
      </c>
      <c r="B6" s="11"/>
      <c r="C6" s="1"/>
      <c r="D6" s="1"/>
      <c r="E6" s="1"/>
      <c r="F6" s="1"/>
    </row>
    <row r="7" spans="1:9" x14ac:dyDescent="0.2">
      <c r="A7" s="8" t="s">
        <v>5</v>
      </c>
      <c r="B7" s="141">
        <v>4999940.5</v>
      </c>
      <c r="C7" s="1"/>
      <c r="D7" s="1"/>
      <c r="E7" s="9"/>
      <c r="F7" s="1"/>
    </row>
    <row r="8" spans="1:9" x14ac:dyDescent="0.2">
      <c r="A8" s="8" t="s">
        <v>6</v>
      </c>
      <c r="B8" s="139">
        <v>-1.53</v>
      </c>
      <c r="C8" s="1"/>
      <c r="D8" s="1"/>
      <c r="E8" s="1"/>
    </row>
    <row r="9" spans="1:9" x14ac:dyDescent="0.2">
      <c r="A9" s="11"/>
      <c r="E9" s="1"/>
    </row>
    <row r="10" spans="1:9" x14ac:dyDescent="0.2">
      <c r="A10" s="13" t="s">
        <v>104</v>
      </c>
      <c r="B10" s="11"/>
      <c r="E10" s="1"/>
    </row>
    <row r="11" spans="1:9" x14ac:dyDescent="0.2">
      <c r="A11" s="8" t="s">
        <v>5</v>
      </c>
      <c r="B11" s="141">
        <v>1994141.79</v>
      </c>
      <c r="E11" s="1"/>
    </row>
    <row r="12" spans="1:9" x14ac:dyDescent="0.2">
      <c r="A12" s="8" t="s">
        <v>6</v>
      </c>
      <c r="B12" s="139">
        <v>-1.35</v>
      </c>
      <c r="E12" s="1"/>
    </row>
    <row r="13" spans="1:9" x14ac:dyDescent="0.2">
      <c r="A13" s="1"/>
      <c r="B13" s="1"/>
      <c r="C13" s="1"/>
      <c r="D13" s="1"/>
      <c r="E13" s="1"/>
    </row>
    <row r="14" spans="1:9" x14ac:dyDescent="0.2">
      <c r="A14" s="12" t="s">
        <v>16</v>
      </c>
      <c r="B14" s="12"/>
      <c r="C14" s="12"/>
      <c r="D14" s="1"/>
      <c r="E14" s="1"/>
    </row>
    <row r="15" spans="1:9" x14ac:dyDescent="0.2">
      <c r="A15" s="8" t="s">
        <v>109</v>
      </c>
      <c r="B15" s="85">
        <v>2588.0321150448954</v>
      </c>
      <c r="C15" s="37" t="s">
        <v>110</v>
      </c>
      <c r="D15" s="1"/>
    </row>
    <row r="16" spans="1:9" x14ac:dyDescent="0.2">
      <c r="A16" s="8" t="s">
        <v>112</v>
      </c>
      <c r="B16" s="85">
        <v>1133.8784479444453</v>
      </c>
      <c r="C16" s="37" t="s">
        <v>111</v>
      </c>
      <c r="D16" s="1"/>
    </row>
    <row r="17" spans="1:5" x14ac:dyDescent="0.2">
      <c r="A17" s="143"/>
      <c r="B17" s="143"/>
      <c r="C17" s="37"/>
      <c r="D17" s="1"/>
    </row>
    <row r="18" spans="1:5" x14ac:dyDescent="0.2">
      <c r="A18" s="8" t="s">
        <v>114</v>
      </c>
      <c r="B18" s="86">
        <f>B7*B15^B8</f>
        <v>29.999999987596127</v>
      </c>
      <c r="C18" s="124" t="s">
        <v>113</v>
      </c>
      <c r="D18" s="125"/>
    </row>
    <row r="19" spans="1:5" x14ac:dyDescent="0.2">
      <c r="A19" s="8" t="s">
        <v>115</v>
      </c>
      <c r="B19" s="86">
        <f>B11*B16^B12</f>
        <v>150.00000000001964</v>
      </c>
      <c r="C19" s="124" t="s">
        <v>116</v>
      </c>
      <c r="D19" s="125"/>
    </row>
    <row r="20" spans="1:5" x14ac:dyDescent="0.2">
      <c r="A20" s="143"/>
      <c r="B20" s="143"/>
      <c r="C20" s="143"/>
      <c r="D20" s="123"/>
      <c r="E20" s="1"/>
    </row>
    <row r="21" spans="1:5" x14ac:dyDescent="0.2">
      <c r="A21" s="143"/>
      <c r="B21" s="143"/>
      <c r="C21" s="143"/>
      <c r="D21" s="123"/>
      <c r="E21" s="1"/>
    </row>
    <row r="22" spans="1:5" x14ac:dyDescent="0.2">
      <c r="A22" s="8" t="s">
        <v>117</v>
      </c>
      <c r="B22" s="10">
        <f>(B15-B2)*B18</f>
        <v>64740.963424578906</v>
      </c>
      <c r="C22" s="14"/>
      <c r="D22" s="1"/>
      <c r="E22" s="1"/>
    </row>
    <row r="23" spans="1:5" x14ac:dyDescent="0.2">
      <c r="A23" s="8" t="s">
        <v>118</v>
      </c>
      <c r="B23" s="10">
        <f>(B16-B3)*B19</f>
        <v>93581.767191679042</v>
      </c>
      <c r="C23" s="15"/>
      <c r="D23" s="1"/>
      <c r="E23" s="1"/>
    </row>
    <row r="24" spans="1:5" x14ac:dyDescent="0.2">
      <c r="A24" s="8" t="s">
        <v>19</v>
      </c>
      <c r="B24" s="16">
        <f>SUM(B22:B23)</f>
        <v>158322.73061625793</v>
      </c>
      <c r="C24" s="126" t="s">
        <v>46</v>
      </c>
      <c r="D24" s="125"/>
      <c r="E24" s="1"/>
    </row>
    <row r="25" spans="1:5" x14ac:dyDescent="0.2">
      <c r="A25" s="11"/>
      <c r="B25" s="42"/>
      <c r="C25" s="45"/>
      <c r="D25" s="123"/>
      <c r="E25" s="1"/>
    </row>
    <row r="26" spans="1:5" x14ac:dyDescent="0.2">
      <c r="A26" s="11" t="s">
        <v>22</v>
      </c>
      <c r="B26" s="42"/>
      <c r="C26" s="37"/>
      <c r="D26" s="11"/>
      <c r="E26" s="1"/>
    </row>
    <row r="27" spans="1:5" x14ac:dyDescent="0.2">
      <c r="A27" s="8" t="s">
        <v>119</v>
      </c>
      <c r="B27" s="43">
        <f>SUMPRODUCT(E3:E4,B18:B19)</f>
        <v>179.99999998761575</v>
      </c>
      <c r="C27" s="44" t="s">
        <v>122</v>
      </c>
      <c r="D27" s="144">
        <v>180</v>
      </c>
      <c r="E27" s="1"/>
    </row>
    <row r="28" spans="1:5" x14ac:dyDescent="0.2">
      <c r="A28" s="8" t="s">
        <v>120</v>
      </c>
      <c r="B28" s="43">
        <f>SUMPRODUCT(F3:F4,B18:B19)</f>
        <v>2699.9999998762755</v>
      </c>
      <c r="C28" s="44" t="s">
        <v>122</v>
      </c>
      <c r="D28" s="144">
        <v>2700</v>
      </c>
      <c r="E28" s="1"/>
    </row>
    <row r="29" spans="1:5" x14ac:dyDescent="0.2">
      <c r="A29" s="8" t="s">
        <v>121</v>
      </c>
      <c r="B29" s="43">
        <f>SUMPRODUCT(G3:G4,B18:B19)</f>
        <v>1019.9999999505023</v>
      </c>
      <c r="C29" s="44" t="s">
        <v>23</v>
      </c>
      <c r="D29" s="144">
        <v>1100</v>
      </c>
      <c r="E29" s="1"/>
    </row>
    <row r="30" spans="1:5" x14ac:dyDescent="0.2">
      <c r="E30" s="1"/>
    </row>
    <row r="31" spans="1:5" x14ac:dyDescent="0.2">
      <c r="E31" s="1"/>
    </row>
    <row r="32" spans="1:5" x14ac:dyDescent="0.2">
      <c r="A32" s="11"/>
      <c r="B32" s="1"/>
      <c r="C32" s="1"/>
      <c r="D32" s="1"/>
      <c r="E32" s="1"/>
    </row>
    <row r="33" spans="1:5" x14ac:dyDescent="0.2">
      <c r="A33" s="11"/>
      <c r="B33" s="1"/>
      <c r="C33" s="1"/>
      <c r="D33" s="1"/>
      <c r="E33" s="1"/>
    </row>
    <row r="34" spans="1:5" x14ac:dyDescent="0.2">
      <c r="A34" s="11"/>
      <c r="B34" s="1"/>
      <c r="C34" s="1"/>
      <c r="D34" s="1"/>
      <c r="E34" s="1"/>
    </row>
    <row r="35" spans="1:5" x14ac:dyDescent="0.2">
      <c r="A35" s="11"/>
      <c r="B35" s="1"/>
      <c r="C35" s="1"/>
      <c r="D35" s="1"/>
      <c r="E35" s="1"/>
    </row>
    <row r="36" spans="1:5" x14ac:dyDescent="0.2">
      <c r="A36" s="11"/>
      <c r="B36" s="1"/>
      <c r="C36" s="1"/>
      <c r="D36" s="1"/>
      <c r="E36" s="1"/>
    </row>
    <row r="37" spans="1:5" x14ac:dyDescent="0.2">
      <c r="A37" s="11"/>
      <c r="B37" s="1"/>
      <c r="C37" s="1"/>
      <c r="D37" s="1"/>
      <c r="E37" s="1"/>
    </row>
    <row r="38" spans="1:5" x14ac:dyDescent="0.2">
      <c r="A38" s="11"/>
      <c r="B38" s="1"/>
      <c r="C38" s="1"/>
      <c r="D38" s="1"/>
      <c r="E38" s="1"/>
    </row>
    <row r="39" spans="1:5" x14ac:dyDescent="0.2">
      <c r="A39" s="11"/>
      <c r="B39" s="1"/>
      <c r="C39" s="1"/>
      <c r="D39" s="1"/>
      <c r="E39" s="1"/>
    </row>
  </sheetData>
  <mergeCells count="3">
    <mergeCell ref="C18:D18"/>
    <mergeCell ref="C19:D19"/>
    <mergeCell ref="C24:D24"/>
  </mergeCells>
  <printOptions headings="1" gridLines="1"/>
  <pageMargins left="0.75" right="0.75" top="1" bottom="1" header="0.5" footer="0.5"/>
  <pageSetup scale="72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5F50-83D7-314B-BACC-DBA19C2F1E11}">
  <sheetPr>
    <tabColor theme="9" tint="0.39997558519241921"/>
    <pageSetUpPr fitToPage="1"/>
  </sheetPr>
  <dimension ref="B1:J41"/>
  <sheetViews>
    <sheetView showGridLines="0" zoomScale="106" workbookViewId="0">
      <selection activeCell="C37" sqref="C37"/>
    </sheetView>
  </sheetViews>
  <sheetFormatPr baseColWidth="10" defaultColWidth="8.83203125" defaultRowHeight="15" x14ac:dyDescent="0.2"/>
  <cols>
    <col min="1" max="1" width="8.83203125" style="2"/>
    <col min="2" max="2" width="28" style="2" bestFit="1" customWidth="1"/>
    <col min="3" max="3" width="25.83203125" style="2" customWidth="1"/>
    <col min="4" max="4" width="33.6640625" style="2" customWidth="1"/>
    <col min="5" max="5" width="23.1640625" style="2" bestFit="1" customWidth="1"/>
    <col min="6" max="6" width="8.83203125" style="2"/>
    <col min="7" max="7" width="11.83203125" style="2" bestFit="1" customWidth="1"/>
    <col min="8" max="251" width="8.83203125" style="2"/>
    <col min="252" max="252" width="22.83203125" style="2" customWidth="1"/>
    <col min="253" max="253" width="16.5" style="2" customWidth="1"/>
    <col min="254" max="254" width="8.83203125" style="2"/>
    <col min="255" max="255" width="16.5" style="2" customWidth="1"/>
    <col min="256" max="507" width="8.83203125" style="2"/>
    <col min="508" max="508" width="22.83203125" style="2" customWidth="1"/>
    <col min="509" max="509" width="16.5" style="2" customWidth="1"/>
    <col min="510" max="510" width="8.83203125" style="2"/>
    <col min="511" max="511" width="16.5" style="2" customWidth="1"/>
    <col min="512" max="763" width="8.83203125" style="2"/>
    <col min="764" max="764" width="22.83203125" style="2" customWidth="1"/>
    <col min="765" max="765" width="16.5" style="2" customWidth="1"/>
    <col min="766" max="766" width="8.83203125" style="2"/>
    <col min="767" max="767" width="16.5" style="2" customWidth="1"/>
    <col min="768" max="1019" width="8.83203125" style="2"/>
    <col min="1020" max="1020" width="22.83203125" style="2" customWidth="1"/>
    <col min="1021" max="1021" width="16.5" style="2" customWidth="1"/>
    <col min="1022" max="1022" width="8.83203125" style="2"/>
    <col min="1023" max="1023" width="16.5" style="2" customWidth="1"/>
    <col min="1024" max="1275" width="8.83203125" style="2"/>
    <col min="1276" max="1276" width="22.83203125" style="2" customWidth="1"/>
    <col min="1277" max="1277" width="16.5" style="2" customWidth="1"/>
    <col min="1278" max="1278" width="8.83203125" style="2"/>
    <col min="1279" max="1279" width="16.5" style="2" customWidth="1"/>
    <col min="1280" max="1531" width="8.83203125" style="2"/>
    <col min="1532" max="1532" width="22.83203125" style="2" customWidth="1"/>
    <col min="1533" max="1533" width="16.5" style="2" customWidth="1"/>
    <col min="1534" max="1534" width="8.83203125" style="2"/>
    <col min="1535" max="1535" width="16.5" style="2" customWidth="1"/>
    <col min="1536" max="1787" width="8.83203125" style="2"/>
    <col min="1788" max="1788" width="22.83203125" style="2" customWidth="1"/>
    <col min="1789" max="1789" width="16.5" style="2" customWidth="1"/>
    <col min="1790" max="1790" width="8.83203125" style="2"/>
    <col min="1791" max="1791" width="16.5" style="2" customWidth="1"/>
    <col min="1792" max="2043" width="8.83203125" style="2"/>
    <col min="2044" max="2044" width="22.83203125" style="2" customWidth="1"/>
    <col min="2045" max="2045" width="16.5" style="2" customWidth="1"/>
    <col min="2046" max="2046" width="8.83203125" style="2"/>
    <col min="2047" max="2047" width="16.5" style="2" customWidth="1"/>
    <col min="2048" max="2299" width="8.83203125" style="2"/>
    <col min="2300" max="2300" width="22.83203125" style="2" customWidth="1"/>
    <col min="2301" max="2301" width="16.5" style="2" customWidth="1"/>
    <col min="2302" max="2302" width="8.83203125" style="2"/>
    <col min="2303" max="2303" width="16.5" style="2" customWidth="1"/>
    <col min="2304" max="2555" width="8.83203125" style="2"/>
    <col min="2556" max="2556" width="22.83203125" style="2" customWidth="1"/>
    <col min="2557" max="2557" width="16.5" style="2" customWidth="1"/>
    <col min="2558" max="2558" width="8.83203125" style="2"/>
    <col min="2559" max="2559" width="16.5" style="2" customWidth="1"/>
    <col min="2560" max="2811" width="8.83203125" style="2"/>
    <col min="2812" max="2812" width="22.83203125" style="2" customWidth="1"/>
    <col min="2813" max="2813" width="16.5" style="2" customWidth="1"/>
    <col min="2814" max="2814" width="8.83203125" style="2"/>
    <col min="2815" max="2815" width="16.5" style="2" customWidth="1"/>
    <col min="2816" max="3067" width="8.83203125" style="2"/>
    <col min="3068" max="3068" width="22.83203125" style="2" customWidth="1"/>
    <col min="3069" max="3069" width="16.5" style="2" customWidth="1"/>
    <col min="3070" max="3070" width="8.83203125" style="2"/>
    <col min="3071" max="3071" width="16.5" style="2" customWidth="1"/>
    <col min="3072" max="3323" width="8.83203125" style="2"/>
    <col min="3324" max="3324" width="22.83203125" style="2" customWidth="1"/>
    <col min="3325" max="3325" width="16.5" style="2" customWidth="1"/>
    <col min="3326" max="3326" width="8.83203125" style="2"/>
    <col min="3327" max="3327" width="16.5" style="2" customWidth="1"/>
    <col min="3328" max="3579" width="8.83203125" style="2"/>
    <col min="3580" max="3580" width="22.83203125" style="2" customWidth="1"/>
    <col min="3581" max="3581" width="16.5" style="2" customWidth="1"/>
    <col min="3582" max="3582" width="8.83203125" style="2"/>
    <col min="3583" max="3583" width="16.5" style="2" customWidth="1"/>
    <col min="3584" max="3835" width="8.83203125" style="2"/>
    <col min="3836" max="3836" width="22.83203125" style="2" customWidth="1"/>
    <col min="3837" max="3837" width="16.5" style="2" customWidth="1"/>
    <col min="3838" max="3838" width="8.83203125" style="2"/>
    <col min="3839" max="3839" width="16.5" style="2" customWidth="1"/>
    <col min="3840" max="4091" width="8.83203125" style="2"/>
    <col min="4092" max="4092" width="22.83203125" style="2" customWidth="1"/>
    <col min="4093" max="4093" width="16.5" style="2" customWidth="1"/>
    <col min="4094" max="4094" width="8.83203125" style="2"/>
    <col min="4095" max="4095" width="16.5" style="2" customWidth="1"/>
    <col min="4096" max="4347" width="8.83203125" style="2"/>
    <col min="4348" max="4348" width="22.83203125" style="2" customWidth="1"/>
    <col min="4349" max="4349" width="16.5" style="2" customWidth="1"/>
    <col min="4350" max="4350" width="8.83203125" style="2"/>
    <col min="4351" max="4351" width="16.5" style="2" customWidth="1"/>
    <col min="4352" max="4603" width="8.83203125" style="2"/>
    <col min="4604" max="4604" width="22.83203125" style="2" customWidth="1"/>
    <col min="4605" max="4605" width="16.5" style="2" customWidth="1"/>
    <col min="4606" max="4606" width="8.83203125" style="2"/>
    <col min="4607" max="4607" width="16.5" style="2" customWidth="1"/>
    <col min="4608" max="4859" width="8.83203125" style="2"/>
    <col min="4860" max="4860" width="22.83203125" style="2" customWidth="1"/>
    <col min="4861" max="4861" width="16.5" style="2" customWidth="1"/>
    <col min="4862" max="4862" width="8.83203125" style="2"/>
    <col min="4863" max="4863" width="16.5" style="2" customWidth="1"/>
    <col min="4864" max="5115" width="8.83203125" style="2"/>
    <col min="5116" max="5116" width="22.83203125" style="2" customWidth="1"/>
    <col min="5117" max="5117" width="16.5" style="2" customWidth="1"/>
    <col min="5118" max="5118" width="8.83203125" style="2"/>
    <col min="5119" max="5119" width="16.5" style="2" customWidth="1"/>
    <col min="5120" max="5371" width="8.83203125" style="2"/>
    <col min="5372" max="5372" width="22.83203125" style="2" customWidth="1"/>
    <col min="5373" max="5373" width="16.5" style="2" customWidth="1"/>
    <col min="5374" max="5374" width="8.83203125" style="2"/>
    <col min="5375" max="5375" width="16.5" style="2" customWidth="1"/>
    <col min="5376" max="5627" width="8.83203125" style="2"/>
    <col min="5628" max="5628" width="22.83203125" style="2" customWidth="1"/>
    <col min="5629" max="5629" width="16.5" style="2" customWidth="1"/>
    <col min="5630" max="5630" width="8.83203125" style="2"/>
    <col min="5631" max="5631" width="16.5" style="2" customWidth="1"/>
    <col min="5632" max="5883" width="8.83203125" style="2"/>
    <col min="5884" max="5884" width="22.83203125" style="2" customWidth="1"/>
    <col min="5885" max="5885" width="16.5" style="2" customWidth="1"/>
    <col min="5886" max="5886" width="8.83203125" style="2"/>
    <col min="5887" max="5887" width="16.5" style="2" customWidth="1"/>
    <col min="5888" max="6139" width="8.83203125" style="2"/>
    <col min="6140" max="6140" width="22.83203125" style="2" customWidth="1"/>
    <col min="6141" max="6141" width="16.5" style="2" customWidth="1"/>
    <col min="6142" max="6142" width="8.83203125" style="2"/>
    <col min="6143" max="6143" width="16.5" style="2" customWidth="1"/>
    <col min="6144" max="6395" width="8.83203125" style="2"/>
    <col min="6396" max="6396" width="22.83203125" style="2" customWidth="1"/>
    <col min="6397" max="6397" width="16.5" style="2" customWidth="1"/>
    <col min="6398" max="6398" width="8.83203125" style="2"/>
    <col min="6399" max="6399" width="16.5" style="2" customWidth="1"/>
    <col min="6400" max="6651" width="8.83203125" style="2"/>
    <col min="6652" max="6652" width="22.83203125" style="2" customWidth="1"/>
    <col min="6653" max="6653" width="16.5" style="2" customWidth="1"/>
    <col min="6654" max="6654" width="8.83203125" style="2"/>
    <col min="6655" max="6655" width="16.5" style="2" customWidth="1"/>
    <col min="6656" max="6907" width="8.83203125" style="2"/>
    <col min="6908" max="6908" width="22.83203125" style="2" customWidth="1"/>
    <col min="6909" max="6909" width="16.5" style="2" customWidth="1"/>
    <col min="6910" max="6910" width="8.83203125" style="2"/>
    <col min="6911" max="6911" width="16.5" style="2" customWidth="1"/>
    <col min="6912" max="7163" width="8.83203125" style="2"/>
    <col min="7164" max="7164" width="22.83203125" style="2" customWidth="1"/>
    <col min="7165" max="7165" width="16.5" style="2" customWidth="1"/>
    <col min="7166" max="7166" width="8.83203125" style="2"/>
    <col min="7167" max="7167" width="16.5" style="2" customWidth="1"/>
    <col min="7168" max="7419" width="8.83203125" style="2"/>
    <col min="7420" max="7420" width="22.83203125" style="2" customWidth="1"/>
    <col min="7421" max="7421" width="16.5" style="2" customWidth="1"/>
    <col min="7422" max="7422" width="8.83203125" style="2"/>
    <col min="7423" max="7423" width="16.5" style="2" customWidth="1"/>
    <col min="7424" max="7675" width="8.83203125" style="2"/>
    <col min="7676" max="7676" width="22.83203125" style="2" customWidth="1"/>
    <col min="7677" max="7677" width="16.5" style="2" customWidth="1"/>
    <col min="7678" max="7678" width="8.83203125" style="2"/>
    <col min="7679" max="7679" width="16.5" style="2" customWidth="1"/>
    <col min="7680" max="7931" width="8.83203125" style="2"/>
    <col min="7932" max="7932" width="22.83203125" style="2" customWidth="1"/>
    <col min="7933" max="7933" width="16.5" style="2" customWidth="1"/>
    <col min="7934" max="7934" width="8.83203125" style="2"/>
    <col min="7935" max="7935" width="16.5" style="2" customWidth="1"/>
    <col min="7936" max="8187" width="8.83203125" style="2"/>
    <col min="8188" max="8188" width="22.83203125" style="2" customWidth="1"/>
    <col min="8189" max="8189" width="16.5" style="2" customWidth="1"/>
    <col min="8190" max="8190" width="8.83203125" style="2"/>
    <col min="8191" max="8191" width="16.5" style="2" customWidth="1"/>
    <col min="8192" max="8443" width="8.83203125" style="2"/>
    <col min="8444" max="8444" width="22.83203125" style="2" customWidth="1"/>
    <col min="8445" max="8445" width="16.5" style="2" customWidth="1"/>
    <col min="8446" max="8446" width="8.83203125" style="2"/>
    <col min="8447" max="8447" width="16.5" style="2" customWidth="1"/>
    <col min="8448" max="8699" width="8.83203125" style="2"/>
    <col min="8700" max="8700" width="22.83203125" style="2" customWidth="1"/>
    <col min="8701" max="8701" width="16.5" style="2" customWidth="1"/>
    <col min="8702" max="8702" width="8.83203125" style="2"/>
    <col min="8703" max="8703" width="16.5" style="2" customWidth="1"/>
    <col min="8704" max="8955" width="8.83203125" style="2"/>
    <col min="8956" max="8956" width="22.83203125" style="2" customWidth="1"/>
    <col min="8957" max="8957" width="16.5" style="2" customWidth="1"/>
    <col min="8958" max="8958" width="8.83203125" style="2"/>
    <col min="8959" max="8959" width="16.5" style="2" customWidth="1"/>
    <col min="8960" max="9211" width="8.83203125" style="2"/>
    <col min="9212" max="9212" width="22.83203125" style="2" customWidth="1"/>
    <col min="9213" max="9213" width="16.5" style="2" customWidth="1"/>
    <col min="9214" max="9214" width="8.83203125" style="2"/>
    <col min="9215" max="9215" width="16.5" style="2" customWidth="1"/>
    <col min="9216" max="9467" width="8.83203125" style="2"/>
    <col min="9468" max="9468" width="22.83203125" style="2" customWidth="1"/>
    <col min="9469" max="9469" width="16.5" style="2" customWidth="1"/>
    <col min="9470" max="9470" width="8.83203125" style="2"/>
    <col min="9471" max="9471" width="16.5" style="2" customWidth="1"/>
    <col min="9472" max="9723" width="8.83203125" style="2"/>
    <col min="9724" max="9724" width="22.83203125" style="2" customWidth="1"/>
    <col min="9725" max="9725" width="16.5" style="2" customWidth="1"/>
    <col min="9726" max="9726" width="8.83203125" style="2"/>
    <col min="9727" max="9727" width="16.5" style="2" customWidth="1"/>
    <col min="9728" max="9979" width="8.83203125" style="2"/>
    <col min="9980" max="9980" width="22.83203125" style="2" customWidth="1"/>
    <col min="9981" max="9981" width="16.5" style="2" customWidth="1"/>
    <col min="9982" max="9982" width="8.83203125" style="2"/>
    <col min="9983" max="9983" width="16.5" style="2" customWidth="1"/>
    <col min="9984" max="10235" width="8.83203125" style="2"/>
    <col min="10236" max="10236" width="22.83203125" style="2" customWidth="1"/>
    <col min="10237" max="10237" width="16.5" style="2" customWidth="1"/>
    <col min="10238" max="10238" width="8.83203125" style="2"/>
    <col min="10239" max="10239" width="16.5" style="2" customWidth="1"/>
    <col min="10240" max="10491" width="8.83203125" style="2"/>
    <col min="10492" max="10492" width="22.83203125" style="2" customWidth="1"/>
    <col min="10493" max="10493" width="16.5" style="2" customWidth="1"/>
    <col min="10494" max="10494" width="8.83203125" style="2"/>
    <col min="10495" max="10495" width="16.5" style="2" customWidth="1"/>
    <col min="10496" max="10747" width="8.83203125" style="2"/>
    <col min="10748" max="10748" width="22.83203125" style="2" customWidth="1"/>
    <col min="10749" max="10749" width="16.5" style="2" customWidth="1"/>
    <col min="10750" max="10750" width="8.83203125" style="2"/>
    <col min="10751" max="10751" width="16.5" style="2" customWidth="1"/>
    <col min="10752" max="11003" width="8.83203125" style="2"/>
    <col min="11004" max="11004" width="22.83203125" style="2" customWidth="1"/>
    <col min="11005" max="11005" width="16.5" style="2" customWidth="1"/>
    <col min="11006" max="11006" width="8.83203125" style="2"/>
    <col min="11007" max="11007" width="16.5" style="2" customWidth="1"/>
    <col min="11008" max="11259" width="8.83203125" style="2"/>
    <col min="11260" max="11260" width="22.83203125" style="2" customWidth="1"/>
    <col min="11261" max="11261" width="16.5" style="2" customWidth="1"/>
    <col min="11262" max="11262" width="8.83203125" style="2"/>
    <col min="11263" max="11263" width="16.5" style="2" customWidth="1"/>
    <col min="11264" max="11515" width="8.83203125" style="2"/>
    <col min="11516" max="11516" width="22.83203125" style="2" customWidth="1"/>
    <col min="11517" max="11517" width="16.5" style="2" customWidth="1"/>
    <col min="11518" max="11518" width="8.83203125" style="2"/>
    <col min="11519" max="11519" width="16.5" style="2" customWidth="1"/>
    <col min="11520" max="11771" width="8.83203125" style="2"/>
    <col min="11772" max="11772" width="22.83203125" style="2" customWidth="1"/>
    <col min="11773" max="11773" width="16.5" style="2" customWidth="1"/>
    <col min="11774" max="11774" width="8.83203125" style="2"/>
    <col min="11775" max="11775" width="16.5" style="2" customWidth="1"/>
    <col min="11776" max="12027" width="8.83203125" style="2"/>
    <col min="12028" max="12028" width="22.83203125" style="2" customWidth="1"/>
    <col min="12029" max="12029" width="16.5" style="2" customWidth="1"/>
    <col min="12030" max="12030" width="8.83203125" style="2"/>
    <col min="12031" max="12031" width="16.5" style="2" customWidth="1"/>
    <col min="12032" max="12283" width="8.83203125" style="2"/>
    <col min="12284" max="12284" width="22.83203125" style="2" customWidth="1"/>
    <col min="12285" max="12285" width="16.5" style="2" customWidth="1"/>
    <col min="12286" max="12286" width="8.83203125" style="2"/>
    <col min="12287" max="12287" width="16.5" style="2" customWidth="1"/>
    <col min="12288" max="12539" width="8.83203125" style="2"/>
    <col min="12540" max="12540" width="22.83203125" style="2" customWidth="1"/>
    <col min="12541" max="12541" width="16.5" style="2" customWidth="1"/>
    <col min="12542" max="12542" width="8.83203125" style="2"/>
    <col min="12543" max="12543" width="16.5" style="2" customWidth="1"/>
    <col min="12544" max="12795" width="8.83203125" style="2"/>
    <col min="12796" max="12796" width="22.83203125" style="2" customWidth="1"/>
    <col min="12797" max="12797" width="16.5" style="2" customWidth="1"/>
    <col min="12798" max="12798" width="8.83203125" style="2"/>
    <col min="12799" max="12799" width="16.5" style="2" customWidth="1"/>
    <col min="12800" max="13051" width="8.83203125" style="2"/>
    <col min="13052" max="13052" width="22.83203125" style="2" customWidth="1"/>
    <col min="13053" max="13053" width="16.5" style="2" customWidth="1"/>
    <col min="13054" max="13054" width="8.83203125" style="2"/>
    <col min="13055" max="13055" width="16.5" style="2" customWidth="1"/>
    <col min="13056" max="13307" width="8.83203125" style="2"/>
    <col min="13308" max="13308" width="22.83203125" style="2" customWidth="1"/>
    <col min="13309" max="13309" width="16.5" style="2" customWidth="1"/>
    <col min="13310" max="13310" width="8.83203125" style="2"/>
    <col min="13311" max="13311" width="16.5" style="2" customWidth="1"/>
    <col min="13312" max="13563" width="8.83203125" style="2"/>
    <col min="13564" max="13564" width="22.83203125" style="2" customWidth="1"/>
    <col min="13565" max="13565" width="16.5" style="2" customWidth="1"/>
    <col min="13566" max="13566" width="8.83203125" style="2"/>
    <col min="13567" max="13567" width="16.5" style="2" customWidth="1"/>
    <col min="13568" max="13819" width="8.83203125" style="2"/>
    <col min="13820" max="13820" width="22.83203125" style="2" customWidth="1"/>
    <col min="13821" max="13821" width="16.5" style="2" customWidth="1"/>
    <col min="13822" max="13822" width="8.83203125" style="2"/>
    <col min="13823" max="13823" width="16.5" style="2" customWidth="1"/>
    <col min="13824" max="14075" width="8.83203125" style="2"/>
    <col min="14076" max="14076" width="22.83203125" style="2" customWidth="1"/>
    <col min="14077" max="14077" width="16.5" style="2" customWidth="1"/>
    <col min="14078" max="14078" width="8.83203125" style="2"/>
    <col min="14079" max="14079" width="16.5" style="2" customWidth="1"/>
    <col min="14080" max="14331" width="8.83203125" style="2"/>
    <col min="14332" max="14332" width="22.83203125" style="2" customWidth="1"/>
    <col min="14333" max="14333" width="16.5" style="2" customWidth="1"/>
    <col min="14334" max="14334" width="8.83203125" style="2"/>
    <col min="14335" max="14335" width="16.5" style="2" customWidth="1"/>
    <col min="14336" max="14587" width="8.83203125" style="2"/>
    <col min="14588" max="14588" width="22.83203125" style="2" customWidth="1"/>
    <col min="14589" max="14589" width="16.5" style="2" customWidth="1"/>
    <col min="14590" max="14590" width="8.83203125" style="2"/>
    <col min="14591" max="14591" width="16.5" style="2" customWidth="1"/>
    <col min="14592" max="14843" width="8.83203125" style="2"/>
    <col min="14844" max="14844" width="22.83203125" style="2" customWidth="1"/>
    <col min="14845" max="14845" width="16.5" style="2" customWidth="1"/>
    <col min="14846" max="14846" width="8.83203125" style="2"/>
    <col min="14847" max="14847" width="16.5" style="2" customWidth="1"/>
    <col min="14848" max="15099" width="8.83203125" style="2"/>
    <col min="15100" max="15100" width="22.83203125" style="2" customWidth="1"/>
    <col min="15101" max="15101" width="16.5" style="2" customWidth="1"/>
    <col min="15102" max="15102" width="8.83203125" style="2"/>
    <col min="15103" max="15103" width="16.5" style="2" customWidth="1"/>
    <col min="15104" max="15355" width="8.83203125" style="2"/>
    <col min="15356" max="15356" width="22.83203125" style="2" customWidth="1"/>
    <col min="15357" max="15357" width="16.5" style="2" customWidth="1"/>
    <col min="15358" max="15358" width="8.83203125" style="2"/>
    <col min="15359" max="15359" width="16.5" style="2" customWidth="1"/>
    <col min="15360" max="15611" width="8.83203125" style="2"/>
    <col min="15612" max="15612" width="22.83203125" style="2" customWidth="1"/>
    <col min="15613" max="15613" width="16.5" style="2" customWidth="1"/>
    <col min="15614" max="15614" width="8.83203125" style="2"/>
    <col min="15615" max="15615" width="16.5" style="2" customWidth="1"/>
    <col min="15616" max="15867" width="8.83203125" style="2"/>
    <col min="15868" max="15868" width="22.83203125" style="2" customWidth="1"/>
    <col min="15869" max="15869" width="16.5" style="2" customWidth="1"/>
    <col min="15870" max="15870" width="8.83203125" style="2"/>
    <col min="15871" max="15871" width="16.5" style="2" customWidth="1"/>
    <col min="15872" max="16123" width="8.83203125" style="2"/>
    <col min="16124" max="16124" width="22.83203125" style="2" customWidth="1"/>
    <col min="16125" max="16125" width="16.5" style="2" customWidth="1"/>
    <col min="16126" max="16126" width="8.83203125" style="2"/>
    <col min="16127" max="16127" width="16.5" style="2" customWidth="1"/>
    <col min="16128" max="16384" width="8.83203125" style="2"/>
  </cols>
  <sheetData>
    <row r="1" spans="2:10" x14ac:dyDescent="0.2">
      <c r="B1" s="47"/>
    </row>
    <row r="2" spans="2:10" x14ac:dyDescent="0.2">
      <c r="B2" s="12"/>
      <c r="C2" s="1"/>
      <c r="D2" s="1"/>
      <c r="F2" s="1"/>
      <c r="G2" s="1"/>
      <c r="I2" s="1"/>
    </row>
    <row r="3" spans="2:10" x14ac:dyDescent="0.2">
      <c r="B3" s="8" t="s">
        <v>101</v>
      </c>
      <c r="C3" s="142">
        <v>430</v>
      </c>
      <c r="D3" s="1"/>
      <c r="E3" s="140" t="s">
        <v>108</v>
      </c>
      <c r="F3" s="5" t="s">
        <v>95</v>
      </c>
      <c r="G3" s="5" t="s">
        <v>105</v>
      </c>
      <c r="H3" s="5" t="s">
        <v>96</v>
      </c>
      <c r="I3" s="3"/>
      <c r="J3" s="3"/>
    </row>
    <row r="4" spans="2:10" x14ac:dyDescent="0.2">
      <c r="B4" s="8" t="s">
        <v>102</v>
      </c>
      <c r="C4" s="142">
        <v>510</v>
      </c>
      <c r="D4" s="1"/>
      <c r="E4" s="8" t="s">
        <v>106</v>
      </c>
      <c r="F4" s="139">
        <v>1</v>
      </c>
      <c r="G4" s="139">
        <v>10</v>
      </c>
      <c r="H4" s="139">
        <v>4</v>
      </c>
      <c r="I4" s="3"/>
      <c r="J4" s="3"/>
    </row>
    <row r="5" spans="2:10" x14ac:dyDescent="0.2">
      <c r="B5" s="31"/>
      <c r="C5" s="31"/>
      <c r="D5" s="1"/>
      <c r="E5" s="8" t="s">
        <v>107</v>
      </c>
      <c r="F5" s="139">
        <v>1</v>
      </c>
      <c r="G5" s="139">
        <v>16</v>
      </c>
      <c r="H5" s="139">
        <v>6</v>
      </c>
      <c r="I5" s="3"/>
      <c r="J5" s="3"/>
    </row>
    <row r="6" spans="2:10" x14ac:dyDescent="0.2">
      <c r="B6" s="1"/>
      <c r="C6" s="1"/>
      <c r="D6" s="1"/>
      <c r="E6" s="1"/>
      <c r="F6" s="1"/>
      <c r="G6" s="1"/>
    </row>
    <row r="7" spans="2:10" x14ac:dyDescent="0.2">
      <c r="B7" s="13" t="s">
        <v>103</v>
      </c>
      <c r="C7" s="11"/>
      <c r="D7" s="1"/>
      <c r="E7" s="1"/>
      <c r="F7" s="1"/>
      <c r="G7" s="1"/>
    </row>
    <row r="8" spans="2:10" x14ac:dyDescent="0.2">
      <c r="B8" s="8" t="s">
        <v>5</v>
      </c>
      <c r="C8" s="141">
        <v>4999940.5</v>
      </c>
      <c r="D8" s="1"/>
      <c r="E8" s="1"/>
      <c r="F8" s="9"/>
      <c r="G8" s="1"/>
    </row>
    <row r="9" spans="2:10" x14ac:dyDescent="0.2">
      <c r="B9" s="8" t="s">
        <v>6</v>
      </c>
      <c r="C9" s="139">
        <v>-1.53</v>
      </c>
      <c r="D9" s="1"/>
      <c r="E9" s="1"/>
      <c r="F9" s="1"/>
    </row>
    <row r="10" spans="2:10" x14ac:dyDescent="0.2">
      <c r="B10" s="11"/>
      <c r="F10" s="1"/>
    </row>
    <row r="11" spans="2:10" x14ac:dyDescent="0.2">
      <c r="B11" s="13" t="s">
        <v>104</v>
      </c>
      <c r="C11" s="11"/>
      <c r="F11" s="1"/>
    </row>
    <row r="12" spans="2:10" x14ac:dyDescent="0.2">
      <c r="B12" s="8" t="s">
        <v>5</v>
      </c>
      <c r="C12" s="141">
        <v>1994141.79</v>
      </c>
      <c r="F12" s="1"/>
    </row>
    <row r="13" spans="2:10" x14ac:dyDescent="0.2">
      <c r="B13" s="8" t="s">
        <v>6</v>
      </c>
      <c r="C13" s="139">
        <v>-1.35</v>
      </c>
      <c r="F13" s="1"/>
    </row>
    <row r="14" spans="2:10" x14ac:dyDescent="0.2">
      <c r="B14" s="11"/>
      <c r="F14" s="1"/>
    </row>
    <row r="15" spans="2:10" x14ac:dyDescent="0.2">
      <c r="B15" s="1"/>
      <c r="C15" s="1"/>
      <c r="D15" s="1"/>
      <c r="E15" s="1"/>
      <c r="F15" s="1"/>
    </row>
    <row r="16" spans="2:10" x14ac:dyDescent="0.2">
      <c r="B16" s="12" t="s">
        <v>123</v>
      </c>
      <c r="C16" s="12"/>
      <c r="D16" s="12"/>
      <c r="E16" s="1"/>
      <c r="F16" s="1"/>
    </row>
    <row r="17" spans="2:6" x14ac:dyDescent="0.2">
      <c r="B17" s="8" t="s">
        <v>109</v>
      </c>
      <c r="C17" s="85">
        <v>1241.3207628007074</v>
      </c>
      <c r="D17" s="37" t="s">
        <v>110</v>
      </c>
      <c r="E17" s="1"/>
      <c r="F17" s="1"/>
    </row>
    <row r="18" spans="2:6" x14ac:dyDescent="0.2">
      <c r="B18" s="8" t="s">
        <v>112</v>
      </c>
      <c r="C18" s="85">
        <v>1967.1427167441077</v>
      </c>
      <c r="D18" s="37" t="s">
        <v>111</v>
      </c>
      <c r="E18" s="1"/>
      <c r="F18" s="1"/>
    </row>
    <row r="19" spans="2:6" x14ac:dyDescent="0.2">
      <c r="B19" s="143"/>
      <c r="C19" s="143"/>
      <c r="D19" s="37"/>
      <c r="E19" s="1"/>
      <c r="F19" s="1"/>
    </row>
    <row r="20" spans="2:6" x14ac:dyDescent="0.2">
      <c r="B20" s="8" t="s">
        <v>114</v>
      </c>
      <c r="C20" s="86">
        <v>92</v>
      </c>
      <c r="D20" s="124" t="s">
        <v>113</v>
      </c>
      <c r="E20" s="125"/>
      <c r="F20" s="1"/>
    </row>
    <row r="21" spans="2:6" x14ac:dyDescent="0.2">
      <c r="B21" s="8" t="s">
        <v>115</v>
      </c>
      <c r="C21" s="86">
        <v>71</v>
      </c>
      <c r="D21" s="124" t="s">
        <v>116</v>
      </c>
      <c r="E21" s="125"/>
      <c r="F21" s="1"/>
    </row>
    <row r="22" spans="2:6" x14ac:dyDescent="0.2">
      <c r="B22" s="143"/>
      <c r="C22" s="143"/>
      <c r="D22" s="143"/>
      <c r="E22" s="123"/>
      <c r="F22" s="1"/>
    </row>
    <row r="23" spans="2:6" x14ac:dyDescent="0.2">
      <c r="B23" s="143"/>
      <c r="C23" s="143"/>
      <c r="D23" s="143"/>
      <c r="E23" s="123"/>
      <c r="F23" s="1"/>
    </row>
    <row r="24" spans="2:6" x14ac:dyDescent="0.2">
      <c r="B24" s="8" t="s">
        <v>117</v>
      </c>
      <c r="C24" s="10">
        <f>(C17-C3)*C20</f>
        <v>74641.510177665084</v>
      </c>
      <c r="D24" s="14"/>
      <c r="E24" s="1"/>
      <c r="F24" s="1"/>
    </row>
    <row r="25" spans="2:6" x14ac:dyDescent="0.2">
      <c r="B25" s="8" t="s">
        <v>118</v>
      </c>
      <c r="C25" s="10">
        <f>(C18-C4)*C21</f>
        <v>103457.13288883165</v>
      </c>
      <c r="D25" s="15"/>
      <c r="E25" s="1"/>
      <c r="F25" s="1"/>
    </row>
    <row r="26" spans="2:6" x14ac:dyDescent="0.2">
      <c r="B26" s="8" t="s">
        <v>19</v>
      </c>
      <c r="C26" s="16">
        <f>SUM(C24:C25)</f>
        <v>178098.64306649673</v>
      </c>
      <c r="D26" s="126" t="s">
        <v>46</v>
      </c>
      <c r="E26" s="125"/>
      <c r="F26" s="1"/>
    </row>
    <row r="27" spans="2:6" x14ac:dyDescent="0.2">
      <c r="B27" s="11"/>
      <c r="C27" s="42"/>
      <c r="D27" s="45"/>
      <c r="E27" s="123"/>
      <c r="F27" s="1"/>
    </row>
    <row r="28" spans="2:6" x14ac:dyDescent="0.2">
      <c r="B28" s="11" t="s">
        <v>22</v>
      </c>
      <c r="C28" s="42"/>
      <c r="D28" s="37"/>
      <c r="E28" s="11"/>
      <c r="F28" s="1"/>
    </row>
    <row r="29" spans="2:6" x14ac:dyDescent="0.2">
      <c r="B29" s="8" t="s">
        <v>119</v>
      </c>
      <c r="C29" s="43">
        <f>SUMPRODUCT(F4:F5,C20:C21)</f>
        <v>163</v>
      </c>
      <c r="D29" s="44" t="s">
        <v>23</v>
      </c>
      <c r="E29" s="144">
        <v>180</v>
      </c>
      <c r="F29" s="1"/>
    </row>
    <row r="30" spans="2:6" x14ac:dyDescent="0.2">
      <c r="B30" s="8" t="s">
        <v>120</v>
      </c>
      <c r="C30" s="43">
        <f>SUMPRODUCT(G4:G5,C20:C21)</f>
        <v>2056</v>
      </c>
      <c r="D30" s="44" t="s">
        <v>23</v>
      </c>
      <c r="E30" s="144">
        <v>2700</v>
      </c>
      <c r="F30" s="1"/>
    </row>
    <row r="31" spans="2:6" x14ac:dyDescent="0.2">
      <c r="B31" s="8" t="s">
        <v>121</v>
      </c>
      <c r="C31" s="43">
        <f>SUMPRODUCT(H4:H5,C20:C21)</f>
        <v>794</v>
      </c>
      <c r="D31" s="44" t="s">
        <v>23</v>
      </c>
      <c r="E31" s="144">
        <v>1100</v>
      </c>
      <c r="F31" s="1"/>
    </row>
    <row r="32" spans="2:6" x14ac:dyDescent="0.2">
      <c r="F32" s="1"/>
    </row>
    <row r="33" spans="2:6" x14ac:dyDescent="0.2">
      <c r="F33" s="1"/>
    </row>
    <row r="34" spans="2:6" x14ac:dyDescent="0.2">
      <c r="B34" s="11"/>
      <c r="C34" s="1"/>
      <c r="D34" s="1"/>
      <c r="E34" s="1"/>
      <c r="F34" s="1"/>
    </row>
    <row r="35" spans="2:6" x14ac:dyDescent="0.2">
      <c r="B35" s="11"/>
      <c r="C35" s="1"/>
      <c r="D35" s="1"/>
      <c r="E35" s="1"/>
      <c r="F35" s="1"/>
    </row>
    <row r="36" spans="2:6" x14ac:dyDescent="0.2">
      <c r="B36" s="11"/>
      <c r="C36" s="1"/>
      <c r="D36" s="1"/>
      <c r="E36" s="1"/>
      <c r="F36" s="1"/>
    </row>
    <row r="37" spans="2:6" x14ac:dyDescent="0.2">
      <c r="B37" s="11"/>
      <c r="C37" s="1"/>
      <c r="D37" s="1"/>
      <c r="E37" s="1"/>
      <c r="F37" s="1"/>
    </row>
    <row r="38" spans="2:6" x14ac:dyDescent="0.2">
      <c r="B38" s="11"/>
      <c r="C38" s="1"/>
      <c r="D38" s="1"/>
      <c r="E38" s="1"/>
      <c r="F38" s="1"/>
    </row>
    <row r="39" spans="2:6" x14ac:dyDescent="0.2">
      <c r="B39" s="11"/>
      <c r="C39" s="1"/>
      <c r="D39" s="1"/>
      <c r="E39" s="1"/>
      <c r="F39" s="1"/>
    </row>
    <row r="40" spans="2:6" x14ac:dyDescent="0.2">
      <c r="B40" s="11"/>
      <c r="C40" s="1"/>
      <c r="D40" s="1"/>
      <c r="E40" s="1"/>
      <c r="F40" s="1"/>
    </row>
    <row r="41" spans="2:6" x14ac:dyDescent="0.2">
      <c r="B41" s="11"/>
      <c r="C41" s="1"/>
      <c r="D41" s="1"/>
      <c r="E41" s="1"/>
      <c r="F41" s="1"/>
    </row>
  </sheetData>
  <mergeCells count="3">
    <mergeCell ref="D20:E20"/>
    <mergeCell ref="D21:E21"/>
    <mergeCell ref="D26:E26"/>
  </mergeCells>
  <printOptions headings="1" gridLines="1"/>
  <pageMargins left="0.75" right="0.75" top="1" bottom="1" header="0.5" footer="0.5"/>
  <pageSetup scale="7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A618-EEA1-0B4E-B810-89FB31BB9747}">
  <sheetPr>
    <tabColor theme="9" tint="0.39997558519241921"/>
    <pageSetUpPr fitToPage="1"/>
  </sheetPr>
  <dimension ref="B1:J41"/>
  <sheetViews>
    <sheetView showGridLines="0" tabSelected="1" zoomScale="106" workbookViewId="0">
      <selection activeCell="G26" sqref="G26"/>
    </sheetView>
  </sheetViews>
  <sheetFormatPr baseColWidth="10" defaultColWidth="8.83203125" defaultRowHeight="15" x14ac:dyDescent="0.2"/>
  <cols>
    <col min="1" max="1" width="8.83203125" style="2"/>
    <col min="2" max="2" width="28" style="2" bestFit="1" customWidth="1"/>
    <col min="3" max="3" width="25.83203125" style="2" customWidth="1"/>
    <col min="4" max="4" width="33.6640625" style="2" customWidth="1"/>
    <col min="5" max="5" width="23.1640625" style="2" bestFit="1" customWidth="1"/>
    <col min="6" max="6" width="8.83203125" style="2"/>
    <col min="7" max="7" width="11.83203125" style="2" bestFit="1" customWidth="1"/>
    <col min="8" max="251" width="8.83203125" style="2"/>
    <col min="252" max="252" width="22.83203125" style="2" customWidth="1"/>
    <col min="253" max="253" width="16.5" style="2" customWidth="1"/>
    <col min="254" max="254" width="8.83203125" style="2"/>
    <col min="255" max="255" width="16.5" style="2" customWidth="1"/>
    <col min="256" max="507" width="8.83203125" style="2"/>
    <col min="508" max="508" width="22.83203125" style="2" customWidth="1"/>
    <col min="509" max="509" width="16.5" style="2" customWidth="1"/>
    <col min="510" max="510" width="8.83203125" style="2"/>
    <col min="511" max="511" width="16.5" style="2" customWidth="1"/>
    <col min="512" max="763" width="8.83203125" style="2"/>
    <col min="764" max="764" width="22.83203125" style="2" customWidth="1"/>
    <col min="765" max="765" width="16.5" style="2" customWidth="1"/>
    <col min="766" max="766" width="8.83203125" style="2"/>
    <col min="767" max="767" width="16.5" style="2" customWidth="1"/>
    <col min="768" max="1019" width="8.83203125" style="2"/>
    <col min="1020" max="1020" width="22.83203125" style="2" customWidth="1"/>
    <col min="1021" max="1021" width="16.5" style="2" customWidth="1"/>
    <col min="1022" max="1022" width="8.83203125" style="2"/>
    <col min="1023" max="1023" width="16.5" style="2" customWidth="1"/>
    <col min="1024" max="1275" width="8.83203125" style="2"/>
    <col min="1276" max="1276" width="22.83203125" style="2" customWidth="1"/>
    <col min="1277" max="1277" width="16.5" style="2" customWidth="1"/>
    <col min="1278" max="1278" width="8.83203125" style="2"/>
    <col min="1279" max="1279" width="16.5" style="2" customWidth="1"/>
    <col min="1280" max="1531" width="8.83203125" style="2"/>
    <col min="1532" max="1532" width="22.83203125" style="2" customWidth="1"/>
    <col min="1533" max="1533" width="16.5" style="2" customWidth="1"/>
    <col min="1534" max="1534" width="8.83203125" style="2"/>
    <col min="1535" max="1535" width="16.5" style="2" customWidth="1"/>
    <col min="1536" max="1787" width="8.83203125" style="2"/>
    <col min="1788" max="1788" width="22.83203125" style="2" customWidth="1"/>
    <col min="1789" max="1789" width="16.5" style="2" customWidth="1"/>
    <col min="1790" max="1790" width="8.83203125" style="2"/>
    <col min="1791" max="1791" width="16.5" style="2" customWidth="1"/>
    <col min="1792" max="2043" width="8.83203125" style="2"/>
    <col min="2044" max="2044" width="22.83203125" style="2" customWidth="1"/>
    <col min="2045" max="2045" width="16.5" style="2" customWidth="1"/>
    <col min="2046" max="2046" width="8.83203125" style="2"/>
    <col min="2047" max="2047" width="16.5" style="2" customWidth="1"/>
    <col min="2048" max="2299" width="8.83203125" style="2"/>
    <col min="2300" max="2300" width="22.83203125" style="2" customWidth="1"/>
    <col min="2301" max="2301" width="16.5" style="2" customWidth="1"/>
    <col min="2302" max="2302" width="8.83203125" style="2"/>
    <col min="2303" max="2303" width="16.5" style="2" customWidth="1"/>
    <col min="2304" max="2555" width="8.83203125" style="2"/>
    <col min="2556" max="2556" width="22.83203125" style="2" customWidth="1"/>
    <col min="2557" max="2557" width="16.5" style="2" customWidth="1"/>
    <col min="2558" max="2558" width="8.83203125" style="2"/>
    <col min="2559" max="2559" width="16.5" style="2" customWidth="1"/>
    <col min="2560" max="2811" width="8.83203125" style="2"/>
    <col min="2812" max="2812" width="22.83203125" style="2" customWidth="1"/>
    <col min="2813" max="2813" width="16.5" style="2" customWidth="1"/>
    <col min="2814" max="2814" width="8.83203125" style="2"/>
    <col min="2815" max="2815" width="16.5" style="2" customWidth="1"/>
    <col min="2816" max="3067" width="8.83203125" style="2"/>
    <col min="3068" max="3068" width="22.83203125" style="2" customWidth="1"/>
    <col min="3069" max="3069" width="16.5" style="2" customWidth="1"/>
    <col min="3070" max="3070" width="8.83203125" style="2"/>
    <col min="3071" max="3071" width="16.5" style="2" customWidth="1"/>
    <col min="3072" max="3323" width="8.83203125" style="2"/>
    <col min="3324" max="3324" width="22.83203125" style="2" customWidth="1"/>
    <col min="3325" max="3325" width="16.5" style="2" customWidth="1"/>
    <col min="3326" max="3326" width="8.83203125" style="2"/>
    <col min="3327" max="3327" width="16.5" style="2" customWidth="1"/>
    <col min="3328" max="3579" width="8.83203125" style="2"/>
    <col min="3580" max="3580" width="22.83203125" style="2" customWidth="1"/>
    <col min="3581" max="3581" width="16.5" style="2" customWidth="1"/>
    <col min="3582" max="3582" width="8.83203125" style="2"/>
    <col min="3583" max="3583" width="16.5" style="2" customWidth="1"/>
    <col min="3584" max="3835" width="8.83203125" style="2"/>
    <col min="3836" max="3836" width="22.83203125" style="2" customWidth="1"/>
    <col min="3837" max="3837" width="16.5" style="2" customWidth="1"/>
    <col min="3838" max="3838" width="8.83203125" style="2"/>
    <col min="3839" max="3839" width="16.5" style="2" customWidth="1"/>
    <col min="3840" max="4091" width="8.83203125" style="2"/>
    <col min="4092" max="4092" width="22.83203125" style="2" customWidth="1"/>
    <col min="4093" max="4093" width="16.5" style="2" customWidth="1"/>
    <col min="4094" max="4094" width="8.83203125" style="2"/>
    <col min="4095" max="4095" width="16.5" style="2" customWidth="1"/>
    <col min="4096" max="4347" width="8.83203125" style="2"/>
    <col min="4348" max="4348" width="22.83203125" style="2" customWidth="1"/>
    <col min="4349" max="4349" width="16.5" style="2" customWidth="1"/>
    <col min="4350" max="4350" width="8.83203125" style="2"/>
    <col min="4351" max="4351" width="16.5" style="2" customWidth="1"/>
    <col min="4352" max="4603" width="8.83203125" style="2"/>
    <col min="4604" max="4604" width="22.83203125" style="2" customWidth="1"/>
    <col min="4605" max="4605" width="16.5" style="2" customWidth="1"/>
    <col min="4606" max="4606" width="8.83203125" style="2"/>
    <col min="4607" max="4607" width="16.5" style="2" customWidth="1"/>
    <col min="4608" max="4859" width="8.83203125" style="2"/>
    <col min="4860" max="4860" width="22.83203125" style="2" customWidth="1"/>
    <col min="4861" max="4861" width="16.5" style="2" customWidth="1"/>
    <col min="4862" max="4862" width="8.83203125" style="2"/>
    <col min="4863" max="4863" width="16.5" style="2" customWidth="1"/>
    <col min="4864" max="5115" width="8.83203125" style="2"/>
    <col min="5116" max="5116" width="22.83203125" style="2" customWidth="1"/>
    <col min="5117" max="5117" width="16.5" style="2" customWidth="1"/>
    <col min="5118" max="5118" width="8.83203125" style="2"/>
    <col min="5119" max="5119" width="16.5" style="2" customWidth="1"/>
    <col min="5120" max="5371" width="8.83203125" style="2"/>
    <col min="5372" max="5372" width="22.83203125" style="2" customWidth="1"/>
    <col min="5373" max="5373" width="16.5" style="2" customWidth="1"/>
    <col min="5374" max="5374" width="8.83203125" style="2"/>
    <col min="5375" max="5375" width="16.5" style="2" customWidth="1"/>
    <col min="5376" max="5627" width="8.83203125" style="2"/>
    <col min="5628" max="5628" width="22.83203125" style="2" customWidth="1"/>
    <col min="5629" max="5629" width="16.5" style="2" customWidth="1"/>
    <col min="5630" max="5630" width="8.83203125" style="2"/>
    <col min="5631" max="5631" width="16.5" style="2" customWidth="1"/>
    <col min="5632" max="5883" width="8.83203125" style="2"/>
    <col min="5884" max="5884" width="22.83203125" style="2" customWidth="1"/>
    <col min="5885" max="5885" width="16.5" style="2" customWidth="1"/>
    <col min="5886" max="5886" width="8.83203125" style="2"/>
    <col min="5887" max="5887" width="16.5" style="2" customWidth="1"/>
    <col min="5888" max="6139" width="8.83203125" style="2"/>
    <col min="6140" max="6140" width="22.83203125" style="2" customWidth="1"/>
    <col min="6141" max="6141" width="16.5" style="2" customWidth="1"/>
    <col min="6142" max="6142" width="8.83203125" style="2"/>
    <col min="6143" max="6143" width="16.5" style="2" customWidth="1"/>
    <col min="6144" max="6395" width="8.83203125" style="2"/>
    <col min="6396" max="6396" width="22.83203125" style="2" customWidth="1"/>
    <col min="6397" max="6397" width="16.5" style="2" customWidth="1"/>
    <col min="6398" max="6398" width="8.83203125" style="2"/>
    <col min="6399" max="6399" width="16.5" style="2" customWidth="1"/>
    <col min="6400" max="6651" width="8.83203125" style="2"/>
    <col min="6652" max="6652" width="22.83203125" style="2" customWidth="1"/>
    <col min="6653" max="6653" width="16.5" style="2" customWidth="1"/>
    <col min="6654" max="6654" width="8.83203125" style="2"/>
    <col min="6655" max="6655" width="16.5" style="2" customWidth="1"/>
    <col min="6656" max="6907" width="8.83203125" style="2"/>
    <col min="6908" max="6908" width="22.83203125" style="2" customWidth="1"/>
    <col min="6909" max="6909" width="16.5" style="2" customWidth="1"/>
    <col min="6910" max="6910" width="8.83203125" style="2"/>
    <col min="6911" max="6911" width="16.5" style="2" customWidth="1"/>
    <col min="6912" max="7163" width="8.83203125" style="2"/>
    <col min="7164" max="7164" width="22.83203125" style="2" customWidth="1"/>
    <col min="7165" max="7165" width="16.5" style="2" customWidth="1"/>
    <col min="7166" max="7166" width="8.83203125" style="2"/>
    <col min="7167" max="7167" width="16.5" style="2" customWidth="1"/>
    <col min="7168" max="7419" width="8.83203125" style="2"/>
    <col min="7420" max="7420" width="22.83203125" style="2" customWidth="1"/>
    <col min="7421" max="7421" width="16.5" style="2" customWidth="1"/>
    <col min="7422" max="7422" width="8.83203125" style="2"/>
    <col min="7423" max="7423" width="16.5" style="2" customWidth="1"/>
    <col min="7424" max="7675" width="8.83203125" style="2"/>
    <col min="7676" max="7676" width="22.83203125" style="2" customWidth="1"/>
    <col min="7677" max="7677" width="16.5" style="2" customWidth="1"/>
    <col min="7678" max="7678" width="8.83203125" style="2"/>
    <col min="7679" max="7679" width="16.5" style="2" customWidth="1"/>
    <col min="7680" max="7931" width="8.83203125" style="2"/>
    <col min="7932" max="7932" width="22.83203125" style="2" customWidth="1"/>
    <col min="7933" max="7933" width="16.5" style="2" customWidth="1"/>
    <col min="7934" max="7934" width="8.83203125" style="2"/>
    <col min="7935" max="7935" width="16.5" style="2" customWidth="1"/>
    <col min="7936" max="8187" width="8.83203125" style="2"/>
    <col min="8188" max="8188" width="22.83203125" style="2" customWidth="1"/>
    <col min="8189" max="8189" width="16.5" style="2" customWidth="1"/>
    <col min="8190" max="8190" width="8.83203125" style="2"/>
    <col min="8191" max="8191" width="16.5" style="2" customWidth="1"/>
    <col min="8192" max="8443" width="8.83203125" style="2"/>
    <col min="8444" max="8444" width="22.83203125" style="2" customWidth="1"/>
    <col min="8445" max="8445" width="16.5" style="2" customWidth="1"/>
    <col min="8446" max="8446" width="8.83203125" style="2"/>
    <col min="8447" max="8447" width="16.5" style="2" customWidth="1"/>
    <col min="8448" max="8699" width="8.83203125" style="2"/>
    <col min="8700" max="8700" width="22.83203125" style="2" customWidth="1"/>
    <col min="8701" max="8701" width="16.5" style="2" customWidth="1"/>
    <col min="8702" max="8702" width="8.83203125" style="2"/>
    <col min="8703" max="8703" width="16.5" style="2" customWidth="1"/>
    <col min="8704" max="8955" width="8.83203125" style="2"/>
    <col min="8956" max="8956" width="22.83203125" style="2" customWidth="1"/>
    <col min="8957" max="8957" width="16.5" style="2" customWidth="1"/>
    <col min="8958" max="8958" width="8.83203125" style="2"/>
    <col min="8959" max="8959" width="16.5" style="2" customWidth="1"/>
    <col min="8960" max="9211" width="8.83203125" style="2"/>
    <col min="9212" max="9212" width="22.83203125" style="2" customWidth="1"/>
    <col min="9213" max="9213" width="16.5" style="2" customWidth="1"/>
    <col min="9214" max="9214" width="8.83203125" style="2"/>
    <col min="9215" max="9215" width="16.5" style="2" customWidth="1"/>
    <col min="9216" max="9467" width="8.83203125" style="2"/>
    <col min="9468" max="9468" width="22.83203125" style="2" customWidth="1"/>
    <col min="9469" max="9469" width="16.5" style="2" customWidth="1"/>
    <col min="9470" max="9470" width="8.83203125" style="2"/>
    <col min="9471" max="9471" width="16.5" style="2" customWidth="1"/>
    <col min="9472" max="9723" width="8.83203125" style="2"/>
    <col min="9724" max="9724" width="22.83203125" style="2" customWidth="1"/>
    <col min="9725" max="9725" width="16.5" style="2" customWidth="1"/>
    <col min="9726" max="9726" width="8.83203125" style="2"/>
    <col min="9727" max="9727" width="16.5" style="2" customWidth="1"/>
    <col min="9728" max="9979" width="8.83203125" style="2"/>
    <col min="9980" max="9980" width="22.83203125" style="2" customWidth="1"/>
    <col min="9981" max="9981" width="16.5" style="2" customWidth="1"/>
    <col min="9982" max="9982" width="8.83203125" style="2"/>
    <col min="9983" max="9983" width="16.5" style="2" customWidth="1"/>
    <col min="9984" max="10235" width="8.83203125" style="2"/>
    <col min="10236" max="10236" width="22.83203125" style="2" customWidth="1"/>
    <col min="10237" max="10237" width="16.5" style="2" customWidth="1"/>
    <col min="10238" max="10238" width="8.83203125" style="2"/>
    <col min="10239" max="10239" width="16.5" style="2" customWidth="1"/>
    <col min="10240" max="10491" width="8.83203125" style="2"/>
    <col min="10492" max="10492" width="22.83203125" style="2" customWidth="1"/>
    <col min="10493" max="10493" width="16.5" style="2" customWidth="1"/>
    <col min="10494" max="10494" width="8.83203125" style="2"/>
    <col min="10495" max="10495" width="16.5" style="2" customWidth="1"/>
    <col min="10496" max="10747" width="8.83203125" style="2"/>
    <col min="10748" max="10748" width="22.83203125" style="2" customWidth="1"/>
    <col min="10749" max="10749" width="16.5" style="2" customWidth="1"/>
    <col min="10750" max="10750" width="8.83203125" style="2"/>
    <col min="10751" max="10751" width="16.5" style="2" customWidth="1"/>
    <col min="10752" max="11003" width="8.83203125" style="2"/>
    <col min="11004" max="11004" width="22.83203125" style="2" customWidth="1"/>
    <col min="11005" max="11005" width="16.5" style="2" customWidth="1"/>
    <col min="11006" max="11006" width="8.83203125" style="2"/>
    <col min="11007" max="11007" width="16.5" style="2" customWidth="1"/>
    <col min="11008" max="11259" width="8.83203125" style="2"/>
    <col min="11260" max="11260" width="22.83203125" style="2" customWidth="1"/>
    <col min="11261" max="11261" width="16.5" style="2" customWidth="1"/>
    <col min="11262" max="11262" width="8.83203125" style="2"/>
    <col min="11263" max="11263" width="16.5" style="2" customWidth="1"/>
    <col min="11264" max="11515" width="8.83203125" style="2"/>
    <col min="11516" max="11516" width="22.83203125" style="2" customWidth="1"/>
    <col min="11517" max="11517" width="16.5" style="2" customWidth="1"/>
    <col min="11518" max="11518" width="8.83203125" style="2"/>
    <col min="11519" max="11519" width="16.5" style="2" customWidth="1"/>
    <col min="11520" max="11771" width="8.83203125" style="2"/>
    <col min="11772" max="11772" width="22.83203125" style="2" customWidth="1"/>
    <col min="11773" max="11773" width="16.5" style="2" customWidth="1"/>
    <col min="11774" max="11774" width="8.83203125" style="2"/>
    <col min="11775" max="11775" width="16.5" style="2" customWidth="1"/>
    <col min="11776" max="12027" width="8.83203125" style="2"/>
    <col min="12028" max="12028" width="22.83203125" style="2" customWidth="1"/>
    <col min="12029" max="12029" width="16.5" style="2" customWidth="1"/>
    <col min="12030" max="12030" width="8.83203125" style="2"/>
    <col min="12031" max="12031" width="16.5" style="2" customWidth="1"/>
    <col min="12032" max="12283" width="8.83203125" style="2"/>
    <col min="12284" max="12284" width="22.83203125" style="2" customWidth="1"/>
    <col min="12285" max="12285" width="16.5" style="2" customWidth="1"/>
    <col min="12286" max="12286" width="8.83203125" style="2"/>
    <col min="12287" max="12287" width="16.5" style="2" customWidth="1"/>
    <col min="12288" max="12539" width="8.83203125" style="2"/>
    <col min="12540" max="12540" width="22.83203125" style="2" customWidth="1"/>
    <col min="12541" max="12541" width="16.5" style="2" customWidth="1"/>
    <col min="12542" max="12542" width="8.83203125" style="2"/>
    <col min="12543" max="12543" width="16.5" style="2" customWidth="1"/>
    <col min="12544" max="12795" width="8.83203125" style="2"/>
    <col min="12796" max="12796" width="22.83203125" style="2" customWidth="1"/>
    <col min="12797" max="12797" width="16.5" style="2" customWidth="1"/>
    <col min="12798" max="12798" width="8.83203125" style="2"/>
    <col min="12799" max="12799" width="16.5" style="2" customWidth="1"/>
    <col min="12800" max="13051" width="8.83203125" style="2"/>
    <col min="13052" max="13052" width="22.83203125" style="2" customWidth="1"/>
    <col min="13053" max="13053" width="16.5" style="2" customWidth="1"/>
    <col min="13054" max="13054" width="8.83203125" style="2"/>
    <col min="13055" max="13055" width="16.5" style="2" customWidth="1"/>
    <col min="13056" max="13307" width="8.83203125" style="2"/>
    <col min="13308" max="13308" width="22.83203125" style="2" customWidth="1"/>
    <col min="13309" max="13309" width="16.5" style="2" customWidth="1"/>
    <col min="13310" max="13310" width="8.83203125" style="2"/>
    <col min="13311" max="13311" width="16.5" style="2" customWidth="1"/>
    <col min="13312" max="13563" width="8.83203125" style="2"/>
    <col min="13564" max="13564" width="22.83203125" style="2" customWidth="1"/>
    <col min="13565" max="13565" width="16.5" style="2" customWidth="1"/>
    <col min="13566" max="13566" width="8.83203125" style="2"/>
    <col min="13567" max="13567" width="16.5" style="2" customWidth="1"/>
    <col min="13568" max="13819" width="8.83203125" style="2"/>
    <col min="13820" max="13820" width="22.83203125" style="2" customWidth="1"/>
    <col min="13821" max="13821" width="16.5" style="2" customWidth="1"/>
    <col min="13822" max="13822" width="8.83203125" style="2"/>
    <col min="13823" max="13823" width="16.5" style="2" customWidth="1"/>
    <col min="13824" max="14075" width="8.83203125" style="2"/>
    <col min="14076" max="14076" width="22.83203125" style="2" customWidth="1"/>
    <col min="14077" max="14077" width="16.5" style="2" customWidth="1"/>
    <col min="14078" max="14078" width="8.83203125" style="2"/>
    <col min="14079" max="14079" width="16.5" style="2" customWidth="1"/>
    <col min="14080" max="14331" width="8.83203125" style="2"/>
    <col min="14332" max="14332" width="22.83203125" style="2" customWidth="1"/>
    <col min="14333" max="14333" width="16.5" style="2" customWidth="1"/>
    <col min="14334" max="14334" width="8.83203125" style="2"/>
    <col min="14335" max="14335" width="16.5" style="2" customWidth="1"/>
    <col min="14336" max="14587" width="8.83203125" style="2"/>
    <col min="14588" max="14588" width="22.83203125" style="2" customWidth="1"/>
    <col min="14589" max="14589" width="16.5" style="2" customWidth="1"/>
    <col min="14590" max="14590" width="8.83203125" style="2"/>
    <col min="14591" max="14591" width="16.5" style="2" customWidth="1"/>
    <col min="14592" max="14843" width="8.83203125" style="2"/>
    <col min="14844" max="14844" width="22.83203125" style="2" customWidth="1"/>
    <col min="14845" max="14845" width="16.5" style="2" customWidth="1"/>
    <col min="14846" max="14846" width="8.83203125" style="2"/>
    <col min="14847" max="14847" width="16.5" style="2" customWidth="1"/>
    <col min="14848" max="15099" width="8.83203125" style="2"/>
    <col min="15100" max="15100" width="22.83203125" style="2" customWidth="1"/>
    <col min="15101" max="15101" width="16.5" style="2" customWidth="1"/>
    <col min="15102" max="15102" width="8.83203125" style="2"/>
    <col min="15103" max="15103" width="16.5" style="2" customWidth="1"/>
    <col min="15104" max="15355" width="8.83203125" style="2"/>
    <col min="15356" max="15356" width="22.83203125" style="2" customWidth="1"/>
    <col min="15357" max="15357" width="16.5" style="2" customWidth="1"/>
    <col min="15358" max="15358" width="8.83203125" style="2"/>
    <col min="15359" max="15359" width="16.5" style="2" customWidth="1"/>
    <col min="15360" max="15611" width="8.83203125" style="2"/>
    <col min="15612" max="15612" width="22.83203125" style="2" customWidth="1"/>
    <col min="15613" max="15613" width="16.5" style="2" customWidth="1"/>
    <col min="15614" max="15614" width="8.83203125" style="2"/>
    <col min="15615" max="15615" width="16.5" style="2" customWidth="1"/>
    <col min="15616" max="15867" width="8.83203125" style="2"/>
    <col min="15868" max="15868" width="22.83203125" style="2" customWidth="1"/>
    <col min="15869" max="15869" width="16.5" style="2" customWidth="1"/>
    <col min="15870" max="15870" width="8.83203125" style="2"/>
    <col min="15871" max="15871" width="16.5" style="2" customWidth="1"/>
    <col min="15872" max="16123" width="8.83203125" style="2"/>
    <col min="16124" max="16124" width="22.83203125" style="2" customWidth="1"/>
    <col min="16125" max="16125" width="16.5" style="2" customWidth="1"/>
    <col min="16126" max="16126" width="8.83203125" style="2"/>
    <col min="16127" max="16127" width="16.5" style="2" customWidth="1"/>
    <col min="16128" max="16384" width="8.83203125" style="2"/>
  </cols>
  <sheetData>
    <row r="1" spans="2:10" x14ac:dyDescent="0.2">
      <c r="B1" s="47"/>
    </row>
    <row r="2" spans="2:10" x14ac:dyDescent="0.2">
      <c r="B2" s="12"/>
      <c r="C2" s="1"/>
      <c r="D2" s="1"/>
      <c r="F2" s="1"/>
      <c r="G2" s="1"/>
      <c r="I2" s="1"/>
    </row>
    <row r="3" spans="2:10" x14ac:dyDescent="0.2">
      <c r="B3" s="8" t="s">
        <v>101</v>
      </c>
      <c r="C3" s="142">
        <v>430</v>
      </c>
      <c r="D3" s="1"/>
      <c r="E3" s="140" t="s">
        <v>108</v>
      </c>
      <c r="F3" s="5" t="s">
        <v>95</v>
      </c>
      <c r="G3" s="5" t="s">
        <v>105</v>
      </c>
      <c r="H3" s="5" t="s">
        <v>96</v>
      </c>
      <c r="I3" s="3"/>
      <c r="J3" s="3"/>
    </row>
    <row r="4" spans="2:10" x14ac:dyDescent="0.2">
      <c r="B4" s="8" t="s">
        <v>102</v>
      </c>
      <c r="C4" s="142">
        <v>510</v>
      </c>
      <c r="D4" s="1"/>
      <c r="E4" s="8" t="s">
        <v>106</v>
      </c>
      <c r="F4" s="139">
        <v>1</v>
      </c>
      <c r="G4" s="139">
        <v>10</v>
      </c>
      <c r="H4" s="139">
        <v>4</v>
      </c>
      <c r="I4" s="3"/>
      <c r="J4" s="3"/>
    </row>
    <row r="5" spans="2:10" x14ac:dyDescent="0.2">
      <c r="B5" s="31"/>
      <c r="C5" s="31"/>
      <c r="D5" s="1"/>
      <c r="E5" s="8" t="s">
        <v>107</v>
      </c>
      <c r="F5" s="139">
        <v>1</v>
      </c>
      <c r="G5" s="139">
        <v>16</v>
      </c>
      <c r="H5" s="139">
        <v>6</v>
      </c>
      <c r="I5" s="3"/>
      <c r="J5" s="3"/>
    </row>
    <row r="6" spans="2:10" x14ac:dyDescent="0.2">
      <c r="B6" s="1"/>
      <c r="C6" s="1"/>
      <c r="D6" s="1"/>
      <c r="E6" s="1"/>
      <c r="F6" s="1"/>
      <c r="G6" s="1"/>
    </row>
    <row r="7" spans="2:10" x14ac:dyDescent="0.2">
      <c r="B7" s="13" t="s">
        <v>103</v>
      </c>
      <c r="C7" s="11"/>
      <c r="D7" s="1"/>
      <c r="E7" s="1"/>
      <c r="F7" s="1"/>
      <c r="G7" s="1"/>
    </row>
    <row r="8" spans="2:10" x14ac:dyDescent="0.2">
      <c r="B8" s="8" t="s">
        <v>5</v>
      </c>
      <c r="C8" s="141">
        <v>4999940.5</v>
      </c>
      <c r="D8" s="1"/>
      <c r="E8" s="1"/>
      <c r="F8" s="9"/>
      <c r="G8" s="1"/>
    </row>
    <row r="9" spans="2:10" x14ac:dyDescent="0.2">
      <c r="B9" s="8" t="s">
        <v>6</v>
      </c>
      <c r="C9" s="139">
        <v>-1.53</v>
      </c>
      <c r="D9" s="1"/>
      <c r="E9" s="1"/>
      <c r="F9" s="1"/>
    </row>
    <row r="10" spans="2:10" x14ac:dyDescent="0.2">
      <c r="B10" s="11"/>
      <c r="F10" s="1"/>
    </row>
    <row r="11" spans="2:10" x14ac:dyDescent="0.2">
      <c r="B11" s="13" t="s">
        <v>104</v>
      </c>
      <c r="C11" s="11"/>
      <c r="F11" s="1"/>
    </row>
    <row r="12" spans="2:10" x14ac:dyDescent="0.2">
      <c r="B12" s="8" t="s">
        <v>5</v>
      </c>
      <c r="C12" s="141">
        <v>1994141.79</v>
      </c>
      <c r="F12" s="1"/>
    </row>
    <row r="13" spans="2:10" x14ac:dyDescent="0.2">
      <c r="B13" s="8" t="s">
        <v>6</v>
      </c>
      <c r="C13" s="139">
        <v>-1.35</v>
      </c>
      <c r="F13" s="1"/>
    </row>
    <row r="14" spans="2:10" x14ac:dyDescent="0.2">
      <c r="B14" s="11"/>
      <c r="F14" s="1"/>
    </row>
    <row r="15" spans="2:10" x14ac:dyDescent="0.2">
      <c r="B15" s="1"/>
      <c r="C15" s="1"/>
      <c r="D15" s="1"/>
      <c r="E15" s="1"/>
      <c r="F15" s="1"/>
    </row>
    <row r="16" spans="2:10" x14ac:dyDescent="0.2">
      <c r="B16" s="12" t="s">
        <v>123</v>
      </c>
      <c r="C16" s="12"/>
      <c r="D16" s="12"/>
      <c r="E16" s="1"/>
      <c r="F16" s="1"/>
    </row>
    <row r="17" spans="2:6" x14ac:dyDescent="0.2">
      <c r="B17" s="8" t="s">
        <v>109</v>
      </c>
      <c r="C17" s="85">
        <v>1220</v>
      </c>
      <c r="D17" s="37" t="s">
        <v>110</v>
      </c>
      <c r="E17" s="1"/>
      <c r="F17" s="1"/>
    </row>
    <row r="18" spans="2:6" x14ac:dyDescent="0.2">
      <c r="B18" s="8" t="s">
        <v>112</v>
      </c>
      <c r="C18" s="85">
        <v>1800</v>
      </c>
      <c r="D18" s="37" t="s">
        <v>111</v>
      </c>
      <c r="E18" s="1"/>
      <c r="F18" s="1"/>
    </row>
    <row r="19" spans="2:6" x14ac:dyDescent="0.2">
      <c r="B19" s="143"/>
      <c r="C19" s="143"/>
      <c r="D19" s="37"/>
      <c r="E19" s="1"/>
      <c r="F19" s="1"/>
    </row>
    <row r="20" spans="2:6" x14ac:dyDescent="0.2">
      <c r="B20" s="8" t="s">
        <v>114</v>
      </c>
      <c r="C20" s="86">
        <v>92</v>
      </c>
      <c r="D20" s="124" t="s">
        <v>113</v>
      </c>
      <c r="E20" s="125"/>
      <c r="F20" s="1"/>
    </row>
    <row r="21" spans="2:6" x14ac:dyDescent="0.2">
      <c r="B21" s="8" t="s">
        <v>115</v>
      </c>
      <c r="C21" s="86">
        <v>71</v>
      </c>
      <c r="D21" s="124" t="s">
        <v>116</v>
      </c>
      <c r="E21" s="125"/>
      <c r="F21" s="1"/>
    </row>
    <row r="22" spans="2:6" x14ac:dyDescent="0.2">
      <c r="B22" s="143"/>
      <c r="C22" s="143"/>
      <c r="D22" s="143"/>
      <c r="E22" s="123"/>
      <c r="F22" s="1"/>
    </row>
    <row r="23" spans="2:6" x14ac:dyDescent="0.2">
      <c r="B23" s="143"/>
      <c r="C23" s="143"/>
      <c r="D23" s="143"/>
      <c r="E23" s="123"/>
      <c r="F23" s="1"/>
    </row>
    <row r="24" spans="2:6" x14ac:dyDescent="0.2">
      <c r="B24" s="8" t="s">
        <v>117</v>
      </c>
      <c r="C24" s="10">
        <f>(C17-C3)*C20</f>
        <v>72680</v>
      </c>
      <c r="D24" s="14"/>
      <c r="E24" s="1"/>
      <c r="F24" s="1"/>
    </row>
    <row r="25" spans="2:6" x14ac:dyDescent="0.2">
      <c r="B25" s="8" t="s">
        <v>118</v>
      </c>
      <c r="C25" s="10">
        <f>(C18-C4)*C21</f>
        <v>91590</v>
      </c>
      <c r="D25" s="15"/>
      <c r="E25" s="1"/>
      <c r="F25" s="1"/>
    </row>
    <row r="26" spans="2:6" x14ac:dyDescent="0.2">
      <c r="B26" s="8" t="s">
        <v>19</v>
      </c>
      <c r="C26" s="16">
        <f>SUM(C24:C25)</f>
        <v>164270</v>
      </c>
      <c r="D26" s="126" t="s">
        <v>46</v>
      </c>
      <c r="E26" s="125"/>
      <c r="F26" s="1"/>
    </row>
    <row r="27" spans="2:6" x14ac:dyDescent="0.2">
      <c r="B27" s="11"/>
      <c r="C27" s="42"/>
      <c r="D27" s="45"/>
      <c r="E27" s="123"/>
      <c r="F27" s="1"/>
    </row>
    <row r="28" spans="2:6" x14ac:dyDescent="0.2">
      <c r="B28" s="11" t="s">
        <v>22</v>
      </c>
      <c r="C28" s="42"/>
      <c r="D28" s="37"/>
      <c r="E28" s="11"/>
      <c r="F28" s="1"/>
    </row>
    <row r="29" spans="2:6" x14ac:dyDescent="0.2">
      <c r="B29" s="8" t="s">
        <v>119</v>
      </c>
      <c r="C29" s="43">
        <f>SUMPRODUCT(F4:F5,C20:C21)</f>
        <v>163</v>
      </c>
      <c r="D29" s="44" t="s">
        <v>23</v>
      </c>
      <c r="E29" s="144">
        <v>180</v>
      </c>
      <c r="F29" s="1"/>
    </row>
    <row r="30" spans="2:6" x14ac:dyDescent="0.2">
      <c r="B30" s="8" t="s">
        <v>120</v>
      </c>
      <c r="C30" s="43">
        <f>SUMPRODUCT(G4:G5,C20:C21)</f>
        <v>2056</v>
      </c>
      <c r="D30" s="44" t="s">
        <v>23</v>
      </c>
      <c r="E30" s="144">
        <v>2700</v>
      </c>
      <c r="F30" s="1"/>
    </row>
    <row r="31" spans="2:6" x14ac:dyDescent="0.2">
      <c r="B31" s="8" t="s">
        <v>121</v>
      </c>
      <c r="C31" s="43">
        <f>SUMPRODUCT(H4:H5,C20:C21)</f>
        <v>794</v>
      </c>
      <c r="D31" s="44" t="s">
        <v>23</v>
      </c>
      <c r="E31" s="144">
        <v>1100</v>
      </c>
      <c r="F31" s="1"/>
    </row>
    <row r="32" spans="2:6" x14ac:dyDescent="0.2">
      <c r="B32" s="8" t="s">
        <v>124</v>
      </c>
      <c r="C32" s="43">
        <f>C17</f>
        <v>1220</v>
      </c>
      <c r="D32" s="44" t="s">
        <v>23</v>
      </c>
      <c r="E32" s="144">
        <v>1220</v>
      </c>
      <c r="F32" s="1"/>
    </row>
    <row r="33" spans="2:6" x14ac:dyDescent="0.2">
      <c r="B33" s="8" t="s">
        <v>125</v>
      </c>
      <c r="C33" s="43">
        <f>C18</f>
        <v>1800</v>
      </c>
      <c r="D33" s="44" t="s">
        <v>23</v>
      </c>
      <c r="E33" s="144">
        <v>1800</v>
      </c>
      <c r="F33" s="1"/>
    </row>
    <row r="34" spans="2:6" x14ac:dyDescent="0.2">
      <c r="B34" s="11"/>
      <c r="C34" s="1"/>
      <c r="D34" s="1"/>
      <c r="E34" s="1"/>
      <c r="F34" s="1"/>
    </row>
    <row r="35" spans="2:6" x14ac:dyDescent="0.2">
      <c r="B35" s="11"/>
      <c r="C35" s="1"/>
      <c r="D35" s="1"/>
      <c r="E35" s="1"/>
      <c r="F35" s="1"/>
    </row>
    <row r="36" spans="2:6" x14ac:dyDescent="0.2">
      <c r="B36" s="11"/>
      <c r="C36" s="1"/>
      <c r="D36" s="1"/>
      <c r="E36" s="1"/>
      <c r="F36" s="1"/>
    </row>
    <row r="37" spans="2:6" x14ac:dyDescent="0.2">
      <c r="B37" s="11"/>
      <c r="C37" s="1"/>
      <c r="D37" s="1"/>
      <c r="E37" s="1"/>
      <c r="F37" s="1"/>
    </row>
    <row r="38" spans="2:6" x14ac:dyDescent="0.2">
      <c r="B38" s="11"/>
      <c r="C38" s="1"/>
      <c r="D38" s="1"/>
      <c r="E38" s="1"/>
      <c r="F38" s="1"/>
    </row>
    <row r="39" spans="2:6" x14ac:dyDescent="0.2">
      <c r="B39" s="11"/>
      <c r="C39" s="1"/>
      <c r="D39" s="1"/>
      <c r="E39" s="1"/>
      <c r="F39" s="1"/>
    </row>
    <row r="40" spans="2:6" x14ac:dyDescent="0.2">
      <c r="B40" s="11"/>
      <c r="C40" s="1"/>
      <c r="D40" s="1"/>
      <c r="E40" s="1"/>
      <c r="F40" s="1"/>
    </row>
    <row r="41" spans="2:6" x14ac:dyDescent="0.2">
      <c r="B41" s="11"/>
      <c r="C41" s="1"/>
      <c r="D41" s="1"/>
      <c r="E41" s="1"/>
      <c r="F41" s="1"/>
    </row>
  </sheetData>
  <mergeCells count="3">
    <mergeCell ref="D20:E20"/>
    <mergeCell ref="D21:E21"/>
    <mergeCell ref="D26:E26"/>
  </mergeCells>
  <printOptions headings="1" gridLines="1"/>
  <pageMargins left="0.75" right="0.75" top="1" bottom="1" header="0.5" footer="0.5"/>
  <pageSetup scale="72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B95B-F364-F641-B97C-5F59CD1B1DBD}">
  <dimension ref="A1"/>
  <sheetViews>
    <sheetView workbookViewId="0">
      <selection activeCell="E23" sqref="E23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I44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21.83203125" style="2" customWidth="1"/>
    <col min="2" max="2" width="25.83203125" style="2" customWidth="1"/>
    <col min="3" max="3" width="7.1640625" style="2" customWidth="1"/>
    <col min="4" max="4" width="21.83203125" style="2" customWidth="1"/>
    <col min="5" max="250" width="8.83203125" style="2"/>
    <col min="251" max="251" width="22.83203125" style="2" customWidth="1"/>
    <col min="252" max="252" width="16.5" style="2" customWidth="1"/>
    <col min="253" max="253" width="8.83203125" style="2"/>
    <col min="254" max="254" width="16.5" style="2" customWidth="1"/>
    <col min="255" max="506" width="8.83203125" style="2"/>
    <col min="507" max="507" width="22.83203125" style="2" customWidth="1"/>
    <col min="508" max="508" width="16.5" style="2" customWidth="1"/>
    <col min="509" max="509" width="8.83203125" style="2"/>
    <col min="510" max="510" width="16.5" style="2" customWidth="1"/>
    <col min="511" max="762" width="8.83203125" style="2"/>
    <col min="763" max="763" width="22.83203125" style="2" customWidth="1"/>
    <col min="764" max="764" width="16.5" style="2" customWidth="1"/>
    <col min="765" max="765" width="8.83203125" style="2"/>
    <col min="766" max="766" width="16.5" style="2" customWidth="1"/>
    <col min="767" max="1018" width="8.83203125" style="2"/>
    <col min="1019" max="1019" width="22.83203125" style="2" customWidth="1"/>
    <col min="1020" max="1020" width="16.5" style="2" customWidth="1"/>
    <col min="1021" max="1021" width="8.83203125" style="2"/>
    <col min="1022" max="1022" width="16.5" style="2" customWidth="1"/>
    <col min="1023" max="1274" width="8.83203125" style="2"/>
    <col min="1275" max="1275" width="22.83203125" style="2" customWidth="1"/>
    <col min="1276" max="1276" width="16.5" style="2" customWidth="1"/>
    <col min="1277" max="1277" width="8.83203125" style="2"/>
    <col min="1278" max="1278" width="16.5" style="2" customWidth="1"/>
    <col min="1279" max="1530" width="8.83203125" style="2"/>
    <col min="1531" max="1531" width="22.83203125" style="2" customWidth="1"/>
    <col min="1532" max="1532" width="16.5" style="2" customWidth="1"/>
    <col min="1533" max="1533" width="8.83203125" style="2"/>
    <col min="1534" max="1534" width="16.5" style="2" customWidth="1"/>
    <col min="1535" max="1786" width="8.83203125" style="2"/>
    <col min="1787" max="1787" width="22.83203125" style="2" customWidth="1"/>
    <col min="1788" max="1788" width="16.5" style="2" customWidth="1"/>
    <col min="1789" max="1789" width="8.83203125" style="2"/>
    <col min="1790" max="1790" width="16.5" style="2" customWidth="1"/>
    <col min="1791" max="2042" width="8.83203125" style="2"/>
    <col min="2043" max="2043" width="22.83203125" style="2" customWidth="1"/>
    <col min="2044" max="2044" width="16.5" style="2" customWidth="1"/>
    <col min="2045" max="2045" width="8.83203125" style="2"/>
    <col min="2046" max="2046" width="16.5" style="2" customWidth="1"/>
    <col min="2047" max="2298" width="8.83203125" style="2"/>
    <col min="2299" max="2299" width="22.83203125" style="2" customWidth="1"/>
    <col min="2300" max="2300" width="16.5" style="2" customWidth="1"/>
    <col min="2301" max="2301" width="8.83203125" style="2"/>
    <col min="2302" max="2302" width="16.5" style="2" customWidth="1"/>
    <col min="2303" max="2554" width="8.83203125" style="2"/>
    <col min="2555" max="2555" width="22.83203125" style="2" customWidth="1"/>
    <col min="2556" max="2556" width="16.5" style="2" customWidth="1"/>
    <col min="2557" max="2557" width="8.83203125" style="2"/>
    <col min="2558" max="2558" width="16.5" style="2" customWidth="1"/>
    <col min="2559" max="2810" width="8.83203125" style="2"/>
    <col min="2811" max="2811" width="22.83203125" style="2" customWidth="1"/>
    <col min="2812" max="2812" width="16.5" style="2" customWidth="1"/>
    <col min="2813" max="2813" width="8.83203125" style="2"/>
    <col min="2814" max="2814" width="16.5" style="2" customWidth="1"/>
    <col min="2815" max="3066" width="8.83203125" style="2"/>
    <col min="3067" max="3067" width="22.83203125" style="2" customWidth="1"/>
    <col min="3068" max="3068" width="16.5" style="2" customWidth="1"/>
    <col min="3069" max="3069" width="8.83203125" style="2"/>
    <col min="3070" max="3070" width="16.5" style="2" customWidth="1"/>
    <col min="3071" max="3322" width="8.83203125" style="2"/>
    <col min="3323" max="3323" width="22.83203125" style="2" customWidth="1"/>
    <col min="3324" max="3324" width="16.5" style="2" customWidth="1"/>
    <col min="3325" max="3325" width="8.83203125" style="2"/>
    <col min="3326" max="3326" width="16.5" style="2" customWidth="1"/>
    <col min="3327" max="3578" width="8.83203125" style="2"/>
    <col min="3579" max="3579" width="22.83203125" style="2" customWidth="1"/>
    <col min="3580" max="3580" width="16.5" style="2" customWidth="1"/>
    <col min="3581" max="3581" width="8.83203125" style="2"/>
    <col min="3582" max="3582" width="16.5" style="2" customWidth="1"/>
    <col min="3583" max="3834" width="8.83203125" style="2"/>
    <col min="3835" max="3835" width="22.83203125" style="2" customWidth="1"/>
    <col min="3836" max="3836" width="16.5" style="2" customWidth="1"/>
    <col min="3837" max="3837" width="8.83203125" style="2"/>
    <col min="3838" max="3838" width="16.5" style="2" customWidth="1"/>
    <col min="3839" max="4090" width="8.83203125" style="2"/>
    <col min="4091" max="4091" width="22.83203125" style="2" customWidth="1"/>
    <col min="4092" max="4092" width="16.5" style="2" customWidth="1"/>
    <col min="4093" max="4093" width="8.83203125" style="2"/>
    <col min="4094" max="4094" width="16.5" style="2" customWidth="1"/>
    <col min="4095" max="4346" width="8.83203125" style="2"/>
    <col min="4347" max="4347" width="22.83203125" style="2" customWidth="1"/>
    <col min="4348" max="4348" width="16.5" style="2" customWidth="1"/>
    <col min="4349" max="4349" width="8.83203125" style="2"/>
    <col min="4350" max="4350" width="16.5" style="2" customWidth="1"/>
    <col min="4351" max="4602" width="8.83203125" style="2"/>
    <col min="4603" max="4603" width="22.83203125" style="2" customWidth="1"/>
    <col min="4604" max="4604" width="16.5" style="2" customWidth="1"/>
    <col min="4605" max="4605" width="8.83203125" style="2"/>
    <col min="4606" max="4606" width="16.5" style="2" customWidth="1"/>
    <col min="4607" max="4858" width="8.83203125" style="2"/>
    <col min="4859" max="4859" width="22.83203125" style="2" customWidth="1"/>
    <col min="4860" max="4860" width="16.5" style="2" customWidth="1"/>
    <col min="4861" max="4861" width="8.83203125" style="2"/>
    <col min="4862" max="4862" width="16.5" style="2" customWidth="1"/>
    <col min="4863" max="5114" width="8.83203125" style="2"/>
    <col min="5115" max="5115" width="22.83203125" style="2" customWidth="1"/>
    <col min="5116" max="5116" width="16.5" style="2" customWidth="1"/>
    <col min="5117" max="5117" width="8.83203125" style="2"/>
    <col min="5118" max="5118" width="16.5" style="2" customWidth="1"/>
    <col min="5119" max="5370" width="8.83203125" style="2"/>
    <col min="5371" max="5371" width="22.83203125" style="2" customWidth="1"/>
    <col min="5372" max="5372" width="16.5" style="2" customWidth="1"/>
    <col min="5373" max="5373" width="8.83203125" style="2"/>
    <col min="5374" max="5374" width="16.5" style="2" customWidth="1"/>
    <col min="5375" max="5626" width="8.83203125" style="2"/>
    <col min="5627" max="5627" width="22.83203125" style="2" customWidth="1"/>
    <col min="5628" max="5628" width="16.5" style="2" customWidth="1"/>
    <col min="5629" max="5629" width="8.83203125" style="2"/>
    <col min="5630" max="5630" width="16.5" style="2" customWidth="1"/>
    <col min="5631" max="5882" width="8.83203125" style="2"/>
    <col min="5883" max="5883" width="22.83203125" style="2" customWidth="1"/>
    <col min="5884" max="5884" width="16.5" style="2" customWidth="1"/>
    <col min="5885" max="5885" width="8.83203125" style="2"/>
    <col min="5886" max="5886" width="16.5" style="2" customWidth="1"/>
    <col min="5887" max="6138" width="8.83203125" style="2"/>
    <col min="6139" max="6139" width="22.83203125" style="2" customWidth="1"/>
    <col min="6140" max="6140" width="16.5" style="2" customWidth="1"/>
    <col min="6141" max="6141" width="8.83203125" style="2"/>
    <col min="6142" max="6142" width="16.5" style="2" customWidth="1"/>
    <col min="6143" max="6394" width="8.83203125" style="2"/>
    <col min="6395" max="6395" width="22.83203125" style="2" customWidth="1"/>
    <col min="6396" max="6396" width="16.5" style="2" customWidth="1"/>
    <col min="6397" max="6397" width="8.83203125" style="2"/>
    <col min="6398" max="6398" width="16.5" style="2" customWidth="1"/>
    <col min="6399" max="6650" width="8.83203125" style="2"/>
    <col min="6651" max="6651" width="22.83203125" style="2" customWidth="1"/>
    <col min="6652" max="6652" width="16.5" style="2" customWidth="1"/>
    <col min="6653" max="6653" width="8.83203125" style="2"/>
    <col min="6654" max="6654" width="16.5" style="2" customWidth="1"/>
    <col min="6655" max="6906" width="8.83203125" style="2"/>
    <col min="6907" max="6907" width="22.83203125" style="2" customWidth="1"/>
    <col min="6908" max="6908" width="16.5" style="2" customWidth="1"/>
    <col min="6909" max="6909" width="8.83203125" style="2"/>
    <col min="6910" max="6910" width="16.5" style="2" customWidth="1"/>
    <col min="6911" max="7162" width="8.83203125" style="2"/>
    <col min="7163" max="7163" width="22.83203125" style="2" customWidth="1"/>
    <col min="7164" max="7164" width="16.5" style="2" customWidth="1"/>
    <col min="7165" max="7165" width="8.83203125" style="2"/>
    <col min="7166" max="7166" width="16.5" style="2" customWidth="1"/>
    <col min="7167" max="7418" width="8.83203125" style="2"/>
    <col min="7419" max="7419" width="22.83203125" style="2" customWidth="1"/>
    <col min="7420" max="7420" width="16.5" style="2" customWidth="1"/>
    <col min="7421" max="7421" width="8.83203125" style="2"/>
    <col min="7422" max="7422" width="16.5" style="2" customWidth="1"/>
    <col min="7423" max="7674" width="8.83203125" style="2"/>
    <col min="7675" max="7675" width="22.83203125" style="2" customWidth="1"/>
    <col min="7676" max="7676" width="16.5" style="2" customWidth="1"/>
    <col min="7677" max="7677" width="8.83203125" style="2"/>
    <col min="7678" max="7678" width="16.5" style="2" customWidth="1"/>
    <col min="7679" max="7930" width="8.83203125" style="2"/>
    <col min="7931" max="7931" width="22.83203125" style="2" customWidth="1"/>
    <col min="7932" max="7932" width="16.5" style="2" customWidth="1"/>
    <col min="7933" max="7933" width="8.83203125" style="2"/>
    <col min="7934" max="7934" width="16.5" style="2" customWidth="1"/>
    <col min="7935" max="8186" width="8.83203125" style="2"/>
    <col min="8187" max="8187" width="22.83203125" style="2" customWidth="1"/>
    <col min="8188" max="8188" width="16.5" style="2" customWidth="1"/>
    <col min="8189" max="8189" width="8.83203125" style="2"/>
    <col min="8190" max="8190" width="16.5" style="2" customWidth="1"/>
    <col min="8191" max="8442" width="8.83203125" style="2"/>
    <col min="8443" max="8443" width="22.83203125" style="2" customWidth="1"/>
    <col min="8444" max="8444" width="16.5" style="2" customWidth="1"/>
    <col min="8445" max="8445" width="8.83203125" style="2"/>
    <col min="8446" max="8446" width="16.5" style="2" customWidth="1"/>
    <col min="8447" max="8698" width="8.83203125" style="2"/>
    <col min="8699" max="8699" width="22.83203125" style="2" customWidth="1"/>
    <col min="8700" max="8700" width="16.5" style="2" customWidth="1"/>
    <col min="8701" max="8701" width="8.83203125" style="2"/>
    <col min="8702" max="8702" width="16.5" style="2" customWidth="1"/>
    <col min="8703" max="8954" width="8.83203125" style="2"/>
    <col min="8955" max="8955" width="22.83203125" style="2" customWidth="1"/>
    <col min="8956" max="8956" width="16.5" style="2" customWidth="1"/>
    <col min="8957" max="8957" width="8.83203125" style="2"/>
    <col min="8958" max="8958" width="16.5" style="2" customWidth="1"/>
    <col min="8959" max="9210" width="8.83203125" style="2"/>
    <col min="9211" max="9211" width="22.83203125" style="2" customWidth="1"/>
    <col min="9212" max="9212" width="16.5" style="2" customWidth="1"/>
    <col min="9213" max="9213" width="8.83203125" style="2"/>
    <col min="9214" max="9214" width="16.5" style="2" customWidth="1"/>
    <col min="9215" max="9466" width="8.83203125" style="2"/>
    <col min="9467" max="9467" width="22.83203125" style="2" customWidth="1"/>
    <col min="9468" max="9468" width="16.5" style="2" customWidth="1"/>
    <col min="9469" max="9469" width="8.83203125" style="2"/>
    <col min="9470" max="9470" width="16.5" style="2" customWidth="1"/>
    <col min="9471" max="9722" width="8.83203125" style="2"/>
    <col min="9723" max="9723" width="22.83203125" style="2" customWidth="1"/>
    <col min="9724" max="9724" width="16.5" style="2" customWidth="1"/>
    <col min="9725" max="9725" width="8.83203125" style="2"/>
    <col min="9726" max="9726" width="16.5" style="2" customWidth="1"/>
    <col min="9727" max="9978" width="8.83203125" style="2"/>
    <col min="9979" max="9979" width="22.83203125" style="2" customWidth="1"/>
    <col min="9980" max="9980" width="16.5" style="2" customWidth="1"/>
    <col min="9981" max="9981" width="8.83203125" style="2"/>
    <col min="9982" max="9982" width="16.5" style="2" customWidth="1"/>
    <col min="9983" max="10234" width="8.83203125" style="2"/>
    <col min="10235" max="10235" width="22.83203125" style="2" customWidth="1"/>
    <col min="10236" max="10236" width="16.5" style="2" customWidth="1"/>
    <col min="10237" max="10237" width="8.83203125" style="2"/>
    <col min="10238" max="10238" width="16.5" style="2" customWidth="1"/>
    <col min="10239" max="10490" width="8.83203125" style="2"/>
    <col min="10491" max="10491" width="22.83203125" style="2" customWidth="1"/>
    <col min="10492" max="10492" width="16.5" style="2" customWidth="1"/>
    <col min="10493" max="10493" width="8.83203125" style="2"/>
    <col min="10494" max="10494" width="16.5" style="2" customWidth="1"/>
    <col min="10495" max="10746" width="8.83203125" style="2"/>
    <col min="10747" max="10747" width="22.83203125" style="2" customWidth="1"/>
    <col min="10748" max="10748" width="16.5" style="2" customWidth="1"/>
    <col min="10749" max="10749" width="8.83203125" style="2"/>
    <col min="10750" max="10750" width="16.5" style="2" customWidth="1"/>
    <col min="10751" max="11002" width="8.83203125" style="2"/>
    <col min="11003" max="11003" width="22.83203125" style="2" customWidth="1"/>
    <col min="11004" max="11004" width="16.5" style="2" customWidth="1"/>
    <col min="11005" max="11005" width="8.83203125" style="2"/>
    <col min="11006" max="11006" width="16.5" style="2" customWidth="1"/>
    <col min="11007" max="11258" width="8.83203125" style="2"/>
    <col min="11259" max="11259" width="22.83203125" style="2" customWidth="1"/>
    <col min="11260" max="11260" width="16.5" style="2" customWidth="1"/>
    <col min="11261" max="11261" width="8.83203125" style="2"/>
    <col min="11262" max="11262" width="16.5" style="2" customWidth="1"/>
    <col min="11263" max="11514" width="8.83203125" style="2"/>
    <col min="11515" max="11515" width="22.83203125" style="2" customWidth="1"/>
    <col min="11516" max="11516" width="16.5" style="2" customWidth="1"/>
    <col min="11517" max="11517" width="8.83203125" style="2"/>
    <col min="11518" max="11518" width="16.5" style="2" customWidth="1"/>
    <col min="11519" max="11770" width="8.83203125" style="2"/>
    <col min="11771" max="11771" width="22.83203125" style="2" customWidth="1"/>
    <col min="11772" max="11772" width="16.5" style="2" customWidth="1"/>
    <col min="11773" max="11773" width="8.83203125" style="2"/>
    <col min="11774" max="11774" width="16.5" style="2" customWidth="1"/>
    <col min="11775" max="12026" width="8.83203125" style="2"/>
    <col min="12027" max="12027" width="22.83203125" style="2" customWidth="1"/>
    <col min="12028" max="12028" width="16.5" style="2" customWidth="1"/>
    <col min="12029" max="12029" width="8.83203125" style="2"/>
    <col min="12030" max="12030" width="16.5" style="2" customWidth="1"/>
    <col min="12031" max="12282" width="8.83203125" style="2"/>
    <col min="12283" max="12283" width="22.83203125" style="2" customWidth="1"/>
    <col min="12284" max="12284" width="16.5" style="2" customWidth="1"/>
    <col min="12285" max="12285" width="8.83203125" style="2"/>
    <col min="12286" max="12286" width="16.5" style="2" customWidth="1"/>
    <col min="12287" max="12538" width="8.83203125" style="2"/>
    <col min="12539" max="12539" width="22.83203125" style="2" customWidth="1"/>
    <col min="12540" max="12540" width="16.5" style="2" customWidth="1"/>
    <col min="12541" max="12541" width="8.83203125" style="2"/>
    <col min="12542" max="12542" width="16.5" style="2" customWidth="1"/>
    <col min="12543" max="12794" width="8.83203125" style="2"/>
    <col min="12795" max="12795" width="22.83203125" style="2" customWidth="1"/>
    <col min="12796" max="12796" width="16.5" style="2" customWidth="1"/>
    <col min="12797" max="12797" width="8.83203125" style="2"/>
    <col min="12798" max="12798" width="16.5" style="2" customWidth="1"/>
    <col min="12799" max="13050" width="8.83203125" style="2"/>
    <col min="13051" max="13051" width="22.83203125" style="2" customWidth="1"/>
    <col min="13052" max="13052" width="16.5" style="2" customWidth="1"/>
    <col min="13053" max="13053" width="8.83203125" style="2"/>
    <col min="13054" max="13054" width="16.5" style="2" customWidth="1"/>
    <col min="13055" max="13306" width="8.83203125" style="2"/>
    <col min="13307" max="13307" width="22.83203125" style="2" customWidth="1"/>
    <col min="13308" max="13308" width="16.5" style="2" customWidth="1"/>
    <col min="13309" max="13309" width="8.83203125" style="2"/>
    <col min="13310" max="13310" width="16.5" style="2" customWidth="1"/>
    <col min="13311" max="13562" width="8.83203125" style="2"/>
    <col min="13563" max="13563" width="22.83203125" style="2" customWidth="1"/>
    <col min="13564" max="13564" width="16.5" style="2" customWidth="1"/>
    <col min="13565" max="13565" width="8.83203125" style="2"/>
    <col min="13566" max="13566" width="16.5" style="2" customWidth="1"/>
    <col min="13567" max="13818" width="8.83203125" style="2"/>
    <col min="13819" max="13819" width="22.83203125" style="2" customWidth="1"/>
    <col min="13820" max="13820" width="16.5" style="2" customWidth="1"/>
    <col min="13821" max="13821" width="8.83203125" style="2"/>
    <col min="13822" max="13822" width="16.5" style="2" customWidth="1"/>
    <col min="13823" max="14074" width="8.83203125" style="2"/>
    <col min="14075" max="14075" width="22.83203125" style="2" customWidth="1"/>
    <col min="14076" max="14076" width="16.5" style="2" customWidth="1"/>
    <col min="14077" max="14077" width="8.83203125" style="2"/>
    <col min="14078" max="14078" width="16.5" style="2" customWidth="1"/>
    <col min="14079" max="14330" width="8.83203125" style="2"/>
    <col min="14331" max="14331" width="22.83203125" style="2" customWidth="1"/>
    <col min="14332" max="14332" width="16.5" style="2" customWidth="1"/>
    <col min="14333" max="14333" width="8.83203125" style="2"/>
    <col min="14334" max="14334" width="16.5" style="2" customWidth="1"/>
    <col min="14335" max="14586" width="8.83203125" style="2"/>
    <col min="14587" max="14587" width="22.83203125" style="2" customWidth="1"/>
    <col min="14588" max="14588" width="16.5" style="2" customWidth="1"/>
    <col min="14589" max="14589" width="8.83203125" style="2"/>
    <col min="14590" max="14590" width="16.5" style="2" customWidth="1"/>
    <col min="14591" max="14842" width="8.83203125" style="2"/>
    <col min="14843" max="14843" width="22.83203125" style="2" customWidth="1"/>
    <col min="14844" max="14844" width="16.5" style="2" customWidth="1"/>
    <col min="14845" max="14845" width="8.83203125" style="2"/>
    <col min="14846" max="14846" width="16.5" style="2" customWidth="1"/>
    <col min="14847" max="15098" width="8.83203125" style="2"/>
    <col min="15099" max="15099" width="22.83203125" style="2" customWidth="1"/>
    <col min="15100" max="15100" width="16.5" style="2" customWidth="1"/>
    <col min="15101" max="15101" width="8.83203125" style="2"/>
    <col min="15102" max="15102" width="16.5" style="2" customWidth="1"/>
    <col min="15103" max="15354" width="8.83203125" style="2"/>
    <col min="15355" max="15355" width="22.83203125" style="2" customWidth="1"/>
    <col min="15356" max="15356" width="16.5" style="2" customWidth="1"/>
    <col min="15357" max="15357" width="8.83203125" style="2"/>
    <col min="15358" max="15358" width="16.5" style="2" customWidth="1"/>
    <col min="15359" max="15610" width="8.83203125" style="2"/>
    <col min="15611" max="15611" width="22.83203125" style="2" customWidth="1"/>
    <col min="15612" max="15612" width="16.5" style="2" customWidth="1"/>
    <col min="15613" max="15613" width="8.83203125" style="2"/>
    <col min="15614" max="15614" width="16.5" style="2" customWidth="1"/>
    <col min="15615" max="15866" width="8.83203125" style="2"/>
    <col min="15867" max="15867" width="22.83203125" style="2" customWidth="1"/>
    <col min="15868" max="15868" width="16.5" style="2" customWidth="1"/>
    <col min="15869" max="15869" width="8.83203125" style="2"/>
    <col min="15870" max="15870" width="16.5" style="2" customWidth="1"/>
    <col min="15871" max="16122" width="8.83203125" style="2"/>
    <col min="16123" max="16123" width="22.83203125" style="2" customWidth="1"/>
    <col min="16124" max="16124" width="16.5" style="2" customWidth="1"/>
    <col min="16125" max="16125" width="8.83203125" style="2"/>
    <col min="16126" max="16126" width="16.5" style="2" customWidth="1"/>
    <col min="16127" max="16384" width="8.83203125" style="2"/>
  </cols>
  <sheetData>
    <row r="1" spans="1:9" x14ac:dyDescent="0.2">
      <c r="A1" s="47" t="s">
        <v>51</v>
      </c>
    </row>
    <row r="3" spans="1:9" x14ac:dyDescent="0.2">
      <c r="A3" s="12" t="s">
        <v>9</v>
      </c>
      <c r="B3" s="1"/>
      <c r="C3" s="1"/>
      <c r="D3" s="12" t="s">
        <v>10</v>
      </c>
      <c r="E3" s="1"/>
      <c r="F3" s="1"/>
      <c r="H3" s="1"/>
    </row>
    <row r="4" spans="1:9" x14ac:dyDescent="0.2">
      <c r="A4" s="8" t="s">
        <v>2</v>
      </c>
      <c r="B4" s="33">
        <v>320</v>
      </c>
      <c r="C4" s="1"/>
      <c r="D4" s="8"/>
      <c r="E4" s="5" t="s">
        <v>11</v>
      </c>
      <c r="F4" s="5" t="s">
        <v>12</v>
      </c>
      <c r="H4" s="3"/>
      <c r="I4" s="3"/>
    </row>
    <row r="5" spans="1:9" x14ac:dyDescent="0.2">
      <c r="A5" s="30"/>
      <c r="B5" s="30"/>
      <c r="C5" s="1"/>
      <c r="D5" s="8" t="s">
        <v>13</v>
      </c>
      <c r="E5" s="35">
        <v>1.5</v>
      </c>
      <c r="F5" s="35">
        <v>2</v>
      </c>
      <c r="H5" s="3"/>
      <c r="I5" s="3"/>
    </row>
    <row r="6" spans="1:9" x14ac:dyDescent="0.2">
      <c r="A6" s="31"/>
      <c r="B6" s="31"/>
      <c r="C6" s="1"/>
      <c r="D6" s="8" t="s">
        <v>14</v>
      </c>
      <c r="E6" s="36">
        <v>15</v>
      </c>
      <c r="F6" s="36">
        <v>25</v>
      </c>
      <c r="H6" s="3"/>
      <c r="I6" s="3"/>
    </row>
    <row r="7" spans="1:9" x14ac:dyDescent="0.2">
      <c r="A7" s="1"/>
      <c r="B7" s="1"/>
      <c r="C7" s="1"/>
      <c r="D7" s="1"/>
      <c r="E7" s="1"/>
      <c r="F7" s="1"/>
    </row>
    <row r="8" spans="1:9" x14ac:dyDescent="0.2">
      <c r="A8" s="13" t="s">
        <v>15</v>
      </c>
      <c r="B8" s="11"/>
      <c r="C8" s="1"/>
      <c r="D8" s="1"/>
      <c r="E8" s="1"/>
      <c r="F8" s="1"/>
    </row>
    <row r="9" spans="1:9" x14ac:dyDescent="0.2">
      <c r="A9" s="8" t="s">
        <v>5</v>
      </c>
      <c r="B9" s="87">
        <v>1416439496.28</v>
      </c>
      <c r="C9" s="1"/>
      <c r="D9" s="1"/>
      <c r="E9" s="9"/>
      <c r="F9" s="1"/>
    </row>
    <row r="10" spans="1:9" x14ac:dyDescent="0.2">
      <c r="A10" s="8" t="s">
        <v>6</v>
      </c>
      <c r="B10" s="34">
        <v>-2.62</v>
      </c>
      <c r="C10" s="1"/>
      <c r="D10" s="1"/>
      <c r="E10" s="1"/>
    </row>
    <row r="11" spans="1:9" x14ac:dyDescent="0.2">
      <c r="A11" s="1"/>
      <c r="B11" s="1"/>
      <c r="C11" s="1"/>
      <c r="D11" s="1"/>
      <c r="E11" s="1"/>
    </row>
    <row r="12" spans="1:9" x14ac:dyDescent="0.2">
      <c r="A12" s="12" t="s">
        <v>16</v>
      </c>
      <c r="B12" s="12"/>
      <c r="C12" s="12"/>
      <c r="D12" s="1"/>
      <c r="E12" s="1"/>
    </row>
    <row r="13" spans="1:9" x14ac:dyDescent="0.2">
      <c r="A13" s="8" t="s">
        <v>0</v>
      </c>
      <c r="B13" s="85">
        <v>320</v>
      </c>
      <c r="C13" s="37" t="s">
        <v>44</v>
      </c>
      <c r="D13" s="1"/>
      <c r="E13" s="1"/>
    </row>
    <row r="14" spans="1:9" x14ac:dyDescent="0.2">
      <c r="A14" s="8" t="s">
        <v>1</v>
      </c>
      <c r="B14" s="86">
        <f>B9*B13^B10</f>
        <v>386.99476035724314</v>
      </c>
      <c r="C14" s="124" t="s">
        <v>45</v>
      </c>
      <c r="D14" s="125"/>
      <c r="E14" s="1"/>
    </row>
    <row r="15" spans="1:9" x14ac:dyDescent="0.2">
      <c r="A15" s="8" t="s">
        <v>17</v>
      </c>
      <c r="B15" s="10">
        <f>(B13-B4)*B14</f>
        <v>0</v>
      </c>
      <c r="C15" s="14"/>
      <c r="D15" s="1"/>
      <c r="E15" s="1"/>
    </row>
    <row r="16" spans="1:9" x14ac:dyDescent="0.2">
      <c r="A16" s="8" t="s">
        <v>18</v>
      </c>
      <c r="B16" s="10">
        <f>SUMPRODUCT(E6:F6,E5:F5)*B14</f>
        <v>28057.120125900128</v>
      </c>
      <c r="C16" s="15"/>
      <c r="D16" s="1"/>
      <c r="E16" s="1"/>
    </row>
    <row r="17" spans="1:5" x14ac:dyDescent="0.2">
      <c r="A17" s="8" t="s">
        <v>19</v>
      </c>
      <c r="B17" s="16">
        <f>SUM(B15:B16)</f>
        <v>28057.120125900128</v>
      </c>
      <c r="C17" s="126" t="s">
        <v>46</v>
      </c>
      <c r="D17" s="125"/>
      <c r="E17" s="1"/>
    </row>
    <row r="18" spans="1:5" x14ac:dyDescent="0.2">
      <c r="A18" s="11"/>
      <c r="B18" s="42"/>
      <c r="C18" s="45"/>
      <c r="D18" s="41"/>
      <c r="E18" s="1"/>
    </row>
    <row r="19" spans="1:5" x14ac:dyDescent="0.2">
      <c r="A19" s="11" t="s">
        <v>22</v>
      </c>
      <c r="B19" s="42"/>
      <c r="C19" s="37"/>
      <c r="D19" s="11"/>
      <c r="E19" s="1"/>
    </row>
    <row r="20" spans="1:5" x14ac:dyDescent="0.2">
      <c r="A20" s="8" t="s">
        <v>48</v>
      </c>
      <c r="B20" s="43">
        <f>B13</f>
        <v>320</v>
      </c>
      <c r="C20" s="44" t="s">
        <v>49</v>
      </c>
      <c r="D20" s="46">
        <f>B4</f>
        <v>320</v>
      </c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2" t="s">
        <v>4</v>
      </c>
      <c r="B22" s="1"/>
      <c r="C22" s="1"/>
      <c r="D22" s="1"/>
      <c r="E22" s="1"/>
    </row>
    <row r="23" spans="1:5" x14ac:dyDescent="0.2">
      <c r="A23" s="5" t="s">
        <v>0</v>
      </c>
      <c r="B23" s="5" t="s">
        <v>3</v>
      </c>
      <c r="C23" s="1"/>
      <c r="D23" s="1"/>
      <c r="E23" s="1"/>
    </row>
    <row r="24" spans="1:5" x14ac:dyDescent="0.2">
      <c r="A24" s="7">
        <v>300</v>
      </c>
      <c r="B24" s="6">
        <f t="shared" ref="B24:B44" si="0">(A24-$B$4)*($B$9*A24^$B$10)+(SUMPRODUCT($E$6:$F$6*$E$5:$F$5)*($B$9*A24^$B$10))</f>
        <v>24060.222778800522</v>
      </c>
      <c r="C24" s="1"/>
      <c r="D24" s="1"/>
      <c r="E24" s="1"/>
    </row>
    <row r="25" spans="1:5" x14ac:dyDescent="0.2">
      <c r="A25" s="7">
        <v>310</v>
      </c>
      <c r="B25" s="6">
        <f t="shared" si="0"/>
        <v>26285.1468516184</v>
      </c>
      <c r="C25" s="1"/>
      <c r="D25" s="1"/>
      <c r="E25" s="1"/>
    </row>
    <row r="26" spans="1:5" x14ac:dyDescent="0.2">
      <c r="A26" s="7">
        <v>320</v>
      </c>
      <c r="B26" s="6">
        <f t="shared" si="0"/>
        <v>28057.120125900128</v>
      </c>
      <c r="C26" s="1"/>
      <c r="D26" s="1"/>
      <c r="E26" s="1"/>
    </row>
    <row r="27" spans="1:5" x14ac:dyDescent="0.2">
      <c r="A27" s="7">
        <v>330</v>
      </c>
      <c r="B27" s="6">
        <f t="shared" si="0"/>
        <v>29454.079471629077</v>
      </c>
      <c r="C27" s="1"/>
      <c r="D27" s="1"/>
      <c r="E27" s="1"/>
    </row>
    <row r="28" spans="1:5" x14ac:dyDescent="0.2">
      <c r="A28" s="7">
        <v>340</v>
      </c>
      <c r="B28" s="6">
        <f t="shared" si="0"/>
        <v>30539.716296819275</v>
      </c>
      <c r="C28" s="1"/>
      <c r="D28" s="1"/>
      <c r="E28" s="1"/>
    </row>
    <row r="29" spans="1:5" x14ac:dyDescent="0.2">
      <c r="A29" s="7">
        <v>350</v>
      </c>
      <c r="B29" s="6">
        <f t="shared" si="0"/>
        <v>31366.32350829224</v>
      </c>
      <c r="C29" s="1"/>
      <c r="D29" s="1"/>
      <c r="E29" s="1"/>
    </row>
    <row r="30" spans="1:5" x14ac:dyDescent="0.2">
      <c r="A30" s="7">
        <v>360</v>
      </c>
      <c r="B30" s="6">
        <f t="shared" si="0"/>
        <v>31977.020742753033</v>
      </c>
      <c r="C30" s="1"/>
      <c r="D30" s="1"/>
      <c r="E30" s="1"/>
    </row>
    <row r="31" spans="1:5" x14ac:dyDescent="0.2">
      <c r="A31" s="7">
        <v>370</v>
      </c>
      <c r="B31" s="6">
        <f t="shared" si="0"/>
        <v>32407.50523470468</v>
      </c>
      <c r="C31" s="1"/>
      <c r="D31" s="1"/>
      <c r="E31" s="1"/>
    </row>
    <row r="32" spans="1:5" x14ac:dyDescent="0.2">
      <c r="A32" s="7">
        <v>380</v>
      </c>
      <c r="B32" s="6">
        <f t="shared" si="0"/>
        <v>32687.438066421768</v>
      </c>
      <c r="C32" s="1"/>
      <c r="D32" s="1"/>
      <c r="E32" s="1"/>
    </row>
    <row r="33" spans="1:5" x14ac:dyDescent="0.2">
      <c r="A33" s="7">
        <v>390</v>
      </c>
      <c r="B33" s="6">
        <f t="shared" si="0"/>
        <v>32841.548193811832</v>
      </c>
      <c r="C33" s="1"/>
      <c r="D33" s="1"/>
      <c r="E33" s="1"/>
    </row>
    <row r="34" spans="1:5" x14ac:dyDescent="0.2">
      <c r="A34" s="7">
        <v>400</v>
      </c>
      <c r="B34" s="6">
        <f t="shared" si="0"/>
        <v>32890.516581984193</v>
      </c>
      <c r="C34" s="1"/>
      <c r="D34" s="1"/>
      <c r="E34" s="1"/>
    </row>
    <row r="35" spans="1:5" x14ac:dyDescent="0.2">
      <c r="A35" s="7">
        <v>410</v>
      </c>
      <c r="B35" s="6">
        <f t="shared" si="0"/>
        <v>32851.687949836814</v>
      </c>
    </row>
    <row r="36" spans="1:5" x14ac:dyDescent="0.2">
      <c r="A36" s="7">
        <v>420</v>
      </c>
      <c r="B36" s="88">
        <f t="shared" si="0"/>
        <v>32739.646566689851</v>
      </c>
    </row>
    <row r="37" spans="1:5" x14ac:dyDescent="0.2">
      <c r="A37" s="7">
        <v>430</v>
      </c>
      <c r="B37" s="6">
        <f t="shared" si="0"/>
        <v>32566.684242493917</v>
      </c>
    </row>
    <row r="38" spans="1:5" x14ac:dyDescent="0.2">
      <c r="A38" s="7">
        <v>440</v>
      </c>
      <c r="B38" s="6">
        <f t="shared" si="0"/>
        <v>32343.182376209872</v>
      </c>
    </row>
    <row r="39" spans="1:5" x14ac:dyDescent="0.2">
      <c r="A39" s="7">
        <v>450</v>
      </c>
      <c r="B39" s="6">
        <f t="shared" si="0"/>
        <v>32077.925149149713</v>
      </c>
    </row>
    <row r="40" spans="1:5" x14ac:dyDescent="0.2">
      <c r="A40" s="7">
        <v>460</v>
      </c>
      <c r="B40" s="6">
        <f t="shared" si="0"/>
        <v>31778.357290311094</v>
      </c>
    </row>
    <row r="41" spans="1:5" x14ac:dyDescent="0.2">
      <c r="A41" s="7">
        <v>470</v>
      </c>
      <c r="B41" s="6">
        <f t="shared" si="0"/>
        <v>31450.797020471113</v>
      </c>
    </row>
    <row r="42" spans="1:5" x14ac:dyDescent="0.2">
      <c r="A42" s="7">
        <v>480</v>
      </c>
      <c r="B42" s="6">
        <f t="shared" si="0"/>
        <v>31100.612595989609</v>
      </c>
    </row>
    <row r="43" spans="1:5" x14ac:dyDescent="0.2">
      <c r="A43" s="7">
        <v>490</v>
      </c>
      <c r="B43" s="6">
        <f t="shared" si="0"/>
        <v>30732.369169906655</v>
      </c>
    </row>
    <row r="44" spans="1:5" x14ac:dyDescent="0.2">
      <c r="A44" s="7">
        <v>500</v>
      </c>
      <c r="B44" s="6">
        <f t="shared" si="0"/>
        <v>30349.951353567849</v>
      </c>
    </row>
  </sheetData>
  <mergeCells count="2">
    <mergeCell ref="C14:D14"/>
    <mergeCell ref="C17:D17"/>
  </mergeCells>
  <conditionalFormatting sqref="B24:B44">
    <cfRule type="top10" dxfId="0" priority="3" rank="1"/>
  </conditionalFormatting>
  <printOptions headings="1" gridLines="1"/>
  <pageMargins left="0.75" right="0.75" top="1" bottom="1" header="0.5" footer="0.5"/>
  <pageSetup scale="72"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K21"/>
  <sheetViews>
    <sheetView workbookViewId="0">
      <selection activeCell="E23" sqref="E23"/>
    </sheetView>
  </sheetViews>
  <sheetFormatPr baseColWidth="10" defaultColWidth="8.83203125" defaultRowHeight="15" x14ac:dyDescent="0.2"/>
  <cols>
    <col min="12" max="12" width="3.83203125" customWidth="1"/>
  </cols>
  <sheetData>
    <row r="1" spans="1:11" x14ac:dyDescent="0.2">
      <c r="A1" s="49" t="s">
        <v>78</v>
      </c>
      <c r="K1" s="91" t="str">
        <f>CONCATENATE("Sensitivity of ",$K$4," to ","Unit Cost")</f>
        <v>Sensitivity of $B$17 to Unit Cost</v>
      </c>
    </row>
    <row r="3" spans="1:11" x14ac:dyDescent="0.2">
      <c r="A3" t="s">
        <v>84</v>
      </c>
      <c r="K3" t="s">
        <v>81</v>
      </c>
    </row>
    <row r="4" spans="1:11" ht="37" x14ac:dyDescent="0.2">
      <c r="B4" s="89" t="s">
        <v>79</v>
      </c>
      <c r="C4" s="89" t="s">
        <v>80</v>
      </c>
      <c r="J4" s="91">
        <f>MATCH($K$4,OutputAddresses,0)</f>
        <v>1</v>
      </c>
      <c r="K4" s="90" t="s">
        <v>79</v>
      </c>
    </row>
    <row r="5" spans="1:11" x14ac:dyDescent="0.2">
      <c r="A5" s="96">
        <v>160</v>
      </c>
      <c r="B5" s="92">
        <v>172481.27</v>
      </c>
      <c r="C5" s="93">
        <v>160</v>
      </c>
      <c r="K5">
        <f>INDEX(OutputValues,1,$J$4)</f>
        <v>172481.27</v>
      </c>
    </row>
    <row r="6" spans="1:11" x14ac:dyDescent="0.2">
      <c r="A6" s="96">
        <v>180</v>
      </c>
      <c r="B6" s="94">
        <v>126684.16</v>
      </c>
      <c r="C6" s="95">
        <v>180</v>
      </c>
      <c r="K6">
        <f>INDEX(OutputValues,2,$J$4)</f>
        <v>126684.16</v>
      </c>
    </row>
    <row r="7" spans="1:11" x14ac:dyDescent="0.2">
      <c r="A7" s="96">
        <v>200</v>
      </c>
      <c r="B7" s="94">
        <v>96324.49</v>
      </c>
      <c r="C7" s="95">
        <v>206.2</v>
      </c>
      <c r="K7">
        <f>INDEX(OutputValues,3,$J$4)</f>
        <v>96324.49</v>
      </c>
    </row>
    <row r="8" spans="1:11" x14ac:dyDescent="0.2">
      <c r="A8" s="96">
        <v>220</v>
      </c>
      <c r="B8" s="94">
        <v>76071.179999999993</v>
      </c>
      <c r="C8" s="95">
        <v>238.55</v>
      </c>
      <c r="K8">
        <f>INDEX(OutputValues,4,$J$4)</f>
        <v>76071.179999999993</v>
      </c>
    </row>
    <row r="9" spans="1:11" x14ac:dyDescent="0.2">
      <c r="A9" s="96">
        <v>240</v>
      </c>
      <c r="B9" s="94">
        <v>61909.78</v>
      </c>
      <c r="C9" s="95">
        <v>270.89999999999998</v>
      </c>
      <c r="K9">
        <f>INDEX(OutputValues,5,$J$4)</f>
        <v>61909.78</v>
      </c>
    </row>
    <row r="10" spans="1:11" x14ac:dyDescent="0.2">
      <c r="A10" s="96">
        <v>260</v>
      </c>
      <c r="B10" s="94">
        <v>51570.48</v>
      </c>
      <c r="C10" s="95">
        <v>303.24</v>
      </c>
      <c r="K10">
        <f>INDEX(OutputValues,6,$J$4)</f>
        <v>51570.48</v>
      </c>
    </row>
    <row r="11" spans="1:11" x14ac:dyDescent="0.2">
      <c r="A11" s="96">
        <v>280</v>
      </c>
      <c r="B11" s="94">
        <v>43761.67</v>
      </c>
      <c r="C11" s="95">
        <v>335.59</v>
      </c>
      <c r="K11">
        <f>INDEX(OutputValues,7,$J$4)</f>
        <v>43761.67</v>
      </c>
    </row>
    <row r="12" spans="1:11" x14ac:dyDescent="0.2">
      <c r="A12" s="96">
        <v>300</v>
      </c>
      <c r="B12" s="94">
        <v>37701.050000000003</v>
      </c>
      <c r="C12" s="95">
        <v>367.93</v>
      </c>
      <c r="K12">
        <f>INDEX(OutputValues,8,$J$4)</f>
        <v>37701.050000000003</v>
      </c>
    </row>
    <row r="13" spans="1:11" x14ac:dyDescent="0.2">
      <c r="A13" s="96">
        <v>320</v>
      </c>
      <c r="B13" s="94">
        <v>32890.57</v>
      </c>
      <c r="C13" s="95">
        <v>400.28</v>
      </c>
      <c r="K13">
        <f>INDEX(OutputValues,9,$J$4)</f>
        <v>32890.57</v>
      </c>
    </row>
    <row r="14" spans="1:11" x14ac:dyDescent="0.2">
      <c r="A14" s="96">
        <v>340</v>
      </c>
      <c r="B14" s="94">
        <v>29000.05</v>
      </c>
      <c r="C14" s="95">
        <v>432.62</v>
      </c>
      <c r="K14">
        <f>INDEX(OutputValues,10,$J$4)</f>
        <v>29000.05</v>
      </c>
    </row>
    <row r="15" spans="1:11" x14ac:dyDescent="0.2">
      <c r="A15" s="96">
        <v>360</v>
      </c>
      <c r="B15" s="94">
        <v>25802.99</v>
      </c>
      <c r="C15" s="95">
        <v>464.97</v>
      </c>
      <c r="K15">
        <f>INDEX(OutputValues,11,$J$4)</f>
        <v>25802.99</v>
      </c>
    </row>
    <row r="16" spans="1:11" x14ac:dyDescent="0.2">
      <c r="A16" s="96">
        <v>380</v>
      </c>
      <c r="B16" s="94">
        <v>23139.51</v>
      </c>
      <c r="C16" s="95">
        <v>497.31</v>
      </c>
      <c r="K16">
        <f>INDEX(OutputValues,12,$J$4)</f>
        <v>23139.51</v>
      </c>
    </row>
    <row r="17" spans="1:11" x14ac:dyDescent="0.2">
      <c r="A17" s="96">
        <v>400</v>
      </c>
      <c r="B17" s="94">
        <v>20893.97</v>
      </c>
      <c r="C17" s="95">
        <v>529.66</v>
      </c>
      <c r="K17">
        <f>INDEX(OutputValues,13,$J$4)</f>
        <v>20893.97</v>
      </c>
    </row>
    <row r="18" spans="1:11" x14ac:dyDescent="0.2">
      <c r="A18" s="96">
        <v>420</v>
      </c>
      <c r="B18" s="94">
        <v>18980.89</v>
      </c>
      <c r="C18" s="95">
        <v>562.01</v>
      </c>
      <c r="K18">
        <f>INDEX(OutputValues,14,$J$4)</f>
        <v>18980.89</v>
      </c>
    </row>
    <row r="19" spans="1:11" x14ac:dyDescent="0.2">
      <c r="A19" s="96">
        <v>440</v>
      </c>
      <c r="B19" s="94">
        <v>17335.900000000001</v>
      </c>
      <c r="C19" s="95">
        <v>594.35</v>
      </c>
      <c r="K19">
        <f>INDEX(OutputValues,15,$J$4)</f>
        <v>17335.900000000001</v>
      </c>
    </row>
    <row r="20" spans="1:11" x14ac:dyDescent="0.2">
      <c r="A20" s="96">
        <v>460</v>
      </c>
      <c r="B20" s="94">
        <v>15909.74</v>
      </c>
      <c r="C20" s="95">
        <v>626.70000000000005</v>
      </c>
      <c r="K20">
        <f>INDEX(OutputValues,16,$J$4)</f>
        <v>15909.74</v>
      </c>
    </row>
    <row r="21" spans="1:11" x14ac:dyDescent="0.2">
      <c r="A21" s="96">
        <v>480</v>
      </c>
      <c r="B21" s="97">
        <v>14664.14</v>
      </c>
      <c r="C21" s="98">
        <v>659.04</v>
      </c>
      <c r="K21">
        <f>INDEX(OutputValues,17,$J$4)</f>
        <v>14664.14</v>
      </c>
    </row>
  </sheetData>
  <dataValidations disablePrompts="1" count="1">
    <dataValidation type="list" allowBlank="1" showInputMessage="1" showErrorMessage="1" sqref="K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H18"/>
  <sheetViews>
    <sheetView zoomScale="120" zoomScaleNormal="120" workbookViewId="0">
      <selection activeCell="E23" sqref="E23"/>
    </sheetView>
  </sheetViews>
  <sheetFormatPr baseColWidth="10" defaultColWidth="8.83203125" defaultRowHeight="13" x14ac:dyDescent="0.15"/>
  <cols>
    <col min="1" max="1" width="32.5" style="17" customWidth="1"/>
    <col min="2" max="2" width="9.33203125" style="17" customWidth="1"/>
    <col min="3" max="3" width="11.5" style="17" customWidth="1"/>
    <col min="4" max="5" width="11.83203125" style="17" customWidth="1"/>
    <col min="6" max="6" width="14.6640625" style="17" customWidth="1"/>
    <col min="7" max="7" width="17.83203125" style="17" customWidth="1"/>
    <col min="8" max="8" width="10.83203125" style="17" customWidth="1"/>
    <col min="9" max="9" width="2.83203125" style="17" customWidth="1"/>
    <col min="10" max="16384" width="8.83203125" style="17"/>
  </cols>
  <sheetData>
    <row r="1" spans="1:8" x14ac:dyDescent="0.15">
      <c r="A1" s="47" t="s">
        <v>24</v>
      </c>
    </row>
    <row r="2" spans="1:8" ht="51.5" customHeight="1" x14ac:dyDescent="0.15">
      <c r="A2" s="28" t="s">
        <v>20</v>
      </c>
      <c r="B2" s="29"/>
      <c r="C2" s="20" t="s">
        <v>37</v>
      </c>
      <c r="D2" s="27" t="s">
        <v>36</v>
      </c>
      <c r="E2" s="27" t="s">
        <v>29</v>
      </c>
      <c r="F2" s="27" t="s">
        <v>28</v>
      </c>
      <c r="G2" s="27" t="s">
        <v>76</v>
      </c>
      <c r="H2" s="27" t="s">
        <v>39</v>
      </c>
    </row>
    <row r="3" spans="1:8" x14ac:dyDescent="0.15">
      <c r="A3" s="21" t="s">
        <v>41</v>
      </c>
      <c r="B3" s="22" t="s">
        <v>25</v>
      </c>
      <c r="C3" s="51">
        <v>1</v>
      </c>
      <c r="D3" s="38">
        <f>120+8*C3</f>
        <v>128</v>
      </c>
      <c r="E3" s="39">
        <v>100</v>
      </c>
      <c r="F3" s="39">
        <v>1</v>
      </c>
      <c r="G3" s="38"/>
      <c r="H3" s="39">
        <v>2</v>
      </c>
    </row>
    <row r="4" spans="1:8" x14ac:dyDescent="0.15">
      <c r="A4" s="21" t="s">
        <v>42</v>
      </c>
      <c r="B4" s="22" t="s">
        <v>26</v>
      </c>
      <c r="C4" s="51">
        <v>1</v>
      </c>
      <c r="D4" s="38">
        <f>200+10*C4+3*C3</f>
        <v>213</v>
      </c>
      <c r="E4" s="39">
        <v>80</v>
      </c>
      <c r="F4" s="39">
        <v>3</v>
      </c>
      <c r="G4" s="38">
        <v>1.1499999999999999</v>
      </c>
      <c r="H4" s="40">
        <v>2.5</v>
      </c>
    </row>
    <row r="5" spans="1:8" x14ac:dyDescent="0.15">
      <c r="A5" s="21" t="s">
        <v>43</v>
      </c>
      <c r="B5" s="22" t="s">
        <v>27</v>
      </c>
      <c r="C5" s="51">
        <v>1</v>
      </c>
      <c r="D5" s="38">
        <f>95+9*C5</f>
        <v>104</v>
      </c>
      <c r="E5" s="39">
        <v>60</v>
      </c>
      <c r="F5" s="39">
        <v>2</v>
      </c>
      <c r="G5" s="38"/>
      <c r="H5" s="39">
        <v>2</v>
      </c>
    </row>
    <row r="6" spans="1:8" x14ac:dyDescent="0.15">
      <c r="A6" s="21" t="s">
        <v>38</v>
      </c>
      <c r="B6" s="23"/>
      <c r="C6" s="24"/>
      <c r="D6" s="25"/>
      <c r="E6" s="25"/>
      <c r="F6" s="39">
        <v>420</v>
      </c>
      <c r="G6" s="39">
        <v>90</v>
      </c>
      <c r="H6" s="39">
        <v>1150</v>
      </c>
    </row>
    <row r="7" spans="1:8" x14ac:dyDescent="0.15">
      <c r="A7" s="21" t="s">
        <v>40</v>
      </c>
      <c r="B7" s="23"/>
      <c r="C7" s="38">
        <f>2+0.001*(C3+C4+C5)</f>
        <v>2.0030000000000001</v>
      </c>
      <c r="D7" s="25"/>
      <c r="E7" s="25"/>
      <c r="F7" s="25"/>
      <c r="G7" s="25"/>
      <c r="H7" s="18"/>
    </row>
    <row r="8" spans="1:8" x14ac:dyDescent="0.15">
      <c r="A8" s="21"/>
      <c r="B8" s="23"/>
      <c r="C8" s="24"/>
      <c r="D8" s="25"/>
      <c r="E8" s="25"/>
      <c r="F8" s="25"/>
      <c r="G8" s="25"/>
      <c r="H8" s="25"/>
    </row>
    <row r="9" spans="1:8" x14ac:dyDescent="0.15">
      <c r="A9" s="28" t="s">
        <v>21</v>
      </c>
      <c r="B9" s="21"/>
      <c r="C9" s="21"/>
      <c r="D9" s="21"/>
      <c r="E9" s="21"/>
      <c r="F9" s="21"/>
      <c r="G9" s="21"/>
      <c r="H9" s="21"/>
    </row>
    <row r="10" spans="1:8" x14ac:dyDescent="0.15">
      <c r="A10" s="21" t="s">
        <v>47</v>
      </c>
      <c r="B10" s="21"/>
      <c r="C10" s="67">
        <f>SUMPRODUCT(D3:D5*C3:C5)</f>
        <v>445</v>
      </c>
      <c r="D10" s="21"/>
      <c r="E10" s="21"/>
      <c r="F10" s="18"/>
      <c r="G10" s="18"/>
      <c r="H10" s="18"/>
    </row>
    <row r="11" spans="1:8" x14ac:dyDescent="0.15">
      <c r="A11" s="21"/>
      <c r="B11" s="21"/>
      <c r="C11" s="21"/>
      <c r="D11" s="21"/>
      <c r="E11" s="21"/>
      <c r="F11" s="18"/>
      <c r="G11" s="26"/>
      <c r="H11" s="26"/>
    </row>
    <row r="12" spans="1:8" x14ac:dyDescent="0.15">
      <c r="A12" s="19" t="s">
        <v>22</v>
      </c>
      <c r="B12" s="21"/>
      <c r="C12" s="21"/>
      <c r="D12" s="21"/>
      <c r="E12" s="21"/>
      <c r="F12" s="18"/>
      <c r="G12" s="18"/>
      <c r="H12" s="18"/>
    </row>
    <row r="13" spans="1:8" x14ac:dyDescent="0.15">
      <c r="A13" s="21" t="s">
        <v>30</v>
      </c>
      <c r="B13" s="62">
        <f>C3</f>
        <v>1</v>
      </c>
      <c r="C13" s="22" t="s">
        <v>23</v>
      </c>
      <c r="D13" s="63">
        <f>E3</f>
        <v>100</v>
      </c>
      <c r="E13" s="32"/>
      <c r="F13" s="18"/>
      <c r="G13" s="18"/>
      <c r="H13" s="18"/>
    </row>
    <row r="14" spans="1:8" x14ac:dyDescent="0.15">
      <c r="A14" s="21" t="s">
        <v>31</v>
      </c>
      <c r="B14" s="62">
        <f>C4</f>
        <v>1</v>
      </c>
      <c r="C14" s="22" t="s">
        <v>23</v>
      </c>
      <c r="D14" s="63">
        <f>E4</f>
        <v>80</v>
      </c>
      <c r="E14" s="32"/>
      <c r="F14" s="18"/>
      <c r="G14" s="18"/>
      <c r="H14" s="18"/>
    </row>
    <row r="15" spans="1:8" x14ac:dyDescent="0.15">
      <c r="A15" s="21" t="s">
        <v>32</v>
      </c>
      <c r="B15" s="62">
        <f>C5</f>
        <v>1</v>
      </c>
      <c r="C15" s="22" t="s">
        <v>23</v>
      </c>
      <c r="D15" s="63">
        <f>E5</f>
        <v>60</v>
      </c>
      <c r="E15" s="32"/>
      <c r="F15" s="18"/>
      <c r="G15" s="18"/>
      <c r="H15" s="18"/>
    </row>
    <row r="16" spans="1:8" x14ac:dyDescent="0.15">
      <c r="A16" s="21" t="s">
        <v>33</v>
      </c>
      <c r="B16" s="62">
        <f>SUMPRODUCT(F3:F5*C3:C5)</f>
        <v>6</v>
      </c>
      <c r="C16" s="22" t="s">
        <v>23</v>
      </c>
      <c r="D16" s="63">
        <f>F6</f>
        <v>420</v>
      </c>
      <c r="E16" s="32"/>
      <c r="F16" s="18"/>
      <c r="G16" s="18"/>
      <c r="H16" s="18"/>
    </row>
    <row r="17" spans="1:8" x14ac:dyDescent="0.15">
      <c r="A17" s="21" t="s">
        <v>34</v>
      </c>
      <c r="B17" s="62">
        <f>SUMPRODUCT(G3:G5*C3:C5)</f>
        <v>1.1499999999999999</v>
      </c>
      <c r="C17" s="22" t="s">
        <v>23</v>
      </c>
      <c r="D17" s="63">
        <f>G6</f>
        <v>90</v>
      </c>
      <c r="E17" s="32"/>
      <c r="F17" s="18"/>
      <c r="G17" s="18"/>
      <c r="H17" s="18"/>
    </row>
    <row r="18" spans="1:8" x14ac:dyDescent="0.15">
      <c r="A18" s="21" t="s">
        <v>35</v>
      </c>
      <c r="B18" s="62">
        <f>SUMPRODUCT(H3:H5*C3:C5)*C7</f>
        <v>13.019500000000001</v>
      </c>
      <c r="C18" s="22" t="s">
        <v>23</v>
      </c>
      <c r="D18" s="63">
        <f>H6</f>
        <v>1150</v>
      </c>
      <c r="E18" s="32"/>
      <c r="F18" s="18"/>
      <c r="G18" s="18"/>
      <c r="H18" s="18"/>
    </row>
  </sheetData>
  <pageMargins left="0.75" right="0.75" top="1" bottom="1" header="0.5" footer="0.5"/>
  <headerFooter alignWithMargins="0"/>
  <ignoredErrors>
    <ignoredError sqref="B16:B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Ans 1</vt:lpstr>
      <vt:lpstr>Ans 2</vt:lpstr>
      <vt:lpstr>Ans 2 (2)</vt:lpstr>
      <vt:lpstr>Ans 3</vt:lpstr>
      <vt:lpstr>Ans 4</vt:lpstr>
      <vt:lpstr>Sheet9</vt:lpstr>
      <vt:lpstr>Sullivans_profit</vt:lpstr>
      <vt:lpstr>Sullivans_SolverTable</vt:lpstr>
      <vt:lpstr>Pickens</vt:lpstr>
      <vt:lpstr>Pickens_SolverTable</vt:lpstr>
      <vt:lpstr>Warehouse</vt:lpstr>
      <vt:lpstr>Warehouse_const</vt:lpstr>
      <vt:lpstr>Pickens_SolverTable!ChartData</vt:lpstr>
      <vt:lpstr>Sullivans_SolverTable!ChartData</vt:lpstr>
      <vt:lpstr>Pickens_SolverTable!InputValues</vt:lpstr>
      <vt:lpstr>Sullivans_SolverTable!InputValues</vt:lpstr>
      <vt:lpstr>Pickens_SolverTable!OutputAddresses</vt:lpstr>
      <vt:lpstr>Sullivans_SolverTable!OutputAddresses</vt:lpstr>
      <vt:lpstr>Pickens_SolverTable!OutputValues</vt:lpstr>
      <vt:lpstr>Sullivans_SolverTable!OutputValues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Ajay  Kumar</cp:lastModifiedBy>
  <cp:lastPrinted>2007-10-03T17:09:56Z</cp:lastPrinted>
  <dcterms:created xsi:type="dcterms:W3CDTF">2007-05-15T20:24:44Z</dcterms:created>
  <dcterms:modified xsi:type="dcterms:W3CDTF">2022-04-29T00:33:04Z</dcterms:modified>
</cp:coreProperties>
</file>