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/>
  <mc:AlternateContent xmlns:mc="http://schemas.openxmlformats.org/markup-compatibility/2006">
    <mc:Choice Requires="x15">
      <x15ac:absPath xmlns:x15ac="http://schemas.microsoft.com/office/spreadsheetml/2010/11/ac" url="https://poemindia1.sharepoint.com/sites/POEMSOLUTIONS/ALTR USA/ALTR USA Jewelry/2025/Altr MSL Repricing and tagging/Costing/"/>
    </mc:Choice>
  </mc:AlternateContent>
  <xr:revisionPtr revIDLastSave="57" documentId="13_ncr:1_{3D18929F-9241-4588-892A-9D9C7190F8B1}" xr6:coauthVersionLast="47" xr6:coauthVersionMax="47" xr10:uidLastSave="{49DB4AC0-CCC0-42EE-8A51-CF06004E21C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Sheet1!$A$2:$AC$145</definedName>
    <definedName name="ASM">#REF!</definedName>
    <definedName name="GRA">#REF!</definedName>
    <definedName name="POOJA">#REF!</definedName>
    <definedName name="_xlnm.Print_Area" localSheetId="0">Sheet1!$A:$AB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5" i="1" l="1"/>
  <c r="AG114" i="1"/>
  <c r="AG103" i="1"/>
  <c r="AG92" i="1"/>
  <c r="AG81" i="1"/>
  <c r="AG70" i="1"/>
  <c r="AG59" i="1"/>
  <c r="AG48" i="1"/>
  <c r="AG37" i="1"/>
  <c r="AG15" i="1"/>
  <c r="AE125" i="1"/>
  <c r="AE114" i="1"/>
  <c r="AE103" i="1"/>
  <c r="AE92" i="1"/>
  <c r="AE81" i="1"/>
  <c r="AE70" i="1"/>
  <c r="AE59" i="1"/>
  <c r="AE48" i="1"/>
  <c r="AE37" i="1"/>
  <c r="AE15" i="1"/>
  <c r="AG4" i="1"/>
  <c r="AE4" i="1"/>
  <c r="P138" i="1"/>
  <c r="P137" i="1"/>
  <c r="P136" i="1"/>
  <c r="P125" i="1"/>
  <c r="P116" i="1"/>
  <c r="P115" i="1"/>
  <c r="P114" i="1"/>
  <c r="P105" i="1"/>
  <c r="P104" i="1"/>
  <c r="P103" i="1"/>
  <c r="P92" i="1"/>
  <c r="P81" i="1"/>
  <c r="P70" i="1"/>
  <c r="P59" i="1"/>
  <c r="P48" i="1"/>
  <c r="P37" i="1"/>
  <c r="P28" i="1"/>
  <c r="P27" i="1"/>
  <c r="P26" i="1"/>
  <c r="P15" i="1"/>
  <c r="P8" i="1"/>
  <c r="P7" i="1"/>
  <c r="P6" i="1"/>
  <c r="P5" i="1"/>
  <c r="P4" i="1"/>
  <c r="Z11" i="1"/>
  <c r="AA6" i="1"/>
  <c r="R12" i="1"/>
  <c r="J12" i="1"/>
  <c r="U8" i="1"/>
  <c r="U7" i="1"/>
  <c r="U6" i="1"/>
  <c r="U5" i="1"/>
  <c r="U4" i="1"/>
  <c r="H3" i="1"/>
  <c r="I3" i="1" s="1"/>
  <c r="AC3" i="1" s="1"/>
  <c r="AD4" i="1" s="1"/>
  <c r="O4" i="1"/>
  <c r="O8" i="1"/>
  <c r="Q8" i="1" s="1"/>
  <c r="O7" i="1"/>
  <c r="Q7" i="1" s="1"/>
  <c r="O6" i="1"/>
  <c r="Q6" i="1" s="1"/>
  <c r="O5" i="1"/>
  <c r="C138" i="1"/>
  <c r="C137" i="1"/>
  <c r="C127" i="1"/>
  <c r="C126" i="1"/>
  <c r="C116" i="1"/>
  <c r="C115" i="1"/>
  <c r="C105" i="1"/>
  <c r="C104" i="1"/>
  <c r="C94" i="1"/>
  <c r="C93" i="1"/>
  <c r="C83" i="1"/>
  <c r="C82" i="1"/>
  <c r="C72" i="1"/>
  <c r="C71" i="1"/>
  <c r="C61" i="1"/>
  <c r="C60" i="1"/>
  <c r="C50" i="1"/>
  <c r="C49" i="1"/>
  <c r="C39" i="1"/>
  <c r="C38" i="1"/>
  <c r="C28" i="1"/>
  <c r="C27" i="1"/>
  <c r="C17" i="1"/>
  <c r="C16" i="1"/>
  <c r="Q135" i="1"/>
  <c r="Q124" i="1"/>
  <c r="Q113" i="1"/>
  <c r="Q102" i="1"/>
  <c r="Q91" i="1"/>
  <c r="Q80" i="1"/>
  <c r="Q69" i="1"/>
  <c r="Q58" i="1"/>
  <c r="Q47" i="1"/>
  <c r="Q36" i="1"/>
  <c r="Q25" i="1"/>
  <c r="Q14" i="1"/>
  <c r="O137" i="1"/>
  <c r="O136" i="1"/>
  <c r="O125" i="1"/>
  <c r="O133" i="1" s="1"/>
  <c r="O116" i="1"/>
  <c r="O115" i="1"/>
  <c r="O104" i="1"/>
  <c r="O105" i="1"/>
  <c r="O103" i="1"/>
  <c r="O92" i="1"/>
  <c r="O70" i="1"/>
  <c r="O78" i="1" s="1"/>
  <c r="O59" i="1"/>
  <c r="O67" i="1" s="1"/>
  <c r="O48" i="1"/>
  <c r="O56" i="1" s="1"/>
  <c r="H14" i="1"/>
  <c r="I14" i="1" s="1"/>
  <c r="U14" i="1"/>
  <c r="O15" i="1"/>
  <c r="O23" i="1" s="1"/>
  <c r="U15" i="1"/>
  <c r="Z22" i="1"/>
  <c r="J23" i="1"/>
  <c r="R23" i="1"/>
  <c r="H25" i="1"/>
  <c r="I25" i="1" s="1"/>
  <c r="U25" i="1"/>
  <c r="O26" i="1"/>
  <c r="U26" i="1"/>
  <c r="O27" i="1"/>
  <c r="U27" i="1"/>
  <c r="O28" i="1"/>
  <c r="U28" i="1"/>
  <c r="Z33" i="1"/>
  <c r="J34" i="1"/>
  <c r="R34" i="1"/>
  <c r="H36" i="1"/>
  <c r="I36" i="1" s="1"/>
  <c r="U36" i="1"/>
  <c r="O37" i="1"/>
  <c r="O45" i="1" s="1"/>
  <c r="U37" i="1"/>
  <c r="Z44" i="1"/>
  <c r="J45" i="1"/>
  <c r="R45" i="1"/>
  <c r="H47" i="1"/>
  <c r="I47" i="1" s="1"/>
  <c r="AC47" i="1" s="1"/>
  <c r="AD48" i="1" s="1"/>
  <c r="U47" i="1"/>
  <c r="U48" i="1"/>
  <c r="Z55" i="1"/>
  <c r="J56" i="1"/>
  <c r="R56" i="1"/>
  <c r="H58" i="1"/>
  <c r="I58" i="1" s="1"/>
  <c r="AC58" i="1" s="1"/>
  <c r="AD59" i="1" s="1"/>
  <c r="U58" i="1"/>
  <c r="U59" i="1"/>
  <c r="Z66" i="1"/>
  <c r="J67" i="1"/>
  <c r="R67" i="1"/>
  <c r="H69" i="1"/>
  <c r="I69" i="1" s="1"/>
  <c r="AC69" i="1" s="1"/>
  <c r="AD70" i="1" s="1"/>
  <c r="U69" i="1"/>
  <c r="U70" i="1"/>
  <c r="Z77" i="1"/>
  <c r="J78" i="1"/>
  <c r="R78" i="1"/>
  <c r="H80" i="1"/>
  <c r="I80" i="1" s="1"/>
  <c r="AC80" i="1" s="1"/>
  <c r="AD81" i="1" s="1"/>
  <c r="U80" i="1"/>
  <c r="O81" i="1"/>
  <c r="O89" i="1" s="1"/>
  <c r="U81" i="1"/>
  <c r="Z88" i="1"/>
  <c r="J89" i="1"/>
  <c r="R89" i="1"/>
  <c r="H91" i="1"/>
  <c r="I91" i="1" s="1"/>
  <c r="U91" i="1"/>
  <c r="U92" i="1"/>
  <c r="Z99" i="1"/>
  <c r="J100" i="1"/>
  <c r="R100" i="1"/>
  <c r="H102" i="1"/>
  <c r="I102" i="1" s="1"/>
  <c r="AC102" i="1" s="1"/>
  <c r="AD103" i="1" s="1"/>
  <c r="U102" i="1"/>
  <c r="U103" i="1"/>
  <c r="U104" i="1"/>
  <c r="U105" i="1"/>
  <c r="Z110" i="1"/>
  <c r="J111" i="1"/>
  <c r="R111" i="1"/>
  <c r="H113" i="1"/>
  <c r="I113" i="1" s="1"/>
  <c r="AC113" i="1" s="1"/>
  <c r="AD114" i="1" s="1"/>
  <c r="U113" i="1"/>
  <c r="O114" i="1"/>
  <c r="U114" i="1"/>
  <c r="U115" i="1"/>
  <c r="U116" i="1"/>
  <c r="Z121" i="1"/>
  <c r="J122" i="1"/>
  <c r="R122" i="1"/>
  <c r="H124" i="1"/>
  <c r="I124" i="1" s="1"/>
  <c r="AC124" i="1" s="1"/>
  <c r="AD125" i="1" s="1"/>
  <c r="U124" i="1"/>
  <c r="U125" i="1"/>
  <c r="Z132" i="1"/>
  <c r="J133" i="1"/>
  <c r="R133" i="1"/>
  <c r="H135" i="1"/>
  <c r="I135" i="1" s="1"/>
  <c r="AC135" i="1" s="1"/>
  <c r="U135" i="1"/>
  <c r="U136" i="1"/>
  <c r="U137" i="1"/>
  <c r="O138" i="1"/>
  <c r="U138" i="1"/>
  <c r="Z143" i="1"/>
  <c r="J144" i="1"/>
  <c r="R144" i="1"/>
  <c r="Q5" i="1" l="1"/>
  <c r="U12" i="1"/>
  <c r="Q103" i="1"/>
  <c r="O12" i="1"/>
  <c r="I12" i="1"/>
  <c r="Q4" i="1"/>
  <c r="Q12" i="1" s="1"/>
  <c r="W5" i="1" s="1"/>
  <c r="W12" i="1" s="1"/>
  <c r="Q28" i="1"/>
  <c r="U144" i="1"/>
  <c r="Q81" i="1"/>
  <c r="Q89" i="1" s="1"/>
  <c r="W82" i="1" s="1"/>
  <c r="W89" i="1" s="1"/>
  <c r="Q114" i="1"/>
  <c r="Q26" i="1"/>
  <c r="Q136" i="1"/>
  <c r="Q48" i="1"/>
  <c r="Q56" i="1" s="1"/>
  <c r="W49" i="1" s="1"/>
  <c r="W56" i="1" s="1"/>
  <c r="Q15" i="1"/>
  <c r="Q23" i="1" s="1"/>
  <c r="W16" i="1" s="1"/>
  <c r="W23" i="1" s="1"/>
  <c r="U23" i="1"/>
  <c r="Q116" i="1"/>
  <c r="Q138" i="1"/>
  <c r="Q137" i="1"/>
  <c r="Q125" i="1"/>
  <c r="Q133" i="1" s="1"/>
  <c r="W126" i="1" s="1"/>
  <c r="W133" i="1" s="1"/>
  <c r="Q115" i="1"/>
  <c r="Q105" i="1"/>
  <c r="Q104" i="1"/>
  <c r="Q92" i="1"/>
  <c r="Q100" i="1" s="1"/>
  <c r="W93" i="1" s="1"/>
  <c r="W100" i="1" s="1"/>
  <c r="Q27" i="1"/>
  <c r="U78" i="1"/>
  <c r="U34" i="1"/>
  <c r="U45" i="1"/>
  <c r="U67" i="1"/>
  <c r="U111" i="1"/>
  <c r="U56" i="1"/>
  <c r="Q70" i="1"/>
  <c r="Q78" i="1" s="1"/>
  <c r="W71" i="1" s="1"/>
  <c r="W78" i="1" s="1"/>
  <c r="Q37" i="1"/>
  <c r="Q45" i="1" s="1"/>
  <c r="W38" i="1" s="1"/>
  <c r="W45" i="1" s="1"/>
  <c r="U133" i="1"/>
  <c r="AC25" i="1"/>
  <c r="I34" i="1"/>
  <c r="O122" i="1"/>
  <c r="U122" i="1"/>
  <c r="O100" i="1"/>
  <c r="U100" i="1"/>
  <c r="O144" i="1"/>
  <c r="O111" i="1"/>
  <c r="U89" i="1"/>
  <c r="AC14" i="1"/>
  <c r="AD15" i="1" s="1"/>
  <c r="I23" i="1"/>
  <c r="AC91" i="1"/>
  <c r="AD92" i="1" s="1"/>
  <c r="I100" i="1"/>
  <c r="AC36" i="1"/>
  <c r="AD37" i="1" s="1"/>
  <c r="I45" i="1"/>
  <c r="O34" i="1"/>
  <c r="I144" i="1"/>
  <c r="I133" i="1"/>
  <c r="I122" i="1"/>
  <c r="Q59" i="1"/>
  <c r="Q67" i="1" s="1"/>
  <c r="W60" i="1" s="1"/>
  <c r="W67" i="1" s="1"/>
  <c r="I111" i="1"/>
  <c r="I89" i="1"/>
  <c r="I78" i="1"/>
  <c r="I67" i="1"/>
  <c r="I56" i="1"/>
  <c r="Q111" i="1" l="1"/>
  <c r="W104" i="1" s="1"/>
  <c r="W111" i="1" s="1"/>
  <c r="AA102" i="1" s="1"/>
  <c r="AA3" i="1"/>
  <c r="AA4" i="1" s="1"/>
  <c r="AA5" i="1" s="1"/>
  <c r="Q34" i="1"/>
  <c r="W27" i="1" s="1"/>
  <c r="W34" i="1" s="1"/>
  <c r="Q122" i="1"/>
  <c r="W115" i="1" s="1"/>
  <c r="W122" i="1" s="1"/>
  <c r="Q144" i="1"/>
  <c r="W137" i="1" s="1"/>
  <c r="W144" i="1" s="1"/>
  <c r="AA135" i="1" s="1"/>
  <c r="AA136" i="1" s="1"/>
  <c r="AA137" i="1" s="1"/>
  <c r="AA14" i="1"/>
  <c r="AA15" i="1" s="1"/>
  <c r="AA16" i="1" s="1"/>
  <c r="AA124" i="1"/>
  <c r="AA125" i="1" s="1"/>
  <c r="AA126" i="1" s="1"/>
  <c r="AA36" i="1"/>
  <c r="AA37" i="1" s="1"/>
  <c r="AA38" i="1" s="1"/>
  <c r="AA47" i="1"/>
  <c r="AA48" i="1" s="1"/>
  <c r="AA49" i="1" s="1"/>
  <c r="AA58" i="1"/>
  <c r="AA59" i="1" s="1"/>
  <c r="AA60" i="1" s="1"/>
  <c r="AA69" i="1"/>
  <c r="AA70" i="1" s="1"/>
  <c r="AA71" i="1" s="1"/>
  <c r="AA113" i="1"/>
  <c r="AA114" i="1" s="1"/>
  <c r="AA115" i="1" s="1"/>
  <c r="AA80" i="1"/>
  <c r="AA81" i="1" s="1"/>
  <c r="AA82" i="1" s="1"/>
  <c r="AA91" i="1"/>
  <c r="AA92" i="1" s="1"/>
  <c r="AA93" i="1" s="1"/>
  <c r="AB115" i="1" l="1"/>
  <c r="AH114" i="1"/>
  <c r="AB38" i="1"/>
  <c r="AH37" i="1"/>
  <c r="AB71" i="1"/>
  <c r="AH70" i="1"/>
  <c r="AB126" i="1"/>
  <c r="AB132" i="1" s="1"/>
  <c r="AH125" i="1"/>
  <c r="AB93" i="1"/>
  <c r="AH92" i="1"/>
  <c r="AB60" i="1"/>
  <c r="AB66" i="1" s="1"/>
  <c r="AH59" i="1"/>
  <c r="AB16" i="1"/>
  <c r="AB22" i="1" s="1"/>
  <c r="AH15" i="1"/>
  <c r="AB82" i="1"/>
  <c r="AB88" i="1" s="1"/>
  <c r="AH81" i="1"/>
  <c r="AB49" i="1"/>
  <c r="AH48" i="1"/>
  <c r="AB137" i="1"/>
  <c r="AB143" i="1" s="1"/>
  <c r="AB5" i="1"/>
  <c r="AB11" i="1" s="1"/>
  <c r="AH4" i="1"/>
  <c r="AA11" i="1"/>
  <c r="AA25" i="1"/>
  <c r="AA26" i="1" s="1"/>
  <c r="AA27" i="1" s="1"/>
  <c r="AA103" i="1"/>
  <c r="AA104" i="1" s="1"/>
  <c r="AH103" i="1" s="1"/>
  <c r="AA66" i="1"/>
  <c r="AA121" i="1"/>
  <c r="AB121" i="1"/>
  <c r="AB55" i="1"/>
  <c r="AA55" i="1"/>
  <c r="AB44" i="1"/>
  <c r="AA44" i="1"/>
  <c r="AA88" i="1"/>
  <c r="AA77" i="1"/>
  <c r="AB77" i="1"/>
  <c r="AA22" i="1"/>
  <c r="AA99" i="1"/>
  <c r="AB99" i="1"/>
  <c r="AA143" i="1"/>
  <c r="AA132" i="1"/>
  <c r="AB27" i="1" l="1"/>
  <c r="AB33" i="1" s="1"/>
  <c r="AA33" i="1"/>
  <c r="AB78" i="1"/>
  <c r="AB100" i="1"/>
  <c r="AB89" i="1"/>
  <c r="AB67" i="1"/>
  <c r="AB104" i="1"/>
  <c r="AB110" i="1" s="1"/>
  <c r="AA110" i="1"/>
  <c r="AB23" i="1"/>
  <c r="AB34" i="1"/>
  <c r="AB122" i="1"/>
  <c r="AB144" i="1"/>
  <c r="AB45" i="1"/>
  <c r="AB133" i="1"/>
  <c r="AB56" i="1"/>
  <c r="AB111" i="1" l="1"/>
</calcChain>
</file>

<file path=xl/sharedStrings.xml><?xml version="1.0" encoding="utf-8"?>
<sst xmlns="http://schemas.openxmlformats.org/spreadsheetml/2006/main" count="507" uniqueCount="126">
  <si>
    <t>Date :2023-5-26</t>
  </si>
  <si>
    <t>Vendor Style No</t>
  </si>
  <si>
    <t>ALTR no.</t>
  </si>
  <si>
    <t>Picture</t>
  </si>
  <si>
    <t>Metal Kt / Color</t>
  </si>
  <si>
    <t>Metal Rate $ P. Oz</t>
  </si>
  <si>
    <t>Metal Wt. in Gm</t>
  </si>
  <si>
    <t>Metal Rate in Gms</t>
  </si>
  <si>
    <t>Metal Cost</t>
  </si>
  <si>
    <t>Finding Cost</t>
  </si>
  <si>
    <t>Stone Shape</t>
  </si>
  <si>
    <t>Stone Qlty</t>
  </si>
  <si>
    <t>Sieve /  MM</t>
  </si>
  <si>
    <t>Stone Size</t>
  </si>
  <si>
    <t>Stone wt. Total</t>
  </si>
  <si>
    <t>Stone Rate</t>
  </si>
  <si>
    <t>Stone Cost</t>
  </si>
  <si>
    <t>Stone Pcs</t>
  </si>
  <si>
    <t>Setting Type</t>
  </si>
  <si>
    <t>Setting Rate</t>
  </si>
  <si>
    <t>Setting Charges</t>
  </si>
  <si>
    <t>Other Charges</t>
  </si>
  <si>
    <t>Charges</t>
  </si>
  <si>
    <t>Details</t>
  </si>
  <si>
    <t>Minimum Diam Wt</t>
  </si>
  <si>
    <t>Cost</t>
  </si>
  <si>
    <t>Price 1</t>
  </si>
  <si>
    <t>INCR/DECR</t>
  </si>
  <si>
    <t>VD163D2-R6607</t>
  </si>
  <si>
    <t>D2-RF027158</t>
  </si>
  <si>
    <t>ZR1585E-180GD-A</t>
  </si>
  <si>
    <t>14KW</t>
  </si>
  <si>
    <t>RD</t>
  </si>
  <si>
    <t>EF VS</t>
  </si>
  <si>
    <t>prong</t>
  </si>
  <si>
    <t>CFP</t>
  </si>
  <si>
    <t>Semi / Comp</t>
  </si>
  <si>
    <t>make directly from cad</t>
  </si>
  <si>
    <t>RM 5457</t>
  </si>
  <si>
    <t>ZR1585SM-30CZ-L</t>
  </si>
  <si>
    <t>J Back</t>
  </si>
  <si>
    <t>Duty/Ship</t>
  </si>
  <si>
    <t>SIZE US 6.5</t>
  </si>
  <si>
    <t>Dia. Han.</t>
  </si>
  <si>
    <t>Total Imp. Cost</t>
  </si>
  <si>
    <t>Miligrain</t>
  </si>
  <si>
    <t>Center</t>
  </si>
  <si>
    <t>Two Tone</t>
  </si>
  <si>
    <t>Setting</t>
  </si>
  <si>
    <t>Solder</t>
  </si>
  <si>
    <t>engraving</t>
  </si>
  <si>
    <t>Main Category</t>
  </si>
  <si>
    <t>Rhoudium</t>
  </si>
  <si>
    <t>Sub Category</t>
  </si>
  <si>
    <t>Total</t>
  </si>
  <si>
    <t>Collection</t>
  </si>
  <si>
    <t>Net Margin</t>
  </si>
  <si>
    <t>VD163D2-R6597</t>
  </si>
  <si>
    <t>D2-RF2A1695</t>
  </si>
  <si>
    <t>ZR1586E-200GD-A</t>
  </si>
  <si>
    <t>RM 5382</t>
  </si>
  <si>
    <t>ZR1586SM-50CZ-L</t>
  </si>
  <si>
    <t>split  prong</t>
  </si>
  <si>
    <t>VD163D2-R6601</t>
  </si>
  <si>
    <t>D2-RF2A8859</t>
  </si>
  <si>
    <t>ZR1587E-210GD-A</t>
  </si>
  <si>
    <t>OVAL</t>
  </si>
  <si>
    <t>8.7 X 6.4</t>
  </si>
  <si>
    <t>RM 5431</t>
  </si>
  <si>
    <t>ZR1587SM-60CZ-L</t>
  </si>
  <si>
    <t>VD163D2-R6598</t>
  </si>
  <si>
    <t>D2-RF2B8472</t>
  </si>
  <si>
    <t>ZR1588E-246GD-A</t>
  </si>
  <si>
    <t>RM 5388</t>
  </si>
  <si>
    <t>ZR1588SM-96CZ-L</t>
  </si>
  <si>
    <t>VD163D2-R6608</t>
  </si>
  <si>
    <t>D2-RF2B3253</t>
  </si>
  <si>
    <t>ZR1589E-246GD-A</t>
  </si>
  <si>
    <t>RM 5458</t>
  </si>
  <si>
    <t>ZR1589SM-96CZ-L</t>
  </si>
  <si>
    <t>channel</t>
  </si>
  <si>
    <t>VD163D2-R6616</t>
  </si>
  <si>
    <t>D2-RF022721</t>
  </si>
  <si>
    <t>ZR1590E-196GD-A</t>
  </si>
  <si>
    <t>RM 5463</t>
  </si>
  <si>
    <t>ZR1590SM-46CZ-L</t>
  </si>
  <si>
    <t>bezel</t>
  </si>
  <si>
    <t>VD163D2-R6618</t>
  </si>
  <si>
    <t>D2-RF020738</t>
  </si>
  <si>
    <t>ZR1591E-200GD-A</t>
  </si>
  <si>
    <t>RM 5467</t>
  </si>
  <si>
    <t>ZR1591SM-50CZ-L</t>
  </si>
  <si>
    <t>VD163D2-R6610</t>
  </si>
  <si>
    <t>D2-RF2B9842</t>
  </si>
  <si>
    <t>ZR1592E-246GD-A</t>
  </si>
  <si>
    <t>RM 5460</t>
  </si>
  <si>
    <t>ZR1592SM-96CZ-L</t>
  </si>
  <si>
    <t>VD163D2-R6602</t>
  </si>
  <si>
    <t>D2-RF024524</t>
  </si>
  <si>
    <t>ZR1593E-196GD-A</t>
  </si>
  <si>
    <t>RM 5443</t>
  </si>
  <si>
    <t>ZR1593SM-46CZ-L</t>
  </si>
  <si>
    <t>micro prong</t>
  </si>
  <si>
    <t>VD163D2-R6599</t>
  </si>
  <si>
    <t>D2-RF021174</t>
  </si>
  <si>
    <t>ZR1594E-180GD-A</t>
  </si>
  <si>
    <t>RM 5402</t>
  </si>
  <si>
    <t>ZR1594SM-30CZ-L</t>
  </si>
  <si>
    <t>VD163D2-R6609</t>
  </si>
  <si>
    <t>D2-RF2B8780</t>
  </si>
  <si>
    <t>ZR1595E-250GD-A</t>
  </si>
  <si>
    <t>RM 5459</t>
  </si>
  <si>
    <t>ZR1595SM-100CZL</t>
  </si>
  <si>
    <t>VD163D2-R6587</t>
  </si>
  <si>
    <t>D2-RF023736</t>
  </si>
  <si>
    <t>ZR1596E-196GD-A</t>
  </si>
  <si>
    <t>RM 5374</t>
  </si>
  <si>
    <t>ZR1596SM-46CZ-L</t>
  </si>
  <si>
    <t>VD163D2-R6605</t>
  </si>
  <si>
    <t>D2-RF2A4948</t>
  </si>
  <si>
    <t>ZR1584E-210GD-A</t>
  </si>
  <si>
    <t>FG VS2</t>
  </si>
  <si>
    <t>RM 5455</t>
  </si>
  <si>
    <t>ZR1584SM-60CZ-L</t>
  </si>
  <si>
    <t>E VS2</t>
  </si>
  <si>
    <t>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</si>
</sst>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d\-mmm\-yy;@"/>
    <numFmt numFmtId="165" formatCode="&quot;$&quot;#,##0"/>
    <numFmt numFmtId="166" formatCode="&quot;$&quot;#,##0.00"/>
    <numFmt numFmtId="167" formatCode="[$-409]d\/mmm\/yy;@"/>
    <numFmt numFmtId="168" formatCode="0.0000_ "/>
    <numFmt numFmtId="169" formatCode="0.000"/>
    <numFmt numFmtId="170" formatCode="0.0000_);[Red]\(0.0000\)"/>
    <numFmt numFmtId="171" formatCode="0.0000"/>
    <numFmt numFmtId="172" formatCode="0.0"/>
    <numFmt numFmtId="173" formatCode="&quot;$&quot;#,##0.0000"/>
  </numFmts>
  <fonts count="26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4"/>
      <name val="Times New Roman"/>
      <family val="1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b/>
      <sz val="12"/>
      <name val="Times New Roman"/>
      <family val="1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宋体"/>
      <charset val="134"/>
    </font>
    <font>
      <sz val="11"/>
      <color rgb="FFFF0000"/>
      <name val="Calibri"/>
      <family val="2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31353B"/>
      <name val="Calibri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EFC7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3" fillId="0" borderId="0">
      <alignment vertical="center"/>
    </xf>
    <xf numFmtId="164" fontId="13" fillId="0" borderId="0">
      <alignment vertical="center"/>
    </xf>
  </cellStyleXfs>
  <cellXfs count="1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166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167" fontId="15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" fontId="4" fillId="0" borderId="3" xfId="0" applyNumberFormat="1" applyFont="1" applyBorder="1" applyAlignment="1">
      <alignment horizontal="left" vertical="center"/>
    </xf>
    <xf numFmtId="165" fontId="0" fillId="0" borderId="3" xfId="0" applyNumberFormat="1" applyBorder="1"/>
    <xf numFmtId="0" fontId="5" fillId="0" borderId="3" xfId="0" applyFont="1" applyBorder="1"/>
    <xf numFmtId="165" fontId="0" fillId="0" borderId="3" xfId="0" applyNumberForma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  <xf numFmtId="0" fontId="16" fillId="0" borderId="3" xfId="0" applyFont="1" applyBorder="1"/>
    <xf numFmtId="0" fontId="17" fillId="0" borderId="7" xfId="0" applyFont="1" applyBorder="1"/>
    <xf numFmtId="0" fontId="17" fillId="0" borderId="8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1" fillId="0" borderId="3" xfId="0" applyFont="1" applyBorder="1"/>
    <xf numFmtId="165" fontId="1" fillId="0" borderId="3" xfId="0" applyNumberFormat="1" applyFont="1" applyBorder="1"/>
    <xf numFmtId="0" fontId="8" fillId="0" borderId="3" xfId="0" applyFont="1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165" fontId="0" fillId="0" borderId="7" xfId="0" applyNumberFormat="1" applyBorder="1"/>
    <xf numFmtId="0" fontId="0" fillId="0" borderId="2" xfId="0" applyBorder="1" applyAlignment="1">
      <alignment horizontal="left"/>
    </xf>
    <xf numFmtId="0" fontId="1" fillId="0" borderId="2" xfId="0" applyFont="1" applyBorder="1"/>
    <xf numFmtId="165" fontId="1" fillId="0" borderId="2" xfId="0" applyNumberFormat="1" applyFont="1" applyBorder="1"/>
    <xf numFmtId="0" fontId="0" fillId="0" borderId="10" xfId="0" applyBorder="1"/>
    <xf numFmtId="165" fontId="0" fillId="0" borderId="10" xfId="0" applyNumberFormat="1" applyBorder="1"/>
    <xf numFmtId="0" fontId="1" fillId="3" borderId="5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8" fontId="0" fillId="0" borderId="3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171" fontId="0" fillId="0" borderId="3" xfId="0" applyNumberFormat="1" applyBorder="1" applyAlignment="1">
      <alignment horizontal="center" vertical="center"/>
    </xf>
    <xf numFmtId="171" fontId="0" fillId="0" borderId="3" xfId="0" applyNumberFormat="1" applyBorder="1" applyAlignment="1">
      <alignment horizontal="center"/>
    </xf>
    <xf numFmtId="2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170" fontId="1" fillId="0" borderId="3" xfId="0" applyNumberFormat="1" applyFont="1" applyBorder="1" applyAlignment="1">
      <alignment horizontal="center"/>
    </xf>
    <xf numFmtId="171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70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2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70" fontId="1" fillId="0" borderId="2" xfId="0" applyNumberFormat="1" applyFont="1" applyBorder="1" applyAlignment="1">
      <alignment horizontal="center"/>
    </xf>
    <xf numFmtId="171" fontId="1" fillId="0" borderId="2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2" fontId="1" fillId="3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2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left"/>
    </xf>
    <xf numFmtId="2" fontId="0" fillId="0" borderId="7" xfId="0" applyNumberFormat="1" applyBorder="1"/>
    <xf numFmtId="2" fontId="0" fillId="0" borderId="7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left"/>
    </xf>
    <xf numFmtId="2" fontId="0" fillId="0" borderId="10" xfId="0" applyNumberFormat="1" applyBorder="1"/>
    <xf numFmtId="2" fontId="0" fillId="0" borderId="10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166" fontId="1" fillId="3" borderId="2" xfId="1" applyNumberFormat="1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166" fontId="0" fillId="2" borderId="3" xfId="1" applyNumberFormat="1" applyFont="1" applyFill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1" fillId="0" borderId="3" xfId="0" applyFont="1" applyBorder="1" applyAlignment="1">
      <alignment horizontal="center" shrinkToFit="1"/>
    </xf>
    <xf numFmtId="166" fontId="2" fillId="2" borderId="3" xfId="1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165" fontId="10" fillId="5" borderId="3" xfId="1" applyNumberFormat="1" applyFont="1" applyFill="1" applyBorder="1" applyAlignment="1">
      <alignment horizontal="center"/>
    </xf>
    <xf numFmtId="165" fontId="10" fillId="6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11" fillId="6" borderId="3" xfId="2" applyFont="1" applyFill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166" fontId="12" fillId="0" borderId="7" xfId="1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11" fillId="6" borderId="2" xfId="2" applyFont="1" applyFill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166" fontId="12" fillId="0" borderId="10" xfId="1" applyNumberFormat="1" applyFon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9" fontId="14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 wrapText="1"/>
    </xf>
    <xf numFmtId="2" fontId="14" fillId="0" borderId="3" xfId="0" applyNumberFormat="1" applyFont="1" applyBorder="1" applyAlignment="1">
      <alignment horizontal="center"/>
    </xf>
    <xf numFmtId="172" fontId="2" fillId="0" borderId="3" xfId="0" applyNumberFormat="1" applyFont="1" applyBorder="1" applyAlignment="1">
      <alignment horizontal="center" wrapText="1"/>
    </xf>
    <xf numFmtId="0" fontId="14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/>
    <xf numFmtId="0" fontId="14" fillId="0" borderId="3" xfId="0" applyFont="1" applyBorder="1"/>
    <xf numFmtId="0" fontId="0" fillId="0" borderId="2" xfId="0" applyBorder="1"/>
    <xf numFmtId="0" fontId="7" fillId="0" borderId="2" xfId="0" applyFont="1" applyBorder="1" applyAlignment="1">
      <alignment horizontal="center"/>
    </xf>
    <xf numFmtId="0" fontId="0" fillId="0" borderId="13" xfId="0" applyBorder="1"/>
    <xf numFmtId="173" fontId="0" fillId="0" borderId="0" xfId="0" applyNumberFormat="1"/>
    <xf numFmtId="0" fontId="1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0" fillId="0" borderId="3" xfId="0" applyFont="1" applyBorder="1" applyAlignment="1">
      <alignment horizontal="center" wrapText="1"/>
    </xf>
    <xf numFmtId="0" fontId="20" fillId="0" borderId="3" xfId="0" applyFont="1" applyBorder="1"/>
    <xf numFmtId="0" fontId="3" fillId="0" borderId="1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16" fontId="21" fillId="0" borderId="3" xfId="0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/>
    </xf>
    <xf numFmtId="0" fontId="22" fillId="0" borderId="3" xfId="0" applyFont="1" applyBorder="1" applyAlignment="1">
      <alignment horizontal="center"/>
    </xf>
    <xf numFmtId="8" fontId="20" fillId="0" borderId="3" xfId="0" applyNumberFormat="1" applyFont="1" applyBorder="1" applyAlignment="1">
      <alignment horizontal="center"/>
    </xf>
    <xf numFmtId="0" fontId="23" fillId="0" borderId="3" xfId="0" applyFont="1" applyBorder="1"/>
    <xf numFmtId="0" fontId="23" fillId="0" borderId="2" xfId="0" applyFont="1" applyBorder="1"/>
    <xf numFmtId="0" fontId="24" fillId="0" borderId="3" xfId="0" applyFont="1" applyBorder="1"/>
    <xf numFmtId="0" fontId="20" fillId="0" borderId="3" xfId="0" applyFont="1" applyBorder="1" applyAlignment="1">
      <alignment horizontal="center" vertical="center" wrapText="1"/>
    </xf>
    <xf numFmtId="0" fontId="22" fillId="0" borderId="3" xfId="0" applyFont="1" applyBorder="1"/>
    <xf numFmtId="9" fontId="25" fillId="7" borderId="3" xfId="0" applyNumberFormat="1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/>
    </xf>
    <xf numFmtId="165" fontId="0" fillId="0" borderId="10" xfId="0" applyNumberFormat="1" applyFill="1" applyBorder="1"/>
    <xf numFmtId="165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/>
    </xf>
    <xf numFmtId="165" fontId="0" fillId="0" borderId="7" xfId="0" applyNumberFormat="1" applyFill="1" applyBorder="1"/>
    <xf numFmtId="165" fontId="0" fillId="0" borderId="0" xfId="0" applyNumberFormat="1" applyFill="1"/>
    <xf numFmtId="169" fontId="0" fillId="0" borderId="3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73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</cellXfs>
  <cellStyles count="5">
    <cellStyle name="Currency" xfId="1" builtinId="4"/>
    <cellStyle name="Normal" xfId="0" builtinId="0"/>
    <cellStyle name="Percent" xfId="2" builtinId="5"/>
    <cellStyle name="常规 2" xfId="3" xr:uid="{00000000-0005-0000-0000-000003000000}"/>
    <cellStyle name="常规 2 2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13</xdr:row>
      <xdr:rowOff>57150</xdr:rowOff>
    </xdr:from>
    <xdr:to>
      <xdr:col>3</xdr:col>
      <xdr:colOff>1190625</xdr:colOff>
      <xdr:row>15</xdr:row>
      <xdr:rowOff>295275</xdr:rowOff>
    </xdr:to>
    <xdr:pic>
      <xdr:nvPicPr>
        <xdr:cNvPr id="257532" name="图片 8">
          <a:extLst>
            <a:ext uri="{FF2B5EF4-FFF2-40B4-BE49-F238E27FC236}">
              <a16:creationId xmlns:a16="http://schemas.microsoft.com/office/drawing/2014/main" id="{6F817CD0-51D7-A35F-2F5C-2ECE34F83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7610475"/>
          <a:ext cx="10382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24</xdr:row>
      <xdr:rowOff>76200</xdr:rowOff>
    </xdr:from>
    <xdr:to>
      <xdr:col>3</xdr:col>
      <xdr:colOff>1219200</xdr:colOff>
      <xdr:row>26</xdr:row>
      <xdr:rowOff>190500</xdr:rowOff>
    </xdr:to>
    <xdr:pic>
      <xdr:nvPicPr>
        <xdr:cNvPr id="257533" name="图片 23">
          <a:extLst>
            <a:ext uri="{FF2B5EF4-FFF2-40B4-BE49-F238E27FC236}">
              <a16:creationId xmlns:a16="http://schemas.microsoft.com/office/drawing/2014/main" id="{F75FA6B8-07BC-3389-35FB-00D5BDB6D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934700"/>
          <a:ext cx="11239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35</xdr:row>
      <xdr:rowOff>57150</xdr:rowOff>
    </xdr:from>
    <xdr:to>
      <xdr:col>3</xdr:col>
      <xdr:colOff>1114425</xdr:colOff>
      <xdr:row>37</xdr:row>
      <xdr:rowOff>200025</xdr:rowOff>
    </xdr:to>
    <xdr:pic>
      <xdr:nvPicPr>
        <xdr:cNvPr id="257534" name="图片 6">
          <a:extLst>
            <a:ext uri="{FF2B5EF4-FFF2-40B4-BE49-F238E27FC236}">
              <a16:creationId xmlns:a16="http://schemas.microsoft.com/office/drawing/2014/main" id="{47C095FE-D0FB-57A0-361E-3D009F140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4220825"/>
          <a:ext cx="10287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46</xdr:row>
      <xdr:rowOff>114300</xdr:rowOff>
    </xdr:from>
    <xdr:to>
      <xdr:col>3</xdr:col>
      <xdr:colOff>1162050</xdr:colOff>
      <xdr:row>48</xdr:row>
      <xdr:rowOff>285750</xdr:rowOff>
    </xdr:to>
    <xdr:pic>
      <xdr:nvPicPr>
        <xdr:cNvPr id="257535" name="图片 4">
          <a:extLst>
            <a:ext uri="{FF2B5EF4-FFF2-40B4-BE49-F238E27FC236}">
              <a16:creationId xmlns:a16="http://schemas.microsoft.com/office/drawing/2014/main" id="{8D91FF93-9507-384C-2BD2-1D7C572F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7583150"/>
          <a:ext cx="10668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57</xdr:row>
      <xdr:rowOff>28575</xdr:rowOff>
    </xdr:from>
    <xdr:to>
      <xdr:col>3</xdr:col>
      <xdr:colOff>1200150</xdr:colOff>
      <xdr:row>59</xdr:row>
      <xdr:rowOff>161925</xdr:rowOff>
    </xdr:to>
    <xdr:pic>
      <xdr:nvPicPr>
        <xdr:cNvPr id="257536" name="图片 1">
          <a:extLst>
            <a:ext uri="{FF2B5EF4-FFF2-40B4-BE49-F238E27FC236}">
              <a16:creationId xmlns:a16="http://schemas.microsoft.com/office/drawing/2014/main" id="{04A290E6-AAA5-EFB9-73B9-0E22DAF7A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0802600"/>
          <a:ext cx="10572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47625</xdr:colOff>
      <xdr:row>68</xdr:row>
      <xdr:rowOff>66675</xdr:rowOff>
    </xdr:from>
    <xdr:to>
      <xdr:col>3</xdr:col>
      <xdr:colOff>1162050</xdr:colOff>
      <xdr:row>70</xdr:row>
      <xdr:rowOff>228600</xdr:rowOff>
    </xdr:to>
    <xdr:pic>
      <xdr:nvPicPr>
        <xdr:cNvPr id="257537" name="图片 12">
          <a:extLst>
            <a:ext uri="{FF2B5EF4-FFF2-40B4-BE49-F238E27FC236}">
              <a16:creationId xmlns:a16="http://schemas.microsoft.com/office/drawing/2014/main" id="{44466FE0-0D10-C356-8D24-06461F562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24145875"/>
          <a:ext cx="11144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79</xdr:row>
      <xdr:rowOff>28575</xdr:rowOff>
    </xdr:from>
    <xdr:to>
      <xdr:col>3</xdr:col>
      <xdr:colOff>1114425</xdr:colOff>
      <xdr:row>81</xdr:row>
      <xdr:rowOff>142875</xdr:rowOff>
    </xdr:to>
    <xdr:pic>
      <xdr:nvPicPr>
        <xdr:cNvPr id="257538" name="图片 1">
          <a:extLst>
            <a:ext uri="{FF2B5EF4-FFF2-40B4-BE49-F238E27FC236}">
              <a16:creationId xmlns:a16="http://schemas.microsoft.com/office/drawing/2014/main" id="{19CCF2F1-1142-9F25-684F-B94A0BF0A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7412950"/>
          <a:ext cx="98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90</xdr:row>
      <xdr:rowOff>76200</xdr:rowOff>
    </xdr:from>
    <xdr:to>
      <xdr:col>3</xdr:col>
      <xdr:colOff>1143000</xdr:colOff>
      <xdr:row>92</xdr:row>
      <xdr:rowOff>209550</xdr:rowOff>
    </xdr:to>
    <xdr:pic>
      <xdr:nvPicPr>
        <xdr:cNvPr id="257539" name="图片 2">
          <a:extLst>
            <a:ext uri="{FF2B5EF4-FFF2-40B4-BE49-F238E27FC236}">
              <a16:creationId xmlns:a16="http://schemas.microsoft.com/office/drawing/2014/main" id="{FA6517BE-C8F6-6829-79B1-37B186C33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30765750"/>
          <a:ext cx="10096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101</xdr:row>
      <xdr:rowOff>66675</xdr:rowOff>
    </xdr:from>
    <xdr:to>
      <xdr:col>3</xdr:col>
      <xdr:colOff>1143000</xdr:colOff>
      <xdr:row>103</xdr:row>
      <xdr:rowOff>133350</xdr:rowOff>
    </xdr:to>
    <xdr:pic>
      <xdr:nvPicPr>
        <xdr:cNvPr id="257540" name="图片 1">
          <a:extLst>
            <a:ext uri="{FF2B5EF4-FFF2-40B4-BE49-F238E27FC236}">
              <a16:creationId xmlns:a16="http://schemas.microsoft.com/office/drawing/2014/main" id="{8E76C4D3-F576-B213-DAAD-D634505A1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34061400"/>
          <a:ext cx="1076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112</xdr:row>
      <xdr:rowOff>85725</xdr:rowOff>
    </xdr:from>
    <xdr:to>
      <xdr:col>3</xdr:col>
      <xdr:colOff>1219200</xdr:colOff>
      <xdr:row>114</xdr:row>
      <xdr:rowOff>152400</xdr:rowOff>
    </xdr:to>
    <xdr:pic>
      <xdr:nvPicPr>
        <xdr:cNvPr id="257541" name="图片 1">
          <a:extLst>
            <a:ext uri="{FF2B5EF4-FFF2-40B4-BE49-F238E27FC236}">
              <a16:creationId xmlns:a16="http://schemas.microsoft.com/office/drawing/2014/main" id="{D9370148-C519-130E-12AB-D3146A56E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37385625"/>
          <a:ext cx="10858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209550</xdr:colOff>
      <xdr:row>123</xdr:row>
      <xdr:rowOff>66675</xdr:rowOff>
    </xdr:from>
    <xdr:to>
      <xdr:col>3</xdr:col>
      <xdr:colOff>1133475</xdr:colOff>
      <xdr:row>125</xdr:row>
      <xdr:rowOff>104775</xdr:rowOff>
    </xdr:to>
    <xdr:pic>
      <xdr:nvPicPr>
        <xdr:cNvPr id="257542" name="图片 2">
          <a:extLst>
            <a:ext uri="{FF2B5EF4-FFF2-40B4-BE49-F238E27FC236}">
              <a16:creationId xmlns:a16="http://schemas.microsoft.com/office/drawing/2014/main" id="{D8EE70DA-1348-F1A7-A2DA-5E982AC2F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0671750"/>
          <a:ext cx="9239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134</xdr:row>
      <xdr:rowOff>66675</xdr:rowOff>
    </xdr:from>
    <xdr:to>
      <xdr:col>3</xdr:col>
      <xdr:colOff>1171575</xdr:colOff>
      <xdr:row>136</xdr:row>
      <xdr:rowOff>161925</xdr:rowOff>
    </xdr:to>
    <xdr:pic>
      <xdr:nvPicPr>
        <xdr:cNvPr id="257543" name="图片 1">
          <a:extLst>
            <a:ext uri="{FF2B5EF4-FFF2-40B4-BE49-F238E27FC236}">
              <a16:creationId xmlns:a16="http://schemas.microsoft.com/office/drawing/2014/main" id="{F393F3B2-1020-F13A-3DCB-F3C572751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3976925"/>
          <a:ext cx="11144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83344</xdr:colOff>
      <xdr:row>3</xdr:row>
      <xdr:rowOff>119062</xdr:rowOff>
    </xdr:from>
    <xdr:to>
      <xdr:col>3</xdr:col>
      <xdr:colOff>1159138</xdr:colOff>
      <xdr:row>5</xdr:row>
      <xdr:rowOff>130968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27569-1746-976D-A877-00BE07F31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678781"/>
          <a:ext cx="1075794" cy="631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6"/>
  <sheetViews>
    <sheetView tabSelected="1" topLeftCell="C1" zoomScale="85" zoomScaleNormal="85" workbookViewId="0">
      <pane ySplit="2" topLeftCell="A4" activePane="bottomLeft" state="frozen"/>
      <selection pane="bottomLeft" activeCell="L10" sqref="L10"/>
    </sheetView>
  </sheetViews>
  <sheetFormatPr defaultColWidth="9.140625" defaultRowHeight="24.75" customHeight="1"/>
  <cols>
    <col min="1" max="1" width="36.28515625" customWidth="1"/>
    <col min="2" max="2" width="18.28515625" customWidth="1"/>
    <col min="3" max="3" width="25" customWidth="1"/>
    <col min="4" max="4" width="18.85546875" customWidth="1"/>
    <col min="5" max="5" width="11.7109375" customWidth="1"/>
    <col min="6" max="6" width="8.140625" style="2" customWidth="1"/>
    <col min="7" max="8" width="8" customWidth="1"/>
    <col min="9" max="9" width="8.28515625" customWidth="1"/>
    <col min="10" max="10" width="7.28515625" customWidth="1"/>
    <col min="11" max="11" width="8.7109375" customWidth="1"/>
    <col min="12" max="12" width="14.140625" style="3" customWidth="1"/>
    <col min="13" max="13" width="12.28515625" style="4" customWidth="1"/>
    <col min="14" max="14" width="11.28515625" customWidth="1"/>
    <col min="15" max="15" width="9.28515625" bestFit="1" customWidth="1"/>
    <col min="16" max="16" width="7.5703125" style="2" customWidth="1"/>
    <col min="17" max="17" width="8.5703125" style="5" customWidth="1"/>
    <col min="18" max="18" width="6.5703125" customWidth="1"/>
    <col min="19" max="19" width="15" customWidth="1"/>
    <col min="20" max="20" width="6.85546875" customWidth="1"/>
    <col min="21" max="21" width="7.28515625" bestFit="1" customWidth="1"/>
    <col min="22" max="22" width="11.42578125" customWidth="1"/>
    <col min="23" max="23" width="8.42578125" style="6" customWidth="1"/>
    <col min="24" max="24" width="2" style="6" customWidth="1"/>
    <col min="25" max="25" width="14.5703125" style="3" bestFit="1" customWidth="1"/>
    <col min="26" max="26" width="9.5703125" style="7" customWidth="1"/>
    <col min="27" max="27" width="10.28515625" style="8" customWidth="1"/>
    <col min="28" max="28" width="12.85546875" style="9" bestFit="1" customWidth="1"/>
  </cols>
  <sheetData>
    <row r="1" spans="1:34" ht="24.75" customHeight="1">
      <c r="A1" t="s">
        <v>0</v>
      </c>
    </row>
    <row r="2" spans="1:34" s="1" customFormat="1" ht="49.5" customHeight="1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1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43" t="s">
        <v>11</v>
      </c>
      <c r="M2" s="44" t="s">
        <v>12</v>
      </c>
      <c r="N2" s="45" t="s">
        <v>13</v>
      </c>
      <c r="O2" s="10" t="s">
        <v>14</v>
      </c>
      <c r="P2" s="11" t="s">
        <v>15</v>
      </c>
      <c r="Q2" s="67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0" t="s">
        <v>21</v>
      </c>
      <c r="W2" s="67" t="s">
        <v>22</v>
      </c>
      <c r="X2" s="67"/>
      <c r="Y2" s="10" t="s">
        <v>23</v>
      </c>
      <c r="Z2" s="80" t="s">
        <v>24</v>
      </c>
      <c r="AA2" s="81" t="s">
        <v>25</v>
      </c>
      <c r="AB2" s="82" t="s">
        <v>26</v>
      </c>
      <c r="AC2" s="1" t="s">
        <v>27</v>
      </c>
    </row>
    <row r="3" spans="1:34" s="114" customFormat="1" ht="24.75" customHeight="1">
      <c r="A3" s="115" t="s">
        <v>118</v>
      </c>
      <c r="B3" s="115" t="s">
        <v>119</v>
      </c>
      <c r="C3" s="116" t="s">
        <v>120</v>
      </c>
      <c r="D3" s="127"/>
      <c r="E3" s="117" t="s">
        <v>31</v>
      </c>
      <c r="F3" s="15">
        <v>2800</v>
      </c>
      <c r="G3" s="117">
        <v>3.98</v>
      </c>
      <c r="H3" s="16">
        <f>F3/24*14/31.1035*1.12</f>
        <v>58.814388520048666</v>
      </c>
      <c r="I3" s="16">
        <f>G3*H3</f>
        <v>234.0812663097937</v>
      </c>
      <c r="J3" s="117"/>
      <c r="K3" s="117" t="s">
        <v>32</v>
      </c>
      <c r="L3" s="117" t="s">
        <v>121</v>
      </c>
      <c r="M3" s="117">
        <v>7.3</v>
      </c>
      <c r="N3" s="117">
        <v>1.5</v>
      </c>
      <c r="O3" s="117"/>
      <c r="P3" s="135"/>
      <c r="Q3" s="117">
        <v>0</v>
      </c>
      <c r="R3" s="117">
        <v>1</v>
      </c>
      <c r="S3" s="119" t="s">
        <v>34</v>
      </c>
      <c r="T3" s="117"/>
      <c r="U3" s="117">
        <v>0</v>
      </c>
      <c r="V3" s="120" t="s">
        <v>35</v>
      </c>
      <c r="W3" s="117">
        <v>10.1</v>
      </c>
      <c r="X3" s="117"/>
      <c r="Y3" s="117" t="s">
        <v>36</v>
      </c>
      <c r="Z3" s="83">
        <v>0.6</v>
      </c>
      <c r="AA3" s="84">
        <f>ROUNDUP((I12+J12+Q12+U12+W12)*4,0)/4</f>
        <v>332.75</v>
      </c>
      <c r="AB3" s="117"/>
      <c r="AC3" s="113">
        <f>+I3/F3</f>
        <v>8.3600452253497756E-2</v>
      </c>
    </row>
    <row r="4" spans="1:34" s="114" customFormat="1" ht="24.75" customHeight="1">
      <c r="A4" s="106" t="s">
        <v>37</v>
      </c>
      <c r="B4" s="121" t="s">
        <v>122</v>
      </c>
      <c r="C4" s="133" t="s">
        <v>123</v>
      </c>
      <c r="D4" s="120"/>
      <c r="E4" s="122"/>
      <c r="F4" s="117"/>
      <c r="G4" s="122"/>
      <c r="H4" s="122"/>
      <c r="I4" s="122"/>
      <c r="J4" s="120"/>
      <c r="K4" s="117" t="s">
        <v>32</v>
      </c>
      <c r="L4" s="117" t="s">
        <v>124</v>
      </c>
      <c r="M4" s="117">
        <v>1.2</v>
      </c>
      <c r="N4" s="117">
        <v>8.0000000000000002E-3</v>
      </c>
      <c r="O4" s="47">
        <f>N4*R4+0.02</f>
        <v>0.18</v>
      </c>
      <c r="P4" s="146">
        <f>IF(N4=0,0,IF(N4&lt;0.0021,0,IF(N4&lt;0.00305,213,IF(N4&lt;0.00475,198,IF(N4&lt;0.006,184,IF(N4&lt;0.00775,145,IF(N4&lt;0.0105,120,IF(N4&lt;0.013,94,IF(N4&lt;0.024,88,IF(N4&lt;0.080501,79,IF(N4&lt;0.151501,85,IF(N4&lt;0.215001,91,0))))))))))))+IF(N4&gt;0.215,IF(N4&lt;0.275001,97,IF(N4&lt;0.435001,103,IF(N4&lt;0.620001,109,0))))</f>
        <v>120</v>
      </c>
      <c r="Q4" s="16">
        <f t="shared" ref="Q4:Q8" si="0">+P4*O4</f>
        <v>21.599999999999998</v>
      </c>
      <c r="R4" s="117">
        <v>20</v>
      </c>
      <c r="S4" s="119" t="s">
        <v>34</v>
      </c>
      <c r="T4" s="117">
        <v>0.5</v>
      </c>
      <c r="U4" s="16">
        <f t="shared" ref="U4:U8" si="1">T4*R4</f>
        <v>10</v>
      </c>
      <c r="V4" s="120" t="s">
        <v>40</v>
      </c>
      <c r="W4" s="117"/>
      <c r="X4" s="117"/>
      <c r="Y4" s="117" t="s">
        <v>41</v>
      </c>
      <c r="Z4" s="83"/>
      <c r="AA4" s="84">
        <f>AA3*0.07</f>
        <v>23.292500000000004</v>
      </c>
      <c r="AB4" s="117"/>
      <c r="AC4" s="118"/>
      <c r="AD4" s="147">
        <f>AC3</f>
        <v>8.3600452253497756E-2</v>
      </c>
      <c r="AE4" s="114">
        <f>Z3</f>
        <v>0.6</v>
      </c>
      <c r="AF4" s="114" t="s">
        <v>32</v>
      </c>
      <c r="AG4" s="114">
        <f>Z6</f>
        <v>1.5</v>
      </c>
      <c r="AH4" s="148">
        <f>AA5</f>
        <v>356.04250000000002</v>
      </c>
    </row>
    <row r="5" spans="1:34" s="114" customFormat="1" ht="24.75" customHeight="1">
      <c r="A5" s="106"/>
      <c r="B5" s="107" t="s">
        <v>42</v>
      </c>
      <c r="C5" s="123">
        <v>45306</v>
      </c>
      <c r="D5" s="120"/>
      <c r="E5" s="120"/>
      <c r="F5" s="120"/>
      <c r="G5" s="120"/>
      <c r="H5" s="120"/>
      <c r="I5" s="120"/>
      <c r="J5" s="120"/>
      <c r="K5" s="117" t="s">
        <v>32</v>
      </c>
      <c r="L5" s="117" t="s">
        <v>124</v>
      </c>
      <c r="M5" s="117">
        <v>1.4</v>
      </c>
      <c r="N5" s="117">
        <v>1.2999999999999999E-2</v>
      </c>
      <c r="O5" s="47">
        <f t="shared" ref="O5:O8" si="2">N5*R5</f>
        <v>0.26</v>
      </c>
      <c r="P5" s="146">
        <f>IF(N5=0,0,IF(N5&lt;0.0021,0,IF(N5&lt;0.00305,213,IF(N5&lt;0.00475,198,IF(N5&lt;0.006,184,IF(N5&lt;0.00775,145,IF(N5&lt;0.0105,120,IF(N5&lt;0.013,94,IF(N5&lt;0.024,88,IF(N5&lt;0.080501,79,IF(N5&lt;0.151501,85,IF(N5&lt;0.215001,91,0))))))))))))+IF(N5&gt;0.215,IF(N5&lt;0.275001,97,IF(N5&lt;0.435001,103,IF(N5&lt;0.620001,109,0))))</f>
        <v>88</v>
      </c>
      <c r="Q5" s="16">
        <f t="shared" si="0"/>
        <v>22.880000000000003</v>
      </c>
      <c r="R5" s="117">
        <v>20</v>
      </c>
      <c r="S5" s="119" t="s">
        <v>34</v>
      </c>
      <c r="T5" s="117">
        <v>0.5</v>
      </c>
      <c r="U5" s="16">
        <f t="shared" si="1"/>
        <v>10</v>
      </c>
      <c r="V5" s="124" t="s">
        <v>43</v>
      </c>
      <c r="W5" s="16">
        <f>+Q12*0.03</f>
        <v>1.83342</v>
      </c>
      <c r="X5" s="117"/>
      <c r="Y5" s="125" t="s">
        <v>44</v>
      </c>
      <c r="Z5" s="83"/>
      <c r="AA5" s="88">
        <f>SUM(AA3:AA4)</f>
        <v>356.04250000000002</v>
      </c>
      <c r="AB5" s="56">
        <f>CEILING(+AA5/0.5,5)</f>
        <v>715</v>
      </c>
      <c r="AC5" s="118"/>
    </row>
    <row r="6" spans="1:34" s="114" customFormat="1" ht="24.75" customHeight="1">
      <c r="A6" s="106"/>
      <c r="B6" s="108"/>
      <c r="C6" s="123">
        <v>45306</v>
      </c>
      <c r="D6" s="120"/>
      <c r="E6" s="122"/>
      <c r="F6" s="122"/>
      <c r="G6" s="122"/>
      <c r="H6" s="122"/>
      <c r="I6" s="122"/>
      <c r="J6" s="120"/>
      <c r="K6" s="117" t="s">
        <v>32</v>
      </c>
      <c r="L6" s="117" t="s">
        <v>124</v>
      </c>
      <c r="M6" s="117">
        <v>1.7</v>
      </c>
      <c r="N6" s="117">
        <v>0.02</v>
      </c>
      <c r="O6" s="47">
        <f t="shared" si="2"/>
        <v>0.04</v>
      </c>
      <c r="P6" s="146">
        <f>IF(N6=0,0,IF(N6&lt;0.0021,0,IF(N6&lt;0.00305,213,IF(N6&lt;0.00475,198,IF(N6&lt;0.006,184,IF(N6&lt;0.00775,145,IF(N6&lt;0.0105,120,IF(N6&lt;0.013,94,IF(N6&lt;0.024,88,IF(N6&lt;0.080501,79,IF(N6&lt;0.151501,85,IF(N6&lt;0.215001,91,0))))))))))))+IF(N6&gt;0.215,IF(N6&lt;0.275001,97,IF(N6&lt;0.435001,103,IF(N6&lt;0.620001,109,0))))</f>
        <v>88</v>
      </c>
      <c r="Q6" s="16">
        <f t="shared" si="0"/>
        <v>3.52</v>
      </c>
      <c r="R6" s="117">
        <v>2</v>
      </c>
      <c r="S6" s="119" t="s">
        <v>34</v>
      </c>
      <c r="T6" s="117">
        <v>0.5</v>
      </c>
      <c r="U6" s="16">
        <f t="shared" si="1"/>
        <v>1</v>
      </c>
      <c r="V6" s="124" t="s">
        <v>45</v>
      </c>
      <c r="W6" s="125"/>
      <c r="X6" s="117"/>
      <c r="Y6" s="117" t="s">
        <v>46</v>
      </c>
      <c r="Z6" s="83">
        <v>1.5</v>
      </c>
      <c r="AA6" s="126">
        <f>1.56*289</f>
        <v>450.84000000000003</v>
      </c>
      <c r="AB6" s="126">
        <v>1027</v>
      </c>
      <c r="AC6" s="118"/>
    </row>
    <row r="7" spans="1:34" s="114" customFormat="1" ht="24.75" customHeight="1">
      <c r="A7" s="24"/>
      <c r="B7" s="109"/>
      <c r="C7" s="120"/>
      <c r="D7" s="120"/>
      <c r="E7" s="120"/>
      <c r="F7" s="120"/>
      <c r="G7" s="120"/>
      <c r="H7" s="120"/>
      <c r="I7" s="120"/>
      <c r="J7" s="120"/>
      <c r="K7" s="122" t="s">
        <v>32</v>
      </c>
      <c r="L7" s="117" t="s">
        <v>124</v>
      </c>
      <c r="M7" s="117">
        <v>2</v>
      </c>
      <c r="N7" s="122">
        <v>3.2000000000000001E-2</v>
      </c>
      <c r="O7" s="47">
        <f t="shared" si="2"/>
        <v>6.4000000000000001E-2</v>
      </c>
      <c r="P7" s="146">
        <f>IF(N7=0,0,IF(N7&lt;0.0021,0,IF(N7&lt;0.00305,213,IF(N7&lt;0.00475,198,IF(N7&lt;0.006,184,IF(N7&lt;0.00775,145,IF(N7&lt;0.0105,120,IF(N7&lt;0.013,94,IF(N7&lt;0.024,88,IF(N7&lt;0.080501,79,IF(N7&lt;0.151501,85,IF(N7&lt;0.215001,91,0))))))))))))+IF(N7&gt;0.215,IF(N7&lt;0.275001,97,IF(N7&lt;0.435001,103,IF(N7&lt;0.620001,109,0))))</f>
        <v>79</v>
      </c>
      <c r="Q7" s="16">
        <f t="shared" si="0"/>
        <v>5.056</v>
      </c>
      <c r="R7" s="122">
        <v>2</v>
      </c>
      <c r="S7" s="119" t="s">
        <v>34</v>
      </c>
      <c r="T7" s="117">
        <v>0.5</v>
      </c>
      <c r="U7" s="16">
        <f t="shared" si="1"/>
        <v>1</v>
      </c>
      <c r="V7" s="124" t="s">
        <v>47</v>
      </c>
      <c r="W7" s="117"/>
      <c r="X7" s="117"/>
      <c r="Y7" s="117" t="s">
        <v>48</v>
      </c>
      <c r="Z7" s="83"/>
      <c r="AA7" s="126">
        <v>24</v>
      </c>
      <c r="AB7" s="126">
        <v>30</v>
      </c>
      <c r="AC7" s="118"/>
    </row>
    <row r="8" spans="1:34" s="114" customFormat="1" ht="24.75" customHeight="1">
      <c r="A8" s="24"/>
      <c r="B8" s="127"/>
      <c r="C8" s="127"/>
      <c r="D8" s="128"/>
      <c r="E8" s="120"/>
      <c r="F8" s="120"/>
      <c r="G8" s="120"/>
      <c r="H8" s="120"/>
      <c r="I8" s="117"/>
      <c r="J8" s="117"/>
      <c r="K8" s="117" t="s">
        <v>32</v>
      </c>
      <c r="L8" s="117" t="s">
        <v>124</v>
      </c>
      <c r="M8" s="117">
        <v>2.2999999999999998</v>
      </c>
      <c r="N8" s="117">
        <v>5.0999999999999997E-2</v>
      </c>
      <c r="O8" s="47">
        <f t="shared" si="2"/>
        <v>0.10199999999999999</v>
      </c>
      <c r="P8" s="146">
        <f>IF(N8=0,0,IF(N8&lt;0.0021,0,IF(N8&lt;0.00305,213,IF(N8&lt;0.00475,198,IF(N8&lt;0.006,184,IF(N8&lt;0.00775,145,IF(N8&lt;0.0105,120,IF(N8&lt;0.013,94,IF(N8&lt;0.024,88,IF(N8&lt;0.080501,79,IF(N8&lt;0.151501,85,IF(N8&lt;0.215001,91,0))))))))))))+IF(N8&gt;0.215,IF(N8&lt;0.275001,97,IF(N8&lt;0.435001,103,IF(N8&lt;0.620001,109,0))))</f>
        <v>79</v>
      </c>
      <c r="Q8" s="16">
        <f t="shared" si="0"/>
        <v>8.0579999999999998</v>
      </c>
      <c r="R8" s="122">
        <v>2</v>
      </c>
      <c r="S8" s="119" t="s">
        <v>34</v>
      </c>
      <c r="T8" s="117">
        <v>0.75</v>
      </c>
      <c r="U8" s="16">
        <f t="shared" si="1"/>
        <v>1.5</v>
      </c>
      <c r="V8" s="120" t="s">
        <v>49</v>
      </c>
      <c r="W8" s="117"/>
      <c r="X8" s="117"/>
      <c r="Y8" s="117"/>
      <c r="Z8" s="83"/>
      <c r="AA8" s="117"/>
      <c r="AB8" s="117"/>
      <c r="AC8" s="118"/>
    </row>
    <row r="9" spans="1:34" s="114" customFormat="1" ht="24.75" customHeight="1">
      <c r="A9" s="129"/>
      <c r="B9" s="27"/>
      <c r="C9" s="127"/>
      <c r="D9" s="127"/>
      <c r="E9" s="120"/>
      <c r="F9" s="120"/>
      <c r="G9" s="120"/>
      <c r="H9" s="120"/>
      <c r="I9" s="117"/>
      <c r="J9" s="117"/>
      <c r="K9" s="117"/>
      <c r="L9" s="117"/>
      <c r="M9" s="122"/>
      <c r="N9" s="117"/>
      <c r="O9" s="122"/>
      <c r="P9" s="136"/>
      <c r="Q9" s="122"/>
      <c r="R9" s="122"/>
      <c r="S9" s="130"/>
      <c r="T9" s="122"/>
      <c r="U9" s="122"/>
      <c r="V9" s="120" t="s">
        <v>50</v>
      </c>
      <c r="W9" s="117"/>
      <c r="X9" s="117"/>
      <c r="Y9" s="117"/>
      <c r="Z9" s="83"/>
      <c r="AA9" s="117"/>
      <c r="AB9" s="117"/>
      <c r="AC9" s="118"/>
    </row>
    <row r="10" spans="1:34" s="114" customFormat="1" ht="24.75" customHeight="1">
      <c r="A10" s="129" t="s">
        <v>51</v>
      </c>
      <c r="B10" s="28"/>
      <c r="C10" s="127"/>
      <c r="D10" s="127"/>
      <c r="E10" s="120"/>
      <c r="F10" s="120"/>
      <c r="G10" s="120"/>
      <c r="H10" s="120"/>
      <c r="I10" s="117"/>
      <c r="J10" s="117"/>
      <c r="K10" s="117"/>
      <c r="L10" s="117"/>
      <c r="M10" s="122"/>
      <c r="N10" s="117"/>
      <c r="O10" s="122"/>
      <c r="P10" s="136"/>
      <c r="Q10" s="122"/>
      <c r="R10" s="122"/>
      <c r="S10" s="130"/>
      <c r="T10" s="122"/>
      <c r="U10" s="122"/>
      <c r="V10" s="120" t="s">
        <v>52</v>
      </c>
      <c r="W10" s="117">
        <v>2</v>
      </c>
      <c r="X10" s="117"/>
      <c r="Y10" s="117"/>
      <c r="Z10" s="83"/>
      <c r="AA10" s="117"/>
      <c r="AB10" s="117"/>
      <c r="AC10" s="118"/>
    </row>
    <row r="11" spans="1:34" s="114" customFormat="1" ht="24.75" customHeight="1">
      <c r="A11" s="120" t="s">
        <v>53</v>
      </c>
      <c r="B11" s="29"/>
      <c r="C11" s="127"/>
      <c r="D11" s="127"/>
      <c r="E11" s="120"/>
      <c r="F11" s="120"/>
      <c r="G11" s="120"/>
      <c r="H11" s="120"/>
      <c r="I11" s="120"/>
      <c r="J11" s="120"/>
      <c r="K11" s="117"/>
      <c r="L11" s="117"/>
      <c r="M11" s="122"/>
      <c r="N11" s="117"/>
      <c r="O11" s="117"/>
      <c r="P11" s="135"/>
      <c r="Q11" s="117"/>
      <c r="R11" s="122"/>
      <c r="S11" s="119"/>
      <c r="T11" s="117"/>
      <c r="U11" s="117"/>
      <c r="V11" s="120"/>
      <c r="W11" s="117"/>
      <c r="X11" s="117"/>
      <c r="Y11" s="125" t="s">
        <v>54</v>
      </c>
      <c r="Z11" s="89">
        <f>Z3+Z6</f>
        <v>2.1</v>
      </c>
      <c r="AA11" s="90">
        <f>(AA5+AA6+AA7)</f>
        <v>830.88250000000005</v>
      </c>
      <c r="AB11" s="91">
        <f>(AB7+AB6+AB5)</f>
        <v>1772</v>
      </c>
      <c r="AC11" s="118"/>
    </row>
    <row r="12" spans="1:34" s="114" customFormat="1" ht="24.75" customHeight="1">
      <c r="A12" s="120" t="s">
        <v>55</v>
      </c>
      <c r="B12" s="30"/>
      <c r="C12" s="30"/>
      <c r="D12" s="124"/>
      <c r="E12" s="131"/>
      <c r="F12" s="131"/>
      <c r="G12" s="131"/>
      <c r="H12" s="131" t="s">
        <v>54</v>
      </c>
      <c r="I12" s="60">
        <f>SUM(I3:I11)</f>
        <v>234.0812663097937</v>
      </c>
      <c r="J12" s="39">
        <f>SUM(J3:J11)</f>
        <v>0</v>
      </c>
      <c r="K12" s="61"/>
      <c r="L12" s="61"/>
      <c r="M12" s="62"/>
      <c r="N12" s="63"/>
      <c r="O12" s="64">
        <f>SUM(O3:O11)</f>
        <v>0.64600000000000002</v>
      </c>
      <c r="P12" s="137"/>
      <c r="Q12" s="75">
        <f>SUM(Q3:Q8)</f>
        <v>61.114000000000004</v>
      </c>
      <c r="R12" s="61">
        <f t="shared" ref="R12:W12" si="3">SUM(R3:R11)</f>
        <v>47</v>
      </c>
      <c r="S12" s="76"/>
      <c r="T12" s="75"/>
      <c r="U12" s="75">
        <f t="shared" si="3"/>
        <v>23.5</v>
      </c>
      <c r="V12" s="77"/>
      <c r="W12" s="75">
        <f t="shared" si="3"/>
        <v>13.93342</v>
      </c>
      <c r="X12" s="125"/>
      <c r="Y12" s="131" t="s">
        <v>56</v>
      </c>
      <c r="Z12" s="92"/>
      <c r="AA12" s="131"/>
      <c r="AB12" s="132">
        <v>0.53</v>
      </c>
      <c r="AC12" s="118"/>
    </row>
    <row r="13" spans="1:34" ht="12.75" customHeight="1">
      <c r="A13" s="112"/>
      <c r="B13" s="41"/>
      <c r="C13" s="41"/>
      <c r="D13" s="41"/>
      <c r="E13" s="41"/>
      <c r="F13" s="42"/>
      <c r="G13" s="41"/>
      <c r="H13" s="41"/>
      <c r="I13" s="41"/>
      <c r="J13" s="41"/>
      <c r="K13" s="41"/>
      <c r="L13" s="65"/>
      <c r="M13" s="66"/>
      <c r="N13" s="41"/>
      <c r="O13" s="41"/>
      <c r="P13" s="138"/>
      <c r="Q13" s="78"/>
      <c r="R13" s="41"/>
      <c r="S13" s="41"/>
      <c r="T13" s="41"/>
      <c r="U13" s="41"/>
      <c r="V13" s="41"/>
      <c r="W13" s="79"/>
      <c r="X13" s="79"/>
      <c r="Y13" s="65"/>
      <c r="Z13" s="99"/>
      <c r="AA13" s="100"/>
      <c r="AB13" s="101"/>
    </row>
    <row r="14" spans="1:34" ht="24.75" customHeight="1">
      <c r="A14" s="12" t="s">
        <v>28</v>
      </c>
      <c r="B14" s="12" t="s">
        <v>29</v>
      </c>
      <c r="C14" s="13" t="s">
        <v>30</v>
      </c>
      <c r="D14" s="34"/>
      <c r="E14" s="14" t="s">
        <v>31</v>
      </c>
      <c r="F14" s="15">
        <v>2800</v>
      </c>
      <c r="G14" s="16">
        <v>4.55</v>
      </c>
      <c r="H14" s="16">
        <f>F14/24*14/31.1035*1.12</f>
        <v>58.814388520048666</v>
      </c>
      <c r="I14" s="16">
        <f>G14*H14</f>
        <v>267.60546776622141</v>
      </c>
      <c r="J14" s="14"/>
      <c r="K14" s="14" t="s">
        <v>32</v>
      </c>
      <c r="L14" s="14" t="s">
        <v>33</v>
      </c>
      <c r="M14" s="14">
        <v>7.3</v>
      </c>
      <c r="N14" s="46">
        <v>1.5</v>
      </c>
      <c r="O14" s="47"/>
      <c r="P14" s="139"/>
      <c r="Q14" s="16">
        <f>+P14*O14</f>
        <v>0</v>
      </c>
      <c r="R14" s="14">
        <v>1</v>
      </c>
      <c r="S14" s="68" t="s">
        <v>34</v>
      </c>
      <c r="T14" s="16"/>
      <c r="U14" s="16">
        <f>T14*R14</f>
        <v>0</v>
      </c>
      <c r="V14" s="17" t="s">
        <v>35</v>
      </c>
      <c r="W14" s="16">
        <v>10.1</v>
      </c>
      <c r="X14" s="16"/>
      <c r="Y14" s="16" t="s">
        <v>36</v>
      </c>
      <c r="Z14" s="103">
        <v>0.3</v>
      </c>
      <c r="AA14" s="84">
        <f>ROUNDUP((I23+J23+Q23+U23+W23)*4,0)/4</f>
        <v>320.75</v>
      </c>
      <c r="AB14" s="85"/>
      <c r="AC14" s="113">
        <f>+I14/F14</f>
        <v>9.5573381345079075E-2</v>
      </c>
    </row>
    <row r="15" spans="1:34" ht="24.75" customHeight="1">
      <c r="A15" s="106" t="s">
        <v>37</v>
      </c>
      <c r="B15" s="13" t="s">
        <v>38</v>
      </c>
      <c r="C15" s="134" t="s">
        <v>39</v>
      </c>
      <c r="D15" s="17"/>
      <c r="E15" s="18"/>
      <c r="F15" s="15"/>
      <c r="G15" s="19"/>
      <c r="H15" s="19"/>
      <c r="I15" s="19"/>
      <c r="J15" s="17"/>
      <c r="K15" s="14" t="s">
        <v>32</v>
      </c>
      <c r="L15" s="117" t="s">
        <v>124</v>
      </c>
      <c r="M15" s="14">
        <v>1.5</v>
      </c>
      <c r="N15" s="46">
        <v>1.4999999999999999E-2</v>
      </c>
      <c r="O15" s="47">
        <f>N15*R15</f>
        <v>0.32999999999999996</v>
      </c>
      <c r="P15" s="146">
        <f>IF(N15=0,0,IF(N15&lt;0.0021,0,IF(N15&lt;0.00305,213,IF(N15&lt;0.00475,198,IF(N15&lt;0.006,184,IF(N15&lt;0.00775,145,IF(N15&lt;0.0105,120,IF(N15&lt;0.013,94,IF(N15&lt;0.024,88,IF(N15&lt;0.080501,79,IF(N15&lt;0.151501,85,IF(N15&lt;0.215001,91,0))))))))))))+IF(N15&gt;0.215,IF(N15&lt;0.275001,97,IF(N15&lt;0.435001,103,IF(N15&lt;0.620001,109,0))))</f>
        <v>88</v>
      </c>
      <c r="Q15" s="16">
        <f>+P15*O15</f>
        <v>29.039999999999996</v>
      </c>
      <c r="R15" s="14">
        <v>22</v>
      </c>
      <c r="S15" s="68" t="s">
        <v>34</v>
      </c>
      <c r="T15" s="16">
        <v>0.5</v>
      </c>
      <c r="U15" s="16">
        <f>T15*R15</f>
        <v>11</v>
      </c>
      <c r="V15" s="17" t="s">
        <v>40</v>
      </c>
      <c r="W15" s="16"/>
      <c r="X15" s="16"/>
      <c r="Y15" s="14" t="s">
        <v>41</v>
      </c>
      <c r="Z15" s="83"/>
      <c r="AA15" s="84">
        <f>AA14*0.07</f>
        <v>22.452500000000001</v>
      </c>
      <c r="AB15" s="86"/>
      <c r="AD15" s="147">
        <f>AC14</f>
        <v>9.5573381345079075E-2</v>
      </c>
      <c r="AE15" s="114">
        <f>Z14</f>
        <v>0.3</v>
      </c>
      <c r="AF15" s="114" t="s">
        <v>32</v>
      </c>
      <c r="AG15" s="114">
        <f>Z17</f>
        <v>1.5</v>
      </c>
      <c r="AH15" s="148">
        <f>AA16</f>
        <v>343.20249999999999</v>
      </c>
    </row>
    <row r="16" spans="1:34" ht="24.75" customHeight="1">
      <c r="A16" s="106"/>
      <c r="B16" s="107" t="s">
        <v>42</v>
      </c>
      <c r="C16" s="20">
        <f>+LEN(C14)</f>
        <v>15</v>
      </c>
      <c r="D16" s="17"/>
      <c r="E16" s="17"/>
      <c r="F16" s="21"/>
      <c r="G16" s="17"/>
      <c r="H16" s="17"/>
      <c r="I16" s="17"/>
      <c r="J16" s="17"/>
      <c r="K16" s="14"/>
      <c r="L16" s="14"/>
      <c r="M16" s="14"/>
      <c r="N16" s="46"/>
      <c r="O16" s="47"/>
      <c r="P16" s="139"/>
      <c r="Q16" s="16"/>
      <c r="R16" s="14"/>
      <c r="S16" s="68"/>
      <c r="T16" s="16"/>
      <c r="U16" s="16"/>
      <c r="V16" s="31" t="s">
        <v>43</v>
      </c>
      <c r="W16" s="16">
        <f>+Q23*0.03</f>
        <v>0.87119999999999986</v>
      </c>
      <c r="X16" s="16"/>
      <c r="Y16" s="87" t="s">
        <v>44</v>
      </c>
      <c r="Z16" s="83"/>
      <c r="AA16" s="88">
        <f>SUM(AA14:AA15)</f>
        <v>343.20249999999999</v>
      </c>
      <c r="AB16" s="56">
        <f>CEILING(+AA16/0.5,5)</f>
        <v>690</v>
      </c>
    </row>
    <row r="17" spans="1:34" ht="24.75" customHeight="1">
      <c r="A17" s="106"/>
      <c r="B17" s="108"/>
      <c r="C17" s="20">
        <f>+LEN(C15)</f>
        <v>15</v>
      </c>
      <c r="D17" s="17"/>
      <c r="E17" s="18"/>
      <c r="F17" s="23"/>
      <c r="G17" s="19"/>
      <c r="H17" s="19"/>
      <c r="I17" s="19"/>
      <c r="J17" s="17"/>
      <c r="K17" s="14"/>
      <c r="L17" s="14"/>
      <c r="M17" s="14"/>
      <c r="N17" s="46"/>
      <c r="O17" s="47"/>
      <c r="P17" s="140"/>
      <c r="Q17" s="14"/>
      <c r="R17" s="14"/>
      <c r="S17" s="68"/>
      <c r="T17" s="16"/>
      <c r="U17" s="16"/>
      <c r="V17" s="31" t="s">
        <v>45</v>
      </c>
      <c r="W17" s="69"/>
      <c r="X17" s="16"/>
      <c r="Y17" s="14" t="s">
        <v>46</v>
      </c>
      <c r="Z17" s="83">
        <v>1.5</v>
      </c>
      <c r="AA17" s="85"/>
      <c r="AB17" s="86"/>
    </row>
    <row r="18" spans="1:34" ht="24.75" customHeight="1">
      <c r="A18" s="24"/>
      <c r="B18" s="109"/>
      <c r="C18" s="17"/>
      <c r="D18" s="17"/>
      <c r="E18" s="17"/>
      <c r="F18" s="21"/>
      <c r="G18" s="17"/>
      <c r="H18" s="17"/>
      <c r="I18" s="17"/>
      <c r="J18" s="17"/>
      <c r="K18" s="18"/>
      <c r="L18" s="18"/>
      <c r="M18" s="18"/>
      <c r="N18" s="57"/>
      <c r="O18" s="47"/>
      <c r="P18" s="141"/>
      <c r="Q18" s="19"/>
      <c r="R18" s="18"/>
      <c r="S18" s="70"/>
      <c r="T18" s="19"/>
      <c r="U18" s="16"/>
      <c r="V18" s="31" t="s">
        <v>47</v>
      </c>
      <c r="W18" s="16"/>
      <c r="X18" s="16"/>
      <c r="Y18" s="14" t="s">
        <v>48</v>
      </c>
      <c r="Z18" s="83"/>
      <c r="AA18" s="85"/>
      <c r="AB18" s="86"/>
    </row>
    <row r="19" spans="1:34" ht="24.75" customHeight="1">
      <c r="A19" s="24"/>
      <c r="B19" s="25"/>
      <c r="C19" s="25"/>
      <c r="D19" s="26"/>
      <c r="E19" s="17"/>
      <c r="F19" s="21"/>
      <c r="G19" s="17"/>
      <c r="H19" s="17"/>
      <c r="I19" s="14"/>
      <c r="J19" s="14"/>
      <c r="K19" s="14"/>
      <c r="L19" s="14"/>
      <c r="M19" s="18"/>
      <c r="N19" s="48"/>
      <c r="O19" s="49"/>
      <c r="P19" s="141"/>
      <c r="Q19" s="19"/>
      <c r="R19" s="18"/>
      <c r="S19" s="70"/>
      <c r="T19" s="19"/>
      <c r="U19" s="19"/>
      <c r="V19" s="17" t="s">
        <v>49</v>
      </c>
      <c r="W19" s="16"/>
      <c r="X19" s="16"/>
      <c r="Y19" s="14"/>
      <c r="Z19" s="83"/>
      <c r="AA19" s="85"/>
      <c r="AB19" s="86"/>
    </row>
    <row r="20" spans="1:34" ht="24.75" customHeight="1">
      <c r="A20" s="22"/>
      <c r="B20" s="27"/>
      <c r="C20" s="25"/>
      <c r="D20" s="25"/>
      <c r="E20" s="17"/>
      <c r="F20" s="21"/>
      <c r="G20" s="17"/>
      <c r="H20" s="17"/>
      <c r="I20" s="14"/>
      <c r="J20" s="14"/>
      <c r="K20" s="14"/>
      <c r="L20" s="14"/>
      <c r="M20" s="18"/>
      <c r="N20" s="48"/>
      <c r="O20" s="49"/>
      <c r="P20" s="141"/>
      <c r="Q20" s="19"/>
      <c r="R20" s="18"/>
      <c r="S20" s="70"/>
      <c r="T20" s="19"/>
      <c r="U20" s="19"/>
      <c r="V20" s="17" t="s">
        <v>50</v>
      </c>
      <c r="W20" s="16"/>
      <c r="X20" s="16"/>
      <c r="Y20" s="14"/>
      <c r="Z20" s="83"/>
      <c r="AA20" s="85"/>
      <c r="AB20" s="86"/>
    </row>
    <row r="21" spans="1:34" ht="24.75" customHeight="1">
      <c r="A21" s="22" t="s">
        <v>51</v>
      </c>
      <c r="B21" s="28"/>
      <c r="C21" s="25"/>
      <c r="D21" s="25"/>
      <c r="E21" s="17"/>
      <c r="F21" s="21"/>
      <c r="G21" s="17"/>
      <c r="H21" s="17"/>
      <c r="I21" s="14"/>
      <c r="J21" s="14"/>
      <c r="K21" s="14"/>
      <c r="L21" s="14"/>
      <c r="M21" s="18"/>
      <c r="N21" s="48"/>
      <c r="O21" s="49"/>
      <c r="P21" s="141"/>
      <c r="Q21" s="19"/>
      <c r="R21" s="18"/>
      <c r="S21" s="70"/>
      <c r="T21" s="19"/>
      <c r="U21" s="19"/>
      <c r="V21" s="17" t="s">
        <v>52</v>
      </c>
      <c r="W21" s="16">
        <v>2</v>
      </c>
      <c r="X21" s="16"/>
      <c r="Y21" s="14"/>
      <c r="Z21" s="83"/>
      <c r="AA21" s="85"/>
      <c r="AB21" s="86"/>
    </row>
    <row r="22" spans="1:34" ht="24.75" customHeight="1">
      <c r="A22" s="17" t="s">
        <v>53</v>
      </c>
      <c r="B22" s="29"/>
      <c r="C22" s="25"/>
      <c r="D22" s="25"/>
      <c r="E22" s="17"/>
      <c r="F22" s="21"/>
      <c r="G22" s="17"/>
      <c r="H22" s="17"/>
      <c r="I22" s="17"/>
      <c r="J22" s="17"/>
      <c r="K22" s="14"/>
      <c r="L22" s="14"/>
      <c r="M22" s="18"/>
      <c r="N22" s="48"/>
      <c r="O22" s="50"/>
      <c r="P22" s="139"/>
      <c r="Q22" s="16"/>
      <c r="R22" s="18"/>
      <c r="S22" s="68"/>
      <c r="T22" s="16"/>
      <c r="U22" s="16"/>
      <c r="V22" s="17"/>
      <c r="W22" s="16"/>
      <c r="X22" s="16"/>
      <c r="Y22" s="52" t="s">
        <v>54</v>
      </c>
      <c r="Z22" s="89">
        <f>Z14+Z17</f>
        <v>1.8</v>
      </c>
      <c r="AA22" s="90">
        <f>(AA16+AA17+AA18)</f>
        <v>343.20249999999999</v>
      </c>
      <c r="AB22" s="91">
        <f>(AB18+AB17+AB16)</f>
        <v>690</v>
      </c>
    </row>
    <row r="23" spans="1:34" ht="24.75" customHeight="1">
      <c r="A23" s="110" t="s">
        <v>55</v>
      </c>
      <c r="B23" s="111"/>
      <c r="C23" s="111"/>
      <c r="D23" s="38"/>
      <c r="E23" s="39"/>
      <c r="F23" s="40"/>
      <c r="G23" s="39"/>
      <c r="H23" s="39" t="s">
        <v>54</v>
      </c>
      <c r="I23" s="60">
        <f>SUM(I14:I22)</f>
        <v>267.60546776622141</v>
      </c>
      <c r="J23" s="39">
        <f>SUM(J14:J22)</f>
        <v>0</v>
      </c>
      <c r="K23" s="61"/>
      <c r="L23" s="61"/>
      <c r="M23" s="62"/>
      <c r="N23" s="63"/>
      <c r="O23" s="64">
        <f>SUM(O14:O22)</f>
        <v>0.32999999999999996</v>
      </c>
      <c r="P23" s="137"/>
      <c r="Q23" s="75">
        <f>SUM(Q14:Q19)</f>
        <v>29.039999999999996</v>
      </c>
      <c r="R23" s="61">
        <f t="shared" ref="R23:W23" si="4">SUM(R14:R22)</f>
        <v>23</v>
      </c>
      <c r="S23" s="76"/>
      <c r="T23" s="75"/>
      <c r="U23" s="75">
        <f t="shared" si="4"/>
        <v>11</v>
      </c>
      <c r="V23" s="77"/>
      <c r="W23" s="75">
        <f t="shared" si="4"/>
        <v>12.9712</v>
      </c>
      <c r="X23" s="75"/>
      <c r="Y23" s="39" t="s">
        <v>56</v>
      </c>
      <c r="Z23" s="97"/>
      <c r="AA23" s="39"/>
      <c r="AB23" s="98">
        <f>(AB22-AA22)/AB22</f>
        <v>0.50260507246376818</v>
      </c>
    </row>
    <row r="24" spans="1:34" ht="12.75" customHeight="1">
      <c r="A24" s="112"/>
      <c r="B24" s="41"/>
      <c r="C24" s="41"/>
      <c r="D24" s="41"/>
      <c r="E24" s="41"/>
      <c r="F24" s="42"/>
      <c r="G24" s="41"/>
      <c r="H24" s="41"/>
      <c r="I24" s="41"/>
      <c r="J24" s="41"/>
      <c r="K24" s="41"/>
      <c r="L24" s="65"/>
      <c r="M24" s="66"/>
      <c r="N24" s="41"/>
      <c r="O24" s="41"/>
      <c r="P24" s="138"/>
      <c r="Q24" s="78"/>
      <c r="R24" s="41"/>
      <c r="S24" s="41"/>
      <c r="T24" s="41"/>
      <c r="U24" s="41"/>
      <c r="V24" s="41"/>
      <c r="W24" s="79"/>
      <c r="X24" s="79"/>
      <c r="Y24" s="65"/>
      <c r="Z24" s="99"/>
      <c r="AA24" s="100"/>
      <c r="AB24" s="101"/>
    </row>
    <row r="25" spans="1:34" ht="24.75" customHeight="1">
      <c r="A25" s="12" t="s">
        <v>57</v>
      </c>
      <c r="B25" s="12" t="s">
        <v>58</v>
      </c>
      <c r="C25" s="13" t="s">
        <v>59</v>
      </c>
      <c r="D25" s="34"/>
      <c r="E25" s="14" t="s">
        <v>31</v>
      </c>
      <c r="F25" s="15">
        <v>2800</v>
      </c>
      <c r="G25" s="16">
        <v>3.1</v>
      </c>
      <c r="H25" s="16">
        <f>F25/24*14/31.1035*1.12</f>
        <v>58.814388520048666</v>
      </c>
      <c r="I25" s="16">
        <f>G25*H25</f>
        <v>182.32460441215088</v>
      </c>
      <c r="J25" s="14"/>
      <c r="K25" s="14" t="s">
        <v>32</v>
      </c>
      <c r="L25" s="14" t="s">
        <v>33</v>
      </c>
      <c r="M25" s="14">
        <v>7.3</v>
      </c>
      <c r="N25" s="46">
        <v>1.5</v>
      </c>
      <c r="O25" s="47"/>
      <c r="P25" s="139"/>
      <c r="Q25" s="16">
        <f>+P25*O25</f>
        <v>0</v>
      </c>
      <c r="R25" s="14">
        <v>1</v>
      </c>
      <c r="S25" s="68" t="s">
        <v>34</v>
      </c>
      <c r="T25" s="16"/>
      <c r="U25" s="16">
        <f>T25*R25</f>
        <v>0</v>
      </c>
      <c r="V25" s="17" t="s">
        <v>35</v>
      </c>
      <c r="W25" s="16">
        <v>10.1</v>
      </c>
      <c r="X25" s="16"/>
      <c r="Y25" s="16" t="s">
        <v>36</v>
      </c>
      <c r="Z25" s="83">
        <v>0.5</v>
      </c>
      <c r="AA25" s="84">
        <f>ROUNDUP((I34+J34+Q34+U34+W34)*4,0)/4</f>
        <v>356.75</v>
      </c>
      <c r="AB25" s="85"/>
      <c r="AC25" s="113">
        <f>+I25/F25</f>
        <v>6.5115930147196743E-2</v>
      </c>
    </row>
    <row r="26" spans="1:34" ht="24.75" customHeight="1">
      <c r="A26" s="106" t="s">
        <v>37</v>
      </c>
      <c r="B26" s="13" t="s">
        <v>60</v>
      </c>
      <c r="C26" s="13" t="s">
        <v>61</v>
      </c>
      <c r="D26" s="17"/>
      <c r="E26" s="18"/>
      <c r="F26" s="15"/>
      <c r="G26" s="19"/>
      <c r="H26" s="19"/>
      <c r="I26" s="19"/>
      <c r="J26" s="17"/>
      <c r="K26" s="14" t="s">
        <v>32</v>
      </c>
      <c r="L26" s="117" t="s">
        <v>124</v>
      </c>
      <c r="M26" s="14">
        <v>1</v>
      </c>
      <c r="N26" s="46">
        <v>4.5999999999999999E-3</v>
      </c>
      <c r="O26" s="47">
        <f>N26*R26</f>
        <v>0.27600000000000002</v>
      </c>
      <c r="P26" s="146">
        <f>IF(N26=0,0,IF(N26&lt;0.0021,0,IF(N26&lt;0.00305,213,IF(N26&lt;0.00475,198,IF(N26&lt;0.006,184,IF(N26&lt;0.00775,145,IF(N26&lt;0.0105,120,IF(N26&lt;0.013,94,IF(N26&lt;0.024,88,IF(N26&lt;0.080501,79,IF(N26&lt;0.151501,85,IF(N26&lt;0.215001,91,0))))))))))))+IF(N26&gt;0.215,IF(N26&lt;0.275001,97,IF(N26&lt;0.435001,103,IF(N26&lt;0.620001,109,0))))</f>
        <v>198</v>
      </c>
      <c r="Q26" s="16">
        <f>+P26*O26</f>
        <v>54.648000000000003</v>
      </c>
      <c r="R26" s="14">
        <v>60</v>
      </c>
      <c r="S26" s="68" t="s">
        <v>62</v>
      </c>
      <c r="T26" s="16">
        <v>0.5</v>
      </c>
      <c r="U26" s="16">
        <f>T26*R26</f>
        <v>30</v>
      </c>
      <c r="V26" s="17" t="s">
        <v>40</v>
      </c>
      <c r="W26" s="16"/>
      <c r="X26" s="16"/>
      <c r="Y26" s="14" t="s">
        <v>41</v>
      </c>
      <c r="Z26" s="83"/>
      <c r="AA26" s="84">
        <f>AA25*0.07</f>
        <v>24.972500000000004</v>
      </c>
      <c r="AB26" s="86"/>
      <c r="AD26" s="147"/>
      <c r="AE26" s="114"/>
      <c r="AF26" s="114"/>
      <c r="AG26" s="114"/>
      <c r="AH26" s="148"/>
    </row>
    <row r="27" spans="1:34" ht="24.75" customHeight="1">
      <c r="A27" s="106"/>
      <c r="B27" s="107" t="s">
        <v>42</v>
      </c>
      <c r="C27" s="20">
        <f>+LEN(C25)</f>
        <v>15</v>
      </c>
      <c r="D27" s="17"/>
      <c r="E27" s="17"/>
      <c r="F27" s="21"/>
      <c r="G27" s="17"/>
      <c r="H27" s="17"/>
      <c r="I27" s="17"/>
      <c r="J27" s="17"/>
      <c r="K27" s="14" t="s">
        <v>32</v>
      </c>
      <c r="L27" s="117" t="s">
        <v>124</v>
      </c>
      <c r="M27" s="14">
        <v>1.1000000000000001</v>
      </c>
      <c r="N27" s="46">
        <v>6.0000000000000001E-3</v>
      </c>
      <c r="O27" s="47">
        <f>N27*R27</f>
        <v>0.18</v>
      </c>
      <c r="P27" s="146">
        <f>IF(N27=0,0,IF(N27&lt;0.0021,0,IF(N27&lt;0.00305,213,IF(N27&lt;0.00475,198,IF(N27&lt;0.006,184,IF(N27&lt;0.00775,145,IF(N27&lt;0.0105,120,IF(N27&lt;0.013,94,IF(N27&lt;0.024,88,IF(N27&lt;0.080501,79,IF(N27&lt;0.151501,85,IF(N27&lt;0.215001,91,0))))))))))))+IF(N27&gt;0.215,IF(N27&lt;0.275001,97,IF(N27&lt;0.435001,103,IF(N27&lt;0.620001,109,0))))</f>
        <v>145</v>
      </c>
      <c r="Q27" s="16">
        <f>+P27*O27</f>
        <v>26.099999999999998</v>
      </c>
      <c r="R27" s="14">
        <v>30</v>
      </c>
      <c r="S27" s="68" t="s">
        <v>62</v>
      </c>
      <c r="T27" s="16">
        <v>0.5</v>
      </c>
      <c r="U27" s="16">
        <f>T27*R27</f>
        <v>15</v>
      </c>
      <c r="V27" s="31" t="s">
        <v>43</v>
      </c>
      <c r="W27" s="16">
        <f>+Q34*0.03</f>
        <v>2.9748600000000001</v>
      </c>
      <c r="X27" s="16"/>
      <c r="Y27" s="87" t="s">
        <v>44</v>
      </c>
      <c r="Z27" s="83"/>
      <c r="AA27" s="88">
        <f>SUM(AA25:AA26)</f>
        <v>381.72250000000003</v>
      </c>
      <c r="AB27" s="56">
        <f>CEILING(+AA27/0.5,5)</f>
        <v>765</v>
      </c>
    </row>
    <row r="28" spans="1:34" ht="24.75" customHeight="1">
      <c r="A28" s="106"/>
      <c r="B28" s="108"/>
      <c r="C28" s="20">
        <f>+LEN(C26)</f>
        <v>15</v>
      </c>
      <c r="D28" s="17"/>
      <c r="E28" s="18"/>
      <c r="F28" s="23"/>
      <c r="G28" s="19"/>
      <c r="H28" s="19"/>
      <c r="I28" s="19"/>
      <c r="J28" s="17"/>
      <c r="K28" s="14" t="s">
        <v>32</v>
      </c>
      <c r="L28" s="117" t="s">
        <v>124</v>
      </c>
      <c r="M28" s="14">
        <v>0.9</v>
      </c>
      <c r="N28" s="46">
        <v>3.0999999999999999E-3</v>
      </c>
      <c r="O28" s="47">
        <f>N28*R28</f>
        <v>9.2999999999999999E-2</v>
      </c>
      <c r="P28" s="146">
        <f>IF(N28=0,0,IF(N28&lt;0.0021,0,IF(N28&lt;0.00305,213,IF(N28&lt;0.00475,198,IF(N28&lt;0.006,184,IF(N28&lt;0.00775,145,IF(N28&lt;0.0105,120,IF(N28&lt;0.013,94,IF(N28&lt;0.024,88,IF(N28&lt;0.080501,79,IF(N28&lt;0.151501,85,IF(N28&lt;0.215001,91,0))))))))))))+IF(N28&gt;0.215,IF(N28&lt;0.275001,97,IF(N28&lt;0.435001,103,IF(N28&lt;0.620001,109,0))))</f>
        <v>198</v>
      </c>
      <c r="Q28" s="16">
        <f>+P28*O28</f>
        <v>18.414000000000001</v>
      </c>
      <c r="R28" s="14">
        <v>30</v>
      </c>
      <c r="S28" s="68" t="s">
        <v>62</v>
      </c>
      <c r="T28" s="16">
        <v>0.5</v>
      </c>
      <c r="U28" s="16">
        <f>T28*R28</f>
        <v>15</v>
      </c>
      <c r="V28" s="31" t="s">
        <v>45</v>
      </c>
      <c r="W28" s="69"/>
      <c r="X28" s="16"/>
      <c r="Y28" s="14" t="s">
        <v>46</v>
      </c>
      <c r="Z28" s="83">
        <v>1.5</v>
      </c>
      <c r="AA28" s="85"/>
      <c r="AB28" s="86"/>
    </row>
    <row r="29" spans="1:34" ht="24.75" customHeight="1">
      <c r="A29" s="24"/>
      <c r="B29" s="109"/>
      <c r="C29" s="17"/>
      <c r="D29" s="17"/>
      <c r="E29" s="17"/>
      <c r="F29" s="21"/>
      <c r="G29" s="17"/>
      <c r="H29" s="17"/>
      <c r="I29" s="17"/>
      <c r="J29" s="17"/>
      <c r="K29" s="18"/>
      <c r="L29" s="18"/>
      <c r="M29" s="18"/>
      <c r="N29" s="57"/>
      <c r="O29" s="47"/>
      <c r="P29" s="141"/>
      <c r="Q29" s="19"/>
      <c r="R29" s="18"/>
      <c r="S29" s="70"/>
      <c r="T29" s="19"/>
      <c r="U29" s="16"/>
      <c r="V29" s="31" t="s">
        <v>47</v>
      </c>
      <c r="W29" s="16"/>
      <c r="X29" s="16"/>
      <c r="Y29" s="14" t="s">
        <v>48</v>
      </c>
      <c r="Z29" s="83"/>
      <c r="AA29" s="85"/>
      <c r="AB29" s="86"/>
    </row>
    <row r="30" spans="1:34" ht="24.75" customHeight="1">
      <c r="A30" s="24"/>
      <c r="B30" s="25"/>
      <c r="C30" s="25"/>
      <c r="D30" s="26"/>
      <c r="E30" s="17"/>
      <c r="F30" s="21"/>
      <c r="G30" s="17"/>
      <c r="H30" s="17"/>
      <c r="I30" s="14"/>
      <c r="J30" s="14"/>
      <c r="K30" s="14"/>
      <c r="L30" s="14"/>
      <c r="M30" s="18"/>
      <c r="N30" s="48"/>
      <c r="O30" s="49"/>
      <c r="P30" s="141"/>
      <c r="Q30" s="19"/>
      <c r="R30" s="18"/>
      <c r="S30" s="70"/>
      <c r="T30" s="19"/>
      <c r="U30" s="19"/>
      <c r="V30" s="17" t="s">
        <v>49</v>
      </c>
      <c r="W30" s="16"/>
      <c r="X30" s="16"/>
      <c r="Y30" s="14"/>
      <c r="Z30" s="83"/>
      <c r="AA30" s="85"/>
      <c r="AB30" s="86"/>
    </row>
    <row r="31" spans="1:34" ht="24.75" customHeight="1">
      <c r="A31" s="22"/>
      <c r="B31" s="27"/>
      <c r="C31" s="25"/>
      <c r="D31" s="25"/>
      <c r="E31" s="17"/>
      <c r="F31" s="21"/>
      <c r="G31" s="17"/>
      <c r="H31" s="17"/>
      <c r="I31" s="14"/>
      <c r="J31" s="14"/>
      <c r="K31" s="14"/>
      <c r="L31" s="14"/>
      <c r="M31" s="18"/>
      <c r="N31" s="48"/>
      <c r="O31" s="49"/>
      <c r="P31" s="141"/>
      <c r="Q31" s="19"/>
      <c r="R31" s="18"/>
      <c r="S31" s="70"/>
      <c r="T31" s="19"/>
      <c r="U31" s="19"/>
      <c r="V31" s="17" t="s">
        <v>50</v>
      </c>
      <c r="W31" s="16"/>
      <c r="X31" s="16"/>
      <c r="Y31" s="14"/>
      <c r="Z31" s="83"/>
      <c r="AA31" s="85"/>
      <c r="AB31" s="86"/>
    </row>
    <row r="32" spans="1:34" ht="24.75" customHeight="1">
      <c r="A32" s="22" t="s">
        <v>51</v>
      </c>
      <c r="B32" s="28"/>
      <c r="C32" s="25"/>
      <c r="D32" s="25"/>
      <c r="E32" s="17"/>
      <c r="F32" s="21"/>
      <c r="G32" s="17"/>
      <c r="H32" s="17"/>
      <c r="I32" s="14"/>
      <c r="J32" s="14"/>
      <c r="K32" s="14"/>
      <c r="L32" s="14"/>
      <c r="M32" s="18"/>
      <c r="N32" s="48"/>
      <c r="O32" s="49"/>
      <c r="P32" s="141"/>
      <c r="Q32" s="19"/>
      <c r="R32" s="18"/>
      <c r="S32" s="70"/>
      <c r="T32" s="19"/>
      <c r="U32" s="19"/>
      <c r="V32" s="17" t="s">
        <v>52</v>
      </c>
      <c r="W32" s="16">
        <v>2</v>
      </c>
      <c r="X32" s="16"/>
      <c r="Y32" s="14"/>
      <c r="Z32" s="83"/>
      <c r="AA32" s="85"/>
      <c r="AB32" s="86"/>
    </row>
    <row r="33" spans="1:34" ht="24.75" customHeight="1">
      <c r="A33" s="17" t="s">
        <v>53</v>
      </c>
      <c r="B33" s="29"/>
      <c r="C33" s="25"/>
      <c r="D33" s="25"/>
      <c r="E33" s="17"/>
      <c r="F33" s="21"/>
      <c r="G33" s="17"/>
      <c r="H33" s="17"/>
      <c r="I33" s="17"/>
      <c r="J33" s="17"/>
      <c r="K33" s="14"/>
      <c r="L33" s="14"/>
      <c r="M33" s="18"/>
      <c r="N33" s="48"/>
      <c r="O33" s="50"/>
      <c r="P33" s="139"/>
      <c r="Q33" s="16"/>
      <c r="R33" s="18"/>
      <c r="S33" s="68"/>
      <c r="T33" s="16"/>
      <c r="U33" s="16"/>
      <c r="V33" s="17"/>
      <c r="W33" s="16"/>
      <c r="X33" s="16"/>
      <c r="Y33" s="52" t="s">
        <v>54</v>
      </c>
      <c r="Z33" s="89">
        <f>Z25+Z28</f>
        <v>2</v>
      </c>
      <c r="AA33" s="90">
        <f>(AA27+AA28+AA29)</f>
        <v>381.72250000000003</v>
      </c>
      <c r="AB33" s="91">
        <f>(AB29+AB28+AB27)</f>
        <v>765</v>
      </c>
    </row>
    <row r="34" spans="1:34" ht="24.75" customHeight="1">
      <c r="A34" s="110" t="s">
        <v>55</v>
      </c>
      <c r="B34" s="111"/>
      <c r="C34" s="111"/>
      <c r="D34" s="38"/>
      <c r="E34" s="39"/>
      <c r="F34" s="40"/>
      <c r="G34" s="39"/>
      <c r="H34" s="39" t="s">
        <v>54</v>
      </c>
      <c r="I34" s="60">
        <f>SUM(I25:I33)</f>
        <v>182.32460441215088</v>
      </c>
      <c r="J34" s="39">
        <f>SUM(J25:J33)</f>
        <v>0</v>
      </c>
      <c r="K34" s="61"/>
      <c r="L34" s="61"/>
      <c r="M34" s="62"/>
      <c r="N34" s="63"/>
      <c r="O34" s="64">
        <f>SUM(O25:O33)</f>
        <v>0.54900000000000004</v>
      </c>
      <c r="P34" s="137"/>
      <c r="Q34" s="75">
        <f>SUM(Q25:Q30)</f>
        <v>99.162000000000006</v>
      </c>
      <c r="R34" s="61">
        <f t="shared" ref="R34:W34" si="5">SUM(R25:R33)</f>
        <v>121</v>
      </c>
      <c r="S34" s="76"/>
      <c r="T34" s="75"/>
      <c r="U34" s="75">
        <f t="shared" si="5"/>
        <v>60</v>
      </c>
      <c r="V34" s="77"/>
      <c r="W34" s="75">
        <f t="shared" si="5"/>
        <v>15.074859999999999</v>
      </c>
      <c r="X34" s="75"/>
      <c r="Y34" s="39" t="s">
        <v>56</v>
      </c>
      <c r="Z34" s="97"/>
      <c r="AA34" s="39"/>
      <c r="AB34" s="98">
        <f>(AB33-AA33)/AB33</f>
        <v>0.50101633986928096</v>
      </c>
    </row>
    <row r="35" spans="1:34" ht="12.75" customHeight="1">
      <c r="A35" s="112"/>
      <c r="B35" s="41"/>
      <c r="C35" s="41"/>
      <c r="D35" s="41"/>
      <c r="E35" s="41"/>
      <c r="F35" s="42"/>
      <c r="G35" s="41"/>
      <c r="H35" s="41"/>
      <c r="I35" s="41"/>
      <c r="J35" s="41"/>
      <c r="K35" s="41"/>
      <c r="L35" s="65"/>
      <c r="M35" s="66"/>
      <c r="N35" s="41"/>
      <c r="O35" s="41"/>
      <c r="P35" s="138"/>
      <c r="Q35" s="78"/>
      <c r="R35" s="41"/>
      <c r="S35" s="41"/>
      <c r="T35" s="41"/>
      <c r="U35" s="41"/>
      <c r="V35" s="41"/>
      <c r="W35" s="79"/>
      <c r="X35" s="79"/>
      <c r="Y35" s="65"/>
      <c r="Z35" s="99"/>
      <c r="AA35" s="100"/>
      <c r="AB35" s="101"/>
    </row>
    <row r="36" spans="1:34" ht="24.75" customHeight="1">
      <c r="A36" s="12" t="s">
        <v>63</v>
      </c>
      <c r="B36" s="12" t="s">
        <v>64</v>
      </c>
      <c r="C36" s="13" t="s">
        <v>65</v>
      </c>
      <c r="D36" s="34"/>
      <c r="E36" s="14" t="s">
        <v>31</v>
      </c>
      <c r="F36" s="15">
        <v>2800</v>
      </c>
      <c r="G36" s="16">
        <v>3.36</v>
      </c>
      <c r="H36" s="16">
        <f>F36/24*14/31.1035*1.12</f>
        <v>58.814388520048666</v>
      </c>
      <c r="I36" s="16">
        <f>G36*H36</f>
        <v>197.61634542736351</v>
      </c>
      <c r="J36" s="14"/>
      <c r="K36" s="14" t="s">
        <v>66</v>
      </c>
      <c r="L36" s="14" t="s">
        <v>33</v>
      </c>
      <c r="M36" s="14" t="s">
        <v>67</v>
      </c>
      <c r="N36" s="46">
        <v>1.5</v>
      </c>
      <c r="O36" s="47"/>
      <c r="P36" s="139"/>
      <c r="Q36" s="16">
        <f>+P36*O36</f>
        <v>0</v>
      </c>
      <c r="R36" s="14">
        <v>1</v>
      </c>
      <c r="S36" s="68" t="s">
        <v>34</v>
      </c>
      <c r="T36" s="16"/>
      <c r="U36" s="16">
        <f>T36*R36</f>
        <v>0</v>
      </c>
      <c r="V36" s="17" t="s">
        <v>35</v>
      </c>
      <c r="W36" s="16">
        <v>10.1</v>
      </c>
      <c r="X36" s="16"/>
      <c r="Y36" s="16" t="s">
        <v>36</v>
      </c>
      <c r="Z36" s="83">
        <v>0.6</v>
      </c>
      <c r="AA36" s="84">
        <f>ROUNDUP((I45+J45+Q45+U45+W45)*4,0)/4</f>
        <v>272</v>
      </c>
      <c r="AB36" s="85"/>
      <c r="AC36" s="113">
        <f>+I36/F36</f>
        <v>7.0577266224058396E-2</v>
      </c>
    </row>
    <row r="37" spans="1:34" ht="24.75" customHeight="1">
      <c r="A37" s="106" t="s">
        <v>37</v>
      </c>
      <c r="B37" s="13" t="s">
        <v>68</v>
      </c>
      <c r="C37" s="134" t="s">
        <v>69</v>
      </c>
      <c r="D37" s="17"/>
      <c r="E37" s="18"/>
      <c r="F37" s="15"/>
      <c r="G37" s="19"/>
      <c r="H37" s="19"/>
      <c r="I37" s="19"/>
      <c r="J37" s="17"/>
      <c r="K37" s="14" t="s">
        <v>32</v>
      </c>
      <c r="L37" s="117" t="s">
        <v>124</v>
      </c>
      <c r="M37" s="14">
        <v>2</v>
      </c>
      <c r="N37" s="46">
        <v>3.2000000000000001E-2</v>
      </c>
      <c r="O37" s="47">
        <f>N37*R37</f>
        <v>0.64</v>
      </c>
      <c r="P37" s="146">
        <f>IF(N37=0,0,IF(N37&lt;0.0021,0,IF(N37&lt;0.00305,213,IF(N37&lt;0.00475,198,IF(N37&lt;0.006,184,IF(N37&lt;0.00775,145,IF(N37&lt;0.0105,120,IF(N37&lt;0.013,94,IF(N37&lt;0.024,88,IF(N37&lt;0.080501,79,IF(N37&lt;0.151501,85,IF(N37&lt;0.215001,91,0))))))))))))+IF(N37&gt;0.215,IF(N37&lt;0.275001,97,IF(N37&lt;0.435001,103,IF(N37&lt;0.620001,109,0))))</f>
        <v>79</v>
      </c>
      <c r="Q37" s="16">
        <f>+P37*O37</f>
        <v>50.56</v>
      </c>
      <c r="R37" s="14">
        <v>20</v>
      </c>
      <c r="S37" s="68" t="s">
        <v>34</v>
      </c>
      <c r="T37" s="16">
        <v>0.5</v>
      </c>
      <c r="U37" s="16">
        <f>T37*R37</f>
        <v>10</v>
      </c>
      <c r="V37" s="17" t="s">
        <v>40</v>
      </c>
      <c r="W37" s="16"/>
      <c r="X37" s="16"/>
      <c r="Y37" s="14" t="s">
        <v>41</v>
      </c>
      <c r="Z37" s="83"/>
      <c r="AA37" s="84">
        <f>AA36*0.07</f>
        <v>19.040000000000003</v>
      </c>
      <c r="AB37" s="86"/>
      <c r="AD37" s="147">
        <f>AC36</f>
        <v>7.0577266224058396E-2</v>
      </c>
      <c r="AE37" s="114">
        <f>Z36</f>
        <v>0.6</v>
      </c>
      <c r="AF37" s="3" t="s">
        <v>125</v>
      </c>
      <c r="AG37" s="114">
        <f>Z39</f>
        <v>1.5</v>
      </c>
      <c r="AH37" s="148">
        <f>AA38</f>
        <v>291.04000000000002</v>
      </c>
    </row>
    <row r="38" spans="1:34" ht="24.75" customHeight="1">
      <c r="A38" s="106"/>
      <c r="B38" s="107" t="s">
        <v>42</v>
      </c>
      <c r="C38" s="20">
        <f>+LEN(C36)</f>
        <v>15</v>
      </c>
      <c r="D38" s="17"/>
      <c r="E38" s="17"/>
      <c r="F38" s="21"/>
      <c r="G38" s="17"/>
      <c r="H38" s="17"/>
      <c r="I38" s="17"/>
      <c r="J38" s="17"/>
      <c r="K38" s="14"/>
      <c r="L38" s="14"/>
      <c r="M38" s="14"/>
      <c r="N38" s="46"/>
      <c r="O38" s="47"/>
      <c r="P38" s="139"/>
      <c r="Q38" s="16"/>
      <c r="R38" s="14"/>
      <c r="S38" s="68"/>
      <c r="T38" s="16"/>
      <c r="U38" s="16"/>
      <c r="V38" s="31" t="s">
        <v>43</v>
      </c>
      <c r="W38" s="16">
        <f>+Q45*0.03</f>
        <v>1.5167999999999999</v>
      </c>
      <c r="X38" s="16"/>
      <c r="Y38" s="87" t="s">
        <v>44</v>
      </c>
      <c r="Z38" s="83"/>
      <c r="AA38" s="88">
        <f>SUM(AA36:AA37)</f>
        <v>291.04000000000002</v>
      </c>
      <c r="AB38" s="56">
        <f>CEILING(+AA38/0.5,5)</f>
        <v>585</v>
      </c>
    </row>
    <row r="39" spans="1:34" ht="24.75" customHeight="1">
      <c r="A39" s="106"/>
      <c r="B39" s="108"/>
      <c r="C39" s="20">
        <f>+LEN(C37)</f>
        <v>15</v>
      </c>
      <c r="D39" s="17"/>
      <c r="E39" s="18"/>
      <c r="F39" s="23"/>
      <c r="G39" s="19"/>
      <c r="H39" s="19"/>
      <c r="I39" s="19"/>
      <c r="J39" s="17"/>
      <c r="K39" s="14"/>
      <c r="L39" s="14"/>
      <c r="M39" s="14"/>
      <c r="N39" s="46"/>
      <c r="O39" s="47"/>
      <c r="P39" s="140"/>
      <c r="Q39" s="14"/>
      <c r="R39" s="14"/>
      <c r="S39" s="68"/>
      <c r="T39" s="16"/>
      <c r="U39" s="16"/>
      <c r="V39" s="31" t="s">
        <v>45</v>
      </c>
      <c r="W39" s="69"/>
      <c r="X39" s="16"/>
      <c r="Y39" s="14" t="s">
        <v>46</v>
      </c>
      <c r="Z39" s="83">
        <v>1.5</v>
      </c>
      <c r="AA39" s="85"/>
      <c r="AB39" s="86"/>
    </row>
    <row r="40" spans="1:34" ht="24.75" customHeight="1">
      <c r="A40" s="24"/>
      <c r="B40" s="109"/>
      <c r="C40" s="17"/>
      <c r="D40" s="17"/>
      <c r="E40" s="17"/>
      <c r="F40" s="21"/>
      <c r="G40" s="17"/>
      <c r="H40" s="17"/>
      <c r="I40" s="17"/>
      <c r="J40" s="17"/>
      <c r="K40" s="18"/>
      <c r="L40" s="18"/>
      <c r="M40" s="18"/>
      <c r="N40" s="57"/>
      <c r="O40" s="47"/>
      <c r="P40" s="141"/>
      <c r="Q40" s="19"/>
      <c r="R40" s="18"/>
      <c r="S40" s="70"/>
      <c r="T40" s="19"/>
      <c r="U40" s="16"/>
      <c r="V40" s="31" t="s">
        <v>47</v>
      </c>
      <c r="W40" s="16"/>
      <c r="X40" s="16"/>
      <c r="Y40" s="14" t="s">
        <v>48</v>
      </c>
      <c r="Z40" s="83"/>
      <c r="AA40" s="85"/>
      <c r="AB40" s="86"/>
    </row>
    <row r="41" spans="1:34" ht="24.75" customHeight="1">
      <c r="A41" s="24"/>
      <c r="B41" s="25"/>
      <c r="C41" s="25"/>
      <c r="D41" s="26"/>
      <c r="E41" s="17"/>
      <c r="F41" s="21"/>
      <c r="G41" s="17"/>
      <c r="H41" s="17"/>
      <c r="I41" s="14"/>
      <c r="J41" s="14"/>
      <c r="K41" s="14"/>
      <c r="L41" s="14"/>
      <c r="M41" s="18"/>
      <c r="N41" s="48"/>
      <c r="O41" s="49"/>
      <c r="P41" s="141"/>
      <c r="Q41" s="19"/>
      <c r="R41" s="18"/>
      <c r="S41" s="70"/>
      <c r="T41" s="19"/>
      <c r="U41" s="19"/>
      <c r="V41" s="17" t="s">
        <v>49</v>
      </c>
      <c r="W41" s="16"/>
      <c r="X41" s="16"/>
      <c r="Y41" s="14"/>
      <c r="Z41" s="83"/>
      <c r="AA41" s="85"/>
      <c r="AB41" s="86"/>
    </row>
    <row r="42" spans="1:34" ht="24.75" customHeight="1">
      <c r="A42" s="22"/>
      <c r="B42" s="27"/>
      <c r="C42" s="25"/>
      <c r="D42" s="25"/>
      <c r="E42" s="17"/>
      <c r="F42" s="21"/>
      <c r="G42" s="17"/>
      <c r="H42" s="17"/>
      <c r="I42" s="14"/>
      <c r="J42" s="14"/>
      <c r="K42" s="14"/>
      <c r="L42" s="14"/>
      <c r="M42" s="18"/>
      <c r="N42" s="48"/>
      <c r="O42" s="49"/>
      <c r="P42" s="141"/>
      <c r="Q42" s="19"/>
      <c r="R42" s="18"/>
      <c r="S42" s="70"/>
      <c r="T42" s="19"/>
      <c r="U42" s="19"/>
      <c r="V42" s="17" t="s">
        <v>50</v>
      </c>
      <c r="W42" s="16"/>
      <c r="X42" s="16"/>
      <c r="Y42" s="14"/>
      <c r="Z42" s="83"/>
      <c r="AA42" s="85"/>
      <c r="AB42" s="86"/>
    </row>
    <row r="43" spans="1:34" ht="24.75" customHeight="1">
      <c r="A43" s="22" t="s">
        <v>51</v>
      </c>
      <c r="B43" s="28"/>
      <c r="C43" s="25"/>
      <c r="D43" s="25"/>
      <c r="E43" s="17"/>
      <c r="F43" s="21"/>
      <c r="G43" s="17"/>
      <c r="H43" s="17"/>
      <c r="I43" s="14"/>
      <c r="J43" s="14"/>
      <c r="K43" s="14"/>
      <c r="L43" s="14"/>
      <c r="M43" s="18"/>
      <c r="N43" s="48"/>
      <c r="O43" s="49"/>
      <c r="P43" s="141"/>
      <c r="Q43" s="19"/>
      <c r="R43" s="18"/>
      <c r="S43" s="70"/>
      <c r="T43" s="19"/>
      <c r="U43" s="19"/>
      <c r="V43" s="17" t="s">
        <v>52</v>
      </c>
      <c r="W43" s="16">
        <v>2</v>
      </c>
      <c r="X43" s="16"/>
      <c r="Y43" s="14"/>
      <c r="Z43" s="83"/>
      <c r="AA43" s="85"/>
      <c r="AB43" s="86"/>
    </row>
    <row r="44" spans="1:34" ht="24.75" customHeight="1">
      <c r="A44" s="17" t="s">
        <v>53</v>
      </c>
      <c r="B44" s="29"/>
      <c r="C44" s="25"/>
      <c r="D44" s="25"/>
      <c r="E44" s="17"/>
      <c r="F44" s="21"/>
      <c r="G44" s="17"/>
      <c r="H44" s="17"/>
      <c r="I44" s="17"/>
      <c r="J44" s="17"/>
      <c r="K44" s="14"/>
      <c r="L44" s="14"/>
      <c r="M44" s="18"/>
      <c r="N44" s="48"/>
      <c r="O44" s="50"/>
      <c r="P44" s="139"/>
      <c r="Q44" s="16"/>
      <c r="R44" s="18"/>
      <c r="S44" s="68"/>
      <c r="T44" s="16"/>
      <c r="U44" s="16"/>
      <c r="V44" s="17"/>
      <c r="W44" s="16"/>
      <c r="X44" s="16"/>
      <c r="Y44" s="52" t="s">
        <v>54</v>
      </c>
      <c r="Z44" s="89">
        <f>Z36+Z39</f>
        <v>2.1</v>
      </c>
      <c r="AA44" s="90">
        <f>(AA38+AA39+AA40)</f>
        <v>291.04000000000002</v>
      </c>
      <c r="AB44" s="91">
        <f>(AB40+AB39+AB38)</f>
        <v>585</v>
      </c>
    </row>
    <row r="45" spans="1:34" ht="24.75" customHeight="1">
      <c r="A45" s="17" t="s">
        <v>55</v>
      </c>
      <c r="B45" s="30"/>
      <c r="C45" s="30"/>
      <c r="D45" s="31"/>
      <c r="E45" s="32"/>
      <c r="F45" s="33"/>
      <c r="G45" s="32"/>
      <c r="H45" s="32" t="s">
        <v>54</v>
      </c>
      <c r="I45" s="51">
        <f>SUM(I36:I44)</f>
        <v>197.61634542736351</v>
      </c>
      <c r="J45" s="32">
        <f>SUM(J36:J44)</f>
        <v>0</v>
      </c>
      <c r="K45" s="52"/>
      <c r="L45" s="52"/>
      <c r="M45" s="53"/>
      <c r="N45" s="54"/>
      <c r="O45" s="55">
        <f>SUM(O36:O44)</f>
        <v>0.64</v>
      </c>
      <c r="P45" s="142"/>
      <c r="Q45" s="69">
        <f>SUM(Q36:Q41)</f>
        <v>50.56</v>
      </c>
      <c r="R45" s="52">
        <f t="shared" ref="R45:W45" si="6">SUM(R36:R44)</f>
        <v>21</v>
      </c>
      <c r="S45" s="71"/>
      <c r="T45" s="69"/>
      <c r="U45" s="69">
        <f t="shared" si="6"/>
        <v>10</v>
      </c>
      <c r="V45" s="72"/>
      <c r="W45" s="69">
        <f t="shared" si="6"/>
        <v>13.6168</v>
      </c>
      <c r="X45" s="69"/>
      <c r="Y45" s="32" t="s">
        <v>56</v>
      </c>
      <c r="Z45" s="92"/>
      <c r="AA45" s="32"/>
      <c r="AB45" s="93">
        <f>(AB44-AA44)/AB44</f>
        <v>0.50249572649572649</v>
      </c>
    </row>
    <row r="46" spans="1:34" ht="12.75" customHeight="1">
      <c r="A46" s="35"/>
      <c r="B46" s="36"/>
      <c r="C46" s="36"/>
      <c r="D46" s="36"/>
      <c r="E46" s="36"/>
      <c r="F46" s="37"/>
      <c r="G46" s="36"/>
      <c r="H46" s="36"/>
      <c r="I46" s="36"/>
      <c r="J46" s="36"/>
      <c r="K46" s="36"/>
      <c r="L46" s="58"/>
      <c r="M46" s="59"/>
      <c r="N46" s="36"/>
      <c r="O46" s="36"/>
      <c r="P46" s="143"/>
      <c r="Q46" s="73"/>
      <c r="R46" s="36"/>
      <c r="S46" s="36"/>
      <c r="T46" s="36"/>
      <c r="U46" s="36"/>
      <c r="V46" s="36"/>
      <c r="W46" s="74"/>
      <c r="X46" s="74"/>
      <c r="Y46" s="58"/>
      <c r="Z46" s="94"/>
      <c r="AA46" s="95"/>
      <c r="AB46" s="96"/>
    </row>
    <row r="47" spans="1:34" ht="24.75" customHeight="1">
      <c r="A47" s="12" t="s">
        <v>70</v>
      </c>
      <c r="B47" s="12" t="s">
        <v>71</v>
      </c>
      <c r="C47" s="13" t="s">
        <v>72</v>
      </c>
      <c r="D47" s="34"/>
      <c r="E47" s="14" t="s">
        <v>31</v>
      </c>
      <c r="F47" s="15">
        <v>2800</v>
      </c>
      <c r="G47" s="16">
        <v>3.31</v>
      </c>
      <c r="H47" s="16">
        <f>F47/24*14/31.1035*1.12</f>
        <v>58.814388520048666</v>
      </c>
      <c r="I47" s="16">
        <f>G47*H47</f>
        <v>194.67562600136108</v>
      </c>
      <c r="J47" s="14"/>
      <c r="K47" s="14" t="s">
        <v>66</v>
      </c>
      <c r="L47" s="14" t="s">
        <v>33</v>
      </c>
      <c r="M47" s="14" t="s">
        <v>67</v>
      </c>
      <c r="N47" s="46">
        <v>1.5</v>
      </c>
      <c r="O47" s="47"/>
      <c r="P47" s="139"/>
      <c r="Q47" s="16">
        <f>+P47*O47</f>
        <v>0</v>
      </c>
      <c r="R47" s="14">
        <v>1</v>
      </c>
      <c r="S47" s="68" t="s">
        <v>34</v>
      </c>
      <c r="T47" s="16"/>
      <c r="U47" s="16">
        <f>T47*R47</f>
        <v>0</v>
      </c>
      <c r="V47" s="17" t="s">
        <v>35</v>
      </c>
      <c r="W47" s="16">
        <v>10.1</v>
      </c>
      <c r="X47" s="16"/>
      <c r="Y47" s="16" t="s">
        <v>36</v>
      </c>
      <c r="Z47" s="83">
        <v>0.96</v>
      </c>
      <c r="AA47" s="84">
        <f>ROUNDUP((I56+J56+Q56+U56+W56)*4,0)/4</f>
        <v>300.5</v>
      </c>
      <c r="AB47" s="85"/>
      <c r="AC47" s="113">
        <f>+I47/F47</f>
        <v>6.9527009286200384E-2</v>
      </c>
    </row>
    <row r="48" spans="1:34" ht="24.75" customHeight="1">
      <c r="A48" s="106" t="s">
        <v>37</v>
      </c>
      <c r="B48" s="13" t="s">
        <v>73</v>
      </c>
      <c r="C48" s="134" t="s">
        <v>74</v>
      </c>
      <c r="D48" s="17"/>
      <c r="E48" s="18"/>
      <c r="F48" s="15"/>
      <c r="G48" s="19"/>
      <c r="H48" s="19"/>
      <c r="I48" s="19"/>
      <c r="J48" s="17"/>
      <c r="K48" s="14" t="s">
        <v>32</v>
      </c>
      <c r="L48" s="117" t="s">
        <v>124</v>
      </c>
      <c r="M48" s="14">
        <v>2.6</v>
      </c>
      <c r="N48" s="46">
        <v>6.8000000000000005E-2</v>
      </c>
      <c r="O48" s="104">
        <f>N48*R48+0.07</f>
        <v>1.022</v>
      </c>
      <c r="P48" s="146">
        <f>IF(N48=0,0,IF(N48&lt;0.0021,0,IF(N48&lt;0.00305,213,IF(N48&lt;0.00475,198,IF(N48&lt;0.006,184,IF(N48&lt;0.00775,145,IF(N48&lt;0.0105,120,IF(N48&lt;0.013,94,IF(N48&lt;0.024,88,IF(N48&lt;0.080501,79,IF(N48&lt;0.151501,85,IF(N48&lt;0.215001,91,0))))))))))))+IF(N48&gt;0.215,IF(N48&lt;0.275001,97,IF(N48&lt;0.435001,103,IF(N48&lt;0.620001,109,0))))</f>
        <v>79</v>
      </c>
      <c r="Q48" s="16">
        <f>+P48*O48</f>
        <v>80.738</v>
      </c>
      <c r="R48" s="14">
        <v>14</v>
      </c>
      <c r="S48" s="68" t="s">
        <v>34</v>
      </c>
      <c r="T48" s="16">
        <v>0.75</v>
      </c>
      <c r="U48" s="16">
        <f>T48*R48</f>
        <v>10.5</v>
      </c>
      <c r="V48" s="17" t="s">
        <v>40</v>
      </c>
      <c r="W48" s="16"/>
      <c r="X48" s="16"/>
      <c r="Y48" s="14" t="s">
        <v>41</v>
      </c>
      <c r="Z48" s="83"/>
      <c r="AA48" s="84">
        <f>AA47*0.07</f>
        <v>21.035000000000004</v>
      </c>
      <c r="AB48" s="86"/>
      <c r="AD48" s="147">
        <f>AC47</f>
        <v>6.9527009286200384E-2</v>
      </c>
      <c r="AE48" s="114">
        <f>Z47</f>
        <v>0.96</v>
      </c>
      <c r="AF48" s="3" t="s">
        <v>125</v>
      </c>
      <c r="AG48" s="114">
        <f>Z50</f>
        <v>1.5</v>
      </c>
      <c r="AH48" s="148">
        <f>AA49</f>
        <v>321.53500000000003</v>
      </c>
    </row>
    <row r="49" spans="1:34" ht="24.75" customHeight="1">
      <c r="A49" s="106"/>
      <c r="B49" s="107" t="s">
        <v>42</v>
      </c>
      <c r="C49" s="20">
        <f>+LEN(C47)</f>
        <v>15</v>
      </c>
      <c r="D49" s="17"/>
      <c r="E49" s="17"/>
      <c r="F49" s="21"/>
      <c r="G49" s="17"/>
      <c r="H49" s="17"/>
      <c r="I49" s="17"/>
      <c r="J49" s="17"/>
      <c r="K49" s="14"/>
      <c r="L49" s="14"/>
      <c r="M49" s="14"/>
      <c r="N49" s="46"/>
      <c r="O49" s="47"/>
      <c r="P49" s="139"/>
      <c r="Q49" s="16"/>
      <c r="R49" s="14"/>
      <c r="S49" s="68"/>
      <c r="T49" s="16"/>
      <c r="U49" s="16"/>
      <c r="V49" s="31" t="s">
        <v>43</v>
      </c>
      <c r="W49" s="16">
        <f>+Q56*0.03</f>
        <v>2.4221399999999997</v>
      </c>
      <c r="X49" s="16"/>
      <c r="Y49" s="87" t="s">
        <v>44</v>
      </c>
      <c r="Z49" s="83"/>
      <c r="AA49" s="88">
        <f>SUM(AA47:AA48)</f>
        <v>321.53500000000003</v>
      </c>
      <c r="AB49" s="56">
        <f>CEILING(+AA49/0.5,5)</f>
        <v>645</v>
      </c>
    </row>
    <row r="50" spans="1:34" ht="24.75" customHeight="1">
      <c r="A50" s="106"/>
      <c r="B50" s="108"/>
      <c r="C50" s="20">
        <f>+LEN(C48)</f>
        <v>15</v>
      </c>
      <c r="D50" s="17"/>
      <c r="E50" s="18"/>
      <c r="F50" s="23"/>
      <c r="G50" s="19"/>
      <c r="H50" s="19"/>
      <c r="I50" s="19"/>
      <c r="J50" s="17"/>
      <c r="K50" s="14"/>
      <c r="L50" s="14"/>
      <c r="M50" s="14"/>
      <c r="N50" s="46"/>
      <c r="O50" s="47"/>
      <c r="P50" s="140"/>
      <c r="Q50" s="14"/>
      <c r="R50" s="14"/>
      <c r="S50" s="68"/>
      <c r="T50" s="16"/>
      <c r="U50" s="16"/>
      <c r="V50" s="31" t="s">
        <v>45</v>
      </c>
      <c r="W50" s="69"/>
      <c r="X50" s="16"/>
      <c r="Y50" s="14" t="s">
        <v>46</v>
      </c>
      <c r="Z50" s="83">
        <v>1.5</v>
      </c>
      <c r="AA50" s="85"/>
      <c r="AB50" s="86"/>
    </row>
    <row r="51" spans="1:34" ht="24.75" customHeight="1">
      <c r="A51" s="24"/>
      <c r="B51" s="109"/>
      <c r="C51" s="17"/>
      <c r="D51" s="17"/>
      <c r="E51" s="17"/>
      <c r="F51" s="21"/>
      <c r="G51" s="17"/>
      <c r="H51" s="17"/>
      <c r="I51" s="17"/>
      <c r="J51" s="17"/>
      <c r="K51" s="18"/>
      <c r="L51" s="18"/>
      <c r="M51" s="18"/>
      <c r="N51" s="57"/>
      <c r="O51" s="47"/>
      <c r="P51" s="141"/>
      <c r="Q51" s="19"/>
      <c r="R51" s="18"/>
      <c r="S51" s="70"/>
      <c r="T51" s="19"/>
      <c r="U51" s="16"/>
      <c r="V51" s="31" t="s">
        <v>47</v>
      </c>
      <c r="W51" s="16"/>
      <c r="X51" s="16"/>
      <c r="Y51" s="14" t="s">
        <v>48</v>
      </c>
      <c r="Z51" s="83"/>
      <c r="AA51" s="85"/>
      <c r="AB51" s="86"/>
    </row>
    <row r="52" spans="1:34" ht="24.75" customHeight="1">
      <c r="A52" s="24"/>
      <c r="B52" s="25"/>
      <c r="C52" s="25"/>
      <c r="D52" s="26"/>
      <c r="E52" s="17"/>
      <c r="F52" s="21"/>
      <c r="G52" s="17"/>
      <c r="H52" s="17"/>
      <c r="I52" s="14"/>
      <c r="J52" s="14"/>
      <c r="K52" s="14"/>
      <c r="L52" s="14"/>
      <c r="M52" s="18"/>
      <c r="N52" s="48"/>
      <c r="O52" s="49"/>
      <c r="P52" s="141"/>
      <c r="Q52" s="19"/>
      <c r="R52" s="18"/>
      <c r="S52" s="70"/>
      <c r="T52" s="19"/>
      <c r="U52" s="19"/>
      <c r="V52" s="17" t="s">
        <v>49</v>
      </c>
      <c r="W52" s="16"/>
      <c r="X52" s="16"/>
      <c r="Y52" s="14"/>
      <c r="Z52" s="83"/>
      <c r="AA52" s="85"/>
      <c r="AB52" s="86"/>
    </row>
    <row r="53" spans="1:34" ht="24.75" customHeight="1">
      <c r="A53" s="22"/>
      <c r="B53" s="27"/>
      <c r="C53" s="25"/>
      <c r="D53" s="25"/>
      <c r="E53" s="17"/>
      <c r="F53" s="21"/>
      <c r="G53" s="17"/>
      <c r="H53" s="17"/>
      <c r="I53" s="14"/>
      <c r="J53" s="14"/>
      <c r="K53" s="14"/>
      <c r="L53" s="14"/>
      <c r="M53" s="18"/>
      <c r="N53" s="48"/>
      <c r="O53" s="49"/>
      <c r="P53" s="141"/>
      <c r="Q53" s="19"/>
      <c r="R53" s="18"/>
      <c r="S53" s="70"/>
      <c r="T53" s="19"/>
      <c r="U53" s="19"/>
      <c r="V53" s="17" t="s">
        <v>50</v>
      </c>
      <c r="W53" s="16"/>
      <c r="X53" s="16"/>
      <c r="Y53" s="14"/>
      <c r="Z53" s="83"/>
      <c r="AA53" s="85"/>
      <c r="AB53" s="86"/>
    </row>
    <row r="54" spans="1:34" ht="24.75" customHeight="1">
      <c r="A54" s="22" t="s">
        <v>51</v>
      </c>
      <c r="B54" s="28"/>
      <c r="C54" s="25"/>
      <c r="D54" s="25"/>
      <c r="E54" s="17"/>
      <c r="F54" s="21"/>
      <c r="G54" s="17"/>
      <c r="H54" s="17"/>
      <c r="I54" s="14"/>
      <c r="J54" s="14"/>
      <c r="K54" s="14"/>
      <c r="L54" s="14"/>
      <c r="M54" s="18"/>
      <c r="N54" s="48"/>
      <c r="O54" s="49"/>
      <c r="P54" s="141"/>
      <c r="Q54" s="19"/>
      <c r="R54" s="18"/>
      <c r="S54" s="70"/>
      <c r="T54" s="19"/>
      <c r="U54" s="19"/>
      <c r="V54" s="17" t="s">
        <v>52</v>
      </c>
      <c r="W54" s="16">
        <v>2</v>
      </c>
      <c r="X54" s="16"/>
      <c r="Y54" s="14"/>
      <c r="Z54" s="83"/>
      <c r="AA54" s="85"/>
      <c r="AB54" s="86"/>
    </row>
    <row r="55" spans="1:34" ht="24.75" customHeight="1">
      <c r="A55" s="17" t="s">
        <v>53</v>
      </c>
      <c r="B55" s="29"/>
      <c r="C55" s="25"/>
      <c r="D55" s="25"/>
      <c r="E55" s="17"/>
      <c r="F55" s="21"/>
      <c r="G55" s="17"/>
      <c r="H55" s="17"/>
      <c r="I55" s="17"/>
      <c r="J55" s="17"/>
      <c r="K55" s="14"/>
      <c r="L55" s="14"/>
      <c r="M55" s="18"/>
      <c r="N55" s="48"/>
      <c r="O55" s="50"/>
      <c r="P55" s="139"/>
      <c r="Q55" s="16"/>
      <c r="R55" s="18"/>
      <c r="S55" s="68"/>
      <c r="T55" s="16"/>
      <c r="U55" s="16"/>
      <c r="V55" s="17"/>
      <c r="W55" s="16"/>
      <c r="X55" s="16"/>
      <c r="Y55" s="52" t="s">
        <v>54</v>
      </c>
      <c r="Z55" s="89">
        <f>Z47+Z50</f>
        <v>2.46</v>
      </c>
      <c r="AA55" s="90">
        <f>(AA49+AA50+AA51)</f>
        <v>321.53500000000003</v>
      </c>
      <c r="AB55" s="91">
        <f>(AB51+AB50+AB49)</f>
        <v>645</v>
      </c>
    </row>
    <row r="56" spans="1:34" ht="24.75" customHeight="1">
      <c r="A56" s="17" t="s">
        <v>55</v>
      </c>
      <c r="B56" s="30"/>
      <c r="C56" s="30"/>
      <c r="D56" s="31"/>
      <c r="E56" s="32"/>
      <c r="F56" s="33"/>
      <c r="G56" s="32"/>
      <c r="H56" s="32" t="s">
        <v>54</v>
      </c>
      <c r="I56" s="51">
        <f>SUM(I47:I55)</f>
        <v>194.67562600136108</v>
      </c>
      <c r="J56" s="32">
        <f>SUM(J47:J55)</f>
        <v>0</v>
      </c>
      <c r="K56" s="52"/>
      <c r="L56" s="52"/>
      <c r="M56" s="53"/>
      <c r="N56" s="54"/>
      <c r="O56" s="55">
        <f>SUM(O47:O55)</f>
        <v>1.022</v>
      </c>
      <c r="P56" s="142"/>
      <c r="Q56" s="69">
        <f>SUM(Q47:Q52)</f>
        <v>80.738</v>
      </c>
      <c r="R56" s="52">
        <f t="shared" ref="R56:W56" si="7">SUM(R47:R55)</f>
        <v>15</v>
      </c>
      <c r="S56" s="71"/>
      <c r="T56" s="69"/>
      <c r="U56" s="69">
        <f t="shared" si="7"/>
        <v>10.5</v>
      </c>
      <c r="V56" s="72"/>
      <c r="W56" s="69">
        <f t="shared" si="7"/>
        <v>14.52214</v>
      </c>
      <c r="X56" s="69"/>
      <c r="Y56" s="32" t="s">
        <v>56</v>
      </c>
      <c r="Z56" s="92"/>
      <c r="AA56" s="32"/>
      <c r="AB56" s="93">
        <f>(AB55-AA55)/AB55</f>
        <v>0.50149612403100774</v>
      </c>
    </row>
    <row r="57" spans="1:34" ht="12.75" customHeight="1">
      <c r="A57" s="35"/>
      <c r="B57" s="36"/>
      <c r="C57" s="36"/>
      <c r="D57" s="36"/>
      <c r="E57" s="36"/>
      <c r="F57" s="37"/>
      <c r="G57" s="36"/>
      <c r="H57" s="36"/>
      <c r="I57" s="36"/>
      <c r="J57" s="36"/>
      <c r="K57" s="36"/>
      <c r="L57" s="58"/>
      <c r="M57" s="59"/>
      <c r="N57" s="36"/>
      <c r="O57" s="36"/>
      <c r="P57" s="143"/>
      <c r="Q57" s="73"/>
      <c r="R57" s="36"/>
      <c r="S57" s="36"/>
      <c r="T57" s="36"/>
      <c r="U57" s="36"/>
      <c r="V57" s="36"/>
      <c r="W57" s="74"/>
      <c r="X57" s="74"/>
      <c r="Y57" s="58"/>
      <c r="Z57" s="94"/>
      <c r="AA57" s="95"/>
      <c r="AB57" s="96"/>
    </row>
    <row r="58" spans="1:34" ht="24.75" customHeight="1">
      <c r="A58" s="12" t="s">
        <v>75</v>
      </c>
      <c r="B58" s="12" t="s">
        <v>76</v>
      </c>
      <c r="C58" s="13" t="s">
        <v>77</v>
      </c>
      <c r="D58" s="34"/>
      <c r="E58" s="14" t="s">
        <v>31</v>
      </c>
      <c r="F58" s="15">
        <v>2800</v>
      </c>
      <c r="G58" s="16">
        <v>4.71</v>
      </c>
      <c r="H58" s="16">
        <f>F58/24*14/31.1035*1.12</f>
        <v>58.814388520048666</v>
      </c>
      <c r="I58" s="16">
        <f>G58*H58</f>
        <v>277.01576992942921</v>
      </c>
      <c r="J58" s="14"/>
      <c r="K58" s="14" t="s">
        <v>32</v>
      </c>
      <c r="L58" s="14" t="s">
        <v>33</v>
      </c>
      <c r="M58" s="14">
        <v>7.3</v>
      </c>
      <c r="N58" s="46">
        <v>1.5</v>
      </c>
      <c r="O58" s="47"/>
      <c r="P58" s="139"/>
      <c r="Q58" s="16">
        <f>+P58*O58</f>
        <v>0</v>
      </c>
      <c r="R58" s="14">
        <v>1</v>
      </c>
      <c r="S58" s="68" t="s">
        <v>34</v>
      </c>
      <c r="T58" s="16"/>
      <c r="U58" s="16">
        <f>T58*R58</f>
        <v>0</v>
      </c>
      <c r="V58" s="17" t="s">
        <v>35</v>
      </c>
      <c r="W58" s="16">
        <v>10.1</v>
      </c>
      <c r="X58" s="16"/>
      <c r="Y58" s="16" t="s">
        <v>36</v>
      </c>
      <c r="Z58" s="83">
        <v>0.96</v>
      </c>
      <c r="AA58" s="84">
        <f>ROUNDUP((I67+J67+Q67+U67+W67)*4,0)/4</f>
        <v>398.5</v>
      </c>
      <c r="AB58" s="85"/>
      <c r="AC58" s="113">
        <f>+I58/F58</f>
        <v>9.8934203546224717E-2</v>
      </c>
    </row>
    <row r="59" spans="1:34" ht="24.75" customHeight="1">
      <c r="A59" s="106" t="s">
        <v>37</v>
      </c>
      <c r="B59" s="13" t="s">
        <v>78</v>
      </c>
      <c r="C59" s="134" t="s">
        <v>79</v>
      </c>
      <c r="D59" s="17"/>
      <c r="E59" s="18"/>
      <c r="F59" s="15"/>
      <c r="G59" s="19"/>
      <c r="H59" s="19"/>
      <c r="I59" s="19"/>
      <c r="J59" s="17"/>
      <c r="K59" s="14" t="s">
        <v>32</v>
      </c>
      <c r="L59" s="117" t="s">
        <v>124</v>
      </c>
      <c r="M59" s="14">
        <v>3</v>
      </c>
      <c r="N59" s="46">
        <v>9.7000000000000003E-2</v>
      </c>
      <c r="O59" s="102">
        <f>N59*R59+0.05</f>
        <v>1.02</v>
      </c>
      <c r="P59" s="146">
        <f>IF(N59=0,0,IF(N59&lt;0.0021,0,IF(N59&lt;0.00305,213,IF(N59&lt;0.00475,198,IF(N59&lt;0.006,184,IF(N59&lt;0.00775,145,IF(N59&lt;0.0105,120,IF(N59&lt;0.013,94,IF(N59&lt;0.024,88,IF(N59&lt;0.080501,79,IF(N59&lt;0.151501,85,IF(N59&lt;0.215001,91,0))))))))))))+IF(N59&gt;0.215,IF(N59&lt;0.275001,97,IF(N59&lt;0.435001,103,IF(N59&lt;0.620001,109,0))))</f>
        <v>85</v>
      </c>
      <c r="Q59" s="16">
        <f>+P59*O59</f>
        <v>86.7</v>
      </c>
      <c r="R59" s="14">
        <v>10</v>
      </c>
      <c r="S59" s="68" t="s">
        <v>80</v>
      </c>
      <c r="T59" s="16">
        <v>2</v>
      </c>
      <c r="U59" s="16">
        <f>T59*R59</f>
        <v>20</v>
      </c>
      <c r="V59" s="17" t="s">
        <v>40</v>
      </c>
      <c r="W59" s="16"/>
      <c r="X59" s="16"/>
      <c r="Y59" s="14" t="s">
        <v>41</v>
      </c>
      <c r="Z59" s="83"/>
      <c r="AA59" s="84">
        <f>AA58*0.07</f>
        <v>27.895000000000003</v>
      </c>
      <c r="AB59" s="86"/>
      <c r="AD59" s="147">
        <f>AC58</f>
        <v>9.8934203546224717E-2</v>
      </c>
      <c r="AE59" s="114">
        <f>Z58</f>
        <v>0.96</v>
      </c>
      <c r="AF59" s="3" t="s">
        <v>32</v>
      </c>
      <c r="AG59" s="114">
        <f>Z61</f>
        <v>1.5</v>
      </c>
      <c r="AH59" s="148">
        <f>AA60</f>
        <v>426.39499999999998</v>
      </c>
    </row>
    <row r="60" spans="1:34" ht="24.75" customHeight="1">
      <c r="A60" s="106"/>
      <c r="B60" s="107" t="s">
        <v>42</v>
      </c>
      <c r="C60" s="20">
        <f>+LEN(C58)</f>
        <v>15</v>
      </c>
      <c r="D60" s="17"/>
      <c r="E60" s="17"/>
      <c r="F60" s="21"/>
      <c r="G60" s="17"/>
      <c r="H60" s="17"/>
      <c r="I60" s="17"/>
      <c r="J60" s="17"/>
      <c r="K60" s="14"/>
      <c r="L60" s="14"/>
      <c r="M60" s="14"/>
      <c r="N60" s="46"/>
      <c r="O60" s="47"/>
      <c r="P60" s="139"/>
      <c r="Q60" s="16"/>
      <c r="R60" s="14"/>
      <c r="S60" s="68"/>
      <c r="T60" s="16"/>
      <c r="U60" s="16"/>
      <c r="V60" s="31" t="s">
        <v>43</v>
      </c>
      <c r="W60" s="16">
        <f>+Q67*0.03</f>
        <v>2.601</v>
      </c>
      <c r="X60" s="16"/>
      <c r="Y60" s="87" t="s">
        <v>44</v>
      </c>
      <c r="Z60" s="83"/>
      <c r="AA60" s="88">
        <f>SUM(AA58:AA59)</f>
        <v>426.39499999999998</v>
      </c>
      <c r="AB60" s="56">
        <f>CEILING(+AA60/0.5,5)</f>
        <v>855</v>
      </c>
    </row>
    <row r="61" spans="1:34" ht="24.75" customHeight="1">
      <c r="A61" s="106"/>
      <c r="B61" s="108"/>
      <c r="C61" s="20">
        <f>+LEN(C59)</f>
        <v>15</v>
      </c>
      <c r="D61" s="17"/>
      <c r="E61" s="18"/>
      <c r="F61" s="23"/>
      <c r="G61" s="19"/>
      <c r="H61" s="19"/>
      <c r="I61" s="19"/>
      <c r="J61" s="17"/>
      <c r="K61" s="14"/>
      <c r="L61" s="14"/>
      <c r="M61" s="14"/>
      <c r="N61" s="46"/>
      <c r="O61" s="47"/>
      <c r="P61" s="140"/>
      <c r="Q61" s="14"/>
      <c r="R61" s="14"/>
      <c r="S61" s="68"/>
      <c r="T61" s="16"/>
      <c r="U61" s="16"/>
      <c r="V61" s="31" t="s">
        <v>45</v>
      </c>
      <c r="W61" s="69"/>
      <c r="X61" s="16"/>
      <c r="Y61" s="14" t="s">
        <v>46</v>
      </c>
      <c r="Z61" s="83">
        <v>1.5</v>
      </c>
      <c r="AA61" s="85"/>
      <c r="AB61" s="86"/>
    </row>
    <row r="62" spans="1:34" ht="24.75" customHeight="1">
      <c r="A62" s="24"/>
      <c r="B62" s="109"/>
      <c r="C62" s="17"/>
      <c r="D62" s="17"/>
      <c r="E62" s="17"/>
      <c r="F62" s="21"/>
      <c r="G62" s="17"/>
      <c r="H62" s="17"/>
      <c r="I62" s="17"/>
      <c r="J62" s="17"/>
      <c r="K62" s="18"/>
      <c r="L62" s="18"/>
      <c r="M62" s="18"/>
      <c r="N62" s="57"/>
      <c r="O62" s="47"/>
      <c r="P62" s="141"/>
      <c r="Q62" s="19"/>
      <c r="R62" s="18"/>
      <c r="S62" s="70"/>
      <c r="T62" s="19"/>
      <c r="U62" s="16"/>
      <c r="V62" s="31" t="s">
        <v>47</v>
      </c>
      <c r="W62" s="16"/>
      <c r="X62" s="16"/>
      <c r="Y62" s="14" t="s">
        <v>48</v>
      </c>
      <c r="Z62" s="83"/>
      <c r="AA62" s="85"/>
      <c r="AB62" s="86"/>
    </row>
    <row r="63" spans="1:34" ht="24.75" customHeight="1">
      <c r="A63" s="24"/>
      <c r="B63" s="25"/>
      <c r="C63" s="25"/>
      <c r="D63" s="26"/>
      <c r="E63" s="17"/>
      <c r="F63" s="21"/>
      <c r="G63" s="17"/>
      <c r="H63" s="17"/>
      <c r="I63" s="14"/>
      <c r="J63" s="14"/>
      <c r="K63" s="14"/>
      <c r="L63" s="14"/>
      <c r="M63" s="18"/>
      <c r="N63" s="48"/>
      <c r="O63" s="49"/>
      <c r="P63" s="141"/>
      <c r="Q63" s="19"/>
      <c r="R63" s="18"/>
      <c r="S63" s="70"/>
      <c r="T63" s="19"/>
      <c r="U63" s="19"/>
      <c r="V63" s="17" t="s">
        <v>49</v>
      </c>
      <c r="W63" s="16"/>
      <c r="X63" s="16"/>
      <c r="Y63" s="14"/>
      <c r="Z63" s="83"/>
      <c r="AA63" s="85"/>
      <c r="AB63" s="86"/>
    </row>
    <row r="64" spans="1:34" ht="24.75" customHeight="1">
      <c r="A64" s="22"/>
      <c r="B64" s="27"/>
      <c r="C64" s="25"/>
      <c r="D64" s="25"/>
      <c r="E64" s="17"/>
      <c r="F64" s="21"/>
      <c r="G64" s="17"/>
      <c r="H64" s="17"/>
      <c r="I64" s="14"/>
      <c r="J64" s="14"/>
      <c r="K64" s="14"/>
      <c r="L64" s="14"/>
      <c r="M64" s="18"/>
      <c r="N64" s="48"/>
      <c r="O64" s="49"/>
      <c r="P64" s="141"/>
      <c r="Q64" s="19"/>
      <c r="R64" s="18"/>
      <c r="S64" s="70"/>
      <c r="T64" s="19"/>
      <c r="U64" s="19"/>
      <c r="V64" s="17" t="s">
        <v>50</v>
      </c>
      <c r="W64" s="16"/>
      <c r="X64" s="16"/>
      <c r="Y64" s="14"/>
      <c r="Z64" s="83"/>
      <c r="AA64" s="85"/>
      <c r="AB64" s="86"/>
    </row>
    <row r="65" spans="1:34" ht="24.75" customHeight="1">
      <c r="A65" s="22" t="s">
        <v>51</v>
      </c>
      <c r="B65" s="28"/>
      <c r="C65" s="25"/>
      <c r="D65" s="25"/>
      <c r="E65" s="17"/>
      <c r="F65" s="21"/>
      <c r="G65" s="17"/>
      <c r="H65" s="17"/>
      <c r="I65" s="14"/>
      <c r="J65" s="14"/>
      <c r="K65" s="14"/>
      <c r="L65" s="14"/>
      <c r="M65" s="18"/>
      <c r="N65" s="48"/>
      <c r="O65" s="49"/>
      <c r="P65" s="141"/>
      <c r="Q65" s="19"/>
      <c r="R65" s="18"/>
      <c r="S65" s="70"/>
      <c r="T65" s="19"/>
      <c r="U65" s="19"/>
      <c r="V65" s="17" t="s">
        <v>52</v>
      </c>
      <c r="W65" s="16">
        <v>2</v>
      </c>
      <c r="X65" s="16"/>
      <c r="Y65" s="14"/>
      <c r="Z65" s="83"/>
      <c r="AA65" s="85"/>
      <c r="AB65" s="86"/>
    </row>
    <row r="66" spans="1:34" ht="24.75" customHeight="1">
      <c r="A66" s="17" t="s">
        <v>53</v>
      </c>
      <c r="B66" s="29"/>
      <c r="C66" s="25"/>
      <c r="D66" s="25"/>
      <c r="E66" s="17"/>
      <c r="F66" s="21"/>
      <c r="G66" s="17"/>
      <c r="H66" s="17"/>
      <c r="I66" s="17"/>
      <c r="J66" s="17"/>
      <c r="K66" s="14"/>
      <c r="L66" s="14"/>
      <c r="M66" s="18"/>
      <c r="N66" s="48"/>
      <c r="O66" s="50"/>
      <c r="P66" s="139"/>
      <c r="Q66" s="16"/>
      <c r="R66" s="18"/>
      <c r="S66" s="68"/>
      <c r="T66" s="16"/>
      <c r="U66" s="16"/>
      <c r="V66" s="17"/>
      <c r="W66" s="16"/>
      <c r="X66" s="16"/>
      <c r="Y66" s="52" t="s">
        <v>54</v>
      </c>
      <c r="Z66" s="89">
        <f>Z58+Z61</f>
        <v>2.46</v>
      </c>
      <c r="AA66" s="90">
        <f>(AA60+AA61+AA62)</f>
        <v>426.39499999999998</v>
      </c>
      <c r="AB66" s="91">
        <f>(AB62+AB61+AB60)</f>
        <v>855</v>
      </c>
    </row>
    <row r="67" spans="1:34" ht="24.75" customHeight="1">
      <c r="A67" s="17" t="s">
        <v>55</v>
      </c>
      <c r="B67" s="30"/>
      <c r="C67" s="30"/>
      <c r="D67" s="31"/>
      <c r="E67" s="32"/>
      <c r="F67" s="33"/>
      <c r="G67" s="32"/>
      <c r="H67" s="32" t="s">
        <v>54</v>
      </c>
      <c r="I67" s="51">
        <f>SUM(I58:I66)</f>
        <v>277.01576992942921</v>
      </c>
      <c r="J67" s="32">
        <f>SUM(J58:J66)</f>
        <v>0</v>
      </c>
      <c r="K67" s="52"/>
      <c r="L67" s="52"/>
      <c r="M67" s="53"/>
      <c r="N67" s="54"/>
      <c r="O67" s="55">
        <f>SUM(O58:O66)</f>
        <v>1.02</v>
      </c>
      <c r="P67" s="142"/>
      <c r="Q67" s="69">
        <f>SUM(Q58:Q63)</f>
        <v>86.7</v>
      </c>
      <c r="R67" s="52">
        <f t="shared" ref="R67:W67" si="8">SUM(R58:R66)</f>
        <v>11</v>
      </c>
      <c r="S67" s="71"/>
      <c r="T67" s="69"/>
      <c r="U67" s="69">
        <f t="shared" si="8"/>
        <v>20</v>
      </c>
      <c r="V67" s="72"/>
      <c r="W67" s="69">
        <f t="shared" si="8"/>
        <v>14.701000000000001</v>
      </c>
      <c r="X67" s="69"/>
      <c r="Y67" s="32" t="s">
        <v>56</v>
      </c>
      <c r="Z67" s="92"/>
      <c r="AA67" s="32"/>
      <c r="AB67" s="93">
        <f>(AB66-AA66)/AB66</f>
        <v>0.50129239766081879</v>
      </c>
    </row>
    <row r="68" spans="1:34" ht="12.75" customHeight="1">
      <c r="P68" s="144"/>
    </row>
    <row r="69" spans="1:34" ht="24.75" customHeight="1">
      <c r="A69" s="12" t="s">
        <v>81</v>
      </c>
      <c r="B69" s="12" t="s">
        <v>82</v>
      </c>
      <c r="C69" s="13" t="s">
        <v>83</v>
      </c>
      <c r="D69" s="34"/>
      <c r="E69" s="14" t="s">
        <v>31</v>
      </c>
      <c r="F69" s="15">
        <v>2800</v>
      </c>
      <c r="G69" s="16">
        <v>4.13</v>
      </c>
      <c r="H69" s="16">
        <f>F69/24*14/31.1035*1.12</f>
        <v>58.814388520048666</v>
      </c>
      <c r="I69" s="16">
        <f>G69*H69</f>
        <v>242.903424587801</v>
      </c>
      <c r="J69" s="14"/>
      <c r="K69" s="14" t="s">
        <v>32</v>
      </c>
      <c r="L69" s="14" t="s">
        <v>33</v>
      </c>
      <c r="M69" s="14">
        <v>7.3</v>
      </c>
      <c r="N69" s="46">
        <v>1.5</v>
      </c>
      <c r="O69" s="47"/>
      <c r="P69" s="139"/>
      <c r="Q69" s="16">
        <f>+P69*O69</f>
        <v>0</v>
      </c>
      <c r="R69" s="14">
        <v>1</v>
      </c>
      <c r="S69" s="68" t="s">
        <v>34</v>
      </c>
      <c r="T69" s="16"/>
      <c r="U69" s="16">
        <f>T69*R69</f>
        <v>0</v>
      </c>
      <c r="V69" s="17" t="s">
        <v>35</v>
      </c>
      <c r="W69" s="16">
        <v>10.1</v>
      </c>
      <c r="X69" s="16"/>
      <c r="Y69" s="16" t="s">
        <v>36</v>
      </c>
      <c r="Z69" s="83">
        <v>0.46</v>
      </c>
      <c r="AA69" s="84">
        <f>ROUNDUP((I78+J78+Q78+U78+W78)*4,0)/4</f>
        <v>303.75</v>
      </c>
      <c r="AB69" s="85"/>
      <c r="AC69" s="113">
        <f>+I69/F69</f>
        <v>8.6751223067071781E-2</v>
      </c>
    </row>
    <row r="70" spans="1:34" ht="24.75" customHeight="1">
      <c r="A70" s="106" t="s">
        <v>37</v>
      </c>
      <c r="B70" s="13" t="s">
        <v>84</v>
      </c>
      <c r="C70" s="134" t="s">
        <v>85</v>
      </c>
      <c r="D70" s="17"/>
      <c r="E70" s="18"/>
      <c r="F70" s="15"/>
      <c r="G70" s="19"/>
      <c r="H70" s="19"/>
      <c r="I70" s="19"/>
      <c r="J70" s="17"/>
      <c r="K70" s="14" t="s">
        <v>32</v>
      </c>
      <c r="L70" s="117" t="s">
        <v>124</v>
      </c>
      <c r="M70" s="14">
        <v>2.2000000000000002</v>
      </c>
      <c r="N70" s="46">
        <v>4.5999999999999999E-2</v>
      </c>
      <c r="O70" s="102">
        <f>N70*R70+0.04</f>
        <v>0.49999999999999994</v>
      </c>
      <c r="P70" s="146">
        <f>IF(N70=0,0,IF(N70&lt;0.0021,0,IF(N70&lt;0.00305,213,IF(N70&lt;0.00475,198,IF(N70&lt;0.006,184,IF(N70&lt;0.00775,145,IF(N70&lt;0.0105,120,IF(N70&lt;0.013,94,IF(N70&lt;0.024,88,IF(N70&lt;0.080501,79,IF(N70&lt;0.151501,85,IF(N70&lt;0.215001,91,0))))))))))))+IF(N70&gt;0.215,IF(N70&lt;0.275001,97,IF(N70&lt;0.435001,103,IF(N70&lt;0.620001,109,0))))</f>
        <v>79</v>
      </c>
      <c r="Q70" s="16">
        <f>+P70*O70</f>
        <v>39.499999999999993</v>
      </c>
      <c r="R70" s="14">
        <v>10</v>
      </c>
      <c r="S70" s="68" t="s">
        <v>86</v>
      </c>
      <c r="T70" s="16">
        <v>0.8</v>
      </c>
      <c r="U70" s="16">
        <f>T70*R70</f>
        <v>8</v>
      </c>
      <c r="V70" s="17" t="s">
        <v>40</v>
      </c>
      <c r="W70" s="16"/>
      <c r="X70" s="16"/>
      <c r="Y70" s="14" t="s">
        <v>41</v>
      </c>
      <c r="Z70" s="83"/>
      <c r="AA70" s="84">
        <f>AA69*0.07</f>
        <v>21.262500000000003</v>
      </c>
      <c r="AB70" s="86"/>
      <c r="AD70" s="147">
        <f>AC69</f>
        <v>8.6751223067071781E-2</v>
      </c>
      <c r="AE70" s="114">
        <f>Z69</f>
        <v>0.46</v>
      </c>
      <c r="AF70" s="3" t="s">
        <v>32</v>
      </c>
      <c r="AG70" s="114">
        <f>Z72</f>
        <v>1.5</v>
      </c>
      <c r="AH70" s="148">
        <f>AA71</f>
        <v>325.01249999999999</v>
      </c>
    </row>
    <row r="71" spans="1:34" ht="24.75" customHeight="1">
      <c r="A71" s="106"/>
      <c r="B71" s="107" t="s">
        <v>42</v>
      </c>
      <c r="C71" s="20">
        <f>+LEN(C69)</f>
        <v>15</v>
      </c>
      <c r="D71" s="17"/>
      <c r="E71" s="17"/>
      <c r="F71" s="21"/>
      <c r="G71" s="17"/>
      <c r="H71" s="17"/>
      <c r="I71" s="17"/>
      <c r="J71" s="17"/>
      <c r="K71" s="14"/>
      <c r="L71" s="14"/>
      <c r="M71" s="14"/>
      <c r="N71" s="46"/>
      <c r="O71" s="47"/>
      <c r="P71" s="139"/>
      <c r="Q71" s="16"/>
      <c r="R71" s="14"/>
      <c r="S71" s="68"/>
      <c r="T71" s="16"/>
      <c r="U71" s="16"/>
      <c r="V71" s="31" t="s">
        <v>43</v>
      </c>
      <c r="W71" s="16">
        <f>+Q78*0.03</f>
        <v>1.1849999999999998</v>
      </c>
      <c r="X71" s="16"/>
      <c r="Y71" s="87" t="s">
        <v>44</v>
      </c>
      <c r="Z71" s="83"/>
      <c r="AA71" s="88">
        <f>SUM(AA69:AA70)</f>
        <v>325.01249999999999</v>
      </c>
      <c r="AB71" s="56">
        <f>CEILING(+AA71/0.5,5)</f>
        <v>655</v>
      </c>
    </row>
    <row r="72" spans="1:34" ht="24.75" customHeight="1">
      <c r="A72" s="106"/>
      <c r="B72" s="108"/>
      <c r="C72" s="20">
        <f>+LEN(C70)</f>
        <v>15</v>
      </c>
      <c r="D72" s="17"/>
      <c r="E72" s="18"/>
      <c r="F72" s="23"/>
      <c r="G72" s="19"/>
      <c r="H72" s="19"/>
      <c r="I72" s="19"/>
      <c r="J72" s="17"/>
      <c r="K72" s="14"/>
      <c r="L72" s="14"/>
      <c r="M72" s="14"/>
      <c r="N72" s="46"/>
      <c r="O72" s="47"/>
      <c r="P72" s="140"/>
      <c r="Q72" s="14"/>
      <c r="R72" s="14"/>
      <c r="S72" s="68"/>
      <c r="T72" s="16"/>
      <c r="U72" s="16"/>
      <c r="V72" s="31" t="s">
        <v>45</v>
      </c>
      <c r="W72" s="69"/>
      <c r="X72" s="16"/>
      <c r="Y72" s="14" t="s">
        <v>46</v>
      </c>
      <c r="Z72" s="83">
        <v>1.5</v>
      </c>
      <c r="AA72" s="85"/>
      <c r="AB72" s="86"/>
    </row>
    <row r="73" spans="1:34" ht="24.75" customHeight="1">
      <c r="A73" s="24"/>
      <c r="B73" s="109"/>
      <c r="C73" s="17"/>
      <c r="D73" s="17"/>
      <c r="E73" s="17"/>
      <c r="F73" s="21"/>
      <c r="G73" s="17"/>
      <c r="H73" s="17"/>
      <c r="I73" s="17"/>
      <c r="J73" s="17"/>
      <c r="K73" s="18"/>
      <c r="L73" s="18"/>
      <c r="M73" s="18"/>
      <c r="N73" s="57"/>
      <c r="O73" s="47"/>
      <c r="P73" s="141"/>
      <c r="Q73" s="19"/>
      <c r="R73" s="18"/>
      <c r="S73" s="70"/>
      <c r="T73" s="19"/>
      <c r="U73" s="16"/>
      <c r="V73" s="31" t="s">
        <v>47</v>
      </c>
      <c r="W73" s="16"/>
      <c r="X73" s="16"/>
      <c r="Y73" s="14" t="s">
        <v>48</v>
      </c>
      <c r="Z73" s="83"/>
      <c r="AA73" s="85"/>
      <c r="AB73" s="86"/>
    </row>
    <row r="74" spans="1:34" ht="24.75" customHeight="1">
      <c r="A74" s="24"/>
      <c r="B74" s="25"/>
      <c r="C74" s="25"/>
      <c r="D74" s="26"/>
      <c r="E74" s="17"/>
      <c r="F74" s="21"/>
      <c r="G74" s="17"/>
      <c r="H74" s="17"/>
      <c r="I74" s="14"/>
      <c r="J74" s="14"/>
      <c r="K74" s="14"/>
      <c r="L74" s="14"/>
      <c r="M74" s="18"/>
      <c r="N74" s="48"/>
      <c r="O74" s="49"/>
      <c r="P74" s="141"/>
      <c r="Q74" s="19"/>
      <c r="R74" s="18"/>
      <c r="S74" s="70"/>
      <c r="T74" s="19"/>
      <c r="U74" s="19"/>
      <c r="V74" s="17" t="s">
        <v>49</v>
      </c>
      <c r="W74" s="16"/>
      <c r="X74" s="16"/>
      <c r="Y74" s="14"/>
      <c r="Z74" s="83"/>
      <c r="AA74" s="85"/>
      <c r="AB74" s="86"/>
    </row>
    <row r="75" spans="1:34" ht="24.75" customHeight="1">
      <c r="A75" s="22"/>
      <c r="B75" s="27"/>
      <c r="C75" s="25"/>
      <c r="D75" s="25"/>
      <c r="E75" s="17"/>
      <c r="F75" s="21"/>
      <c r="G75" s="17"/>
      <c r="H75" s="17"/>
      <c r="I75" s="14"/>
      <c r="J75" s="14"/>
      <c r="K75" s="14"/>
      <c r="L75" s="14"/>
      <c r="M75" s="18"/>
      <c r="N75" s="48"/>
      <c r="O75" s="49"/>
      <c r="P75" s="141"/>
      <c r="Q75" s="19"/>
      <c r="R75" s="18"/>
      <c r="S75" s="70"/>
      <c r="T75" s="19"/>
      <c r="U75" s="19"/>
      <c r="V75" s="17" t="s">
        <v>50</v>
      </c>
      <c r="W75" s="16"/>
      <c r="X75" s="16"/>
      <c r="Y75" s="14"/>
      <c r="Z75" s="83"/>
      <c r="AA75" s="85"/>
      <c r="AB75" s="86"/>
    </row>
    <row r="76" spans="1:34" ht="24.75" customHeight="1">
      <c r="A76" s="22" t="s">
        <v>51</v>
      </c>
      <c r="B76" s="28"/>
      <c r="C76" s="25"/>
      <c r="D76" s="25"/>
      <c r="E76" s="17"/>
      <c r="F76" s="21"/>
      <c r="G76" s="17"/>
      <c r="H76" s="17"/>
      <c r="I76" s="14"/>
      <c r="J76" s="14"/>
      <c r="K76" s="14"/>
      <c r="L76" s="14"/>
      <c r="M76" s="18"/>
      <c r="N76" s="48"/>
      <c r="O76" s="49"/>
      <c r="P76" s="141"/>
      <c r="Q76" s="19"/>
      <c r="R76" s="18"/>
      <c r="S76" s="70"/>
      <c r="T76" s="19"/>
      <c r="U76" s="19"/>
      <c r="V76" s="17" t="s">
        <v>52</v>
      </c>
      <c r="W76" s="16">
        <v>2</v>
      </c>
      <c r="X76" s="16"/>
      <c r="Y76" s="14"/>
      <c r="Z76" s="83"/>
      <c r="AA76" s="85"/>
      <c r="AB76" s="86"/>
    </row>
    <row r="77" spans="1:34" ht="24.75" customHeight="1">
      <c r="A77" s="17" t="s">
        <v>53</v>
      </c>
      <c r="B77" s="29"/>
      <c r="C77" s="25"/>
      <c r="D77" s="25"/>
      <c r="E77" s="17"/>
      <c r="F77" s="21"/>
      <c r="G77" s="17"/>
      <c r="H77" s="17"/>
      <c r="I77" s="17"/>
      <c r="J77" s="17"/>
      <c r="K77" s="14"/>
      <c r="L77" s="14"/>
      <c r="M77" s="18"/>
      <c r="N77" s="48"/>
      <c r="O77" s="50"/>
      <c r="P77" s="139"/>
      <c r="Q77" s="16"/>
      <c r="R77" s="18"/>
      <c r="S77" s="68"/>
      <c r="T77" s="16"/>
      <c r="U77" s="16"/>
      <c r="V77" s="17"/>
      <c r="W77" s="16"/>
      <c r="X77" s="16"/>
      <c r="Y77" s="52" t="s">
        <v>54</v>
      </c>
      <c r="Z77" s="89">
        <f>Z69+Z72</f>
        <v>1.96</v>
      </c>
      <c r="AA77" s="90">
        <f>(AA71+AA72+AA73)</f>
        <v>325.01249999999999</v>
      </c>
      <c r="AB77" s="91">
        <f>(AB73+AB72+AB71)</f>
        <v>655</v>
      </c>
    </row>
    <row r="78" spans="1:34" ht="24.75" customHeight="1">
      <c r="A78" s="17" t="s">
        <v>55</v>
      </c>
      <c r="B78" s="30"/>
      <c r="C78" s="30"/>
      <c r="D78" s="31"/>
      <c r="E78" s="32"/>
      <c r="F78" s="33"/>
      <c r="G78" s="32"/>
      <c r="H78" s="32" t="s">
        <v>54</v>
      </c>
      <c r="I78" s="51">
        <f>SUM(I69:I77)</f>
        <v>242.903424587801</v>
      </c>
      <c r="J78" s="32">
        <f>SUM(J69:J77)</f>
        <v>0</v>
      </c>
      <c r="K78" s="52"/>
      <c r="L78" s="52"/>
      <c r="M78" s="53"/>
      <c r="N78" s="54"/>
      <c r="O78" s="55">
        <f>SUM(O69:O77)</f>
        <v>0.49999999999999994</v>
      </c>
      <c r="P78" s="142"/>
      <c r="Q78" s="69">
        <f>SUM(Q69:Q74)</f>
        <v>39.499999999999993</v>
      </c>
      <c r="R78" s="52">
        <f t="shared" ref="R78:W78" si="9">SUM(R69:R77)</f>
        <v>11</v>
      </c>
      <c r="S78" s="71"/>
      <c r="T78" s="69"/>
      <c r="U78" s="69">
        <f t="shared" si="9"/>
        <v>8</v>
      </c>
      <c r="V78" s="72"/>
      <c r="W78" s="69">
        <f t="shared" si="9"/>
        <v>13.285</v>
      </c>
      <c r="X78" s="69"/>
      <c r="Y78" s="32" t="s">
        <v>56</v>
      </c>
      <c r="Z78" s="92"/>
      <c r="AA78" s="32"/>
      <c r="AB78" s="93">
        <f>(AB77-AA77)/AB77</f>
        <v>0.50379770992366413</v>
      </c>
    </row>
    <row r="79" spans="1:34" ht="12.75" customHeight="1">
      <c r="A79" s="35"/>
      <c r="B79" s="36"/>
      <c r="C79" s="36"/>
      <c r="D79" s="36"/>
      <c r="E79" s="36"/>
      <c r="F79" s="37"/>
      <c r="G79" s="36"/>
      <c r="H79" s="36"/>
      <c r="I79" s="36"/>
      <c r="J79" s="36"/>
      <c r="K79" s="36"/>
      <c r="L79" s="58"/>
      <c r="M79" s="59"/>
      <c r="N79" s="36"/>
      <c r="O79" s="36"/>
      <c r="P79" s="143"/>
      <c r="Q79" s="73"/>
      <c r="R79" s="36"/>
      <c r="S79" s="36"/>
      <c r="T79" s="36"/>
      <c r="U79" s="36"/>
      <c r="V79" s="36"/>
      <c r="W79" s="74"/>
      <c r="X79" s="74"/>
      <c r="Y79" s="58"/>
      <c r="Z79" s="94"/>
      <c r="AA79" s="95"/>
      <c r="AB79" s="96"/>
    </row>
    <row r="80" spans="1:34" ht="24.75" customHeight="1">
      <c r="A80" s="12" t="s">
        <v>87</v>
      </c>
      <c r="B80" s="12" t="s">
        <v>88</v>
      </c>
      <c r="C80" s="13" t="s">
        <v>89</v>
      </c>
      <c r="D80" s="34"/>
      <c r="E80" s="14" t="s">
        <v>31</v>
      </c>
      <c r="F80" s="15">
        <v>2800</v>
      </c>
      <c r="G80" s="16">
        <v>4.5</v>
      </c>
      <c r="H80" s="16">
        <f>F80/24*14/31.1035*1.12</f>
        <v>58.814388520048666</v>
      </c>
      <c r="I80" s="16">
        <f>G80*H80</f>
        <v>264.66474834021898</v>
      </c>
      <c r="J80" s="14"/>
      <c r="K80" s="14" t="s">
        <v>32</v>
      </c>
      <c r="L80" s="14" t="s">
        <v>33</v>
      </c>
      <c r="M80" s="14">
        <v>7.3</v>
      </c>
      <c r="N80" s="46">
        <v>1.5</v>
      </c>
      <c r="O80" s="47"/>
      <c r="P80" s="139"/>
      <c r="Q80" s="16">
        <f>+P80*O80</f>
        <v>0</v>
      </c>
      <c r="R80" s="14">
        <v>1</v>
      </c>
      <c r="S80" s="68" t="s">
        <v>34</v>
      </c>
      <c r="T80" s="16"/>
      <c r="U80" s="16">
        <f>T80*R80</f>
        <v>0</v>
      </c>
      <c r="V80" s="17" t="s">
        <v>35</v>
      </c>
      <c r="W80" s="16">
        <v>10.1</v>
      </c>
      <c r="X80" s="16"/>
      <c r="Y80" s="16" t="s">
        <v>36</v>
      </c>
      <c r="Z80" s="83">
        <v>0.5</v>
      </c>
      <c r="AA80" s="84">
        <f>ROUNDUP((I89+J89+Q89+U89+W89)*4,0)/4</f>
        <v>330.5</v>
      </c>
      <c r="AB80" s="85"/>
      <c r="AC80" s="113">
        <f>+I80/F80</f>
        <v>9.4523124407221062E-2</v>
      </c>
    </row>
    <row r="81" spans="1:34" ht="24.75" customHeight="1">
      <c r="A81" s="106" t="s">
        <v>37</v>
      </c>
      <c r="B81" s="13" t="s">
        <v>90</v>
      </c>
      <c r="C81" s="134" t="s">
        <v>91</v>
      </c>
      <c r="D81" s="17"/>
      <c r="E81" s="18"/>
      <c r="F81" s="15"/>
      <c r="G81" s="19"/>
      <c r="H81" s="19"/>
      <c r="I81" s="19"/>
      <c r="J81" s="17"/>
      <c r="K81" s="14" t="s">
        <v>32</v>
      </c>
      <c r="L81" s="117" t="s">
        <v>124</v>
      </c>
      <c r="M81" s="14">
        <v>2.2000000000000002</v>
      </c>
      <c r="N81" s="46">
        <v>4.4999999999999998E-2</v>
      </c>
      <c r="O81" s="47">
        <f>N81*R81</f>
        <v>0.54</v>
      </c>
      <c r="P81" s="146">
        <f>IF(N81=0,0,IF(N81&lt;0.0021,0,IF(N81&lt;0.00305,213,IF(N81&lt;0.00475,198,IF(N81&lt;0.006,184,IF(N81&lt;0.00775,145,IF(N81&lt;0.0105,120,IF(N81&lt;0.013,94,IF(N81&lt;0.024,88,IF(N81&lt;0.080501,79,IF(N81&lt;0.151501,85,IF(N81&lt;0.215001,91,0))))))))))))+IF(N81&gt;0.215,IF(N81&lt;0.275001,97,IF(N81&lt;0.435001,103,IF(N81&lt;0.620001,109,0))))</f>
        <v>79</v>
      </c>
      <c r="Q81" s="16">
        <f>+P81*O81</f>
        <v>42.660000000000004</v>
      </c>
      <c r="R81" s="14">
        <v>12</v>
      </c>
      <c r="S81" s="68" t="s">
        <v>86</v>
      </c>
      <c r="T81" s="16">
        <v>0.8</v>
      </c>
      <c r="U81" s="16">
        <f>T81*R81</f>
        <v>9.6000000000000014</v>
      </c>
      <c r="V81" s="17" t="s">
        <v>40</v>
      </c>
      <c r="W81" s="16"/>
      <c r="X81" s="16"/>
      <c r="Y81" s="14" t="s">
        <v>41</v>
      </c>
      <c r="Z81" s="83"/>
      <c r="AA81" s="84">
        <f>AA80*0.07</f>
        <v>23.135000000000002</v>
      </c>
      <c r="AB81" s="86"/>
      <c r="AD81" s="147">
        <f>AC80</f>
        <v>9.4523124407221062E-2</v>
      </c>
      <c r="AE81" s="114">
        <f>Z80</f>
        <v>0.5</v>
      </c>
      <c r="AF81" s="3" t="s">
        <v>32</v>
      </c>
      <c r="AG81" s="114">
        <f>Z83</f>
        <v>1.5</v>
      </c>
      <c r="AH81" s="148">
        <f>AA82</f>
        <v>353.63499999999999</v>
      </c>
    </row>
    <row r="82" spans="1:34" ht="24.75" customHeight="1">
      <c r="A82" s="106"/>
      <c r="B82" s="107" t="s">
        <v>42</v>
      </c>
      <c r="C82" s="20">
        <f>+LEN(C80)</f>
        <v>15</v>
      </c>
      <c r="D82" s="17"/>
      <c r="E82" s="17"/>
      <c r="F82" s="21"/>
      <c r="G82" s="17"/>
      <c r="H82" s="17"/>
      <c r="I82" s="17"/>
      <c r="J82" s="17"/>
      <c r="K82" s="14"/>
      <c r="L82" s="14"/>
      <c r="M82" s="14"/>
      <c r="N82" s="46"/>
      <c r="O82" s="47"/>
      <c r="P82" s="139"/>
      <c r="Q82" s="16"/>
      <c r="R82" s="14"/>
      <c r="S82" s="68"/>
      <c r="T82" s="16"/>
      <c r="U82" s="16"/>
      <c r="V82" s="31" t="s">
        <v>43</v>
      </c>
      <c r="W82" s="16">
        <f>+Q89*0.03</f>
        <v>1.2798</v>
      </c>
      <c r="X82" s="16"/>
      <c r="Y82" s="87" t="s">
        <v>44</v>
      </c>
      <c r="Z82" s="83"/>
      <c r="AA82" s="88">
        <f>SUM(AA80:AA81)</f>
        <v>353.63499999999999</v>
      </c>
      <c r="AB82" s="56">
        <f>CEILING(+AA82/0.5,5)</f>
        <v>710</v>
      </c>
    </row>
    <row r="83" spans="1:34" ht="24.75" customHeight="1">
      <c r="A83" s="106"/>
      <c r="B83" s="108"/>
      <c r="C83" s="20">
        <f>+LEN(C81)</f>
        <v>15</v>
      </c>
      <c r="D83" s="17"/>
      <c r="E83" s="18"/>
      <c r="F83" s="23"/>
      <c r="G83" s="19"/>
      <c r="H83" s="19"/>
      <c r="I83" s="19"/>
      <c r="J83" s="17"/>
      <c r="K83" s="14"/>
      <c r="L83" s="14"/>
      <c r="M83" s="14"/>
      <c r="N83" s="46"/>
      <c r="O83" s="47"/>
      <c r="P83" s="140"/>
      <c r="Q83" s="14"/>
      <c r="R83" s="14"/>
      <c r="S83" s="68"/>
      <c r="T83" s="16"/>
      <c r="U83" s="16"/>
      <c r="V83" s="31" t="s">
        <v>45</v>
      </c>
      <c r="W83" s="69"/>
      <c r="X83" s="16"/>
      <c r="Y83" s="14" t="s">
        <v>46</v>
      </c>
      <c r="Z83" s="83">
        <v>1.5</v>
      </c>
      <c r="AA83" s="85"/>
      <c r="AB83" s="86"/>
    </row>
    <row r="84" spans="1:34" ht="24.75" customHeight="1">
      <c r="A84" s="24"/>
      <c r="B84" s="109"/>
      <c r="C84" s="17"/>
      <c r="D84" s="17"/>
      <c r="E84" s="17"/>
      <c r="F84" s="21"/>
      <c r="G84" s="17"/>
      <c r="H84" s="17"/>
      <c r="I84" s="17"/>
      <c r="J84" s="17"/>
      <c r="K84" s="18"/>
      <c r="L84" s="18"/>
      <c r="M84" s="18"/>
      <c r="N84" s="57"/>
      <c r="O84" s="47"/>
      <c r="P84" s="141"/>
      <c r="Q84" s="19"/>
      <c r="R84" s="18"/>
      <c r="S84" s="70"/>
      <c r="T84" s="19"/>
      <c r="U84" s="16"/>
      <c r="V84" s="31" t="s">
        <v>47</v>
      </c>
      <c r="W84" s="16"/>
      <c r="X84" s="16"/>
      <c r="Y84" s="14" t="s">
        <v>48</v>
      </c>
      <c r="Z84" s="83"/>
      <c r="AA84" s="85"/>
      <c r="AB84" s="86"/>
    </row>
    <row r="85" spans="1:34" ht="24.75" customHeight="1">
      <c r="A85" s="24"/>
      <c r="B85" s="25"/>
      <c r="C85" s="25"/>
      <c r="D85" s="26"/>
      <c r="E85" s="17"/>
      <c r="F85" s="21"/>
      <c r="G85" s="17"/>
      <c r="H85" s="17"/>
      <c r="I85" s="14"/>
      <c r="J85" s="14"/>
      <c r="K85" s="14"/>
      <c r="L85" s="14"/>
      <c r="M85" s="18"/>
      <c r="N85" s="48"/>
      <c r="O85" s="49"/>
      <c r="P85" s="141"/>
      <c r="Q85" s="19"/>
      <c r="R85" s="18"/>
      <c r="S85" s="70"/>
      <c r="T85" s="19"/>
      <c r="U85" s="19"/>
      <c r="V85" s="17" t="s">
        <v>49</v>
      </c>
      <c r="W85" s="16"/>
      <c r="X85" s="16"/>
      <c r="Y85" s="14"/>
      <c r="Z85" s="83"/>
      <c r="AA85" s="85"/>
      <c r="AB85" s="86"/>
    </row>
    <row r="86" spans="1:34" ht="24.75" customHeight="1">
      <c r="A86" s="22"/>
      <c r="B86" s="27"/>
      <c r="C86" s="25"/>
      <c r="D86" s="25"/>
      <c r="E86" s="17"/>
      <c r="F86" s="21"/>
      <c r="G86" s="17"/>
      <c r="H86" s="17"/>
      <c r="I86" s="14"/>
      <c r="J86" s="14"/>
      <c r="K86" s="14"/>
      <c r="L86" s="14"/>
      <c r="M86" s="18"/>
      <c r="N86" s="48"/>
      <c r="O86" s="49"/>
      <c r="P86" s="141"/>
      <c r="Q86" s="19"/>
      <c r="R86" s="18"/>
      <c r="S86" s="70"/>
      <c r="T86" s="19"/>
      <c r="U86" s="19"/>
      <c r="V86" s="17" t="s">
        <v>50</v>
      </c>
      <c r="W86" s="16"/>
      <c r="X86" s="16"/>
      <c r="Y86" s="14"/>
      <c r="Z86" s="83"/>
      <c r="AA86" s="85"/>
      <c r="AB86" s="86"/>
    </row>
    <row r="87" spans="1:34" ht="24.75" customHeight="1">
      <c r="A87" s="22" t="s">
        <v>51</v>
      </c>
      <c r="B87" s="28"/>
      <c r="C87" s="25"/>
      <c r="D87" s="25"/>
      <c r="E87" s="17"/>
      <c r="F87" s="21"/>
      <c r="G87" s="17"/>
      <c r="H87" s="17"/>
      <c r="I87" s="14"/>
      <c r="J87" s="14"/>
      <c r="K87" s="14"/>
      <c r="L87" s="14"/>
      <c r="M87" s="18"/>
      <c r="N87" s="48"/>
      <c r="O87" s="49"/>
      <c r="P87" s="141"/>
      <c r="Q87" s="19"/>
      <c r="R87" s="18"/>
      <c r="S87" s="70"/>
      <c r="T87" s="19"/>
      <c r="U87" s="19"/>
      <c r="V87" s="17" t="s">
        <v>52</v>
      </c>
      <c r="W87" s="16">
        <v>2</v>
      </c>
      <c r="X87" s="16"/>
      <c r="Y87" s="14"/>
      <c r="Z87" s="83"/>
      <c r="AA87" s="85"/>
      <c r="AB87" s="86"/>
    </row>
    <row r="88" spans="1:34" ht="24.75" customHeight="1">
      <c r="A88" s="17" t="s">
        <v>53</v>
      </c>
      <c r="B88" s="29"/>
      <c r="C88" s="25"/>
      <c r="D88" s="25"/>
      <c r="E88" s="17"/>
      <c r="F88" s="21"/>
      <c r="G88" s="17"/>
      <c r="H88" s="17"/>
      <c r="I88" s="17"/>
      <c r="J88" s="17"/>
      <c r="K88" s="14"/>
      <c r="L88" s="14"/>
      <c r="M88" s="18"/>
      <c r="N88" s="48"/>
      <c r="O88" s="50"/>
      <c r="P88" s="139"/>
      <c r="Q88" s="16"/>
      <c r="R88" s="18"/>
      <c r="S88" s="68"/>
      <c r="T88" s="16"/>
      <c r="U88" s="16"/>
      <c r="V88" s="17"/>
      <c r="W88" s="16"/>
      <c r="X88" s="16"/>
      <c r="Y88" s="52" t="s">
        <v>54</v>
      </c>
      <c r="Z88" s="89">
        <f>Z80+Z83</f>
        <v>2</v>
      </c>
      <c r="AA88" s="90">
        <f>(AA82+AA83+AA84)</f>
        <v>353.63499999999999</v>
      </c>
      <c r="AB88" s="91">
        <f>(AB84+AB83+AB82)</f>
        <v>710</v>
      </c>
    </row>
    <row r="89" spans="1:34" ht="24.75" customHeight="1">
      <c r="A89" s="17" t="s">
        <v>55</v>
      </c>
      <c r="B89" s="30"/>
      <c r="C89" s="30"/>
      <c r="D89" s="31"/>
      <c r="E89" s="32"/>
      <c r="F89" s="33"/>
      <c r="G89" s="32"/>
      <c r="H89" s="32" t="s">
        <v>54</v>
      </c>
      <c r="I89" s="51">
        <f>SUM(I80:I88)</f>
        <v>264.66474834021898</v>
      </c>
      <c r="J89" s="32">
        <f>SUM(J80:J88)</f>
        <v>0</v>
      </c>
      <c r="K89" s="52"/>
      <c r="L89" s="52"/>
      <c r="M89" s="53"/>
      <c r="N89" s="54"/>
      <c r="O89" s="55">
        <f>SUM(O80:O88)</f>
        <v>0.54</v>
      </c>
      <c r="P89" s="142"/>
      <c r="Q89" s="69">
        <f>SUM(Q80:Q85)</f>
        <v>42.660000000000004</v>
      </c>
      <c r="R89" s="52">
        <f t="shared" ref="R89:W89" si="10">SUM(R80:R88)</f>
        <v>13</v>
      </c>
      <c r="S89" s="71"/>
      <c r="T89" s="69"/>
      <c r="U89" s="69">
        <f t="shared" si="10"/>
        <v>9.6000000000000014</v>
      </c>
      <c r="V89" s="72"/>
      <c r="W89" s="69">
        <f t="shared" si="10"/>
        <v>13.379799999999999</v>
      </c>
      <c r="X89" s="69"/>
      <c r="Y89" s="32" t="s">
        <v>56</v>
      </c>
      <c r="Z89" s="92"/>
      <c r="AA89" s="32"/>
      <c r="AB89" s="93">
        <f>(AB88-AA88)/AB88</f>
        <v>0.50192253521126762</v>
      </c>
    </row>
    <row r="90" spans="1:34" ht="12.75" customHeight="1">
      <c r="A90" s="35"/>
      <c r="B90" s="36"/>
      <c r="C90" s="36"/>
      <c r="D90" s="36"/>
      <c r="E90" s="36"/>
      <c r="F90" s="37"/>
      <c r="G90" s="36"/>
      <c r="H90" s="36"/>
      <c r="I90" s="36"/>
      <c r="J90" s="36"/>
      <c r="K90" s="36"/>
      <c r="L90" s="58"/>
      <c r="M90" s="59"/>
      <c r="N90" s="36"/>
      <c r="O90" s="36"/>
      <c r="P90" s="143"/>
      <c r="Q90" s="73"/>
      <c r="R90" s="36"/>
      <c r="S90" s="36"/>
      <c r="T90" s="36"/>
      <c r="U90" s="36"/>
      <c r="V90" s="36"/>
      <c r="W90" s="74"/>
      <c r="X90" s="74"/>
      <c r="Y90" s="58"/>
      <c r="Z90" s="94"/>
      <c r="AA90" s="95"/>
      <c r="AB90" s="96"/>
    </row>
    <row r="91" spans="1:34" ht="24.75" customHeight="1">
      <c r="A91" s="12" t="s">
        <v>92</v>
      </c>
      <c r="B91" s="12" t="s">
        <v>93</v>
      </c>
      <c r="C91" s="13" t="s">
        <v>94</v>
      </c>
      <c r="D91" s="34"/>
      <c r="E91" s="14" t="s">
        <v>31</v>
      </c>
      <c r="F91" s="15">
        <v>2800</v>
      </c>
      <c r="G91" s="16">
        <v>4</v>
      </c>
      <c r="H91" s="16">
        <f>F91/24*14/31.1035*1.12</f>
        <v>58.814388520048666</v>
      </c>
      <c r="I91" s="16">
        <f>G91*H91</f>
        <v>235.25755408019467</v>
      </c>
      <c r="J91" s="14"/>
      <c r="K91" s="14" t="s">
        <v>32</v>
      </c>
      <c r="L91" s="14" t="s">
        <v>33</v>
      </c>
      <c r="M91" s="14">
        <v>7.3</v>
      </c>
      <c r="N91" s="46">
        <v>1.5</v>
      </c>
      <c r="O91" s="47"/>
      <c r="P91" s="139"/>
      <c r="Q91" s="16">
        <f>+P91*O91</f>
        <v>0</v>
      </c>
      <c r="R91" s="14">
        <v>1</v>
      </c>
      <c r="S91" s="68" t="s">
        <v>34</v>
      </c>
      <c r="T91" s="16"/>
      <c r="U91" s="16">
        <f>T91*R91</f>
        <v>0</v>
      </c>
      <c r="V91" s="17" t="s">
        <v>35</v>
      </c>
      <c r="W91" s="16">
        <v>10.1</v>
      </c>
      <c r="X91" s="16"/>
      <c r="Y91" s="16" t="s">
        <v>36</v>
      </c>
      <c r="Z91" s="83">
        <v>0.96</v>
      </c>
      <c r="AA91" s="84">
        <f>ROUNDUP((I100+J100+Q100+U100+W100)*4,0)/4</f>
        <v>341.25</v>
      </c>
      <c r="AB91" s="85"/>
      <c r="AC91" s="113">
        <f>+I91/F91</f>
        <v>8.4020555028640947E-2</v>
      </c>
    </row>
    <row r="92" spans="1:34" ht="24.75" customHeight="1">
      <c r="A92" s="106" t="s">
        <v>37</v>
      </c>
      <c r="B92" s="13" t="s">
        <v>95</v>
      </c>
      <c r="C92" s="134" t="s">
        <v>96</v>
      </c>
      <c r="D92" s="17"/>
      <c r="E92" s="18"/>
      <c r="F92" s="15"/>
      <c r="G92" s="19"/>
      <c r="H92" s="19"/>
      <c r="I92" s="19"/>
      <c r="J92" s="17"/>
      <c r="K92" s="14" t="s">
        <v>32</v>
      </c>
      <c r="L92" s="117" t="s">
        <v>124</v>
      </c>
      <c r="M92" s="14">
        <v>2.6</v>
      </c>
      <c r="N92" s="46">
        <v>6.8000000000000005E-2</v>
      </c>
      <c r="O92" s="102">
        <f>N92*R92+0.07</f>
        <v>1.022</v>
      </c>
      <c r="P92" s="146">
        <f>IF(N92=0,0,IF(N92&lt;0.0021,0,IF(N92&lt;0.00305,213,IF(N92&lt;0.00475,198,IF(N92&lt;0.006,184,IF(N92&lt;0.00775,145,IF(N92&lt;0.0105,120,IF(N92&lt;0.013,94,IF(N92&lt;0.024,88,IF(N92&lt;0.080501,79,IF(N92&lt;0.151501,85,IF(N92&lt;0.215001,91,0))))))))))))+IF(N92&gt;0.215,IF(N92&lt;0.275001,97,IF(N92&lt;0.435001,103,IF(N92&lt;0.620001,109,0))))</f>
        <v>79</v>
      </c>
      <c r="Q92" s="16">
        <f>+P92*O92</f>
        <v>80.738</v>
      </c>
      <c r="R92" s="14">
        <v>14</v>
      </c>
      <c r="S92" s="68" t="s">
        <v>34</v>
      </c>
      <c r="T92" s="16">
        <v>0.75</v>
      </c>
      <c r="U92" s="16">
        <f>T92*R92</f>
        <v>10.5</v>
      </c>
      <c r="V92" s="17" t="s">
        <v>40</v>
      </c>
      <c r="W92" s="16"/>
      <c r="X92" s="16"/>
      <c r="Y92" s="14" t="s">
        <v>41</v>
      </c>
      <c r="Z92" s="83"/>
      <c r="AA92" s="84">
        <f>AA91*0.07</f>
        <v>23.887500000000003</v>
      </c>
      <c r="AB92" s="86"/>
      <c r="AD92" s="147">
        <f>AC91</f>
        <v>8.4020555028640947E-2</v>
      </c>
      <c r="AE92" s="114">
        <f>Z91</f>
        <v>0.96</v>
      </c>
      <c r="AF92" s="3" t="s">
        <v>32</v>
      </c>
      <c r="AG92" s="114">
        <f>Z94</f>
        <v>1.5</v>
      </c>
      <c r="AH92" s="148">
        <f>AA93</f>
        <v>365.13749999999999</v>
      </c>
    </row>
    <row r="93" spans="1:34" ht="24.75" customHeight="1">
      <c r="A93" s="106"/>
      <c r="B93" s="107" t="s">
        <v>42</v>
      </c>
      <c r="C93" s="20">
        <f>+LEN(C91)</f>
        <v>15</v>
      </c>
      <c r="D93" s="17"/>
      <c r="E93" s="17"/>
      <c r="F93" s="21"/>
      <c r="G93" s="17"/>
      <c r="H93" s="17"/>
      <c r="I93" s="17"/>
      <c r="J93" s="17"/>
      <c r="K93" s="14"/>
      <c r="L93" s="14"/>
      <c r="M93" s="14"/>
      <c r="N93" s="46"/>
      <c r="O93" s="47"/>
      <c r="P93" s="139"/>
      <c r="Q93" s="16"/>
      <c r="R93" s="14"/>
      <c r="S93" s="68"/>
      <c r="T93" s="16"/>
      <c r="U93" s="16"/>
      <c r="V93" s="31" t="s">
        <v>43</v>
      </c>
      <c r="W93" s="16">
        <f>+Q100*0.03</f>
        <v>2.4221399999999997</v>
      </c>
      <c r="X93" s="16"/>
      <c r="Y93" s="87" t="s">
        <v>44</v>
      </c>
      <c r="Z93" s="83"/>
      <c r="AA93" s="88">
        <f>SUM(AA91:AA92)</f>
        <v>365.13749999999999</v>
      </c>
      <c r="AB93" s="56">
        <f>CEILING(+AA93/0.5,5)</f>
        <v>735</v>
      </c>
    </row>
    <row r="94" spans="1:34" ht="24.75" customHeight="1">
      <c r="A94" s="106"/>
      <c r="B94" s="108"/>
      <c r="C94" s="20">
        <f>+LEN(C92)</f>
        <v>15</v>
      </c>
      <c r="D94" s="17"/>
      <c r="E94" s="18"/>
      <c r="F94" s="23"/>
      <c r="G94" s="19"/>
      <c r="H94" s="19"/>
      <c r="I94" s="19"/>
      <c r="J94" s="17"/>
      <c r="K94" s="14"/>
      <c r="L94" s="14"/>
      <c r="M94" s="14"/>
      <c r="N94" s="46"/>
      <c r="O94" s="47"/>
      <c r="P94" s="140"/>
      <c r="Q94" s="14"/>
      <c r="R94" s="14"/>
      <c r="S94" s="68"/>
      <c r="T94" s="16"/>
      <c r="U94" s="16"/>
      <c r="V94" s="31" t="s">
        <v>45</v>
      </c>
      <c r="W94" s="69"/>
      <c r="X94" s="16"/>
      <c r="Y94" s="14" t="s">
        <v>46</v>
      </c>
      <c r="Z94" s="83">
        <v>1.5</v>
      </c>
      <c r="AA94" s="85"/>
      <c r="AB94" s="86"/>
    </row>
    <row r="95" spans="1:34" ht="24.75" customHeight="1">
      <c r="A95" s="24"/>
      <c r="B95" s="109"/>
      <c r="C95" s="17"/>
      <c r="D95" s="17"/>
      <c r="E95" s="17"/>
      <c r="F95" s="21"/>
      <c r="G95" s="17"/>
      <c r="H95" s="17"/>
      <c r="I95" s="17"/>
      <c r="J95" s="17"/>
      <c r="K95" s="18"/>
      <c r="L95" s="18"/>
      <c r="M95" s="18"/>
      <c r="N95" s="57"/>
      <c r="O95" s="47"/>
      <c r="P95" s="141"/>
      <c r="Q95" s="19"/>
      <c r="R95" s="18"/>
      <c r="S95" s="70"/>
      <c r="T95" s="19"/>
      <c r="U95" s="16"/>
      <c r="V95" s="31" t="s">
        <v>47</v>
      </c>
      <c r="W95" s="16"/>
      <c r="X95" s="16"/>
      <c r="Y95" s="14" t="s">
        <v>48</v>
      </c>
      <c r="Z95" s="83"/>
      <c r="AA95" s="85"/>
      <c r="AB95" s="86"/>
    </row>
    <row r="96" spans="1:34" ht="24.75" customHeight="1">
      <c r="A96" s="24"/>
      <c r="B96" s="25"/>
      <c r="C96" s="25"/>
      <c r="D96" s="26"/>
      <c r="E96" s="17"/>
      <c r="F96" s="21"/>
      <c r="G96" s="17"/>
      <c r="H96" s="17"/>
      <c r="I96" s="14"/>
      <c r="J96" s="14"/>
      <c r="K96" s="14"/>
      <c r="L96" s="14"/>
      <c r="M96" s="18"/>
      <c r="N96" s="48"/>
      <c r="O96" s="49"/>
      <c r="P96" s="141"/>
      <c r="Q96" s="19"/>
      <c r="R96" s="18"/>
      <c r="S96" s="70"/>
      <c r="T96" s="19"/>
      <c r="U96" s="19"/>
      <c r="V96" s="17" t="s">
        <v>49</v>
      </c>
      <c r="W96" s="16"/>
      <c r="X96" s="16"/>
      <c r="Y96" s="14"/>
      <c r="Z96" s="83"/>
      <c r="AA96" s="85"/>
      <c r="AB96" s="86"/>
    </row>
    <row r="97" spans="1:34" ht="24.75" customHeight="1">
      <c r="A97" s="22"/>
      <c r="B97" s="27"/>
      <c r="C97" s="25"/>
      <c r="D97" s="25"/>
      <c r="E97" s="17"/>
      <c r="F97" s="21"/>
      <c r="G97" s="17"/>
      <c r="H97" s="17"/>
      <c r="I97" s="14"/>
      <c r="J97" s="14"/>
      <c r="K97" s="14"/>
      <c r="L97" s="14"/>
      <c r="M97" s="18"/>
      <c r="N97" s="48"/>
      <c r="O97" s="49"/>
      <c r="P97" s="141"/>
      <c r="Q97" s="19"/>
      <c r="R97" s="18"/>
      <c r="S97" s="70"/>
      <c r="T97" s="19"/>
      <c r="U97" s="19"/>
      <c r="V97" s="17" t="s">
        <v>50</v>
      </c>
      <c r="W97" s="16"/>
      <c r="X97" s="16"/>
      <c r="Y97" s="14"/>
      <c r="Z97" s="83"/>
      <c r="AA97" s="85"/>
      <c r="AB97" s="86"/>
    </row>
    <row r="98" spans="1:34" ht="24.75" customHeight="1">
      <c r="A98" s="22" t="s">
        <v>51</v>
      </c>
      <c r="B98" s="28"/>
      <c r="C98" s="25"/>
      <c r="D98" s="25"/>
      <c r="E98" s="17"/>
      <c r="F98" s="21"/>
      <c r="G98" s="17"/>
      <c r="H98" s="17"/>
      <c r="I98" s="14"/>
      <c r="J98" s="14"/>
      <c r="K98" s="14"/>
      <c r="L98" s="14"/>
      <c r="M98" s="18"/>
      <c r="N98" s="48"/>
      <c r="O98" s="49"/>
      <c r="P98" s="141"/>
      <c r="Q98" s="19"/>
      <c r="R98" s="18"/>
      <c r="S98" s="70"/>
      <c r="T98" s="19"/>
      <c r="U98" s="19"/>
      <c r="V98" s="17" t="s">
        <v>52</v>
      </c>
      <c r="W98" s="16">
        <v>2</v>
      </c>
      <c r="X98" s="16"/>
      <c r="Y98" s="14"/>
      <c r="Z98" s="83"/>
      <c r="AA98" s="85"/>
      <c r="AB98" s="86"/>
    </row>
    <row r="99" spans="1:34" ht="24.75" customHeight="1">
      <c r="A99" s="17" t="s">
        <v>53</v>
      </c>
      <c r="B99" s="29"/>
      <c r="C99" s="25"/>
      <c r="D99" s="25"/>
      <c r="E99" s="17"/>
      <c r="F99" s="21"/>
      <c r="G99" s="17"/>
      <c r="H99" s="17"/>
      <c r="I99" s="17"/>
      <c r="J99" s="17"/>
      <c r="K99" s="14"/>
      <c r="L99" s="14"/>
      <c r="M99" s="18"/>
      <c r="N99" s="48"/>
      <c r="O99" s="50"/>
      <c r="P99" s="139"/>
      <c r="Q99" s="16"/>
      <c r="R99" s="18"/>
      <c r="S99" s="68"/>
      <c r="T99" s="16"/>
      <c r="U99" s="16"/>
      <c r="V99" s="17"/>
      <c r="W99" s="16"/>
      <c r="X99" s="16"/>
      <c r="Y99" s="52" t="s">
        <v>54</v>
      </c>
      <c r="Z99" s="89">
        <f>Z91+Z94</f>
        <v>2.46</v>
      </c>
      <c r="AA99" s="90">
        <f>(AA93+AA94+AA95)</f>
        <v>365.13749999999999</v>
      </c>
      <c r="AB99" s="91">
        <f>(AB95+AB94+AB93)</f>
        <v>735</v>
      </c>
    </row>
    <row r="100" spans="1:34" ht="24.75" customHeight="1">
      <c r="A100" s="17" t="s">
        <v>55</v>
      </c>
      <c r="B100" s="30"/>
      <c r="C100" s="30"/>
      <c r="D100" s="31"/>
      <c r="E100" s="32"/>
      <c r="F100" s="33"/>
      <c r="G100" s="32"/>
      <c r="H100" s="32" t="s">
        <v>54</v>
      </c>
      <c r="I100" s="51">
        <f>SUM(I91:I99)</f>
        <v>235.25755408019467</v>
      </c>
      <c r="J100" s="32">
        <f>SUM(J91:J99)</f>
        <v>0</v>
      </c>
      <c r="K100" s="52"/>
      <c r="L100" s="52"/>
      <c r="M100" s="53"/>
      <c r="N100" s="54"/>
      <c r="O100" s="55">
        <f>SUM(O91:O99)</f>
        <v>1.022</v>
      </c>
      <c r="P100" s="142"/>
      <c r="Q100" s="69">
        <f>SUM(Q91:Q96)</f>
        <v>80.738</v>
      </c>
      <c r="R100" s="52">
        <f t="shared" ref="R100:W100" si="11">SUM(R91:R99)</f>
        <v>15</v>
      </c>
      <c r="S100" s="71"/>
      <c r="T100" s="69"/>
      <c r="U100" s="69">
        <f t="shared" si="11"/>
        <v>10.5</v>
      </c>
      <c r="V100" s="72"/>
      <c r="W100" s="69">
        <f t="shared" si="11"/>
        <v>14.52214</v>
      </c>
      <c r="X100" s="69"/>
      <c r="Y100" s="32" t="s">
        <v>56</v>
      </c>
      <c r="Z100" s="92"/>
      <c r="AA100" s="32"/>
      <c r="AB100" s="93">
        <f>(AB99-AA99)/AB99</f>
        <v>0.50321428571428573</v>
      </c>
    </row>
    <row r="101" spans="1:34" ht="12.75" customHeight="1">
      <c r="A101" s="35"/>
      <c r="B101" s="36"/>
      <c r="C101" s="36"/>
      <c r="D101" s="36"/>
      <c r="E101" s="36"/>
      <c r="F101" s="37"/>
      <c r="G101" s="36"/>
      <c r="H101" s="36"/>
      <c r="I101" s="36"/>
      <c r="J101" s="36"/>
      <c r="K101" s="36"/>
      <c r="L101" s="58"/>
      <c r="M101" s="59"/>
      <c r="N101" s="36"/>
      <c r="O101" s="36"/>
      <c r="P101" s="143"/>
      <c r="Q101" s="73"/>
      <c r="R101" s="36"/>
      <c r="S101" s="36"/>
      <c r="T101" s="36"/>
      <c r="U101" s="36"/>
      <c r="V101" s="36"/>
      <c r="W101" s="74"/>
      <c r="X101" s="74"/>
      <c r="Y101" s="58"/>
      <c r="Z101" s="94"/>
      <c r="AA101" s="95"/>
      <c r="AB101" s="96"/>
    </row>
    <row r="102" spans="1:34" ht="24.75" customHeight="1">
      <c r="A102" s="12" t="s">
        <v>97</v>
      </c>
      <c r="B102" s="12" t="s">
        <v>98</v>
      </c>
      <c r="C102" s="13" t="s">
        <v>99</v>
      </c>
      <c r="D102" s="34"/>
      <c r="E102" s="14" t="s">
        <v>31</v>
      </c>
      <c r="F102" s="15">
        <v>2800</v>
      </c>
      <c r="G102" s="16">
        <v>4.51</v>
      </c>
      <c r="H102" s="16">
        <f>F102/24*14/31.1035*1.12</f>
        <v>58.814388520048666</v>
      </c>
      <c r="I102" s="16">
        <f>G102*H102</f>
        <v>265.25289222541949</v>
      </c>
      <c r="J102" s="14"/>
      <c r="K102" s="14" t="s">
        <v>32</v>
      </c>
      <c r="L102" s="14" t="s">
        <v>33</v>
      </c>
      <c r="M102" s="14">
        <v>7.3</v>
      </c>
      <c r="N102" s="46">
        <v>1.5</v>
      </c>
      <c r="O102" s="47"/>
      <c r="P102" s="139"/>
      <c r="Q102" s="16">
        <f>+P102*O102</f>
        <v>0</v>
      </c>
      <c r="R102" s="14">
        <v>1</v>
      </c>
      <c r="S102" s="68" t="s">
        <v>34</v>
      </c>
      <c r="T102" s="16"/>
      <c r="U102" s="16">
        <f>T102*R102</f>
        <v>0</v>
      </c>
      <c r="V102" s="17" t="s">
        <v>35</v>
      </c>
      <c r="W102" s="16">
        <v>10.1</v>
      </c>
      <c r="X102" s="16"/>
      <c r="Y102" s="16" t="s">
        <v>36</v>
      </c>
      <c r="Z102" s="83">
        <v>0.46</v>
      </c>
      <c r="AA102" s="84">
        <f>ROUNDUP((I111+J111+Q111+U111+W111)*4,0)/4</f>
        <v>358.75</v>
      </c>
      <c r="AB102" s="85"/>
      <c r="AC102" s="113">
        <f>+I102/F102</f>
        <v>9.4733175794792679E-2</v>
      </c>
    </row>
    <row r="103" spans="1:34" ht="24.75" customHeight="1">
      <c r="A103" s="106" t="s">
        <v>37</v>
      </c>
      <c r="B103" s="13" t="s">
        <v>100</v>
      </c>
      <c r="C103" s="134" t="s">
        <v>101</v>
      </c>
      <c r="D103" s="17"/>
      <c r="E103" s="18"/>
      <c r="F103" s="15"/>
      <c r="G103" s="19"/>
      <c r="H103" s="19"/>
      <c r="I103" s="19"/>
      <c r="J103" s="17"/>
      <c r="K103" s="14" t="s">
        <v>32</v>
      </c>
      <c r="L103" s="117" t="s">
        <v>124</v>
      </c>
      <c r="M103" s="14">
        <v>0.9</v>
      </c>
      <c r="N103" s="46">
        <v>3.0999999999999999E-3</v>
      </c>
      <c r="O103" s="102">
        <f>N103*R103+0.02</f>
        <v>6.9599999999999995E-2</v>
      </c>
      <c r="P103" s="146">
        <f>IF(N103=0,0,IF(N103&lt;0.0021,0,IF(N103&lt;0.00305,213,IF(N103&lt;0.00475,198,IF(N103&lt;0.006,184,IF(N103&lt;0.00775,145,IF(N103&lt;0.0105,120,IF(N103&lt;0.013,94,IF(N103&lt;0.024,88,IF(N103&lt;0.080501,79,IF(N103&lt;0.151501,85,IF(N103&lt;0.215001,91,0))))))))))))+IF(N103&gt;0.215,IF(N103&lt;0.275001,97,IF(N103&lt;0.435001,103,IF(N103&lt;0.620001,109,0))))</f>
        <v>198</v>
      </c>
      <c r="Q103" s="16">
        <f>+P103*O103</f>
        <v>13.780799999999999</v>
      </c>
      <c r="R103" s="14">
        <v>16</v>
      </c>
      <c r="S103" s="68" t="s">
        <v>102</v>
      </c>
      <c r="T103" s="16">
        <v>0.5</v>
      </c>
      <c r="U103" s="16">
        <f>T103*R103</f>
        <v>8</v>
      </c>
      <c r="V103" s="17" t="s">
        <v>40</v>
      </c>
      <c r="W103" s="16"/>
      <c r="X103" s="16"/>
      <c r="Y103" s="14" t="s">
        <v>41</v>
      </c>
      <c r="Z103" s="83"/>
      <c r="AA103" s="84">
        <f>AA102*0.07</f>
        <v>25.112500000000001</v>
      </c>
      <c r="AB103" s="86"/>
      <c r="AD103" s="147">
        <f>AC102</f>
        <v>9.4733175794792679E-2</v>
      </c>
      <c r="AE103" s="114">
        <f>Z102</f>
        <v>0.46</v>
      </c>
      <c r="AF103" s="3" t="s">
        <v>32</v>
      </c>
      <c r="AG103" s="114">
        <f>Z105</f>
        <v>1.5</v>
      </c>
      <c r="AH103" s="148">
        <f>AA104</f>
        <v>383.86250000000001</v>
      </c>
    </row>
    <row r="104" spans="1:34" ht="24.75" customHeight="1">
      <c r="A104" s="106"/>
      <c r="B104" s="107" t="s">
        <v>42</v>
      </c>
      <c r="C104" s="20">
        <f>+LEN(C102)</f>
        <v>15</v>
      </c>
      <c r="D104" s="17"/>
      <c r="E104" s="17"/>
      <c r="F104" s="21"/>
      <c r="G104" s="17"/>
      <c r="H104" s="17"/>
      <c r="I104" s="17"/>
      <c r="J104" s="17"/>
      <c r="K104" s="14" t="s">
        <v>32</v>
      </c>
      <c r="L104" s="117" t="s">
        <v>124</v>
      </c>
      <c r="M104" s="14">
        <v>1.1000000000000001</v>
      </c>
      <c r="N104" s="46">
        <v>6.0000000000000001E-3</v>
      </c>
      <c r="O104" s="102">
        <f>N104*R104+0.01</f>
        <v>5.8000000000000003E-2</v>
      </c>
      <c r="P104" s="146">
        <f>IF(N104=0,0,IF(N104&lt;0.0021,0,IF(N104&lt;0.00305,213,IF(N104&lt;0.00475,198,IF(N104&lt;0.006,184,IF(N104&lt;0.00775,145,IF(N104&lt;0.0105,120,IF(N104&lt;0.013,94,IF(N104&lt;0.024,88,IF(N104&lt;0.080501,79,IF(N104&lt;0.151501,85,IF(N104&lt;0.215001,91,0))))))))))))+IF(N104&gt;0.215,IF(N104&lt;0.275001,97,IF(N104&lt;0.435001,103,IF(N104&lt;0.620001,109,0))))</f>
        <v>145</v>
      </c>
      <c r="Q104" s="16">
        <f>+P104*O104</f>
        <v>8.41</v>
      </c>
      <c r="R104" s="14">
        <v>8</v>
      </c>
      <c r="S104" s="68" t="s">
        <v>102</v>
      </c>
      <c r="T104" s="16">
        <v>0.5</v>
      </c>
      <c r="U104" s="16">
        <f>T104*R104</f>
        <v>4</v>
      </c>
      <c r="V104" s="31" t="s">
        <v>43</v>
      </c>
      <c r="W104" s="16">
        <f>+Q111*0.03</f>
        <v>1.6689239999999999</v>
      </c>
      <c r="X104" s="16"/>
      <c r="Y104" s="87" t="s">
        <v>44</v>
      </c>
      <c r="Z104" s="83"/>
      <c r="AA104" s="88">
        <f>SUM(AA102:AA103)</f>
        <v>383.86250000000001</v>
      </c>
      <c r="AB104" s="56">
        <f>CEILING(+AA104/0.5,5)</f>
        <v>770</v>
      </c>
    </row>
    <row r="105" spans="1:34" ht="24.75" customHeight="1">
      <c r="A105" s="106"/>
      <c r="B105" s="108"/>
      <c r="C105" s="20">
        <f>+LEN(C103)</f>
        <v>15</v>
      </c>
      <c r="D105" s="17"/>
      <c r="E105" s="18"/>
      <c r="F105" s="23"/>
      <c r="G105" s="19"/>
      <c r="H105" s="19"/>
      <c r="I105" s="19"/>
      <c r="J105" s="17"/>
      <c r="K105" s="14" t="s">
        <v>32</v>
      </c>
      <c r="L105" s="117" t="s">
        <v>124</v>
      </c>
      <c r="M105" s="14">
        <v>1.5</v>
      </c>
      <c r="N105" s="46">
        <v>1.4999999999999999E-2</v>
      </c>
      <c r="O105" s="102">
        <f>N105*R105+0.02</f>
        <v>0.38</v>
      </c>
      <c r="P105" s="146">
        <f>IF(N105=0,0,IF(N105&lt;0.0021,0,IF(N105&lt;0.00305,213,IF(N105&lt;0.00475,198,IF(N105&lt;0.006,184,IF(N105&lt;0.00775,145,IF(N105&lt;0.0105,120,IF(N105&lt;0.013,94,IF(N105&lt;0.024,88,IF(N105&lt;0.080501,79,IF(N105&lt;0.151501,85,IF(N105&lt;0.215001,91,0))))))))))))+IF(N105&gt;0.215,IF(N105&lt;0.275001,97,IF(N105&lt;0.435001,103,IF(N105&lt;0.620001,109,0))))</f>
        <v>88</v>
      </c>
      <c r="Q105" s="16">
        <f>+P105*O105</f>
        <v>33.44</v>
      </c>
      <c r="R105" s="14">
        <v>24</v>
      </c>
      <c r="S105" s="68" t="s">
        <v>102</v>
      </c>
      <c r="T105" s="16">
        <v>0.5</v>
      </c>
      <c r="U105" s="16">
        <f>T105*R105</f>
        <v>12</v>
      </c>
      <c r="V105" s="31" t="s">
        <v>45</v>
      </c>
      <c r="W105" s="69"/>
      <c r="X105" s="16"/>
      <c r="Y105" s="14" t="s">
        <v>46</v>
      </c>
      <c r="Z105" s="83">
        <v>1.5</v>
      </c>
      <c r="AA105" s="85"/>
      <c r="AB105" s="86"/>
    </row>
    <row r="106" spans="1:34" ht="24.75" customHeight="1">
      <c r="A106" s="24"/>
      <c r="B106" s="109"/>
      <c r="C106" s="17"/>
      <c r="D106" s="17"/>
      <c r="E106" s="17"/>
      <c r="F106" s="21"/>
      <c r="G106" s="17"/>
      <c r="H106" s="17"/>
      <c r="I106" s="17"/>
      <c r="J106" s="17"/>
      <c r="K106" s="18"/>
      <c r="L106" s="18"/>
      <c r="M106" s="18"/>
      <c r="N106" s="57"/>
      <c r="O106" s="47"/>
      <c r="P106" s="141"/>
      <c r="Q106" s="19"/>
      <c r="R106" s="18"/>
      <c r="S106" s="70"/>
      <c r="T106" s="19"/>
      <c r="U106" s="16"/>
      <c r="V106" s="31" t="s">
        <v>47</v>
      </c>
      <c r="W106" s="16"/>
      <c r="X106" s="16"/>
      <c r="Y106" s="14" t="s">
        <v>48</v>
      </c>
      <c r="Z106" s="83"/>
      <c r="AA106" s="85"/>
      <c r="AB106" s="86"/>
    </row>
    <row r="107" spans="1:34" ht="24.75" customHeight="1">
      <c r="A107" s="24"/>
      <c r="B107" s="25"/>
      <c r="C107" s="25"/>
      <c r="D107" s="26"/>
      <c r="E107" s="17"/>
      <c r="F107" s="21"/>
      <c r="G107" s="17"/>
      <c r="H107" s="17"/>
      <c r="I107" s="14"/>
      <c r="J107" s="14"/>
      <c r="K107" s="14"/>
      <c r="L107" s="14"/>
      <c r="M107" s="18"/>
      <c r="N107" s="48"/>
      <c r="O107" s="49"/>
      <c r="P107" s="141"/>
      <c r="Q107" s="19"/>
      <c r="R107" s="18"/>
      <c r="S107" s="70"/>
      <c r="T107" s="19"/>
      <c r="U107" s="19"/>
      <c r="V107" s="17" t="s">
        <v>49</v>
      </c>
      <c r="W107" s="16"/>
      <c r="X107" s="16"/>
      <c r="Y107" s="14"/>
      <c r="Z107" s="83"/>
      <c r="AA107" s="85"/>
      <c r="AB107" s="86"/>
    </row>
    <row r="108" spans="1:34" ht="24.75" customHeight="1">
      <c r="A108" s="22"/>
      <c r="B108" s="27"/>
      <c r="C108" s="25"/>
      <c r="D108" s="25"/>
      <c r="E108" s="17"/>
      <c r="F108" s="21"/>
      <c r="G108" s="17"/>
      <c r="H108" s="17"/>
      <c r="I108" s="14"/>
      <c r="J108" s="14"/>
      <c r="K108" s="14"/>
      <c r="L108" s="14"/>
      <c r="M108" s="18"/>
      <c r="N108" s="48"/>
      <c r="O108" s="49"/>
      <c r="P108" s="141"/>
      <c r="Q108" s="19"/>
      <c r="R108" s="18"/>
      <c r="S108" s="70"/>
      <c r="T108" s="19"/>
      <c r="U108" s="19"/>
      <c r="V108" s="17" t="s">
        <v>50</v>
      </c>
      <c r="W108" s="16"/>
      <c r="X108" s="16"/>
      <c r="Y108" s="14"/>
      <c r="Z108" s="83"/>
      <c r="AA108" s="85"/>
      <c r="AB108" s="86"/>
    </row>
    <row r="109" spans="1:34" ht="24.75" customHeight="1">
      <c r="A109" s="22" t="s">
        <v>51</v>
      </c>
      <c r="B109" s="28"/>
      <c r="C109" s="25"/>
      <c r="D109" s="25"/>
      <c r="E109" s="17"/>
      <c r="F109" s="21"/>
      <c r="G109" s="17"/>
      <c r="H109" s="17"/>
      <c r="I109" s="14"/>
      <c r="J109" s="14"/>
      <c r="K109" s="14"/>
      <c r="L109" s="14"/>
      <c r="M109" s="18"/>
      <c r="N109" s="48"/>
      <c r="O109" s="49"/>
      <c r="P109" s="141"/>
      <c r="Q109" s="19"/>
      <c r="R109" s="18"/>
      <c r="S109" s="70"/>
      <c r="T109" s="19"/>
      <c r="U109" s="19"/>
      <c r="V109" s="17" t="s">
        <v>52</v>
      </c>
      <c r="W109" s="16">
        <v>2</v>
      </c>
      <c r="X109" s="16"/>
      <c r="Y109" s="14"/>
      <c r="Z109" s="83"/>
      <c r="AA109" s="85"/>
      <c r="AB109" s="86"/>
    </row>
    <row r="110" spans="1:34" ht="24.75" customHeight="1">
      <c r="A110" s="17" t="s">
        <v>53</v>
      </c>
      <c r="B110" s="29"/>
      <c r="C110" s="25"/>
      <c r="D110" s="25"/>
      <c r="E110" s="17"/>
      <c r="F110" s="21"/>
      <c r="G110" s="17"/>
      <c r="H110" s="17"/>
      <c r="I110" s="17"/>
      <c r="J110" s="17"/>
      <c r="K110" s="14"/>
      <c r="L110" s="14"/>
      <c r="M110" s="18"/>
      <c r="N110" s="48"/>
      <c r="O110" s="50"/>
      <c r="P110" s="139"/>
      <c r="Q110" s="16"/>
      <c r="R110" s="18"/>
      <c r="S110" s="68"/>
      <c r="T110" s="16"/>
      <c r="U110" s="16"/>
      <c r="V110" s="17"/>
      <c r="W110" s="16"/>
      <c r="X110" s="16"/>
      <c r="Y110" s="52" t="s">
        <v>54</v>
      </c>
      <c r="Z110" s="89">
        <f>Z102+Z105</f>
        <v>1.96</v>
      </c>
      <c r="AA110" s="90">
        <f>(AA104+AA105+AA106)</f>
        <v>383.86250000000001</v>
      </c>
      <c r="AB110" s="91">
        <f>(AB106+AB105+AB104)</f>
        <v>770</v>
      </c>
    </row>
    <row r="111" spans="1:34" ht="24.75" customHeight="1">
      <c r="A111" s="17" t="s">
        <v>55</v>
      </c>
      <c r="B111" s="30"/>
      <c r="C111" s="30"/>
      <c r="D111" s="31"/>
      <c r="E111" s="32"/>
      <c r="F111" s="33"/>
      <c r="G111" s="32"/>
      <c r="H111" s="32" t="s">
        <v>54</v>
      </c>
      <c r="I111" s="51">
        <f>SUM(I102:I110)</f>
        <v>265.25289222541949</v>
      </c>
      <c r="J111" s="32">
        <f>SUM(J102:J110)</f>
        <v>0</v>
      </c>
      <c r="K111" s="52"/>
      <c r="L111" s="52"/>
      <c r="M111" s="53"/>
      <c r="N111" s="54"/>
      <c r="O111" s="55">
        <f>SUM(O102:O110)</f>
        <v>0.50760000000000005</v>
      </c>
      <c r="P111" s="142"/>
      <c r="Q111" s="69">
        <f>SUM(Q102:Q107)</f>
        <v>55.630799999999994</v>
      </c>
      <c r="R111" s="52">
        <f t="shared" ref="R111:W111" si="12">SUM(R102:R110)</f>
        <v>49</v>
      </c>
      <c r="S111" s="71"/>
      <c r="T111" s="69"/>
      <c r="U111" s="69">
        <f t="shared" si="12"/>
        <v>24</v>
      </c>
      <c r="V111" s="72"/>
      <c r="W111" s="69">
        <f t="shared" si="12"/>
        <v>13.768924</v>
      </c>
      <c r="X111" s="69"/>
      <c r="Y111" s="32" t="s">
        <v>56</v>
      </c>
      <c r="Z111" s="92"/>
      <c r="AA111" s="32"/>
      <c r="AB111" s="93">
        <f>(AB110-AA110)/AB110</f>
        <v>0.50147727272727272</v>
      </c>
    </row>
    <row r="112" spans="1:34" ht="12.75" customHeight="1">
      <c r="A112" s="35"/>
      <c r="B112" s="36"/>
      <c r="C112" s="36"/>
      <c r="D112" s="36"/>
      <c r="E112" s="36"/>
      <c r="F112" s="37"/>
      <c r="G112" s="36"/>
      <c r="H112" s="36"/>
      <c r="I112" s="36"/>
      <c r="J112" s="36"/>
      <c r="K112" s="36"/>
      <c r="L112" s="58"/>
      <c r="M112" s="59"/>
      <c r="N112" s="36"/>
      <c r="O112" s="36"/>
      <c r="P112" s="143"/>
      <c r="Q112" s="73"/>
      <c r="R112" s="36"/>
      <c r="S112" s="36"/>
      <c r="T112" s="36"/>
      <c r="U112" s="36"/>
      <c r="V112" s="36"/>
      <c r="W112" s="74"/>
      <c r="X112" s="74"/>
      <c r="Y112" s="58"/>
      <c r="Z112" s="94"/>
      <c r="AA112" s="95"/>
      <c r="AB112" s="96"/>
    </row>
    <row r="113" spans="1:34" ht="24.75" customHeight="1">
      <c r="A113" s="12" t="s">
        <v>103</v>
      </c>
      <c r="B113" s="12" t="s">
        <v>104</v>
      </c>
      <c r="C113" s="13" t="s">
        <v>105</v>
      </c>
      <c r="D113" s="34"/>
      <c r="E113" s="14" t="s">
        <v>31</v>
      </c>
      <c r="F113" s="15">
        <v>2800</v>
      </c>
      <c r="G113" s="16">
        <v>3.75</v>
      </c>
      <c r="H113" s="16">
        <f>F113/24*14/31.1035*1.12</f>
        <v>58.814388520048666</v>
      </c>
      <c r="I113" s="16">
        <f>G113*H113</f>
        <v>220.55395695018251</v>
      </c>
      <c r="J113" s="14"/>
      <c r="K113" s="14" t="s">
        <v>66</v>
      </c>
      <c r="L113" s="14" t="s">
        <v>33</v>
      </c>
      <c r="M113" s="14" t="s">
        <v>67</v>
      </c>
      <c r="N113" s="46">
        <v>1.5</v>
      </c>
      <c r="O113" s="47"/>
      <c r="P113" s="139"/>
      <c r="Q113" s="16">
        <f>+P113*O113</f>
        <v>0</v>
      </c>
      <c r="R113" s="14">
        <v>1</v>
      </c>
      <c r="S113" s="68" t="s">
        <v>34</v>
      </c>
      <c r="T113" s="16"/>
      <c r="U113" s="16">
        <f>T113*R113</f>
        <v>0</v>
      </c>
      <c r="V113" s="17" t="s">
        <v>35</v>
      </c>
      <c r="W113" s="16">
        <v>10.1</v>
      </c>
      <c r="X113" s="16"/>
      <c r="Y113" s="16" t="s">
        <v>36</v>
      </c>
      <c r="Z113" s="83">
        <v>0.3</v>
      </c>
      <c r="AA113" s="84">
        <f>ROUNDUP((I122+J122+Q122+U122+W122)*4,0)/4</f>
        <v>280.25</v>
      </c>
      <c r="AB113" s="85"/>
      <c r="AC113" s="113">
        <f>+I113/F113</f>
        <v>7.8769270339350897E-2</v>
      </c>
    </row>
    <row r="114" spans="1:34" ht="24.75" customHeight="1">
      <c r="A114" s="106" t="s">
        <v>37</v>
      </c>
      <c r="B114" s="13" t="s">
        <v>106</v>
      </c>
      <c r="C114" s="134" t="s">
        <v>107</v>
      </c>
      <c r="D114" s="17"/>
      <c r="E114" s="18"/>
      <c r="F114" s="15"/>
      <c r="G114" s="19"/>
      <c r="H114" s="19"/>
      <c r="I114" s="19"/>
      <c r="J114" s="17"/>
      <c r="K114" s="14" t="s">
        <v>32</v>
      </c>
      <c r="L114" s="117" t="s">
        <v>124</v>
      </c>
      <c r="M114" s="14">
        <v>0.9</v>
      </c>
      <c r="N114" s="46">
        <v>3.0999999999999999E-3</v>
      </c>
      <c r="O114" s="47">
        <f>N114*R114</f>
        <v>1.8599999999999998E-2</v>
      </c>
      <c r="P114" s="146">
        <f>IF(N114=0,0,IF(N114&lt;0.0021,0,IF(N114&lt;0.00305,213,IF(N114&lt;0.00475,198,IF(N114&lt;0.006,184,IF(N114&lt;0.00775,145,IF(N114&lt;0.0105,120,IF(N114&lt;0.013,94,IF(N114&lt;0.024,88,IF(N114&lt;0.080501,79,IF(N114&lt;0.151501,85,IF(N114&lt;0.215001,91,0))))))))))))+IF(N114&gt;0.215,IF(N114&lt;0.275001,97,IF(N114&lt;0.435001,103,IF(N114&lt;0.620001,109,0))))</f>
        <v>198</v>
      </c>
      <c r="Q114" s="16">
        <f>+P114*O114</f>
        <v>3.6827999999999999</v>
      </c>
      <c r="R114" s="14">
        <v>6</v>
      </c>
      <c r="S114" s="68" t="s">
        <v>102</v>
      </c>
      <c r="T114" s="16">
        <v>0.5</v>
      </c>
      <c r="U114" s="16">
        <f>T114*R114</f>
        <v>3</v>
      </c>
      <c r="V114" s="17" t="s">
        <v>40</v>
      </c>
      <c r="W114" s="16"/>
      <c r="X114" s="16"/>
      <c r="Y114" s="14" t="s">
        <v>41</v>
      </c>
      <c r="Z114" s="83"/>
      <c r="AA114" s="84">
        <f>AA113*0.07</f>
        <v>19.617500000000003</v>
      </c>
      <c r="AB114" s="86"/>
      <c r="AD114" s="147">
        <f>AC113</f>
        <v>7.8769270339350897E-2</v>
      </c>
      <c r="AE114" s="114">
        <f>Z113</f>
        <v>0.3</v>
      </c>
      <c r="AF114" s="3" t="s">
        <v>125</v>
      </c>
      <c r="AG114" s="114">
        <f>Z116</f>
        <v>1.5</v>
      </c>
      <c r="AH114" s="148">
        <f>AA115</f>
        <v>299.86750000000001</v>
      </c>
    </row>
    <row r="115" spans="1:34" ht="24.75" customHeight="1">
      <c r="A115" s="106"/>
      <c r="B115" s="107" t="s">
        <v>42</v>
      </c>
      <c r="C115" s="20">
        <f>+LEN(C113)</f>
        <v>15</v>
      </c>
      <c r="D115" s="17"/>
      <c r="E115" s="17"/>
      <c r="F115" s="21"/>
      <c r="G115" s="17"/>
      <c r="H115" s="17"/>
      <c r="I115" s="17"/>
      <c r="J115" s="17"/>
      <c r="K115" s="14" t="s">
        <v>32</v>
      </c>
      <c r="L115" s="117" t="s">
        <v>124</v>
      </c>
      <c r="M115" s="14">
        <v>1.2</v>
      </c>
      <c r="N115" s="46">
        <v>8.0000000000000002E-3</v>
      </c>
      <c r="O115" s="102">
        <f>N115*R115+0.02</f>
        <v>0.11600000000000001</v>
      </c>
      <c r="P115" s="146">
        <f>IF(N115=0,0,IF(N115&lt;0.0021,0,IF(N115&lt;0.00305,213,IF(N115&lt;0.00475,198,IF(N115&lt;0.006,184,IF(N115&lt;0.00775,145,IF(N115&lt;0.0105,120,IF(N115&lt;0.013,94,IF(N115&lt;0.024,88,IF(N115&lt;0.080501,79,IF(N115&lt;0.151501,85,IF(N115&lt;0.215001,91,0))))))))))))+IF(N115&gt;0.215,IF(N115&lt;0.275001,97,IF(N115&lt;0.435001,103,IF(N115&lt;0.620001,109,0))))</f>
        <v>120</v>
      </c>
      <c r="Q115" s="16">
        <f>+P115*O115</f>
        <v>13.92</v>
      </c>
      <c r="R115" s="14">
        <v>12</v>
      </c>
      <c r="S115" s="68" t="s">
        <v>102</v>
      </c>
      <c r="T115" s="16">
        <v>0.5</v>
      </c>
      <c r="U115" s="16">
        <f>T115*R115</f>
        <v>6</v>
      </c>
      <c r="V115" s="31" t="s">
        <v>43</v>
      </c>
      <c r="W115" s="16">
        <f>+Q122*0.03</f>
        <v>1.0068239999999999</v>
      </c>
      <c r="X115" s="16"/>
      <c r="Y115" s="87" t="s">
        <v>44</v>
      </c>
      <c r="Z115" s="83"/>
      <c r="AA115" s="88">
        <f>SUM(AA113:AA114)</f>
        <v>299.86750000000001</v>
      </c>
      <c r="AB115" s="56">
        <f>CEILING(+AA115/0.5,5)</f>
        <v>600</v>
      </c>
    </row>
    <row r="116" spans="1:34" ht="24.75" customHeight="1">
      <c r="A116" s="106"/>
      <c r="B116" s="108"/>
      <c r="C116" s="20">
        <f>+LEN(C114)</f>
        <v>15</v>
      </c>
      <c r="D116" s="17"/>
      <c r="E116" s="18"/>
      <c r="F116" s="23"/>
      <c r="G116" s="19"/>
      <c r="H116" s="19"/>
      <c r="I116" s="19"/>
      <c r="J116" s="17"/>
      <c r="K116" s="14" t="s">
        <v>32</v>
      </c>
      <c r="L116" s="117" t="s">
        <v>124</v>
      </c>
      <c r="M116" s="14">
        <v>1.8</v>
      </c>
      <c r="N116" s="46">
        <v>2.4E-2</v>
      </c>
      <c r="O116" s="102">
        <f>N116*R116+0.01</f>
        <v>0.20200000000000001</v>
      </c>
      <c r="P116" s="146">
        <f>IF(N116=0,0,IF(N116&lt;0.0021,0,IF(N116&lt;0.00305,213,IF(N116&lt;0.00475,198,IF(N116&lt;0.006,184,IF(N116&lt;0.00775,145,IF(N116&lt;0.0105,120,IF(N116&lt;0.013,94,IF(N116&lt;0.024,88,IF(N116&lt;0.080501,79,IF(N116&lt;0.151501,85,IF(N116&lt;0.215001,91,0))))))))))))+IF(N116&gt;0.215,IF(N116&lt;0.275001,97,IF(N116&lt;0.435001,103,IF(N116&lt;0.620001,109,0))))</f>
        <v>79</v>
      </c>
      <c r="Q116" s="16">
        <f>+P116*O116</f>
        <v>15.958</v>
      </c>
      <c r="R116" s="14">
        <v>8</v>
      </c>
      <c r="S116" s="68" t="s">
        <v>102</v>
      </c>
      <c r="T116" s="16">
        <v>0.5</v>
      </c>
      <c r="U116" s="16">
        <f>T116*R116</f>
        <v>4</v>
      </c>
      <c r="V116" s="31" t="s">
        <v>45</v>
      </c>
      <c r="W116" s="69"/>
      <c r="X116" s="16"/>
      <c r="Y116" s="14" t="s">
        <v>46</v>
      </c>
      <c r="Z116" s="83">
        <v>1.5</v>
      </c>
      <c r="AA116" s="85"/>
      <c r="AB116" s="86"/>
    </row>
    <row r="117" spans="1:34" ht="24.75" customHeight="1">
      <c r="A117" s="24"/>
      <c r="B117" s="109"/>
      <c r="C117" s="17"/>
      <c r="D117" s="17"/>
      <c r="E117" s="17"/>
      <c r="F117" s="21"/>
      <c r="G117" s="17"/>
      <c r="H117" s="17"/>
      <c r="I117" s="17"/>
      <c r="J117" s="17"/>
      <c r="K117" s="18"/>
      <c r="L117" s="18"/>
      <c r="M117" s="18"/>
      <c r="N117" s="57"/>
      <c r="O117" s="47"/>
      <c r="P117" s="141"/>
      <c r="Q117" s="19"/>
      <c r="R117" s="18"/>
      <c r="S117" s="70"/>
      <c r="T117" s="19"/>
      <c r="U117" s="16"/>
      <c r="V117" s="31" t="s">
        <v>47</v>
      </c>
      <c r="W117" s="16"/>
      <c r="X117" s="16"/>
      <c r="Y117" s="14" t="s">
        <v>48</v>
      </c>
      <c r="Z117" s="83"/>
      <c r="AA117" s="85"/>
      <c r="AB117" s="86"/>
    </row>
    <row r="118" spans="1:34" ht="24.75" customHeight="1">
      <c r="A118" s="24"/>
      <c r="B118" s="25"/>
      <c r="C118" s="25"/>
      <c r="D118" s="26"/>
      <c r="E118" s="17"/>
      <c r="F118" s="21"/>
      <c r="G118" s="17"/>
      <c r="H118" s="17"/>
      <c r="I118" s="14"/>
      <c r="J118" s="14"/>
      <c r="K118" s="14"/>
      <c r="L118" s="14"/>
      <c r="M118" s="18"/>
      <c r="N118" s="48"/>
      <c r="O118" s="49"/>
      <c r="P118" s="141"/>
      <c r="Q118" s="19"/>
      <c r="R118" s="18"/>
      <c r="S118" s="70"/>
      <c r="T118" s="19"/>
      <c r="U118" s="19"/>
      <c r="V118" s="17" t="s">
        <v>49</v>
      </c>
      <c r="W118" s="16"/>
      <c r="X118" s="16"/>
      <c r="Y118" s="14"/>
      <c r="Z118" s="83"/>
      <c r="AA118" s="85"/>
      <c r="AB118" s="86"/>
    </row>
    <row r="119" spans="1:34" ht="24.75" customHeight="1">
      <c r="A119" s="22"/>
      <c r="B119" s="27"/>
      <c r="C119" s="25"/>
      <c r="D119" s="25"/>
      <c r="E119" s="17"/>
      <c r="F119" s="21"/>
      <c r="G119" s="17"/>
      <c r="H119" s="17"/>
      <c r="I119" s="14"/>
      <c r="J119" s="14"/>
      <c r="K119" s="14"/>
      <c r="L119" s="14"/>
      <c r="M119" s="18"/>
      <c r="N119" s="48"/>
      <c r="O119" s="49"/>
      <c r="P119" s="141"/>
      <c r="Q119" s="19"/>
      <c r="R119" s="18"/>
      <c r="S119" s="70"/>
      <c r="T119" s="19"/>
      <c r="U119" s="19"/>
      <c r="V119" s="17" t="s">
        <v>50</v>
      </c>
      <c r="W119" s="16"/>
      <c r="X119" s="16"/>
      <c r="Y119" s="14"/>
      <c r="Z119" s="83"/>
      <c r="AA119" s="85"/>
      <c r="AB119" s="86"/>
    </row>
    <row r="120" spans="1:34" ht="24.75" customHeight="1">
      <c r="A120" s="22" t="s">
        <v>51</v>
      </c>
      <c r="B120" s="28"/>
      <c r="C120" s="25"/>
      <c r="D120" s="25"/>
      <c r="E120" s="17"/>
      <c r="F120" s="21"/>
      <c r="G120" s="17"/>
      <c r="H120" s="17"/>
      <c r="I120" s="14"/>
      <c r="J120" s="14"/>
      <c r="K120" s="14"/>
      <c r="L120" s="14"/>
      <c r="M120" s="18"/>
      <c r="N120" s="48"/>
      <c r="O120" s="49"/>
      <c r="P120" s="141"/>
      <c r="Q120" s="19"/>
      <c r="R120" s="18"/>
      <c r="S120" s="70"/>
      <c r="T120" s="19"/>
      <c r="U120" s="19"/>
      <c r="V120" s="17" t="s">
        <v>52</v>
      </c>
      <c r="W120" s="16">
        <v>2</v>
      </c>
      <c r="X120" s="16"/>
      <c r="Y120" s="14"/>
      <c r="Z120" s="83"/>
      <c r="AA120" s="85"/>
      <c r="AB120" s="86"/>
    </row>
    <row r="121" spans="1:34" ht="24.75" customHeight="1">
      <c r="A121" s="17" t="s">
        <v>53</v>
      </c>
      <c r="B121" s="29"/>
      <c r="C121" s="25"/>
      <c r="D121" s="25"/>
      <c r="E121" s="17"/>
      <c r="F121" s="21"/>
      <c r="G121" s="17"/>
      <c r="H121" s="17"/>
      <c r="I121" s="17"/>
      <c r="J121" s="17"/>
      <c r="K121" s="14"/>
      <c r="L121" s="14"/>
      <c r="M121" s="18"/>
      <c r="N121" s="48"/>
      <c r="O121" s="50"/>
      <c r="P121" s="139"/>
      <c r="Q121" s="16"/>
      <c r="R121" s="18"/>
      <c r="S121" s="68"/>
      <c r="T121" s="16"/>
      <c r="U121" s="16"/>
      <c r="V121" s="17"/>
      <c r="W121" s="16"/>
      <c r="X121" s="16"/>
      <c r="Y121" s="52" t="s">
        <v>54</v>
      </c>
      <c r="Z121" s="89">
        <f>Z113+Z116</f>
        <v>1.8</v>
      </c>
      <c r="AA121" s="90">
        <f>(AA115+AA116+AA117)</f>
        <v>299.86750000000001</v>
      </c>
      <c r="AB121" s="91">
        <f>(AB117+AB116+AB115)</f>
        <v>600</v>
      </c>
    </row>
    <row r="122" spans="1:34" ht="24.75" customHeight="1">
      <c r="A122" s="17" t="s">
        <v>55</v>
      </c>
      <c r="B122" s="30"/>
      <c r="C122" s="30"/>
      <c r="D122" s="31"/>
      <c r="E122" s="32"/>
      <c r="F122" s="33"/>
      <c r="G122" s="32"/>
      <c r="H122" s="32" t="s">
        <v>54</v>
      </c>
      <c r="I122" s="51">
        <f>SUM(I113:I121)</f>
        <v>220.55395695018251</v>
      </c>
      <c r="J122" s="32">
        <f>SUM(J113:J121)</f>
        <v>0</v>
      </c>
      <c r="K122" s="52"/>
      <c r="L122" s="52"/>
      <c r="M122" s="53"/>
      <c r="N122" s="54"/>
      <c r="O122" s="55">
        <f>SUM(O113:O121)</f>
        <v>0.33660000000000001</v>
      </c>
      <c r="P122" s="142"/>
      <c r="Q122" s="69">
        <f>SUM(Q113:Q118)</f>
        <v>33.5608</v>
      </c>
      <c r="R122" s="52">
        <f t="shared" ref="R122:W122" si="13">SUM(R113:R121)</f>
        <v>27</v>
      </c>
      <c r="S122" s="71"/>
      <c r="T122" s="69"/>
      <c r="U122" s="69">
        <f t="shared" si="13"/>
        <v>13</v>
      </c>
      <c r="V122" s="72"/>
      <c r="W122" s="69">
        <f t="shared" si="13"/>
        <v>13.106824</v>
      </c>
      <c r="X122" s="69"/>
      <c r="Y122" s="32" t="s">
        <v>56</v>
      </c>
      <c r="Z122" s="92"/>
      <c r="AA122" s="32"/>
      <c r="AB122" s="93">
        <f>(AB121-AA121)/AB121</f>
        <v>0.50022083333333334</v>
      </c>
    </row>
    <row r="123" spans="1:34" ht="12.75" customHeight="1">
      <c r="A123" s="35"/>
      <c r="B123" s="36"/>
      <c r="C123" s="36"/>
      <c r="D123" s="36"/>
      <c r="E123" s="36"/>
      <c r="F123" s="37"/>
      <c r="G123" s="36"/>
      <c r="H123" s="36"/>
      <c r="I123" s="36"/>
      <c r="J123" s="36"/>
      <c r="K123" s="36"/>
      <c r="L123" s="58"/>
      <c r="M123" s="59"/>
      <c r="N123" s="36"/>
      <c r="O123" s="36"/>
      <c r="P123" s="143"/>
      <c r="Q123" s="73"/>
      <c r="R123" s="36"/>
      <c r="S123" s="36"/>
      <c r="T123" s="36"/>
      <c r="U123" s="36"/>
      <c r="V123" s="36"/>
      <c r="W123" s="74"/>
      <c r="X123" s="74"/>
      <c r="Y123" s="58"/>
      <c r="Z123" s="94"/>
      <c r="AA123" s="95"/>
      <c r="AB123" s="96"/>
    </row>
    <row r="124" spans="1:34" ht="24.75" customHeight="1">
      <c r="A124" s="12" t="s">
        <v>108</v>
      </c>
      <c r="B124" s="12" t="s">
        <v>109</v>
      </c>
      <c r="C124" s="13" t="s">
        <v>110</v>
      </c>
      <c r="D124" s="34"/>
      <c r="E124" s="14" t="s">
        <v>31</v>
      </c>
      <c r="F124" s="15">
        <v>2800</v>
      </c>
      <c r="G124" s="16">
        <v>4.72</v>
      </c>
      <c r="H124" s="16">
        <f>F124/24*14/31.1035*1.12</f>
        <v>58.814388520048666</v>
      </c>
      <c r="I124" s="16">
        <f>G124*H124</f>
        <v>277.60391381462966</v>
      </c>
      <c r="J124" s="14"/>
      <c r="K124" s="14" t="s">
        <v>32</v>
      </c>
      <c r="L124" s="14" t="s">
        <v>33</v>
      </c>
      <c r="M124" s="14">
        <v>7.3</v>
      </c>
      <c r="N124" s="46">
        <v>1.5</v>
      </c>
      <c r="O124" s="47"/>
      <c r="P124" s="139"/>
      <c r="Q124" s="16">
        <f>+P124*O124</f>
        <v>0</v>
      </c>
      <c r="R124" s="14">
        <v>1</v>
      </c>
      <c r="S124" s="68" t="s">
        <v>34</v>
      </c>
      <c r="T124" s="16"/>
      <c r="U124" s="16">
        <f>T124*R124</f>
        <v>0</v>
      </c>
      <c r="V124" s="17" t="s">
        <v>35</v>
      </c>
      <c r="W124" s="16">
        <v>10.1</v>
      </c>
      <c r="X124" s="16"/>
      <c r="Y124" s="16" t="s">
        <v>36</v>
      </c>
      <c r="Z124" s="105">
        <v>1</v>
      </c>
      <c r="AA124" s="84">
        <f>ROUNDUP((I133+J133+Q133+U133+W133)*4,0)/4</f>
        <v>385</v>
      </c>
      <c r="AB124" s="85"/>
      <c r="AC124" s="113">
        <f>+I124/F124</f>
        <v>9.9144254933796305E-2</v>
      </c>
    </row>
    <row r="125" spans="1:34" ht="24.75" customHeight="1">
      <c r="A125" s="106" t="s">
        <v>37</v>
      </c>
      <c r="B125" s="13" t="s">
        <v>111</v>
      </c>
      <c r="C125" s="134" t="s">
        <v>112</v>
      </c>
      <c r="D125" s="17"/>
      <c r="E125" s="18"/>
      <c r="F125" s="15"/>
      <c r="G125" s="19"/>
      <c r="H125" s="19"/>
      <c r="I125" s="19"/>
      <c r="J125" s="17"/>
      <c r="K125" s="14" t="s">
        <v>32</v>
      </c>
      <c r="L125" s="117" t="s">
        <v>124</v>
      </c>
      <c r="M125" s="14">
        <v>2.7</v>
      </c>
      <c r="N125" s="46">
        <v>7.2999999999999995E-2</v>
      </c>
      <c r="O125" s="102">
        <f>N125*R125+0.02</f>
        <v>1.042</v>
      </c>
      <c r="P125" s="146">
        <f>IF(N125=0,0,IF(N125&lt;0.0021,0,IF(N125&lt;0.00305,213,IF(N125&lt;0.00475,198,IF(N125&lt;0.006,184,IF(N125&lt;0.00775,145,IF(N125&lt;0.0105,120,IF(N125&lt;0.013,94,IF(N125&lt;0.024,88,IF(N125&lt;0.080501,79,IF(N125&lt;0.151501,85,IF(N125&lt;0.215001,91,0))))))))))))+IF(N125&gt;0.215,IF(N125&lt;0.275001,97,IF(N125&lt;0.435001,103,IF(N125&lt;0.620001,109,0))))</f>
        <v>79</v>
      </c>
      <c r="Q125" s="16">
        <f>+P125*O125</f>
        <v>82.317999999999998</v>
      </c>
      <c r="R125" s="14">
        <v>14</v>
      </c>
      <c r="S125" s="68" t="s">
        <v>80</v>
      </c>
      <c r="T125" s="16">
        <v>0.75</v>
      </c>
      <c r="U125" s="16">
        <f>T125*R125</f>
        <v>10.5</v>
      </c>
      <c r="V125" s="17" t="s">
        <v>40</v>
      </c>
      <c r="W125" s="16"/>
      <c r="X125" s="16"/>
      <c r="Y125" s="14" t="s">
        <v>41</v>
      </c>
      <c r="Z125" s="83"/>
      <c r="AA125" s="84">
        <f>AA124*0.07</f>
        <v>26.950000000000003</v>
      </c>
      <c r="AB125" s="86"/>
      <c r="AD125" s="147">
        <f>AC124</f>
        <v>9.9144254933796305E-2</v>
      </c>
      <c r="AE125" s="114">
        <f>Z124</f>
        <v>1</v>
      </c>
      <c r="AF125" s="3" t="s">
        <v>32</v>
      </c>
      <c r="AG125" s="114">
        <f>Z127</f>
        <v>1.5</v>
      </c>
      <c r="AH125" s="148">
        <f>AA126</f>
        <v>411.95</v>
      </c>
    </row>
    <row r="126" spans="1:34" ht="24.75" customHeight="1">
      <c r="A126" s="106"/>
      <c r="B126" s="107" t="s">
        <v>42</v>
      </c>
      <c r="C126" s="20">
        <f>+LEN(C124)</f>
        <v>15</v>
      </c>
      <c r="D126" s="17"/>
      <c r="E126" s="17"/>
      <c r="F126" s="21"/>
      <c r="G126" s="17"/>
      <c r="H126" s="17"/>
      <c r="I126" s="17"/>
      <c r="J126" s="17"/>
      <c r="K126" s="14"/>
      <c r="L126" s="14"/>
      <c r="M126" s="14"/>
      <c r="N126" s="46"/>
      <c r="O126" s="47"/>
      <c r="P126" s="139"/>
      <c r="Q126" s="16"/>
      <c r="R126" s="14"/>
      <c r="S126" s="68"/>
      <c r="T126" s="16"/>
      <c r="U126" s="16"/>
      <c r="V126" s="31" t="s">
        <v>43</v>
      </c>
      <c r="W126" s="16">
        <f>+Q133*0.03</f>
        <v>2.4695399999999998</v>
      </c>
      <c r="X126" s="16"/>
      <c r="Y126" s="87" t="s">
        <v>44</v>
      </c>
      <c r="Z126" s="83"/>
      <c r="AA126" s="88">
        <f>SUM(AA124:AA125)</f>
        <v>411.95</v>
      </c>
      <c r="AB126" s="56">
        <f>CEILING(+AA126/0.5,5)</f>
        <v>825</v>
      </c>
    </row>
    <row r="127" spans="1:34" ht="24.75" customHeight="1">
      <c r="A127" s="106"/>
      <c r="B127" s="108"/>
      <c r="C127" s="20">
        <f>+LEN(C125)</f>
        <v>15</v>
      </c>
      <c r="D127" s="17"/>
      <c r="E127" s="18"/>
      <c r="F127" s="23"/>
      <c r="G127" s="19"/>
      <c r="H127" s="19"/>
      <c r="I127" s="19"/>
      <c r="J127" s="17"/>
      <c r="K127" s="14"/>
      <c r="L127" s="14"/>
      <c r="M127" s="14"/>
      <c r="N127" s="46"/>
      <c r="O127" s="47"/>
      <c r="P127" s="140"/>
      <c r="Q127" s="14"/>
      <c r="R127" s="14"/>
      <c r="S127" s="68"/>
      <c r="T127" s="16"/>
      <c r="U127" s="16"/>
      <c r="V127" s="31" t="s">
        <v>45</v>
      </c>
      <c r="W127" s="69"/>
      <c r="X127" s="16"/>
      <c r="Y127" s="14" t="s">
        <v>46</v>
      </c>
      <c r="Z127" s="83">
        <v>1.5</v>
      </c>
      <c r="AA127" s="85"/>
      <c r="AB127" s="86"/>
    </row>
    <row r="128" spans="1:34" ht="24.75" customHeight="1">
      <c r="A128" s="24"/>
      <c r="B128" s="109"/>
      <c r="C128" s="17"/>
      <c r="D128" s="17"/>
      <c r="E128" s="17"/>
      <c r="F128" s="21"/>
      <c r="G128" s="17"/>
      <c r="H128" s="17"/>
      <c r="I128" s="17"/>
      <c r="J128" s="17"/>
      <c r="K128" s="18"/>
      <c r="L128" s="18"/>
      <c r="M128" s="18"/>
      <c r="N128" s="57"/>
      <c r="O128" s="47"/>
      <c r="P128" s="141"/>
      <c r="Q128" s="19"/>
      <c r="R128" s="18"/>
      <c r="S128" s="70"/>
      <c r="T128" s="19"/>
      <c r="U128" s="16"/>
      <c r="V128" s="31" t="s">
        <v>47</v>
      </c>
      <c r="W128" s="16"/>
      <c r="X128" s="16"/>
      <c r="Y128" s="14" t="s">
        <v>48</v>
      </c>
      <c r="Z128" s="83"/>
      <c r="AA128" s="85"/>
      <c r="AB128" s="86"/>
    </row>
    <row r="129" spans="1:34" ht="24.75" customHeight="1">
      <c r="A129" s="24"/>
      <c r="B129" s="25"/>
      <c r="C129" s="25"/>
      <c r="D129" s="26"/>
      <c r="E129" s="17"/>
      <c r="F129" s="21"/>
      <c r="G129" s="17"/>
      <c r="H129" s="17"/>
      <c r="I129" s="14"/>
      <c r="J129" s="14"/>
      <c r="K129" s="14"/>
      <c r="L129" s="14"/>
      <c r="M129" s="18"/>
      <c r="N129" s="48"/>
      <c r="O129" s="49"/>
      <c r="P129" s="141"/>
      <c r="Q129" s="19"/>
      <c r="R129" s="18"/>
      <c r="S129" s="70"/>
      <c r="T129" s="19"/>
      <c r="U129" s="19"/>
      <c r="V129" s="17" t="s">
        <v>49</v>
      </c>
      <c r="W129" s="16"/>
      <c r="X129" s="16"/>
      <c r="Y129" s="14"/>
      <c r="Z129" s="83"/>
      <c r="AA129" s="85"/>
      <c r="AB129" s="86"/>
    </row>
    <row r="130" spans="1:34" ht="24.75" customHeight="1">
      <c r="A130" s="22"/>
      <c r="B130" s="27"/>
      <c r="C130" s="25"/>
      <c r="D130" s="25"/>
      <c r="E130" s="17"/>
      <c r="F130" s="21"/>
      <c r="G130" s="17"/>
      <c r="H130" s="17"/>
      <c r="I130" s="14"/>
      <c r="J130" s="14"/>
      <c r="K130" s="14"/>
      <c r="L130" s="14"/>
      <c r="M130" s="18"/>
      <c r="N130" s="48"/>
      <c r="O130" s="49"/>
      <c r="P130" s="141"/>
      <c r="Q130" s="19"/>
      <c r="R130" s="18"/>
      <c r="S130" s="70"/>
      <c r="T130" s="19"/>
      <c r="U130" s="19"/>
      <c r="V130" s="17" t="s">
        <v>50</v>
      </c>
      <c r="W130" s="16"/>
      <c r="X130" s="16"/>
      <c r="Y130" s="14"/>
      <c r="Z130" s="83"/>
      <c r="AA130" s="85"/>
      <c r="AB130" s="86"/>
    </row>
    <row r="131" spans="1:34" ht="24.75" customHeight="1">
      <c r="A131" s="22" t="s">
        <v>51</v>
      </c>
      <c r="B131" s="28"/>
      <c r="C131" s="25"/>
      <c r="D131" s="25"/>
      <c r="E131" s="17"/>
      <c r="F131" s="21"/>
      <c r="G131" s="17"/>
      <c r="H131" s="17"/>
      <c r="I131" s="14"/>
      <c r="J131" s="14"/>
      <c r="K131" s="14"/>
      <c r="L131" s="14"/>
      <c r="M131" s="18"/>
      <c r="N131" s="48"/>
      <c r="O131" s="49"/>
      <c r="P131" s="141"/>
      <c r="Q131" s="19"/>
      <c r="R131" s="18"/>
      <c r="S131" s="70"/>
      <c r="T131" s="19"/>
      <c r="U131" s="19"/>
      <c r="V131" s="17" t="s">
        <v>52</v>
      </c>
      <c r="W131" s="16">
        <v>2</v>
      </c>
      <c r="X131" s="16"/>
      <c r="Y131" s="14"/>
      <c r="Z131" s="83"/>
      <c r="AA131" s="85"/>
      <c r="AB131" s="86"/>
    </row>
    <row r="132" spans="1:34" ht="24.75" customHeight="1">
      <c r="A132" s="17" t="s">
        <v>53</v>
      </c>
      <c r="B132" s="29"/>
      <c r="C132" s="30"/>
      <c r="D132" s="25"/>
      <c r="E132" s="17"/>
      <c r="F132" s="21"/>
      <c r="G132" s="17"/>
      <c r="H132" s="17"/>
      <c r="I132" s="17"/>
      <c r="J132" s="17"/>
      <c r="K132" s="14"/>
      <c r="L132" s="14"/>
      <c r="M132" s="18"/>
      <c r="N132" s="48"/>
      <c r="O132" s="50"/>
      <c r="P132" s="139"/>
      <c r="Q132" s="16"/>
      <c r="R132" s="18"/>
      <c r="S132" s="68"/>
      <c r="T132" s="16"/>
      <c r="U132" s="16"/>
      <c r="V132" s="17"/>
      <c r="W132" s="16"/>
      <c r="X132" s="16"/>
      <c r="Y132" s="52" t="s">
        <v>54</v>
      </c>
      <c r="Z132" s="89">
        <f>Z124+Z127</f>
        <v>2.5</v>
      </c>
      <c r="AA132" s="90">
        <f>(AA126+AA127+AA128)</f>
        <v>411.95</v>
      </c>
      <c r="AB132" s="91">
        <f>(AB128+AB127+AB126)</f>
        <v>825</v>
      </c>
    </row>
    <row r="133" spans="1:34" ht="24.75" customHeight="1">
      <c r="A133" s="17" t="s">
        <v>55</v>
      </c>
      <c r="B133" s="30"/>
      <c r="D133" s="31"/>
      <c r="E133" s="32"/>
      <c r="F133" s="33"/>
      <c r="G133" s="32"/>
      <c r="H133" s="32" t="s">
        <v>54</v>
      </c>
      <c r="I133" s="51">
        <f>SUM(I124:I132)</f>
        <v>277.60391381462966</v>
      </c>
      <c r="J133" s="32">
        <f>SUM(J124:J132)</f>
        <v>0</v>
      </c>
      <c r="K133" s="52"/>
      <c r="L133" s="52"/>
      <c r="M133" s="53"/>
      <c r="N133" s="54"/>
      <c r="O133" s="55">
        <f>SUM(O124:O132)</f>
        <v>1.042</v>
      </c>
      <c r="P133" s="142"/>
      <c r="Q133" s="69">
        <f>SUM(Q124:Q129)</f>
        <v>82.317999999999998</v>
      </c>
      <c r="R133" s="52">
        <f t="shared" ref="R133:W133" si="14">SUM(R124:R132)</f>
        <v>15</v>
      </c>
      <c r="S133" s="71"/>
      <c r="T133" s="69"/>
      <c r="U133" s="69">
        <f t="shared" si="14"/>
        <v>10.5</v>
      </c>
      <c r="V133" s="72"/>
      <c r="W133" s="69">
        <f t="shared" si="14"/>
        <v>14.56954</v>
      </c>
      <c r="X133" s="69"/>
      <c r="Y133" s="32" t="s">
        <v>56</v>
      </c>
      <c r="Z133" s="92"/>
      <c r="AA133" s="32"/>
      <c r="AB133" s="93">
        <f>(AB132-AA132)/AB132</f>
        <v>0.5006666666666667</v>
      </c>
    </row>
    <row r="134" spans="1:34" ht="12.75" customHeight="1">
      <c r="A134" s="35"/>
      <c r="B134" s="36"/>
      <c r="C134" s="36"/>
      <c r="D134" s="36"/>
      <c r="E134" s="36"/>
      <c r="F134" s="37"/>
      <c r="G134" s="36"/>
      <c r="H134" s="36"/>
      <c r="I134" s="36"/>
      <c r="J134" s="36"/>
      <c r="K134" s="36"/>
      <c r="L134" s="58"/>
      <c r="M134" s="59"/>
      <c r="N134" s="36"/>
      <c r="O134" s="36"/>
      <c r="P134" s="143"/>
      <c r="Q134" s="73"/>
      <c r="R134" s="36"/>
      <c r="S134" s="36"/>
      <c r="T134" s="36"/>
      <c r="U134" s="36"/>
      <c r="V134" s="36"/>
      <c r="W134" s="74"/>
      <c r="X134" s="74"/>
      <c r="Y134" s="58"/>
      <c r="Z134" s="94"/>
      <c r="AA134" s="95"/>
      <c r="AB134" s="96"/>
    </row>
    <row r="135" spans="1:34" ht="24.75" customHeight="1">
      <c r="A135" s="12" t="s">
        <v>113</v>
      </c>
      <c r="B135" s="12" t="s">
        <v>114</v>
      </c>
      <c r="C135" s="13" t="s">
        <v>115</v>
      </c>
      <c r="D135" s="34"/>
      <c r="E135" s="14" t="s">
        <v>31</v>
      </c>
      <c r="F135" s="15">
        <v>2800</v>
      </c>
      <c r="G135" s="16">
        <v>3.41</v>
      </c>
      <c r="H135" s="16">
        <f>F135/24*14/31.1035*1.12</f>
        <v>58.814388520048666</v>
      </c>
      <c r="I135" s="16">
        <f>G135*H135</f>
        <v>200.55706485336597</v>
      </c>
      <c r="J135" s="14"/>
      <c r="K135" s="14" t="s">
        <v>32</v>
      </c>
      <c r="L135" s="14" t="s">
        <v>33</v>
      </c>
      <c r="M135" s="14">
        <v>7.3</v>
      </c>
      <c r="N135" s="46">
        <v>1.5</v>
      </c>
      <c r="O135" s="47"/>
      <c r="P135" s="139"/>
      <c r="Q135" s="16">
        <f>+P135*O135</f>
        <v>0</v>
      </c>
      <c r="R135" s="14">
        <v>1</v>
      </c>
      <c r="S135" s="68" t="s">
        <v>34</v>
      </c>
      <c r="T135" s="16"/>
      <c r="U135" s="16">
        <f>T135*R135</f>
        <v>0</v>
      </c>
      <c r="V135" s="17" t="s">
        <v>35</v>
      </c>
      <c r="W135" s="16">
        <v>10.1</v>
      </c>
      <c r="X135" s="16"/>
      <c r="Y135" s="16" t="s">
        <v>36</v>
      </c>
      <c r="Z135" s="83">
        <v>0.46</v>
      </c>
      <c r="AA135" s="84">
        <f>ROUNDUP((I144+J144+Q144+U144+W144)*4,0)/4</f>
        <v>300.75</v>
      </c>
      <c r="AB135" s="85"/>
      <c r="AC135" s="113">
        <f>+I135/F135</f>
        <v>7.1627523161916423E-2</v>
      </c>
    </row>
    <row r="136" spans="1:34" ht="24.75" customHeight="1">
      <c r="A136" s="106" t="s">
        <v>37</v>
      </c>
      <c r="B136" s="13" t="s">
        <v>116</v>
      </c>
      <c r="C136" s="13" t="s">
        <v>117</v>
      </c>
      <c r="D136" s="17"/>
      <c r="E136" s="18"/>
      <c r="F136" s="15"/>
      <c r="G136" s="19"/>
      <c r="H136" s="19"/>
      <c r="I136" s="19"/>
      <c r="J136" s="17"/>
      <c r="K136" s="14" t="s">
        <v>32</v>
      </c>
      <c r="L136" s="117" t="s">
        <v>124</v>
      </c>
      <c r="M136" s="14">
        <v>1.05</v>
      </c>
      <c r="N136" s="46">
        <v>5.4999999999999997E-3</v>
      </c>
      <c r="O136" s="102">
        <f>N136*R136+0.01</f>
        <v>0.14200000000000002</v>
      </c>
      <c r="P136" s="146">
        <f>IF(N136=0,0,IF(N136&lt;0.0021,0,IF(N136&lt;0.00305,213,IF(N136&lt;0.00475,198,IF(N136&lt;0.006,184,IF(N136&lt;0.00775,145,IF(N136&lt;0.0105,120,IF(N136&lt;0.013,94,IF(N136&lt;0.024,88,IF(N136&lt;0.080501,79,IF(N136&lt;0.151501,85,IF(N136&lt;0.215001,91,0))))))))))))+IF(N136&gt;0.215,IF(N136&lt;0.275001,97,IF(N136&lt;0.435001,103,IF(N136&lt;0.620001,109,0))))</f>
        <v>184</v>
      </c>
      <c r="Q136" s="16">
        <f>+P136*O136</f>
        <v>26.128000000000004</v>
      </c>
      <c r="R136" s="14">
        <v>24</v>
      </c>
      <c r="S136" s="68" t="s">
        <v>102</v>
      </c>
      <c r="T136" s="16">
        <v>0.5</v>
      </c>
      <c r="U136" s="16">
        <f>T136*R136</f>
        <v>12</v>
      </c>
      <c r="V136" s="17" t="s">
        <v>40</v>
      </c>
      <c r="W136" s="16"/>
      <c r="X136" s="16"/>
      <c r="Y136" s="14" t="s">
        <v>41</v>
      </c>
      <c r="Z136" s="83"/>
      <c r="AA136" s="84">
        <f>AA135*0.07</f>
        <v>21.052500000000002</v>
      </c>
      <c r="AB136" s="86"/>
      <c r="AD136" s="147"/>
      <c r="AE136" s="114"/>
      <c r="AF136" s="3"/>
      <c r="AG136" s="114"/>
      <c r="AH136" s="148"/>
    </row>
    <row r="137" spans="1:34" ht="24.75" customHeight="1">
      <c r="A137" s="106"/>
      <c r="B137" s="107" t="s">
        <v>42</v>
      </c>
      <c r="C137" s="20">
        <f>+LEN(C135)</f>
        <v>15</v>
      </c>
      <c r="D137" s="17"/>
      <c r="E137" s="17"/>
      <c r="F137" s="21"/>
      <c r="G137" s="17"/>
      <c r="H137" s="17"/>
      <c r="I137" s="17"/>
      <c r="J137" s="17"/>
      <c r="K137" s="14" t="s">
        <v>32</v>
      </c>
      <c r="L137" s="117" t="s">
        <v>124</v>
      </c>
      <c r="M137" s="14">
        <v>1.3</v>
      </c>
      <c r="N137" s="46">
        <v>1.0999999999999999E-2</v>
      </c>
      <c r="O137" s="102">
        <f>N137*R137+0.01</f>
        <v>0.22999999999999998</v>
      </c>
      <c r="P137" s="146">
        <f>IF(N137=0,0,IF(N137&lt;0.0021,0,IF(N137&lt;0.00305,213,IF(N137&lt;0.00475,198,IF(N137&lt;0.006,184,IF(N137&lt;0.00775,145,IF(N137&lt;0.0105,120,IF(N137&lt;0.013,94,IF(N137&lt;0.024,88,IF(N137&lt;0.080501,79,IF(N137&lt;0.151501,85,IF(N137&lt;0.215001,91,0))))))))))))+IF(N137&gt;0.215,IF(N137&lt;0.275001,97,IF(N137&lt;0.435001,103,IF(N137&lt;0.620001,109,0))))</f>
        <v>94</v>
      </c>
      <c r="Q137" s="16">
        <f>+P137*O137</f>
        <v>21.619999999999997</v>
      </c>
      <c r="R137" s="14">
        <v>20</v>
      </c>
      <c r="S137" s="68" t="s">
        <v>102</v>
      </c>
      <c r="T137" s="16">
        <v>0.5</v>
      </c>
      <c r="U137" s="16">
        <f>T137*R137</f>
        <v>10</v>
      </c>
      <c r="V137" s="31" t="s">
        <v>43</v>
      </c>
      <c r="W137" s="16">
        <f>+Q144*0.03</f>
        <v>1.7756400000000001</v>
      </c>
      <c r="X137" s="16"/>
      <c r="Y137" s="87" t="s">
        <v>44</v>
      </c>
      <c r="Z137" s="83"/>
      <c r="AA137" s="88">
        <f>SUM(AA135:AA136)</f>
        <v>321.80250000000001</v>
      </c>
      <c r="AB137" s="56">
        <f>CEILING(+AA137/0.5,5)</f>
        <v>645</v>
      </c>
    </row>
    <row r="138" spans="1:34" ht="24.75" customHeight="1">
      <c r="A138" s="106"/>
      <c r="B138" s="108"/>
      <c r="C138" s="20">
        <f>+LEN(C136)</f>
        <v>15</v>
      </c>
      <c r="D138" s="17"/>
      <c r="E138" s="18"/>
      <c r="F138" s="23"/>
      <c r="G138" s="19"/>
      <c r="H138" s="19"/>
      <c r="I138" s="19"/>
      <c r="J138" s="17"/>
      <c r="K138" s="14" t="s">
        <v>32</v>
      </c>
      <c r="L138" s="117" t="s">
        <v>124</v>
      </c>
      <c r="M138" s="14">
        <v>1.45</v>
      </c>
      <c r="N138" s="46">
        <v>1.2999999999999999E-2</v>
      </c>
      <c r="O138" s="47">
        <f>N138*R138</f>
        <v>0.13</v>
      </c>
      <c r="P138" s="146">
        <f>IF(N138=0,0,IF(N138&lt;0.0021,0,IF(N138&lt;0.00305,213,IF(N138&lt;0.00475,198,IF(N138&lt;0.006,184,IF(N138&lt;0.00775,145,IF(N138&lt;0.0105,120,IF(N138&lt;0.013,94,IF(N138&lt;0.024,88,IF(N138&lt;0.080501,79,IF(N138&lt;0.151501,85,IF(N138&lt;0.215001,91,0))))))))))))+IF(N138&gt;0.215,IF(N138&lt;0.275001,97,IF(N138&lt;0.435001,103,IF(N138&lt;0.620001,109,0))))</f>
        <v>88</v>
      </c>
      <c r="Q138" s="16">
        <f>+P138*O138</f>
        <v>11.440000000000001</v>
      </c>
      <c r="R138" s="14">
        <v>10</v>
      </c>
      <c r="S138" s="68" t="s">
        <v>102</v>
      </c>
      <c r="T138" s="16">
        <v>0.5</v>
      </c>
      <c r="U138" s="16">
        <f>T138*R138</f>
        <v>5</v>
      </c>
      <c r="V138" s="31" t="s">
        <v>45</v>
      </c>
      <c r="W138" s="69"/>
      <c r="X138" s="16"/>
      <c r="Y138" s="14" t="s">
        <v>46</v>
      </c>
      <c r="Z138" s="83">
        <v>1.5</v>
      </c>
      <c r="AA138" s="85"/>
      <c r="AB138" s="86"/>
    </row>
    <row r="139" spans="1:34" ht="24.75" customHeight="1">
      <c r="A139" s="24"/>
      <c r="B139" s="109"/>
      <c r="C139" s="17"/>
      <c r="D139" s="17"/>
      <c r="E139" s="17"/>
      <c r="F139" s="21"/>
      <c r="G139" s="17"/>
      <c r="H139" s="17"/>
      <c r="I139" s="17"/>
      <c r="J139" s="17"/>
      <c r="K139" s="18"/>
      <c r="L139" s="18"/>
      <c r="M139" s="18"/>
      <c r="N139" s="57"/>
      <c r="O139" s="47"/>
      <c r="P139" s="145"/>
      <c r="Q139" s="16"/>
      <c r="R139" s="18"/>
      <c r="S139" s="70"/>
      <c r="T139" s="19"/>
      <c r="U139" s="16"/>
      <c r="V139" s="31" t="s">
        <v>47</v>
      </c>
      <c r="W139" s="16"/>
      <c r="X139" s="16"/>
      <c r="Y139" s="14" t="s">
        <v>48</v>
      </c>
      <c r="Z139" s="83"/>
      <c r="AA139" s="85"/>
      <c r="AB139" s="86"/>
    </row>
    <row r="140" spans="1:34" ht="24.75" customHeight="1">
      <c r="A140" s="24"/>
      <c r="B140" s="25"/>
      <c r="C140" s="25"/>
      <c r="D140" s="26"/>
      <c r="E140" s="17"/>
      <c r="F140" s="21"/>
      <c r="G140" s="17"/>
      <c r="H140" s="17"/>
      <c r="I140" s="14"/>
      <c r="J140" s="14"/>
      <c r="K140" s="14"/>
      <c r="L140" s="14"/>
      <c r="M140" s="18"/>
      <c r="N140" s="48"/>
      <c r="O140" s="49"/>
      <c r="P140" s="141"/>
      <c r="Q140" s="19"/>
      <c r="R140" s="18"/>
      <c r="S140" s="70"/>
      <c r="T140" s="19"/>
      <c r="U140" s="19"/>
      <c r="V140" s="17" t="s">
        <v>49</v>
      </c>
      <c r="W140" s="16"/>
      <c r="X140" s="16"/>
      <c r="Y140" s="14"/>
      <c r="Z140" s="83"/>
      <c r="AA140" s="85"/>
      <c r="AB140" s="86"/>
    </row>
    <row r="141" spans="1:34" ht="24.75" customHeight="1">
      <c r="A141" s="22"/>
      <c r="B141" s="27"/>
      <c r="C141" s="25"/>
      <c r="D141" s="25"/>
      <c r="E141" s="17"/>
      <c r="F141" s="21"/>
      <c r="G141" s="17"/>
      <c r="H141" s="17"/>
      <c r="I141" s="14"/>
      <c r="J141" s="14"/>
      <c r="K141" s="14"/>
      <c r="L141" s="14"/>
      <c r="M141" s="18"/>
      <c r="N141" s="48"/>
      <c r="O141" s="49"/>
      <c r="P141" s="141"/>
      <c r="Q141" s="19"/>
      <c r="R141" s="18"/>
      <c r="S141" s="70"/>
      <c r="T141" s="19"/>
      <c r="U141" s="19"/>
      <c r="V141" s="17" t="s">
        <v>50</v>
      </c>
      <c r="W141" s="16"/>
      <c r="X141" s="16"/>
      <c r="Y141" s="14"/>
      <c r="Z141" s="83"/>
      <c r="AA141" s="85"/>
      <c r="AB141" s="86"/>
    </row>
    <row r="142" spans="1:34" ht="24.75" customHeight="1">
      <c r="A142" s="22" t="s">
        <v>51</v>
      </c>
      <c r="B142" s="28"/>
      <c r="C142" s="25"/>
      <c r="D142" s="25"/>
      <c r="E142" s="17"/>
      <c r="F142" s="21"/>
      <c r="G142" s="17"/>
      <c r="H142" s="17"/>
      <c r="I142" s="14"/>
      <c r="J142" s="14"/>
      <c r="K142" s="14"/>
      <c r="L142" s="14"/>
      <c r="M142" s="18"/>
      <c r="N142" s="48"/>
      <c r="O142" s="49"/>
      <c r="P142" s="141"/>
      <c r="Q142" s="19"/>
      <c r="R142" s="18"/>
      <c r="S142" s="70"/>
      <c r="T142" s="19"/>
      <c r="U142" s="19"/>
      <c r="V142" s="17" t="s">
        <v>52</v>
      </c>
      <c r="W142" s="16">
        <v>2</v>
      </c>
      <c r="X142" s="16"/>
      <c r="Y142" s="14"/>
      <c r="Z142" s="83"/>
      <c r="AA142" s="85"/>
      <c r="AB142" s="86"/>
    </row>
    <row r="143" spans="1:34" ht="24.75" customHeight="1">
      <c r="A143" s="17" t="s">
        <v>53</v>
      </c>
      <c r="B143" s="29"/>
      <c r="C143" s="25"/>
      <c r="D143" s="25"/>
      <c r="E143" s="17"/>
      <c r="F143" s="21"/>
      <c r="G143" s="17"/>
      <c r="H143" s="17"/>
      <c r="I143" s="17"/>
      <c r="J143" s="17"/>
      <c r="K143" s="14"/>
      <c r="L143" s="14"/>
      <c r="M143" s="18"/>
      <c r="N143" s="48"/>
      <c r="O143" s="50"/>
      <c r="P143" s="139"/>
      <c r="Q143" s="16"/>
      <c r="R143" s="18"/>
      <c r="S143" s="68"/>
      <c r="T143" s="16"/>
      <c r="U143" s="16"/>
      <c r="V143" s="17"/>
      <c r="W143" s="16"/>
      <c r="X143" s="16"/>
      <c r="Y143" s="52" t="s">
        <v>54</v>
      </c>
      <c r="Z143" s="89">
        <f>Z135+Z138</f>
        <v>1.96</v>
      </c>
      <c r="AA143" s="90">
        <f>(AA137+AA138+AA139)</f>
        <v>321.80250000000001</v>
      </c>
      <c r="AB143" s="91">
        <f>(AB139+AB138+AB137)</f>
        <v>645</v>
      </c>
    </row>
    <row r="144" spans="1:34" ht="24.75" customHeight="1">
      <c r="A144" s="17" t="s">
        <v>55</v>
      </c>
      <c r="B144" s="30"/>
      <c r="C144" s="30"/>
      <c r="D144" s="31"/>
      <c r="E144" s="32"/>
      <c r="F144" s="33"/>
      <c r="G144" s="32"/>
      <c r="H144" s="32" t="s">
        <v>54</v>
      </c>
      <c r="I144" s="51">
        <f>SUM(I135:I143)</f>
        <v>200.55706485336597</v>
      </c>
      <c r="J144" s="32">
        <f>SUM(J135:J143)</f>
        <v>0</v>
      </c>
      <c r="K144" s="52"/>
      <c r="L144" s="52"/>
      <c r="M144" s="53"/>
      <c r="N144" s="54"/>
      <c r="O144" s="55">
        <f>SUM(O135:O143)</f>
        <v>0.502</v>
      </c>
      <c r="P144" s="142"/>
      <c r="Q144" s="69">
        <f>SUM(Q135:Q140)</f>
        <v>59.188000000000002</v>
      </c>
      <c r="R144" s="52">
        <f t="shared" ref="R144:W144" si="15">SUM(R135:R143)</f>
        <v>55</v>
      </c>
      <c r="S144" s="71"/>
      <c r="T144" s="69"/>
      <c r="U144" s="69">
        <f t="shared" si="15"/>
        <v>27</v>
      </c>
      <c r="V144" s="72"/>
      <c r="W144" s="69">
        <f t="shared" si="15"/>
        <v>13.875640000000001</v>
      </c>
      <c r="X144" s="69"/>
      <c r="Y144" s="32" t="s">
        <v>56</v>
      </c>
      <c r="Z144" s="92"/>
      <c r="AA144" s="32"/>
      <c r="AB144" s="93">
        <f>(AB143-AA143)/AB143</f>
        <v>0.50108139534883722</v>
      </c>
    </row>
    <row r="145" spans="1:28" ht="29.25" customHeight="1">
      <c r="A145" s="35"/>
      <c r="B145" s="36"/>
      <c r="C145" s="36"/>
      <c r="D145" s="36"/>
      <c r="E145" s="36"/>
      <c r="F145" s="37"/>
      <c r="G145" s="36"/>
      <c r="H145" s="36"/>
      <c r="I145" s="36"/>
      <c r="J145" s="36"/>
      <c r="K145" s="36"/>
      <c r="L145" s="58"/>
      <c r="M145" s="59"/>
      <c r="N145" s="36"/>
      <c r="O145" s="36"/>
      <c r="P145" s="143"/>
      <c r="Q145" s="73"/>
      <c r="R145" s="36"/>
      <c r="S145" s="36"/>
      <c r="T145" s="36"/>
      <c r="U145" s="36"/>
      <c r="V145" s="36"/>
      <c r="W145" s="74"/>
      <c r="X145" s="74"/>
      <c r="Y145" s="58"/>
      <c r="Z145" s="94"/>
      <c r="AA145" s="95"/>
      <c r="AB145" s="96"/>
    </row>
    <row r="146" spans="1:28" ht="24.75" customHeight="1">
      <c r="P146" s="144"/>
    </row>
  </sheetData>
  <autoFilter ref="A2:AC145" xr:uid="{00000000-0001-0000-0000-000000000000}"/>
  <dataValidations count="2">
    <dataValidation type="list" allowBlank="1" showInputMessage="1" showErrorMessage="1" sqref="M23 M34 M45 M56 M67 M78 M89 M100 M111 M122 M133 M144 M12" xr:uid="{00000000-0002-0000-0000-000000000000}">
      <formula1>POOJA</formula1>
    </dataValidation>
    <dataValidation type="list" allowBlank="1" showInputMessage="1" showErrorMessage="1" sqref="V16:V18 V27:V29 V38:V40 V49:V51 V60:V62 V71:V73 V82:V84 V93:V95 V104:V106 V115:V117 V126:V128 V137:V139" xr:uid="{00000000-0002-0000-0000-000001000000}">
      <formula1>ASM</formula1>
    </dataValidation>
  </dataValidations>
  <pageMargins left="0.2" right="0.2" top="0.33" bottom="0.75" header="0.3" footer="0.3"/>
  <pageSetup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A737235CB52244A4E5830EDB0E5E14" ma:contentTypeVersion="21" ma:contentTypeDescription="Create a new document." ma:contentTypeScope="" ma:versionID="8a97d034e5627065af44d48e6e1334bd">
  <xsd:schema xmlns:xsd="http://www.w3.org/2001/XMLSchema" xmlns:xs="http://www.w3.org/2001/XMLSchema" xmlns:p="http://schemas.microsoft.com/office/2006/metadata/properties" xmlns:ns1="http://schemas.microsoft.com/sharepoint/v3" xmlns:ns2="adab9e5b-921b-4eae-9056-5e7ec4cef6a0" xmlns:ns3="e87cbd53-2c48-4622-aae6-277509e32f71" targetNamespace="http://schemas.microsoft.com/office/2006/metadata/properties" ma:root="true" ma:fieldsID="a6a415eec213ebcebbe07576b9a88e42" ns1:_="" ns2:_="" ns3:_="">
    <xsd:import namespace="http://schemas.microsoft.com/sharepoint/v3"/>
    <xsd:import namespace="adab9e5b-921b-4eae-9056-5e7ec4cef6a0"/>
    <xsd:import namespace="e87cbd53-2c48-4622-aae6-277509e32f7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b9e5b-921b-4eae-9056-5e7ec4cef6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9e423433-f0bb-4872-a28b-1ae52725b703}" ma:internalName="TaxCatchAll" ma:showField="CatchAllData" ma:web="adab9e5b-921b-4eae-9056-5e7ec4cef6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cbd53-2c48-4622-aae6-277509e32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e0237d1-a95b-4a46-89e8-210a8bf664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C24D06-3B57-4DD2-98D6-33566C1BDC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2947FF-6FD9-4EAC-A08D-4A8695BDB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dab9e5b-921b-4eae-9056-5e7ec4cef6a0"/>
    <ds:schemaRef ds:uri="e87cbd53-2c48-4622-aae6-277509e32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Jewelex India Pvt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Jewelex</dc:creator>
  <cp:keywords/>
  <dc:description/>
  <cp:lastModifiedBy>Ajit Munj</cp:lastModifiedBy>
  <cp:revision/>
  <dcterms:created xsi:type="dcterms:W3CDTF">2013-02-02T06:57:35Z</dcterms:created>
  <dcterms:modified xsi:type="dcterms:W3CDTF">2025-01-06T09:19:05Z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9C4DC3920E79449D945EC713F3BF83A7_13</vt:lpwstr>
  </property>
  <property fmtid="{D5CDD505-2E9C-101B-9397-08002B2CF9AE}" pid="4" name="commondata">
    <vt:lpwstr>eyJoZGlkIjoiYTYyNTA3M2FkNWY2NDJhN2U5YzJkNmNiZWQ3OGMxOWMifQ==</vt:lpwstr>
  </property>
</Properties>
</file>