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Ajitesh\Desktop\"/>
    </mc:Choice>
  </mc:AlternateContent>
  <xr:revisionPtr revIDLastSave="0" documentId="13_ncr:1_{FF460678-5E1A-4FD9-BA8B-2B48C410BD5B}" xr6:coauthVersionLast="47" xr6:coauthVersionMax="47" xr10:uidLastSave="{00000000-0000-0000-0000-000000000000}"/>
  <bookViews>
    <workbookView xWindow="-108" yWindow="-108" windowWidth="23256" windowHeight="12456" xr2:uid="{BAA02D06-2765-4D27-BF48-ECE887A6DA35}"/>
  </bookViews>
  <sheets>
    <sheet name="Profile" sheetId="8" r:id="rId1"/>
    <sheet name="Portfolio 5Y" sheetId="2" r:id="rId2"/>
    <sheet name="Portfolio 10Y" sheetId="7" r:id="rId3"/>
    <sheet name="Cashflow Calculation" sheetId="6" r:id="rId4"/>
    <sheet name="Asset Classes Return" sheetId="5"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17" i="5" l="1"/>
  <c r="M117" i="5"/>
  <c r="N117" i="5"/>
  <c r="O117" i="5"/>
  <c r="P117" i="5"/>
  <c r="N161" i="5"/>
  <c r="P149" i="5" s="1"/>
  <c r="M161" i="5"/>
  <c r="P148" i="5" s="1"/>
  <c r="L161" i="5"/>
  <c r="K161" i="5"/>
  <c r="J161" i="5"/>
  <c r="S105" i="5"/>
  <c r="S104" i="5"/>
  <c r="J143" i="5"/>
  <c r="K143" i="5"/>
  <c r="L143" i="5"/>
  <c r="M143" i="5"/>
  <c r="N143" i="5"/>
  <c r="P124" i="5"/>
  <c r="P125" i="5"/>
  <c r="P152" i="5" l="1"/>
  <c r="P153" i="5"/>
  <c r="P129" i="5"/>
  <c r="S108" i="5"/>
  <c r="S107" i="5"/>
  <c r="P128" i="5"/>
  <c r="C5" i="2"/>
  <c r="D84" i="5"/>
  <c r="D85" i="5"/>
  <c r="F5" i="7"/>
  <c r="C5" i="7"/>
  <c r="F5" i="2"/>
  <c r="M20" i="2"/>
  <c r="D5" i="2" s="1"/>
  <c r="D95" i="5"/>
  <c r="E95" i="5"/>
  <c r="F95" i="5"/>
  <c r="C95" i="5"/>
  <c r="G95" i="5"/>
  <c r="K25" i="7"/>
  <c r="N26" i="7" s="1"/>
  <c r="F4" i="7" s="1"/>
  <c r="K19" i="7"/>
  <c r="N20" i="7" s="1"/>
  <c r="D4" i="7" s="1"/>
  <c r="E6" i="6"/>
  <c r="F6" i="6" s="1"/>
  <c r="O19" i="7"/>
  <c r="O20" i="7" s="1"/>
  <c r="G29" i="7"/>
  <c r="G27" i="7"/>
  <c r="G21" i="7"/>
  <c r="G20" i="7"/>
  <c r="G19" i="7"/>
  <c r="O19" i="2"/>
  <c r="O20" i="2" s="1"/>
  <c r="G29" i="2"/>
  <c r="G27" i="2"/>
  <c r="E19" i="6"/>
  <c r="F17" i="6"/>
  <c r="F15" i="6"/>
  <c r="F18" i="6"/>
  <c r="F7" i="6"/>
  <c r="D98" i="5"/>
  <c r="F4" i="6"/>
  <c r="G98" i="5"/>
  <c r="O25" i="7"/>
  <c r="O26" i="7" s="1"/>
  <c r="D36" i="7"/>
  <c r="C35" i="7" s="1"/>
  <c r="D30" i="7"/>
  <c r="C27" i="7" s="1"/>
  <c r="F6" i="7"/>
  <c r="L20" i="7"/>
  <c r="D6" i="7" s="1"/>
  <c r="F16" i="6"/>
  <c r="F5" i="6"/>
  <c r="L26" i="2"/>
  <c r="F6" i="2" s="1"/>
  <c r="G21" i="2"/>
  <c r="G20" i="2"/>
  <c r="D30" i="2"/>
  <c r="C28" i="2" s="1"/>
  <c r="F19" i="6" l="1"/>
  <c r="F36" i="7"/>
  <c r="G4" i="7" s="1"/>
  <c r="E36" i="7"/>
  <c r="G5" i="7" s="1"/>
  <c r="G6" i="7"/>
  <c r="M20" i="7"/>
  <c r="D5" i="7" s="1"/>
  <c r="D99" i="5"/>
  <c r="G99" i="5"/>
  <c r="K25" i="2"/>
  <c r="N26" i="2" s="1"/>
  <c r="F4" i="2" s="1"/>
  <c r="C29" i="7"/>
  <c r="C30" i="7" s="1"/>
  <c r="C28" i="7"/>
  <c r="E6" i="7"/>
  <c r="E6" i="2"/>
  <c r="C27" i="2"/>
  <c r="C29" i="2"/>
  <c r="G30" i="7"/>
  <c r="F30" i="7" s="1"/>
  <c r="C36" i="7"/>
  <c r="K26" i="7"/>
  <c r="K20" i="7"/>
  <c r="E8" i="6"/>
  <c r="G30" i="2"/>
  <c r="F30" i="2" s="1"/>
  <c r="D22" i="7"/>
  <c r="G35" i="7"/>
  <c r="G36" i="7" s="1"/>
  <c r="O25" i="2"/>
  <c r="O26" i="2" s="1"/>
  <c r="C21" i="6"/>
  <c r="F8" i="6"/>
  <c r="C10" i="6" s="1"/>
  <c r="G22" i="7"/>
  <c r="L20" i="2"/>
  <c r="D22" i="2"/>
  <c r="E30" i="2" l="1"/>
  <c r="E5" i="2" s="1"/>
  <c r="K26" i="2"/>
  <c r="E4" i="7"/>
  <c r="D6" i="2"/>
  <c r="K19" i="2"/>
  <c r="C20" i="7"/>
  <c r="C19" i="7"/>
  <c r="C21" i="7"/>
  <c r="C6" i="7"/>
  <c r="E30" i="7"/>
  <c r="E5" i="7" s="1"/>
  <c r="C12" i="7" s="1"/>
  <c r="C21" i="2"/>
  <c r="C19" i="2"/>
  <c r="C20" i="2"/>
  <c r="C6" i="2"/>
  <c r="E4" i="2"/>
  <c r="C30" i="2"/>
  <c r="C13" i="7"/>
  <c r="C11" i="7" s="1"/>
  <c r="G19" i="2"/>
  <c r="G22" i="2" s="1"/>
  <c r="D36" i="2"/>
  <c r="C22" i="7" l="1"/>
  <c r="C35" i="2"/>
  <c r="G6" i="2"/>
  <c r="K20" i="2"/>
  <c r="N20" i="2"/>
  <c r="D4" i="2" s="1"/>
  <c r="F22" i="7"/>
  <c r="C4" i="7" s="1"/>
  <c r="F22" i="2"/>
  <c r="C4" i="2" s="1"/>
  <c r="C22" i="2"/>
  <c r="G35" i="2"/>
  <c r="G36" i="2" s="1"/>
  <c r="C13" i="2" s="1"/>
  <c r="C11" i="2" s="1"/>
  <c r="E36" i="2" l="1"/>
  <c r="G5" i="2" s="1"/>
  <c r="C12" i="2" s="1"/>
  <c r="F36" i="2"/>
  <c r="G4" i="2" s="1"/>
  <c r="C3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Ajitesh</author>
  </authors>
  <commentList>
    <comment ref="B92" authorId="0" shapeId="0" xr:uid="{FC1BE79D-5172-490A-865E-968CE4D4B1CC}">
      <text>
        <r>
          <rPr>
            <b/>
            <sz val="9"/>
            <color indexed="81"/>
            <rFont val="Tahoma"/>
            <family val="2"/>
          </rPr>
          <t>Ajitesh:</t>
        </r>
        <r>
          <rPr>
            <sz val="9"/>
            <color indexed="81"/>
            <rFont val="Tahoma"/>
            <family val="2"/>
          </rPr>
          <t xml:space="preserve">
The intrinsic value of one ONGC stock under the Base Case scenario is 422.19 INR. Compared to the current market price of 275.4 INR, Oil and Natural Gas Corporation Ltd is Undervalued by 35%</t>
        </r>
      </text>
    </comment>
  </commentList>
</comments>
</file>

<file path=xl/sharedStrings.xml><?xml version="1.0" encoding="utf-8"?>
<sst xmlns="http://schemas.openxmlformats.org/spreadsheetml/2006/main" count="241" uniqueCount="95">
  <si>
    <t>Invested Amount</t>
  </si>
  <si>
    <t>Balanced Funds</t>
  </si>
  <si>
    <t>Gold ETFs</t>
  </si>
  <si>
    <t>Security</t>
  </si>
  <si>
    <t>Annual Return</t>
  </si>
  <si>
    <t>Standard Deviation</t>
  </si>
  <si>
    <t>Weightage</t>
  </si>
  <si>
    <t>Equities</t>
  </si>
  <si>
    <t>Mutual Funds</t>
  </si>
  <si>
    <t>Cash and Cash Equivalents</t>
  </si>
  <si>
    <t>Alternate Investments</t>
  </si>
  <si>
    <t>Fixed Assets</t>
  </si>
  <si>
    <t>Portfolio Summary</t>
  </si>
  <si>
    <t>Portfolio Components</t>
  </si>
  <si>
    <t xml:space="preserve">Government Securities:  </t>
  </si>
  <si>
    <t>High Rated Corporate Bonds:</t>
  </si>
  <si>
    <t>Tax Free Bonds:</t>
  </si>
  <si>
    <t>#</t>
  </si>
  <si>
    <t>Amount</t>
  </si>
  <si>
    <t>Returns</t>
  </si>
  <si>
    <t>Components</t>
  </si>
  <si>
    <t>High Dividend Yield Stocks</t>
  </si>
  <si>
    <t>Weight</t>
  </si>
  <si>
    <t>Total</t>
  </si>
  <si>
    <t>Cash</t>
  </si>
  <si>
    <t>-</t>
  </si>
  <si>
    <t>Government Bonds</t>
  </si>
  <si>
    <t>Corporate Bonds</t>
  </si>
  <si>
    <t>Starting Corpus</t>
  </si>
  <si>
    <t>End Corpus (5Y)</t>
  </si>
  <si>
    <t>End Amount (5Y)</t>
  </si>
  <si>
    <t>Cash in Savings Account</t>
  </si>
  <si>
    <t>Systematic Withdrawal Plan</t>
  </si>
  <si>
    <t>Tax Free Bonds</t>
  </si>
  <si>
    <t>End Amount (10Y)</t>
  </si>
  <si>
    <t>Alternate Investment</t>
  </si>
  <si>
    <t>Average yield of 7% on bonds (10Y)</t>
  </si>
  <si>
    <t>Systemetic Withdrawal Plan (10Y)</t>
  </si>
  <si>
    <t>Average yield of 7% on bonds (5Y)</t>
  </si>
  <si>
    <t>Systemetic Withdrawal Plan (5Y)</t>
  </si>
  <si>
    <t>Gold ETF</t>
  </si>
  <si>
    <t xml:space="preserve"># </t>
  </si>
  <si>
    <t>High Dividend Yield</t>
  </si>
  <si>
    <t xml:space="preserve"> </t>
  </si>
  <si>
    <t>Avg 5Y</t>
  </si>
  <si>
    <t>Avg 10 Y</t>
  </si>
  <si>
    <t>End Corpus (10Y)</t>
  </si>
  <si>
    <t>Monthly Cashflow (5Y)</t>
  </si>
  <si>
    <t>Monthly Cashflow (10Y)</t>
  </si>
  <si>
    <t>Return/ Interest Rate</t>
  </si>
  <si>
    <t xml:space="preserve">Dividend Income </t>
  </si>
  <si>
    <t>Interest on Savings Account</t>
  </si>
  <si>
    <t>Annual Return (%)</t>
  </si>
  <si>
    <t>Equity Fund</t>
  </si>
  <si>
    <t>Equity Funds</t>
  </si>
  <si>
    <t>Monthly Cashflow Calculation (5Y)</t>
  </si>
  <si>
    <t>Monthly Cashflow Calculation (10Y)</t>
  </si>
  <si>
    <t>STDev 5Y</t>
  </si>
  <si>
    <t>STDev 10Y</t>
  </si>
  <si>
    <t>Weighted Annual Return (%)</t>
  </si>
  <si>
    <t>Return 5Y</t>
  </si>
  <si>
    <t>Return 10Y</t>
  </si>
  <si>
    <t>SWP Fund</t>
  </si>
  <si>
    <t>StDev 5Y</t>
  </si>
  <si>
    <t>StDev 10Y</t>
  </si>
  <si>
    <t>ONGC</t>
  </si>
  <si>
    <t>Stocks</t>
  </si>
  <si>
    <t>1Y</t>
  </si>
  <si>
    <t>2Y</t>
  </si>
  <si>
    <t>3Y</t>
  </si>
  <si>
    <t>5Y</t>
  </si>
  <si>
    <t>10Y</t>
  </si>
  <si>
    <t>ITC</t>
  </si>
  <si>
    <t>Dividend Yield</t>
  </si>
  <si>
    <t>Infosys</t>
  </si>
  <si>
    <t>( All fig. in Crore until stated otherwise)</t>
  </si>
  <si>
    <t>SD 5Y</t>
  </si>
  <si>
    <t>SD 10Y</t>
  </si>
  <si>
    <t>Equity</t>
  </si>
  <si>
    <t>Debt</t>
  </si>
  <si>
    <t>Gold</t>
  </si>
  <si>
    <t>Multi Asset Portfolio</t>
  </si>
  <si>
    <t>Investor Profile</t>
  </si>
  <si>
    <t>Total Corpus</t>
  </si>
  <si>
    <t>Investor Age</t>
  </si>
  <si>
    <t>: 52 Years</t>
  </si>
  <si>
    <t>Expected Monthly Cashflow</t>
  </si>
  <si>
    <t>: 3 Lakhs</t>
  </si>
  <si>
    <t>Investment Duration</t>
  </si>
  <si>
    <t>: 5 Years and 10 Years</t>
  </si>
  <si>
    <t>: 10 Cr</t>
  </si>
  <si>
    <t>Portfolio Objective:</t>
  </si>
  <si>
    <t>Investment Approach:</t>
  </si>
  <si>
    <t>Portfolio Allocation</t>
  </si>
  <si>
    <t>HUL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</si>
</sst>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font>
    <font>
      <sz val="11"/>
      <color theme="1"/>
      <name val="Calibri"/>
      <family val="2"/>
    </font>
    <font>
      <b/>
      <sz val="11"/>
      <color theme="0"/>
      <name val="Calibri"/>
      <family val="2"/>
    </font>
    <font>
      <b/>
      <sz val="11"/>
      <color theme="1"/>
      <name val="Calibri"/>
      <family val="2"/>
    </font>
    <font>
      <sz val="11"/>
      <color theme="0"/>
      <name val="Calibri"/>
      <family val="2"/>
    </font>
    <font>
      <b/>
      <sz val="11"/>
      <name val="Calibri"/>
      <family val="2"/>
    </font>
    <font>
      <sz val="11"/>
      <name val="Calibri"/>
      <family val="2"/>
    </font>
    <font>
      <b/>
      <sz val="11"/>
      <color theme="0" tint="-4.9989318521683403E-2"/>
      <name val="Calibri"/>
      <family val="2"/>
    </font>
    <font>
      <b/>
      <u/>
      <sz val="11"/>
      <color theme="0" tint="-4.9989318521683403E-2"/>
      <name val="Calibri"/>
      <family val="2"/>
    </font>
    <font>
      <b/>
      <sz val="11"/>
      <color rgb="FF000000"/>
      <name val="Calibri"/>
      <family val="2"/>
    </font>
    <font>
      <i/>
      <sz val="8"/>
      <color theme="1"/>
      <name val="Calibri"/>
      <family val="2"/>
    </font>
    <font>
      <b/>
      <u/>
      <sz val="36"/>
      <color theme="0" tint="-4.9989318521683403E-2"/>
      <name val="Calibri"/>
      <family val="2"/>
    </font>
    <font>
      <sz val="9"/>
      <color indexed="81"/>
      <name val="Tahoma"/>
      <family val="2"/>
    </font>
    <font>
      <b/>
      <sz val="9"/>
      <color indexed="81"/>
      <name val="Tahoma"/>
      <family val="2"/>
    </font>
  </fonts>
  <fills count="5">
    <fill>
      <patternFill patternType="none"/>
    </fill>
    <fill>
      <patternFill patternType="gray125"/>
    </fill>
    <fill>
      <patternFill patternType="solid">
        <fgColor rgb="FF002060"/>
        <bgColor indexed="64"/>
      </patternFill>
    </fill>
    <fill>
      <patternFill patternType="solid">
        <fgColor theme="8" tint="0.79998168889431442"/>
        <bgColor indexed="64"/>
      </patternFill>
    </fill>
    <fill>
      <patternFill patternType="solid">
        <fgColor theme="0" tint="-4.9989318521683403E-2"/>
        <bgColor indexed="64"/>
      </patternFill>
    </fill>
  </fills>
  <borders count="21">
    <border>
      <left/>
      <right/>
      <top/>
      <bottom/>
      <diagonal/>
    </border>
    <border>
      <left/>
      <right/>
      <top/>
      <bottom style="dashed">
        <color auto="1"/>
      </bottom>
      <diagonal/>
    </border>
    <border>
      <left/>
      <right/>
      <top style="dashed">
        <color auto="1"/>
      </top>
      <bottom style="dashed">
        <color auto="1"/>
      </bottom>
      <diagonal/>
    </border>
    <border>
      <left/>
      <right/>
      <top style="thin">
        <color indexed="64"/>
      </top>
      <bottom style="thin">
        <color indexed="64"/>
      </bottom>
      <diagonal/>
    </border>
    <border>
      <left/>
      <right/>
      <top style="thin">
        <color indexed="64"/>
      </top>
      <bottom style="dashed">
        <color indexed="64"/>
      </bottom>
      <diagonal/>
    </border>
    <border>
      <left/>
      <right/>
      <top style="dashed">
        <color auto="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dashed">
        <color auto="1"/>
      </top>
      <bottom style="dashed">
        <color auto="1"/>
      </bottom>
      <diagonal/>
    </border>
    <border>
      <left/>
      <right style="medium">
        <color indexed="64"/>
      </right>
      <top style="dashed">
        <color auto="1"/>
      </top>
      <bottom style="dashed">
        <color auto="1"/>
      </bottom>
      <diagonal/>
    </border>
    <border>
      <left style="medium">
        <color indexed="64"/>
      </left>
      <right/>
      <top style="dashed">
        <color auto="1"/>
      </top>
      <bottom style="medium">
        <color indexed="64"/>
      </bottom>
      <diagonal/>
    </border>
    <border>
      <left/>
      <right/>
      <top style="dashed">
        <color auto="1"/>
      </top>
      <bottom style="medium">
        <color indexed="64"/>
      </bottom>
      <diagonal/>
    </border>
    <border>
      <left/>
      <right style="medium">
        <color indexed="64"/>
      </right>
      <top style="dashed">
        <color auto="1"/>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110">
    <xf numFmtId="0" fontId="0" fillId="0" borderId="0" xfId="0"/>
    <xf numFmtId="0" fontId="2" fillId="2" borderId="0" xfId="0" applyFont="1" applyFill="1" applyAlignment="1">
      <alignment vertical="top"/>
    </xf>
    <xf numFmtId="0" fontId="2" fillId="2" borderId="0" xfId="0" applyFont="1" applyFill="1" applyAlignment="1">
      <alignment vertical="top" wrapText="1"/>
    </xf>
    <xf numFmtId="0" fontId="3" fillId="0" borderId="0" xfId="0" applyFont="1"/>
    <xf numFmtId="0" fontId="3" fillId="0" borderId="1" xfId="0" applyFont="1" applyBorder="1"/>
    <xf numFmtId="0" fontId="3" fillId="0" borderId="2" xfId="0" applyFont="1" applyBorder="1"/>
    <xf numFmtId="0" fontId="0" fillId="0" borderId="2" xfId="0" applyBorder="1"/>
    <xf numFmtId="0" fontId="0" fillId="2" borderId="0" xfId="0" applyFill="1"/>
    <xf numFmtId="0" fontId="4" fillId="2" borderId="0" xfId="0" applyFont="1" applyFill="1"/>
    <xf numFmtId="0" fontId="2" fillId="2" borderId="0" xfId="0" applyFont="1" applyFill="1"/>
    <xf numFmtId="0" fontId="3" fillId="0" borderId="3" xfId="0" applyFont="1" applyBorder="1" applyAlignment="1">
      <alignment vertical="center"/>
    </xf>
    <xf numFmtId="0" fontId="3" fillId="0" borderId="4" xfId="0" applyFont="1" applyBorder="1" applyAlignment="1">
      <alignment wrapText="1"/>
    </xf>
    <xf numFmtId="0" fontId="0" fillId="0" borderId="4" xfId="0" applyBorder="1"/>
    <xf numFmtId="0" fontId="3" fillId="0" borderId="2" xfId="0" applyFont="1" applyBorder="1" applyAlignment="1">
      <alignment wrapText="1"/>
    </xf>
    <xf numFmtId="0" fontId="3" fillId="3" borderId="0" xfId="0" applyFont="1" applyFill="1" applyAlignment="1">
      <alignment horizontal="left"/>
    </xf>
    <xf numFmtId="0" fontId="3" fillId="0" borderId="3" xfId="0" applyFont="1" applyBorder="1" applyAlignment="1">
      <alignment vertical="center" wrapText="1"/>
    </xf>
    <xf numFmtId="0" fontId="0" fillId="0" borderId="4" xfId="0" applyBorder="1" applyAlignment="1">
      <alignment horizontal="center" vertical="center"/>
    </xf>
    <xf numFmtId="9" fontId="0" fillId="0" borderId="4" xfId="0" applyNumberFormat="1" applyBorder="1"/>
    <xf numFmtId="0" fontId="3" fillId="0" borderId="1" xfId="0" applyFont="1" applyBorder="1" applyAlignment="1">
      <alignment wrapText="1"/>
    </xf>
    <xf numFmtId="2" fontId="0" fillId="0" borderId="0" xfId="0" applyNumberFormat="1"/>
    <xf numFmtId="164" fontId="0" fillId="0" borderId="0" xfId="0" applyNumberFormat="1"/>
    <xf numFmtId="9" fontId="0" fillId="0" borderId="0" xfId="0" applyNumberFormat="1"/>
    <xf numFmtId="0" fontId="0" fillId="0" borderId="0" xfId="0" applyAlignment="1">
      <alignment horizontal="center" vertical="center"/>
    </xf>
    <xf numFmtId="0" fontId="9" fillId="0" borderId="2" xfId="0" applyFont="1" applyBorder="1" applyAlignment="1">
      <alignment horizontal="left"/>
    </xf>
    <xf numFmtId="0" fontId="7" fillId="2" borderId="6" xfId="0" applyFont="1" applyFill="1" applyBorder="1" applyAlignment="1">
      <alignment wrapText="1"/>
    </xf>
    <xf numFmtId="164" fontId="0" fillId="0" borderId="5" xfId="0" applyNumberFormat="1" applyBorder="1"/>
    <xf numFmtId="2" fontId="0" fillId="0" borderId="2" xfId="0" applyNumberFormat="1" applyBorder="1"/>
    <xf numFmtId="0" fontId="10" fillId="0" borderId="0" xfId="0" applyFont="1"/>
    <xf numFmtId="0" fontId="3" fillId="0" borderId="7" xfId="0" applyFont="1" applyBorder="1"/>
    <xf numFmtId="0" fontId="3" fillId="0" borderId="0" xfId="0" applyFont="1" applyAlignment="1">
      <alignment horizontal="right" vertical="center" wrapText="1"/>
    </xf>
    <xf numFmtId="0" fontId="6" fillId="0" borderId="2" xfId="0" applyFont="1" applyBorder="1"/>
    <xf numFmtId="1" fontId="0" fillId="0" borderId="0" xfId="0" applyNumberFormat="1"/>
    <xf numFmtId="0" fontId="3" fillId="3" borderId="0" xfId="0" applyFont="1" applyFill="1"/>
    <xf numFmtId="0" fontId="5" fillId="0" borderId="12" xfId="0" applyFont="1" applyBorder="1" applyAlignment="1">
      <alignment horizontal="left"/>
    </xf>
    <xf numFmtId="0" fontId="3" fillId="0" borderId="14" xfId="0" applyFont="1" applyBorder="1"/>
    <xf numFmtId="0" fontId="3" fillId="4" borderId="16" xfId="0" applyFont="1" applyFill="1" applyBorder="1"/>
    <xf numFmtId="0" fontId="3" fillId="0" borderId="16" xfId="0" applyFont="1" applyBorder="1"/>
    <xf numFmtId="0" fontId="3" fillId="4" borderId="2" xfId="0" applyFont="1" applyFill="1" applyBorder="1" applyAlignment="1">
      <alignment horizontal="center" vertical="center"/>
    </xf>
    <xf numFmtId="0" fontId="3" fillId="4" borderId="2" xfId="0" applyFont="1" applyFill="1" applyBorder="1" applyAlignment="1">
      <alignment vertical="center"/>
    </xf>
    <xf numFmtId="2" fontId="3" fillId="4" borderId="2" xfId="0" applyNumberFormat="1" applyFont="1" applyFill="1" applyBorder="1" applyAlignment="1">
      <alignment vertical="center"/>
    </xf>
    <xf numFmtId="9" fontId="3" fillId="4" borderId="2" xfId="0" applyNumberFormat="1" applyFont="1" applyFill="1" applyBorder="1" applyAlignment="1">
      <alignment vertical="center"/>
    </xf>
    <xf numFmtId="164" fontId="3" fillId="4" borderId="2" xfId="0" applyNumberFormat="1" applyFont="1" applyFill="1" applyBorder="1" applyAlignment="1">
      <alignment vertical="center"/>
    </xf>
    <xf numFmtId="2" fontId="0" fillId="0" borderId="4" xfId="0" applyNumberFormat="1" applyBorder="1"/>
    <xf numFmtId="0" fontId="5" fillId="0" borderId="1" xfId="0" applyFont="1" applyBorder="1"/>
    <xf numFmtId="10" fontId="0" fillId="0" borderId="0" xfId="0" applyNumberFormat="1"/>
    <xf numFmtId="0" fontId="3" fillId="0" borderId="3" xfId="0" applyFont="1" applyBorder="1"/>
    <xf numFmtId="9" fontId="3" fillId="0" borderId="8" xfId="1" applyFont="1" applyBorder="1"/>
    <xf numFmtId="2" fontId="0" fillId="0" borderId="1" xfId="0" applyNumberFormat="1" applyBorder="1"/>
    <xf numFmtId="10" fontId="0" fillId="0" borderId="4" xfId="0" applyNumberFormat="1" applyBorder="1"/>
    <xf numFmtId="10" fontId="0" fillId="0" borderId="2" xfId="0" applyNumberFormat="1" applyBorder="1"/>
    <xf numFmtId="10" fontId="3" fillId="4" borderId="2" xfId="1" applyNumberFormat="1" applyFont="1" applyFill="1" applyBorder="1" applyAlignment="1">
      <alignment vertical="center"/>
    </xf>
    <xf numFmtId="10" fontId="3" fillId="4" borderId="2" xfId="0" applyNumberFormat="1" applyFont="1" applyFill="1" applyBorder="1" applyAlignment="1">
      <alignment vertical="center"/>
    </xf>
    <xf numFmtId="10" fontId="0" fillId="0" borderId="4" xfId="0" applyNumberFormat="1" applyBorder="1" applyAlignment="1">
      <alignment horizontal="center" vertical="center"/>
    </xf>
    <xf numFmtId="10" fontId="0" fillId="0" borderId="1" xfId="0" applyNumberFormat="1" applyBorder="1"/>
    <xf numFmtId="10" fontId="3" fillId="4" borderId="2" xfId="0" applyNumberFormat="1" applyFont="1" applyFill="1" applyBorder="1" applyAlignment="1">
      <alignment horizontal="center" vertical="center"/>
    </xf>
    <xf numFmtId="0" fontId="3" fillId="0" borderId="4" xfId="0" applyFont="1" applyBorder="1" applyAlignment="1">
      <alignment vertical="center" wrapText="1"/>
    </xf>
    <xf numFmtId="2" fontId="0" fillId="0" borderId="4" xfId="0" applyNumberFormat="1" applyBorder="1" applyAlignment="1">
      <alignment vertical="center"/>
    </xf>
    <xf numFmtId="2" fontId="0" fillId="0" borderId="0" xfId="0" applyNumberFormat="1" applyAlignment="1">
      <alignment vertical="center"/>
    </xf>
    <xf numFmtId="0" fontId="3" fillId="0" borderId="2" xfId="0" applyFont="1" applyBorder="1" applyAlignment="1">
      <alignment vertical="center" wrapText="1"/>
    </xf>
    <xf numFmtId="2" fontId="0" fillId="0" borderId="2" xfId="0" applyNumberFormat="1" applyBorder="1" applyAlignment="1">
      <alignment vertical="center"/>
    </xf>
    <xf numFmtId="0" fontId="0" fillId="0" borderId="2" xfId="0" applyBorder="1" applyAlignment="1">
      <alignment vertical="center"/>
    </xf>
    <xf numFmtId="10" fontId="0" fillId="0" borderId="2" xfId="0" applyNumberFormat="1" applyBorder="1" applyAlignment="1">
      <alignment vertical="center"/>
    </xf>
    <xf numFmtId="10" fontId="0" fillId="0" borderId="4" xfId="0" applyNumberFormat="1" applyBorder="1" applyAlignment="1">
      <alignment vertical="center"/>
    </xf>
    <xf numFmtId="0" fontId="5" fillId="0" borderId="2" xfId="0" applyFont="1" applyBorder="1" applyAlignment="1">
      <alignment vertical="center"/>
    </xf>
    <xf numFmtId="2" fontId="0" fillId="0" borderId="1" xfId="0" applyNumberFormat="1" applyBorder="1" applyAlignment="1">
      <alignment vertical="center"/>
    </xf>
    <xf numFmtId="2" fontId="0" fillId="0" borderId="6" xfId="0" applyNumberFormat="1" applyBorder="1" applyAlignment="1">
      <alignment horizontal="center" vertical="center"/>
    </xf>
    <xf numFmtId="0" fontId="0" fillId="0" borderId="2" xfId="0" applyBorder="1" applyAlignment="1">
      <alignment horizontal="right"/>
    </xf>
    <xf numFmtId="0" fontId="0" fillId="0" borderId="2" xfId="0" applyBorder="1" applyAlignment="1">
      <alignment horizontal="center"/>
    </xf>
    <xf numFmtId="0" fontId="0" fillId="0" borderId="4" xfId="0" applyBorder="1" applyAlignment="1">
      <alignment horizontal="center"/>
    </xf>
    <xf numFmtId="0" fontId="0" fillId="0" borderId="3" xfId="0" applyBorder="1"/>
    <xf numFmtId="9" fontId="3" fillId="0" borderId="3" xfId="0" applyNumberFormat="1" applyFont="1" applyBorder="1"/>
    <xf numFmtId="1" fontId="3" fillId="0" borderId="8" xfId="0" applyNumberFormat="1" applyFont="1" applyBorder="1"/>
    <xf numFmtId="0" fontId="0" fillId="0" borderId="2" xfId="0" applyBorder="1" applyAlignment="1">
      <alignment horizontal="center" vertical="center"/>
    </xf>
    <xf numFmtId="2" fontId="3" fillId="0" borderId="3" xfId="0" applyNumberFormat="1" applyFont="1" applyBorder="1"/>
    <xf numFmtId="2" fontId="3" fillId="0" borderId="8" xfId="0" applyNumberFormat="1" applyFont="1" applyBorder="1"/>
    <xf numFmtId="0" fontId="0" fillId="3" borderId="0" xfId="0" applyFill="1"/>
    <xf numFmtId="0" fontId="11" fillId="2" borderId="0" xfId="0" applyFont="1" applyFill="1"/>
    <xf numFmtId="10" fontId="5" fillId="4" borderId="2" xfId="1" applyNumberFormat="1" applyFont="1" applyFill="1" applyBorder="1" applyAlignment="1">
      <alignment vertical="center"/>
    </xf>
    <xf numFmtId="0" fontId="3" fillId="0" borderId="9" xfId="0" applyFont="1" applyBorder="1"/>
    <xf numFmtId="2" fontId="3" fillId="0" borderId="11" xfId="0" applyNumberFormat="1" applyFont="1" applyBorder="1"/>
    <xf numFmtId="0" fontId="3" fillId="0" borderId="19" xfId="0" applyFont="1" applyBorder="1"/>
    <xf numFmtId="0" fontId="3" fillId="0" borderId="20" xfId="0" applyFont="1" applyBorder="1"/>
    <xf numFmtId="2" fontId="5" fillId="0" borderId="11" xfId="0" applyNumberFormat="1" applyFont="1" applyBorder="1"/>
    <xf numFmtId="2" fontId="5" fillId="0" borderId="20" xfId="0" applyNumberFormat="1" applyFont="1" applyBorder="1"/>
    <xf numFmtId="0" fontId="5" fillId="0" borderId="4" xfId="0" applyFont="1" applyBorder="1" applyAlignment="1">
      <alignment wrapText="1"/>
    </xf>
    <xf numFmtId="0" fontId="3" fillId="0" borderId="11" xfId="0" applyFont="1" applyBorder="1"/>
    <xf numFmtId="0" fontId="0" fillId="0" borderId="0" xfId="0" applyAlignment="1">
      <alignment horizontal="right"/>
    </xf>
    <xf numFmtId="1" fontId="0" fillId="0" borderId="0" xfId="0" applyNumberFormat="1" applyAlignment="1">
      <alignment horizontal="right"/>
    </xf>
    <xf numFmtId="2" fontId="3" fillId="0" borderId="20" xfId="0" applyNumberFormat="1" applyFont="1" applyBorder="1"/>
    <xf numFmtId="0" fontId="5" fillId="0" borderId="14" xfId="0" applyFont="1" applyBorder="1"/>
    <xf numFmtId="2" fontId="3" fillId="0" borderId="2" xfId="0" applyNumberFormat="1" applyFont="1" applyBorder="1"/>
    <xf numFmtId="0" fontId="11" fillId="2" borderId="0" xfId="0" applyFont="1" applyFill="1" applyAlignment="1">
      <alignment horizontal="center"/>
    </xf>
    <xf numFmtId="0" fontId="3" fillId="3" borderId="0" xfId="0" applyFont="1" applyFill="1" applyAlignment="1">
      <alignment horizontal="left"/>
    </xf>
    <xf numFmtId="2" fontId="3" fillId="4" borderId="17" xfId="0" applyNumberFormat="1" applyFont="1" applyFill="1" applyBorder="1" applyAlignment="1">
      <alignment horizontal="right"/>
    </xf>
    <xf numFmtId="2" fontId="3" fillId="4" borderId="18" xfId="0" applyNumberFormat="1" applyFont="1" applyFill="1" applyBorder="1" applyAlignment="1">
      <alignment horizontal="right"/>
    </xf>
    <xf numFmtId="2" fontId="5" fillId="0" borderId="0" xfId="0" applyNumberFormat="1" applyFont="1" applyAlignment="1">
      <alignment horizontal="right"/>
    </xf>
    <xf numFmtId="2" fontId="5" fillId="0" borderId="13" xfId="0" applyNumberFormat="1" applyFont="1" applyBorder="1" applyAlignment="1">
      <alignment horizontal="right"/>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10" fontId="5" fillId="0" borderId="2" xfId="0" applyNumberFormat="1" applyFont="1" applyBorder="1" applyAlignment="1">
      <alignment horizontal="right"/>
    </xf>
    <xf numFmtId="10" fontId="5" fillId="0" borderId="15" xfId="0" applyNumberFormat="1" applyFont="1" applyBorder="1" applyAlignment="1">
      <alignment horizontal="right"/>
    </xf>
    <xf numFmtId="2" fontId="5" fillId="0" borderId="2" xfId="0" applyNumberFormat="1" applyFont="1" applyBorder="1" applyAlignment="1">
      <alignment horizontal="right"/>
    </xf>
    <xf numFmtId="2" fontId="5" fillId="0" borderId="15" xfId="0" applyNumberFormat="1" applyFont="1" applyBorder="1" applyAlignment="1">
      <alignment horizontal="right"/>
    </xf>
    <xf numFmtId="2" fontId="3" fillId="0" borderId="17" xfId="0" applyNumberFormat="1" applyFont="1" applyBorder="1" applyAlignment="1">
      <alignment horizontal="right"/>
    </xf>
    <xf numFmtId="2" fontId="3" fillId="0" borderId="18" xfId="0" applyNumberFormat="1" applyFont="1" applyBorder="1" applyAlignment="1">
      <alignment horizontal="right"/>
    </xf>
    <xf numFmtId="0" fontId="3" fillId="0" borderId="2" xfId="0" applyFont="1" applyBorder="1" applyAlignment="1">
      <alignment horizontal="left"/>
    </xf>
    <xf numFmtId="0" fontId="9" fillId="0" borderId="2" xfId="0" applyFont="1" applyBorder="1" applyAlignment="1">
      <alignment horizontal="left"/>
    </xf>
    <xf numFmtId="0" fontId="8" fillId="2" borderId="0" xfId="0" applyFont="1" applyFill="1" applyAlignment="1">
      <alignment horizontal="left"/>
    </xf>
    <xf numFmtId="0" fontId="0" fillId="0" borderId="0" xfId="0"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1479-421C-ADE5-09C0986C5908}"/>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1479-421C-ADE5-09C0986C5908}"/>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1479-421C-ADE5-09C0986C5908}"/>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1479-421C-ADE5-09C0986C5908}"/>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1-1479-421C-ADE5-09C0986C5908}"/>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2-1479-421C-ADE5-09C0986C5908}"/>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1479-421C-ADE5-09C0986C5908}"/>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4-1479-421C-ADE5-09C0986C5908}"/>
                </c:ext>
              </c:extLst>
            </c:dLbl>
            <c:spPr>
              <a:noFill/>
              <a:ln>
                <a:noFill/>
              </a:ln>
              <a:effectLst/>
            </c:sp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Profile!$B$32:$B$35</c:f>
              <c:strCache>
                <c:ptCount val="4"/>
                <c:pt idx="0">
                  <c:v>Equity</c:v>
                </c:pt>
                <c:pt idx="1">
                  <c:v>Debt</c:v>
                </c:pt>
                <c:pt idx="2">
                  <c:v>Cash</c:v>
                </c:pt>
                <c:pt idx="3">
                  <c:v>Gold</c:v>
                </c:pt>
              </c:strCache>
            </c:strRef>
          </c:cat>
          <c:val>
            <c:numRef>
              <c:f>Profile!$C$32:$C$35</c:f>
              <c:numCache>
                <c:formatCode>0.00%</c:formatCode>
                <c:ptCount val="4"/>
                <c:pt idx="0">
                  <c:v>0.47099999999999997</c:v>
                </c:pt>
                <c:pt idx="1">
                  <c:v>0.46899999999999997</c:v>
                </c:pt>
                <c:pt idx="2" formatCode="0%">
                  <c:v>0.01</c:v>
                </c:pt>
                <c:pt idx="3" formatCode="0%">
                  <c:v>0.05</c:v>
                </c:pt>
              </c:numCache>
            </c:numRef>
          </c:val>
          <c:extLst>
            <c:ext xmlns:c16="http://schemas.microsoft.com/office/drawing/2014/chart" uri="{C3380CC4-5D6E-409C-BE32-E72D297353CC}">
              <c16:uniqueId val="{00000000-1479-421C-ADE5-09C0986C5908}"/>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76200</xdr:colOff>
      <xdr:row>13</xdr:row>
      <xdr:rowOff>167640</xdr:rowOff>
    </xdr:from>
    <xdr:to>
      <xdr:col>8</xdr:col>
      <xdr:colOff>45720</xdr:colOff>
      <xdr:row>17</xdr:row>
      <xdr:rowOff>45720</xdr:rowOff>
    </xdr:to>
    <xdr:sp macro="" textlink="">
      <xdr:nvSpPr>
        <xdr:cNvPr id="2" name="TextBox 1">
          <a:extLst>
            <a:ext uri="{FF2B5EF4-FFF2-40B4-BE49-F238E27FC236}">
              <a16:creationId xmlns:a16="http://schemas.microsoft.com/office/drawing/2014/main" id="{6A139EB9-08A5-3192-5F15-628A384C1639}"/>
            </a:ext>
          </a:extLst>
        </xdr:cNvPr>
        <xdr:cNvSpPr txBox="1"/>
      </xdr:nvSpPr>
      <xdr:spPr>
        <a:xfrm>
          <a:off x="76200" y="2545080"/>
          <a:ext cx="5425440" cy="609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 aim of the portfolio is to balance risk tolerance, desired income, and the overall investment horizon, with a conservative approach to ensure capital preservation and steady income.</a:t>
          </a:r>
          <a:endParaRPr lang="en-IN" sz="1100">
            <a:effectLst/>
          </a:endParaRPr>
        </a:p>
        <a:p>
          <a:endParaRPr lang="en-IN" sz="1100"/>
        </a:p>
      </xdr:txBody>
    </xdr:sp>
    <xdr:clientData/>
  </xdr:twoCellAnchor>
  <xdr:twoCellAnchor>
    <xdr:from>
      <xdr:col>0</xdr:col>
      <xdr:colOff>76200</xdr:colOff>
      <xdr:row>20</xdr:row>
      <xdr:rowOff>0</xdr:rowOff>
    </xdr:from>
    <xdr:to>
      <xdr:col>7</xdr:col>
      <xdr:colOff>556260</xdr:colOff>
      <xdr:row>28</xdr:row>
      <xdr:rowOff>167640</xdr:rowOff>
    </xdr:to>
    <xdr:sp macro="" textlink="">
      <xdr:nvSpPr>
        <xdr:cNvPr id="3" name="TextBox 2">
          <a:extLst>
            <a:ext uri="{FF2B5EF4-FFF2-40B4-BE49-F238E27FC236}">
              <a16:creationId xmlns:a16="http://schemas.microsoft.com/office/drawing/2014/main" id="{7CA6796D-61E2-5A7F-3A6B-AD7BA00FB28D}"/>
            </a:ext>
          </a:extLst>
        </xdr:cNvPr>
        <xdr:cNvSpPr txBox="1"/>
      </xdr:nvSpPr>
      <xdr:spPr>
        <a:xfrm>
          <a:off x="76200" y="3657600"/>
          <a:ext cx="5326380" cy="1630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IN" sz="1100">
              <a:solidFill>
                <a:schemeClr val="dk1"/>
              </a:solidFill>
              <a:effectLst/>
              <a:latin typeface="+mn-lt"/>
              <a:ea typeface="+mn-ea"/>
              <a:cs typeface="+mn-cs"/>
            </a:rPr>
            <a:t>The approach involves creating a conservative investment strategy focusing on capital preservation and steady returns. The portfolio will primarily consist of high-quality fixed-income instruments, such as government and corporate bonds, to generate the targeted monthly coupon of ₹3 lakh. A smaller portion will be allocated to low-risk, dividend-paying equities and conservative hybrid funds, gold etf for potential growth and inflation protection. Regular portfolio reviews and rebalancing will ensure alignment with investment goals, with a clear plan for liquidity and redemption at the end of the 5Y and 10Y horizon.</a:t>
          </a:r>
          <a:endParaRPr lang="en-IN" sz="1100">
            <a:effectLst/>
          </a:endParaRPr>
        </a:p>
        <a:p>
          <a:endParaRPr lang="en-IN" sz="1100"/>
        </a:p>
      </xdr:txBody>
    </xdr:sp>
    <xdr:clientData/>
  </xdr:twoCellAnchor>
  <xdr:twoCellAnchor>
    <xdr:from>
      <xdr:col>0</xdr:col>
      <xdr:colOff>121920</xdr:colOff>
      <xdr:row>30</xdr:row>
      <xdr:rowOff>38100</xdr:rowOff>
    </xdr:from>
    <xdr:to>
      <xdr:col>5</xdr:col>
      <xdr:colOff>562800</xdr:colOff>
      <xdr:row>44</xdr:row>
      <xdr:rowOff>84582</xdr:rowOff>
    </xdr:to>
    <xdr:graphicFrame macro="">
      <xdr:nvGraphicFramePr>
        <xdr:cNvPr id="4" name="Chart 3">
          <a:extLst>
            <a:ext uri="{FF2B5EF4-FFF2-40B4-BE49-F238E27FC236}">
              <a16:creationId xmlns:a16="http://schemas.microsoft.com/office/drawing/2014/main" id="{E730F61C-BED4-B35F-7C7F-9C547815DB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15370</xdr:colOff>
      <xdr:row>28</xdr:row>
      <xdr:rowOff>1237</xdr:rowOff>
    </xdr:from>
    <xdr:to>
      <xdr:col>8</xdr:col>
      <xdr:colOff>362314</xdr:colOff>
      <xdr:row>40</xdr:row>
      <xdr:rowOff>130457</xdr:rowOff>
    </xdr:to>
    <xdr:pic>
      <xdr:nvPicPr>
        <xdr:cNvPr id="2" name="Picture 1">
          <a:extLst>
            <a:ext uri="{FF2B5EF4-FFF2-40B4-BE49-F238E27FC236}">
              <a16:creationId xmlns:a16="http://schemas.microsoft.com/office/drawing/2014/main" id="{543AA695-6531-41CF-BC60-4D25A4FFF70C}"/>
            </a:ext>
          </a:extLst>
        </xdr:cNvPr>
        <xdr:cNvPicPr>
          <a:picLocks noChangeAspect="1"/>
        </xdr:cNvPicPr>
      </xdr:nvPicPr>
      <xdr:blipFill>
        <a:blip xmlns:r="http://schemas.openxmlformats.org/officeDocument/2006/relationships" r:embed="rId1"/>
        <a:stretch>
          <a:fillRect/>
        </a:stretch>
      </xdr:blipFill>
      <xdr:spPr>
        <a:xfrm>
          <a:off x="165165" y="5107288"/>
          <a:ext cx="5355303" cy="2317528"/>
        </a:xfrm>
        <a:prstGeom prst="rect">
          <a:avLst/>
        </a:prstGeom>
      </xdr:spPr>
    </xdr:pic>
    <xdr:clientData/>
  </xdr:twoCellAnchor>
  <xdr:twoCellAnchor editAs="oneCell">
    <xdr:from>
      <xdr:col>1</xdr:col>
      <xdr:colOff>190500</xdr:colOff>
      <xdr:row>2</xdr:row>
      <xdr:rowOff>144780</xdr:rowOff>
    </xdr:from>
    <xdr:to>
      <xdr:col>6</xdr:col>
      <xdr:colOff>450088</xdr:colOff>
      <xdr:row>25</xdr:row>
      <xdr:rowOff>68580</xdr:rowOff>
    </xdr:to>
    <xdr:pic>
      <xdr:nvPicPr>
        <xdr:cNvPr id="3" name="Picture 2">
          <a:extLst>
            <a:ext uri="{FF2B5EF4-FFF2-40B4-BE49-F238E27FC236}">
              <a16:creationId xmlns:a16="http://schemas.microsoft.com/office/drawing/2014/main" id="{2FB4D3B3-4301-75FD-0DF8-0D1100522B29}"/>
            </a:ext>
          </a:extLst>
        </xdr:cNvPr>
        <xdr:cNvPicPr>
          <a:picLocks noChangeAspect="1"/>
        </xdr:cNvPicPr>
      </xdr:nvPicPr>
      <xdr:blipFill>
        <a:blip xmlns:r="http://schemas.openxmlformats.org/officeDocument/2006/relationships" r:embed="rId2"/>
        <a:stretch>
          <a:fillRect/>
        </a:stretch>
      </xdr:blipFill>
      <xdr:spPr>
        <a:xfrm>
          <a:off x="342900" y="510540"/>
          <a:ext cx="3604572" cy="4130040"/>
        </a:xfrm>
        <a:prstGeom prst="rect">
          <a:avLst/>
        </a:prstGeom>
      </xdr:spPr>
    </xdr:pic>
    <xdr:clientData/>
  </xdr:twoCellAnchor>
  <xdr:twoCellAnchor editAs="oneCell">
    <xdr:from>
      <xdr:col>0</xdr:col>
      <xdr:colOff>129540</xdr:colOff>
      <xdr:row>58</xdr:row>
      <xdr:rowOff>83820</xdr:rowOff>
    </xdr:from>
    <xdr:to>
      <xdr:col>9</xdr:col>
      <xdr:colOff>326987</xdr:colOff>
      <xdr:row>73</xdr:row>
      <xdr:rowOff>129835</xdr:rowOff>
    </xdr:to>
    <xdr:pic>
      <xdr:nvPicPr>
        <xdr:cNvPr id="7" name="Picture 6">
          <a:extLst>
            <a:ext uri="{FF2B5EF4-FFF2-40B4-BE49-F238E27FC236}">
              <a16:creationId xmlns:a16="http://schemas.microsoft.com/office/drawing/2014/main" id="{03DC9078-5D0E-0381-A749-251C9E239FA1}"/>
            </a:ext>
          </a:extLst>
        </xdr:cNvPr>
        <xdr:cNvPicPr>
          <a:picLocks noChangeAspect="1"/>
        </xdr:cNvPicPr>
      </xdr:nvPicPr>
      <xdr:blipFill>
        <a:blip xmlns:r="http://schemas.openxmlformats.org/officeDocument/2006/relationships" r:embed="rId3"/>
        <a:stretch>
          <a:fillRect/>
        </a:stretch>
      </xdr:blipFill>
      <xdr:spPr>
        <a:xfrm>
          <a:off x="129540" y="8130540"/>
          <a:ext cx="6146257" cy="2789215"/>
        </a:xfrm>
        <a:prstGeom prst="rect">
          <a:avLst/>
        </a:prstGeom>
      </xdr:spPr>
    </xdr:pic>
    <xdr:clientData/>
  </xdr:twoCellAnchor>
  <xdr:twoCellAnchor editAs="oneCell">
    <xdr:from>
      <xdr:col>0</xdr:col>
      <xdr:colOff>123744</xdr:colOff>
      <xdr:row>74</xdr:row>
      <xdr:rowOff>123743</xdr:rowOff>
    </xdr:from>
    <xdr:to>
      <xdr:col>9</xdr:col>
      <xdr:colOff>140083</xdr:colOff>
      <xdr:row>82</xdr:row>
      <xdr:rowOff>39077</xdr:rowOff>
    </xdr:to>
    <xdr:pic>
      <xdr:nvPicPr>
        <xdr:cNvPr id="11" name="Picture 10">
          <a:extLst>
            <a:ext uri="{FF2B5EF4-FFF2-40B4-BE49-F238E27FC236}">
              <a16:creationId xmlns:a16="http://schemas.microsoft.com/office/drawing/2014/main" id="{5B1F499F-8267-B554-0954-69EB6547E080}"/>
            </a:ext>
          </a:extLst>
        </xdr:cNvPr>
        <xdr:cNvPicPr>
          <a:picLocks noChangeAspect="1"/>
        </xdr:cNvPicPr>
      </xdr:nvPicPr>
      <xdr:blipFill rotWithShape="1">
        <a:blip xmlns:r="http://schemas.openxmlformats.org/officeDocument/2006/relationships" r:embed="rId4"/>
        <a:srcRect b="20797"/>
        <a:stretch/>
      </xdr:blipFill>
      <xdr:spPr>
        <a:xfrm>
          <a:off x="123744" y="11065281"/>
          <a:ext cx="5988595" cy="1374206"/>
        </a:xfrm>
        <a:prstGeom prst="rect">
          <a:avLst/>
        </a:prstGeom>
      </xdr:spPr>
    </xdr:pic>
    <xdr:clientData/>
  </xdr:twoCellAnchor>
  <xdr:twoCellAnchor editAs="oneCell">
    <xdr:from>
      <xdr:col>0</xdr:col>
      <xdr:colOff>78154</xdr:colOff>
      <xdr:row>121</xdr:row>
      <xdr:rowOff>91179</xdr:rowOff>
    </xdr:from>
    <xdr:to>
      <xdr:col>13</xdr:col>
      <xdr:colOff>358205</xdr:colOff>
      <xdr:row>140</xdr:row>
      <xdr:rowOff>78152</xdr:rowOff>
    </xdr:to>
    <xdr:pic>
      <xdr:nvPicPr>
        <xdr:cNvPr id="12" name="Picture 11">
          <a:extLst>
            <a:ext uri="{FF2B5EF4-FFF2-40B4-BE49-F238E27FC236}">
              <a16:creationId xmlns:a16="http://schemas.microsoft.com/office/drawing/2014/main" id="{C16180B7-8865-5BDD-C0F6-C094866E31E5}"/>
            </a:ext>
          </a:extLst>
        </xdr:cNvPr>
        <xdr:cNvPicPr>
          <a:picLocks noChangeAspect="1"/>
        </xdr:cNvPicPr>
      </xdr:nvPicPr>
      <xdr:blipFill rotWithShape="1">
        <a:blip xmlns:r="http://schemas.openxmlformats.org/officeDocument/2006/relationships" r:embed="rId5"/>
        <a:srcRect t="-1126" b="936"/>
        <a:stretch/>
      </xdr:blipFill>
      <xdr:spPr>
        <a:xfrm>
          <a:off x="78154" y="18574564"/>
          <a:ext cx="8303846" cy="3477845"/>
        </a:xfrm>
        <a:prstGeom prst="rect">
          <a:avLst/>
        </a:prstGeom>
      </xdr:spPr>
    </xdr:pic>
    <xdr:clientData/>
  </xdr:twoCellAnchor>
  <xdr:twoCellAnchor editAs="oneCell">
    <xdr:from>
      <xdr:col>1</xdr:col>
      <xdr:colOff>0</xdr:colOff>
      <xdr:row>101</xdr:row>
      <xdr:rowOff>0</xdr:rowOff>
    </xdr:from>
    <xdr:to>
      <xdr:col>15</xdr:col>
      <xdr:colOff>332154</xdr:colOff>
      <xdr:row>115</xdr:row>
      <xdr:rowOff>136769</xdr:rowOff>
    </xdr:to>
    <xdr:pic>
      <xdr:nvPicPr>
        <xdr:cNvPr id="13" name="Picture 12">
          <a:extLst>
            <a:ext uri="{FF2B5EF4-FFF2-40B4-BE49-F238E27FC236}">
              <a16:creationId xmlns:a16="http://schemas.microsoft.com/office/drawing/2014/main" id="{6554A697-3EFC-4923-8A93-290756D27ACD}"/>
            </a:ext>
          </a:extLst>
        </xdr:cNvPr>
        <xdr:cNvPicPr>
          <a:picLocks noChangeAspect="1"/>
        </xdr:cNvPicPr>
      </xdr:nvPicPr>
      <xdr:blipFill rotWithShape="1">
        <a:blip xmlns:r="http://schemas.openxmlformats.org/officeDocument/2006/relationships" r:embed="rId6"/>
        <a:srcRect b="477"/>
        <a:stretch/>
      </xdr:blipFill>
      <xdr:spPr>
        <a:xfrm>
          <a:off x="149795" y="18457333"/>
          <a:ext cx="9625949" cy="2715846"/>
        </a:xfrm>
        <a:prstGeom prst="rect">
          <a:avLst/>
        </a:prstGeom>
      </xdr:spPr>
    </xdr:pic>
    <xdr:clientData/>
  </xdr:twoCellAnchor>
  <xdr:twoCellAnchor editAs="oneCell">
    <xdr:from>
      <xdr:col>1</xdr:col>
      <xdr:colOff>71642</xdr:colOff>
      <xdr:row>144</xdr:row>
      <xdr:rowOff>169334</xdr:rowOff>
    </xdr:from>
    <xdr:to>
      <xdr:col>13</xdr:col>
      <xdr:colOff>599180</xdr:colOff>
      <xdr:row>156</xdr:row>
      <xdr:rowOff>130257</xdr:rowOff>
    </xdr:to>
    <xdr:pic>
      <xdr:nvPicPr>
        <xdr:cNvPr id="16" name="Picture 15">
          <a:extLst>
            <a:ext uri="{FF2B5EF4-FFF2-40B4-BE49-F238E27FC236}">
              <a16:creationId xmlns:a16="http://schemas.microsoft.com/office/drawing/2014/main" id="{6737DA93-3A54-6EA6-4638-0F1FEFBA0799}"/>
            </a:ext>
          </a:extLst>
        </xdr:cNvPr>
        <xdr:cNvPicPr>
          <a:picLocks noChangeAspect="1"/>
        </xdr:cNvPicPr>
      </xdr:nvPicPr>
      <xdr:blipFill>
        <a:blip xmlns:r="http://schemas.openxmlformats.org/officeDocument/2006/relationships" r:embed="rId7"/>
        <a:stretch>
          <a:fillRect/>
        </a:stretch>
      </xdr:blipFill>
      <xdr:spPr>
        <a:xfrm>
          <a:off x="221437" y="23967180"/>
          <a:ext cx="8401538" cy="2175282"/>
        </a:xfrm>
        <a:prstGeom prst="rect">
          <a:avLst/>
        </a:prstGeom>
      </xdr:spPr>
    </xdr:pic>
    <xdr:clientData/>
  </xdr:twoCellAnchor>
  <xdr:twoCellAnchor editAs="oneCell">
    <xdr:from>
      <xdr:col>1</xdr:col>
      <xdr:colOff>52102</xdr:colOff>
      <xdr:row>157</xdr:row>
      <xdr:rowOff>0</xdr:rowOff>
    </xdr:from>
    <xdr:to>
      <xdr:col>13</xdr:col>
      <xdr:colOff>599179</xdr:colOff>
      <xdr:row>159</xdr:row>
      <xdr:rowOff>130255</xdr:rowOff>
    </xdr:to>
    <xdr:pic>
      <xdr:nvPicPr>
        <xdr:cNvPr id="17" name="Picture 16">
          <a:extLst>
            <a:ext uri="{FF2B5EF4-FFF2-40B4-BE49-F238E27FC236}">
              <a16:creationId xmlns:a16="http://schemas.microsoft.com/office/drawing/2014/main" id="{E10E2DD2-4FD0-2686-01BA-E514FE62C5D7}"/>
            </a:ext>
          </a:extLst>
        </xdr:cNvPr>
        <xdr:cNvPicPr>
          <a:picLocks noChangeAspect="1"/>
        </xdr:cNvPicPr>
      </xdr:nvPicPr>
      <xdr:blipFill>
        <a:blip xmlns:r="http://schemas.openxmlformats.org/officeDocument/2006/relationships" r:embed="rId8"/>
        <a:stretch>
          <a:fillRect/>
        </a:stretch>
      </xdr:blipFill>
      <xdr:spPr>
        <a:xfrm>
          <a:off x="201897" y="26168513"/>
          <a:ext cx="8421077" cy="494973"/>
        </a:xfrm>
        <a:prstGeom prst="rect">
          <a:avLst/>
        </a:prstGeom>
      </xdr:spPr>
    </xdr:pic>
    <xdr:clientData/>
  </xdr:twoCellAnchor>
  <xdr:twoCellAnchor editAs="oneCell">
    <xdr:from>
      <xdr:col>1</xdr:col>
      <xdr:colOff>110718</xdr:colOff>
      <xdr:row>162</xdr:row>
      <xdr:rowOff>117231</xdr:rowOff>
    </xdr:from>
    <xdr:to>
      <xdr:col>7</xdr:col>
      <xdr:colOff>273538</xdr:colOff>
      <xdr:row>186</xdr:row>
      <xdr:rowOff>84667</xdr:rowOff>
    </xdr:to>
    <xdr:pic>
      <xdr:nvPicPr>
        <xdr:cNvPr id="18" name="Picture 17">
          <a:extLst>
            <a:ext uri="{FF2B5EF4-FFF2-40B4-BE49-F238E27FC236}">
              <a16:creationId xmlns:a16="http://schemas.microsoft.com/office/drawing/2014/main" id="{9F36B750-11A7-0794-123A-EF251A44B1A0}"/>
            </a:ext>
          </a:extLst>
        </xdr:cNvPr>
        <xdr:cNvPicPr>
          <a:picLocks noChangeAspect="1"/>
        </xdr:cNvPicPr>
      </xdr:nvPicPr>
      <xdr:blipFill>
        <a:blip xmlns:r="http://schemas.openxmlformats.org/officeDocument/2006/relationships" r:embed="rId9"/>
        <a:stretch>
          <a:fillRect/>
        </a:stretch>
      </xdr:blipFill>
      <xdr:spPr>
        <a:xfrm>
          <a:off x="260513" y="27223590"/>
          <a:ext cx="4402666" cy="4344051"/>
        </a:xfrm>
        <a:prstGeom prst="rect">
          <a:avLst/>
        </a:prstGeom>
      </xdr:spPr>
    </xdr:pic>
    <xdr:clientData/>
  </xdr:twoCellAnchor>
  <xdr:twoCellAnchor editAs="oneCell">
    <xdr:from>
      <xdr:col>8</xdr:col>
      <xdr:colOff>1</xdr:colOff>
      <xdr:row>162</xdr:row>
      <xdr:rowOff>131154</xdr:rowOff>
    </xdr:from>
    <xdr:to>
      <xdr:col>16</xdr:col>
      <xdr:colOff>117232</xdr:colOff>
      <xdr:row>186</xdr:row>
      <xdr:rowOff>45590</xdr:rowOff>
    </xdr:to>
    <xdr:pic>
      <xdr:nvPicPr>
        <xdr:cNvPr id="19" name="Picture 18">
          <a:extLst>
            <a:ext uri="{FF2B5EF4-FFF2-40B4-BE49-F238E27FC236}">
              <a16:creationId xmlns:a16="http://schemas.microsoft.com/office/drawing/2014/main" id="{35C13FAA-6928-F166-8391-AB77F075EA70}"/>
            </a:ext>
          </a:extLst>
        </xdr:cNvPr>
        <xdr:cNvPicPr>
          <a:picLocks noChangeAspect="1"/>
        </xdr:cNvPicPr>
      </xdr:nvPicPr>
      <xdr:blipFill>
        <a:blip xmlns:r="http://schemas.openxmlformats.org/officeDocument/2006/relationships" r:embed="rId10"/>
        <a:stretch>
          <a:fillRect/>
        </a:stretch>
      </xdr:blipFill>
      <xdr:spPr>
        <a:xfrm>
          <a:off x="5086514" y="27237513"/>
          <a:ext cx="5014872" cy="4291051"/>
        </a:xfrm>
        <a:prstGeom prst="rect">
          <a:avLst/>
        </a:prstGeom>
      </xdr:spPr>
    </xdr:pic>
    <xdr:clientData/>
  </xdr:twoCellAnchor>
  <xdr:twoCellAnchor editAs="oneCell">
    <xdr:from>
      <xdr:col>1</xdr:col>
      <xdr:colOff>0</xdr:colOff>
      <xdr:row>44</xdr:row>
      <xdr:rowOff>0</xdr:rowOff>
    </xdr:from>
    <xdr:to>
      <xdr:col>9</xdr:col>
      <xdr:colOff>213165</xdr:colOff>
      <xdr:row>58</xdr:row>
      <xdr:rowOff>91149</xdr:rowOff>
    </xdr:to>
    <xdr:pic>
      <xdr:nvPicPr>
        <xdr:cNvPr id="5" name="Picture 4">
          <a:extLst>
            <a:ext uri="{FF2B5EF4-FFF2-40B4-BE49-F238E27FC236}">
              <a16:creationId xmlns:a16="http://schemas.microsoft.com/office/drawing/2014/main" id="{5A3535EB-06A8-456E-B65A-246F510EC897}"/>
            </a:ext>
          </a:extLst>
        </xdr:cNvPr>
        <xdr:cNvPicPr>
          <a:picLocks noChangeAspect="1"/>
        </xdr:cNvPicPr>
      </xdr:nvPicPr>
      <xdr:blipFill>
        <a:blip xmlns:r="http://schemas.openxmlformats.org/officeDocument/2006/relationships" r:embed="rId11"/>
        <a:stretch>
          <a:fillRect/>
        </a:stretch>
      </xdr:blipFill>
      <xdr:spPr>
        <a:xfrm>
          <a:off x="149795" y="8023795"/>
          <a:ext cx="6035626" cy="26441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D5D8F-0239-4833-A8D0-1F02E6C383EC}">
  <dimension ref="A1:J35"/>
  <sheetViews>
    <sheetView showGridLines="0" tabSelected="1" workbookViewId="0"/>
  </sheetViews>
  <sheetFormatPr defaultRowHeight="14.4" x14ac:dyDescent="0.3"/>
  <cols>
    <col min="1" max="1" width="2.21875" customWidth="1"/>
    <col min="2" max="2" width="24" bestFit="1" customWidth="1"/>
  </cols>
  <sheetData>
    <row r="1" spans="1:10" ht="18" customHeight="1" x14ac:dyDescent="0.85">
      <c r="A1" s="76"/>
      <c r="B1" s="91" t="s">
        <v>81</v>
      </c>
      <c r="C1" s="91"/>
      <c r="D1" s="91"/>
      <c r="E1" s="91"/>
      <c r="F1" s="91"/>
      <c r="G1" s="91"/>
      <c r="H1" s="91"/>
      <c r="I1" s="91"/>
      <c r="J1" s="91"/>
    </row>
    <row r="2" spans="1:10" ht="19.2" customHeight="1" x14ac:dyDescent="0.85">
      <c r="A2" s="76"/>
      <c r="B2" s="91"/>
      <c r="C2" s="91"/>
      <c r="D2" s="91"/>
      <c r="E2" s="91"/>
      <c r="F2" s="91"/>
      <c r="G2" s="91"/>
      <c r="H2" s="91"/>
      <c r="I2" s="91"/>
      <c r="J2" s="91"/>
    </row>
    <row r="3" spans="1:10" ht="6.6" customHeight="1" x14ac:dyDescent="0.85">
      <c r="A3" s="76"/>
      <c r="B3" s="91"/>
      <c r="C3" s="91"/>
      <c r="D3" s="91"/>
      <c r="E3" s="91"/>
      <c r="F3" s="91"/>
      <c r="G3" s="91"/>
      <c r="H3" s="91"/>
      <c r="I3" s="91"/>
      <c r="J3" s="91"/>
    </row>
    <row r="4" spans="1:10" ht="20.399999999999999" customHeight="1" x14ac:dyDescent="0.85">
      <c r="A4" s="76"/>
      <c r="B4" s="91"/>
      <c r="C4" s="91"/>
      <c r="D4" s="91"/>
      <c r="E4" s="91"/>
      <c r="F4" s="91"/>
      <c r="G4" s="91"/>
      <c r="H4" s="91"/>
      <c r="I4" s="91"/>
      <c r="J4" s="91"/>
    </row>
    <row r="7" spans="1:10" x14ac:dyDescent="0.3">
      <c r="A7" t="s">
        <v>17</v>
      </c>
      <c r="B7" s="32" t="s">
        <v>82</v>
      </c>
      <c r="C7" s="75"/>
      <c r="D7" s="75"/>
      <c r="E7" s="75"/>
      <c r="F7" s="75"/>
      <c r="G7" s="75"/>
      <c r="H7" s="75"/>
    </row>
    <row r="8" spans="1:10" x14ac:dyDescent="0.3">
      <c r="B8" t="s">
        <v>83</v>
      </c>
      <c r="C8" t="s">
        <v>90</v>
      </c>
    </row>
    <row r="9" spans="1:10" x14ac:dyDescent="0.3">
      <c r="B9" t="s">
        <v>84</v>
      </c>
      <c r="C9" t="s">
        <v>85</v>
      </c>
    </row>
    <row r="10" spans="1:10" x14ac:dyDescent="0.3">
      <c r="B10" t="s">
        <v>86</v>
      </c>
      <c r="C10" t="s">
        <v>87</v>
      </c>
    </row>
    <row r="11" spans="1:10" x14ac:dyDescent="0.3">
      <c r="B11" t="s">
        <v>88</v>
      </c>
      <c r="C11" t="s">
        <v>89</v>
      </c>
    </row>
    <row r="14" spans="1:10" x14ac:dyDescent="0.3">
      <c r="A14" t="s">
        <v>17</v>
      </c>
      <c r="B14" s="32" t="s">
        <v>91</v>
      </c>
      <c r="C14" s="75"/>
      <c r="D14" s="75"/>
      <c r="E14" s="75"/>
      <c r="F14" s="75"/>
      <c r="G14" s="75"/>
      <c r="H14" s="75"/>
    </row>
    <row r="20" spans="1:8" x14ac:dyDescent="0.3">
      <c r="A20" t="s">
        <v>17</v>
      </c>
      <c r="B20" s="32" t="s">
        <v>92</v>
      </c>
      <c r="C20" s="75"/>
      <c r="D20" s="75"/>
      <c r="E20" s="75"/>
      <c r="F20" s="75"/>
      <c r="G20" s="75"/>
      <c r="H20" s="75"/>
    </row>
    <row r="29" spans="1:8" ht="17.399999999999999" customHeight="1" x14ac:dyDescent="0.3"/>
    <row r="30" spans="1:8" x14ac:dyDescent="0.3">
      <c r="A30" t="s">
        <v>17</v>
      </c>
      <c r="B30" s="32" t="s">
        <v>93</v>
      </c>
      <c r="C30" s="75"/>
      <c r="D30" s="75"/>
      <c r="E30" s="75"/>
      <c r="F30" s="75"/>
      <c r="G30" s="75"/>
      <c r="H30" s="75"/>
    </row>
    <row r="32" spans="1:8" x14ac:dyDescent="0.3">
      <c r="B32" s="3" t="s">
        <v>78</v>
      </c>
      <c r="C32" s="44">
        <v>0.47099999999999997</v>
      </c>
    </row>
    <row r="33" spans="2:3" x14ac:dyDescent="0.3">
      <c r="B33" s="3" t="s">
        <v>79</v>
      </c>
      <c r="C33" s="44">
        <v>0.46899999999999997</v>
      </c>
    </row>
    <row r="34" spans="2:3" x14ac:dyDescent="0.3">
      <c r="B34" s="3" t="s">
        <v>24</v>
      </c>
      <c r="C34" s="21">
        <v>0.01</v>
      </c>
    </row>
    <row r="35" spans="2:3" x14ac:dyDescent="0.3">
      <c r="B35" s="3" t="s">
        <v>80</v>
      </c>
      <c r="C35" s="21">
        <v>0.05</v>
      </c>
    </row>
  </sheetData>
  <mergeCells count="1">
    <mergeCell ref="B1:J4"/>
  </mergeCells>
  <pageMargins left="0.25" right="0.25"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8E2B1-1465-4C3B-979F-FB84F9C6C92D}">
  <sheetPr>
    <pageSetUpPr fitToPage="1"/>
  </sheetPr>
  <dimension ref="A2:O36"/>
  <sheetViews>
    <sheetView showGridLines="0" zoomScale="90" zoomScaleNormal="90" workbookViewId="0"/>
  </sheetViews>
  <sheetFormatPr defaultRowHeight="14.4" x14ac:dyDescent="0.3"/>
  <cols>
    <col min="1" max="1" width="1.6640625" customWidth="1"/>
    <col min="2" max="2" width="26" bestFit="1" customWidth="1"/>
    <col min="3" max="5" width="9.5546875" customWidth="1"/>
    <col min="6" max="6" width="12.6640625" customWidth="1"/>
    <col min="7" max="7" width="12.109375" customWidth="1"/>
    <col min="8" max="8" width="13.5546875" customWidth="1"/>
    <col min="10" max="10" width="16" customWidth="1"/>
    <col min="13" max="13" width="10.33203125" customWidth="1"/>
  </cols>
  <sheetData>
    <row r="2" spans="1:15" x14ac:dyDescent="0.3">
      <c r="B2" s="27" t="s">
        <v>75</v>
      </c>
    </row>
    <row r="3" spans="1:15" ht="45" customHeight="1" x14ac:dyDescent="0.3">
      <c r="A3" t="s">
        <v>17</v>
      </c>
      <c r="B3" s="1" t="s">
        <v>3</v>
      </c>
      <c r="C3" s="2" t="s">
        <v>11</v>
      </c>
      <c r="D3" s="1" t="s">
        <v>7</v>
      </c>
      <c r="E3" s="2" t="s">
        <v>8</v>
      </c>
      <c r="F3" s="2" t="s">
        <v>9</v>
      </c>
      <c r="G3" s="2" t="s">
        <v>10</v>
      </c>
    </row>
    <row r="4" spans="1:15" x14ac:dyDescent="0.3">
      <c r="B4" s="43" t="s">
        <v>59</v>
      </c>
      <c r="C4" s="53">
        <f>F22</f>
        <v>7.1123595505617976E-2</v>
      </c>
      <c r="D4" s="53">
        <f>N20</f>
        <v>0.22</v>
      </c>
      <c r="E4" s="53">
        <f>F30</f>
        <v>0.19950032804254048</v>
      </c>
      <c r="F4" s="53">
        <f>N26</f>
        <v>0.04</v>
      </c>
      <c r="G4" s="53">
        <f>F36</f>
        <v>0.1598</v>
      </c>
    </row>
    <row r="5" spans="1:15" x14ac:dyDescent="0.3">
      <c r="B5" s="5" t="s">
        <v>5</v>
      </c>
      <c r="C5" s="67" t="str">
        <f>E22</f>
        <v>-</v>
      </c>
      <c r="D5" s="26">
        <f>M20</f>
        <v>11</v>
      </c>
      <c r="E5" s="26">
        <f>E30</f>
        <v>12.744285714285716</v>
      </c>
      <c r="F5" s="67" t="str">
        <f>M26</f>
        <v>-</v>
      </c>
      <c r="G5" s="26">
        <f>E36</f>
        <v>2</v>
      </c>
    </row>
    <row r="6" spans="1:15" x14ac:dyDescent="0.3">
      <c r="B6" s="5" t="s">
        <v>6</v>
      </c>
      <c r="C6" s="6">
        <f>D22/C10</f>
        <v>0.44500000000000001</v>
      </c>
      <c r="D6" s="6">
        <f>L20/C10</f>
        <v>7.4999999999999997E-2</v>
      </c>
      <c r="E6" s="6">
        <f>D30/C10</f>
        <v>0.42000000000000004</v>
      </c>
      <c r="F6" s="6">
        <f>L26/C10</f>
        <v>0.01</v>
      </c>
      <c r="G6" s="6">
        <f>D36/C10</f>
        <v>0.05</v>
      </c>
    </row>
    <row r="8" spans="1:15" ht="15" thickBot="1" x14ac:dyDescent="0.35"/>
    <row r="9" spans="1:15" x14ac:dyDescent="0.3">
      <c r="A9" t="s">
        <v>17</v>
      </c>
      <c r="B9" s="97" t="s">
        <v>12</v>
      </c>
      <c r="C9" s="98"/>
      <c r="D9" s="99"/>
    </row>
    <row r="10" spans="1:15" x14ac:dyDescent="0.3">
      <c r="B10" s="33" t="s">
        <v>28</v>
      </c>
      <c r="C10" s="95">
        <v>10</v>
      </c>
      <c r="D10" s="96"/>
    </row>
    <row r="11" spans="1:15" x14ac:dyDescent="0.3">
      <c r="B11" s="34" t="s">
        <v>4</v>
      </c>
      <c r="C11" s="100">
        <f>(C13/C10)^(1/5)-1</f>
        <v>0.14756578894083727</v>
      </c>
      <c r="D11" s="101"/>
    </row>
    <row r="12" spans="1:15" x14ac:dyDescent="0.3">
      <c r="B12" s="34" t="s">
        <v>5</v>
      </c>
      <c r="C12" s="102">
        <f>SUMPRODUCT(C5:G5,C6:G6)</f>
        <v>6.2776000000000014</v>
      </c>
      <c r="D12" s="103"/>
      <c r="F12" s="19"/>
    </row>
    <row r="13" spans="1:15" ht="15" thickBot="1" x14ac:dyDescent="0.35">
      <c r="B13" s="35" t="s">
        <v>29</v>
      </c>
      <c r="C13" s="93">
        <f>SUM(G22,O20,G30,O26,G36)</f>
        <v>19.901598628437739</v>
      </c>
      <c r="D13" s="94"/>
    </row>
    <row r="15" spans="1:15" x14ac:dyDescent="0.3">
      <c r="A15" t="s">
        <v>17</v>
      </c>
      <c r="B15" s="9" t="s">
        <v>13</v>
      </c>
      <c r="C15" s="8"/>
      <c r="D15" s="8"/>
      <c r="E15" s="8"/>
      <c r="F15" s="8"/>
      <c r="G15" s="8"/>
      <c r="H15" s="8"/>
      <c r="I15" s="8"/>
      <c r="J15" s="8"/>
      <c r="K15" s="8"/>
      <c r="L15" s="8"/>
      <c r="M15" s="8"/>
      <c r="N15" s="8"/>
      <c r="O15" s="8"/>
    </row>
    <row r="17" spans="2:15" x14ac:dyDescent="0.3">
      <c r="B17" s="92" t="s">
        <v>11</v>
      </c>
      <c r="C17" s="92"/>
      <c r="D17" s="92"/>
      <c r="E17" s="92"/>
      <c r="F17" s="92"/>
      <c r="G17" s="14"/>
      <c r="J17" s="92" t="s">
        <v>7</v>
      </c>
      <c r="K17" s="92"/>
      <c r="L17" s="92"/>
      <c r="M17" s="92"/>
      <c r="N17" s="92"/>
      <c r="O17" s="14"/>
    </row>
    <row r="18" spans="2:15" ht="41.4" customHeight="1" x14ac:dyDescent="0.3">
      <c r="B18" s="10" t="s">
        <v>20</v>
      </c>
      <c r="C18" s="10" t="s">
        <v>22</v>
      </c>
      <c r="D18" s="10" t="s">
        <v>18</v>
      </c>
      <c r="E18" s="15" t="s">
        <v>5</v>
      </c>
      <c r="F18" s="10" t="s">
        <v>19</v>
      </c>
      <c r="G18" s="15" t="s">
        <v>30</v>
      </c>
      <c r="J18" s="10" t="s">
        <v>20</v>
      </c>
      <c r="K18" s="10" t="s">
        <v>22</v>
      </c>
      <c r="L18" s="10" t="s">
        <v>18</v>
      </c>
      <c r="M18" s="15" t="s">
        <v>5</v>
      </c>
      <c r="N18" s="10" t="s">
        <v>19</v>
      </c>
      <c r="O18" s="15" t="s">
        <v>30</v>
      </c>
    </row>
    <row r="19" spans="2:15" ht="28.2" customHeight="1" x14ac:dyDescent="0.3">
      <c r="B19" s="55" t="s">
        <v>14</v>
      </c>
      <c r="C19" s="56">
        <f>D19/$D$22</f>
        <v>0.4157303370786517</v>
      </c>
      <c r="D19" s="56">
        <v>1.85</v>
      </c>
      <c r="E19" s="16" t="s">
        <v>25</v>
      </c>
      <c r="F19" s="62">
        <v>7.0000000000000007E-2</v>
      </c>
      <c r="G19" s="57">
        <f>D19*(1+F19)^5</f>
        <v>2.5947207017950005</v>
      </c>
      <c r="J19" s="58" t="s">
        <v>21</v>
      </c>
      <c r="K19" s="59">
        <f>L19/L20</f>
        <v>1</v>
      </c>
      <c r="L19" s="60">
        <v>0.75</v>
      </c>
      <c r="M19" s="59">
        <v>11</v>
      </c>
      <c r="N19" s="61">
        <v>0.22</v>
      </c>
      <c r="O19" s="59">
        <f>L19*(1+N19)^5</f>
        <v>2.0270311223999995</v>
      </c>
    </row>
    <row r="20" spans="2:15" ht="28.2" customHeight="1" x14ac:dyDescent="0.3">
      <c r="B20" s="58" t="s">
        <v>15</v>
      </c>
      <c r="C20" s="56">
        <f t="shared" ref="C20:C21" si="0">D20/$D$22</f>
        <v>0.3595505617977528</v>
      </c>
      <c r="D20" s="59">
        <v>1.6</v>
      </c>
      <c r="E20" s="72" t="s">
        <v>25</v>
      </c>
      <c r="F20" s="61">
        <v>7.0000000000000007E-2</v>
      </c>
      <c r="G20" s="59">
        <f t="shared" ref="G20:G21" si="1">D20*(1+F20)^5</f>
        <v>2.2440827691200003</v>
      </c>
      <c r="J20" s="38" t="s">
        <v>23</v>
      </c>
      <c r="K20" s="39">
        <f>SUM(K19:K19)</f>
        <v>1</v>
      </c>
      <c r="L20" s="38">
        <f>SUM(L19:L19)</f>
        <v>0.75</v>
      </c>
      <c r="M20" s="39">
        <f>M19</f>
        <v>11</v>
      </c>
      <c r="N20" s="51">
        <f>N19*K19</f>
        <v>0.22</v>
      </c>
      <c r="O20" s="39">
        <f>O19</f>
        <v>2.0270311223999995</v>
      </c>
    </row>
    <row r="21" spans="2:15" ht="15.6" customHeight="1" x14ac:dyDescent="0.3">
      <c r="B21" s="63" t="s">
        <v>16</v>
      </c>
      <c r="C21" s="56">
        <f t="shared" si="0"/>
        <v>0.2247191011235955</v>
      </c>
      <c r="D21" s="64">
        <v>1</v>
      </c>
      <c r="E21" s="72" t="s">
        <v>25</v>
      </c>
      <c r="F21" s="61">
        <v>7.4999999999999997E-2</v>
      </c>
      <c r="G21" s="59">
        <f t="shared" si="1"/>
        <v>1.4356293261718749</v>
      </c>
      <c r="J21" s="3"/>
    </row>
    <row r="22" spans="2:15" x14ac:dyDescent="0.3">
      <c r="B22" s="38" t="s">
        <v>23</v>
      </c>
      <c r="C22" s="39">
        <f>SUM(C19:C21)</f>
        <v>1</v>
      </c>
      <c r="D22" s="39">
        <f>SUM(D19:D21)</f>
        <v>4.45</v>
      </c>
      <c r="E22" s="37" t="s">
        <v>25</v>
      </c>
      <c r="F22" s="50">
        <f>SUMPRODUCT(F19:F21,C19:C21)</f>
        <v>7.1123595505617976E-2</v>
      </c>
      <c r="G22" s="39">
        <f>SUM(G19:G21)</f>
        <v>6.2744327970868756</v>
      </c>
      <c r="H22" s="19"/>
    </row>
    <row r="23" spans="2:15" x14ac:dyDescent="0.3">
      <c r="B23" s="3"/>
      <c r="J23" s="92" t="s">
        <v>24</v>
      </c>
      <c r="K23" s="92"/>
      <c r="L23" s="92"/>
      <c r="M23" s="92"/>
      <c r="N23" s="92"/>
      <c r="O23" s="14"/>
    </row>
    <row r="24" spans="2:15" ht="43.2" x14ac:dyDescent="0.3">
      <c r="J24" s="10" t="s">
        <v>20</v>
      </c>
      <c r="K24" s="10" t="s">
        <v>22</v>
      </c>
      <c r="L24" s="10" t="s">
        <v>18</v>
      </c>
      <c r="M24" s="15" t="s">
        <v>5</v>
      </c>
      <c r="N24" s="10" t="s">
        <v>19</v>
      </c>
      <c r="O24" s="15" t="s">
        <v>30</v>
      </c>
    </row>
    <row r="25" spans="2:15" ht="28.8" x14ac:dyDescent="0.3">
      <c r="B25" s="92" t="s">
        <v>8</v>
      </c>
      <c r="C25" s="92"/>
      <c r="D25" s="92"/>
      <c r="E25" s="92"/>
      <c r="F25" s="92"/>
      <c r="G25" s="14"/>
      <c r="J25" s="55" t="s">
        <v>31</v>
      </c>
      <c r="K25" s="56">
        <f>L25/L26</f>
        <v>1</v>
      </c>
      <c r="L25" s="56">
        <v>0.1</v>
      </c>
      <c r="M25" s="16" t="s">
        <v>25</v>
      </c>
      <c r="N25" s="52">
        <v>0.04</v>
      </c>
      <c r="O25" s="57">
        <f>L25*(1+N25)^5</f>
        <v>0.12166529024000004</v>
      </c>
    </row>
    <row r="26" spans="2:15" ht="28.8" x14ac:dyDescent="0.3">
      <c r="B26" s="10" t="s">
        <v>20</v>
      </c>
      <c r="C26" s="10" t="s">
        <v>22</v>
      </c>
      <c r="D26" s="10" t="s">
        <v>18</v>
      </c>
      <c r="E26" s="15" t="s">
        <v>5</v>
      </c>
      <c r="F26" s="10" t="s">
        <v>19</v>
      </c>
      <c r="G26" s="15" t="s">
        <v>30</v>
      </c>
      <c r="J26" s="38" t="s">
        <v>23</v>
      </c>
      <c r="K26" s="39">
        <f>K25</f>
        <v>1</v>
      </c>
      <c r="L26" s="39">
        <f>L25</f>
        <v>0.1</v>
      </c>
      <c r="M26" s="37" t="s">
        <v>25</v>
      </c>
      <c r="N26" s="54">
        <f>N25*K25</f>
        <v>0.04</v>
      </c>
      <c r="O26" s="39">
        <f>O25</f>
        <v>0.12166529024000004</v>
      </c>
    </row>
    <row r="27" spans="2:15" x14ac:dyDescent="0.3">
      <c r="B27" s="84" t="s">
        <v>1</v>
      </c>
      <c r="C27" s="42">
        <f>D27/$D$30</f>
        <v>0.14285714285714285</v>
      </c>
      <c r="D27" s="42">
        <v>0.6</v>
      </c>
      <c r="E27" s="42">
        <v>9.5</v>
      </c>
      <c r="F27" s="48">
        <v>0.1275</v>
      </c>
      <c r="G27" s="42">
        <f>D27*(1+F27)^5</f>
        <v>1.093286544565488</v>
      </c>
      <c r="H27" s="19"/>
      <c r="O27" s="25"/>
    </row>
    <row r="28" spans="2:15" x14ac:dyDescent="0.3">
      <c r="B28" s="18" t="s">
        <v>32</v>
      </c>
      <c r="C28" s="42">
        <f t="shared" ref="C28:C29" si="2">D28/$D$30</f>
        <v>0.14285714285714285</v>
      </c>
      <c r="D28" s="47">
        <v>0.6</v>
      </c>
      <c r="E28" s="47">
        <v>10.66</v>
      </c>
      <c r="F28" s="53">
        <v>0.23</v>
      </c>
      <c r="G28" s="26">
        <v>0.89</v>
      </c>
      <c r="H28" s="19"/>
      <c r="O28" s="20"/>
    </row>
    <row r="29" spans="2:15" ht="16.2" customHeight="1" x14ac:dyDescent="0.3">
      <c r="B29" s="13" t="s">
        <v>53</v>
      </c>
      <c r="C29" s="42">
        <f t="shared" si="2"/>
        <v>0.7142857142857143</v>
      </c>
      <c r="D29" s="26">
        <v>3</v>
      </c>
      <c r="E29" s="26">
        <v>13.81</v>
      </c>
      <c r="F29" s="49">
        <v>0.23</v>
      </c>
      <c r="G29" s="26">
        <f>D29*(1+F29)^5</f>
        <v>8.4459170528999987</v>
      </c>
      <c r="H29" s="19"/>
    </row>
    <row r="30" spans="2:15" x14ac:dyDescent="0.3">
      <c r="B30" s="38" t="s">
        <v>23</v>
      </c>
      <c r="C30" s="39">
        <f>SUM(C27:C29)</f>
        <v>1</v>
      </c>
      <c r="D30" s="38">
        <f>SUM(D27:D29)</f>
        <v>4.2</v>
      </c>
      <c r="E30" s="39">
        <f>SUMPRODUCT(E27:E29,C27:C29)</f>
        <v>12.744285714285716</v>
      </c>
      <c r="F30" s="77">
        <f>(G30/D30)^(1/5)-1</f>
        <v>0.19950032804254048</v>
      </c>
      <c r="G30" s="39">
        <f>SUM(G27:G29)</f>
        <v>10.429203597465486</v>
      </c>
      <c r="H30" s="19"/>
    </row>
    <row r="31" spans="2:15" x14ac:dyDescent="0.3">
      <c r="B31" s="3"/>
    </row>
    <row r="33" spans="2:7" x14ac:dyDescent="0.3">
      <c r="B33" s="92" t="s">
        <v>35</v>
      </c>
      <c r="C33" s="92"/>
      <c r="D33" s="92"/>
      <c r="E33" s="92"/>
      <c r="F33" s="92"/>
      <c r="G33" s="14"/>
    </row>
    <row r="34" spans="2:7" ht="42" customHeight="1" x14ac:dyDescent="0.3">
      <c r="B34" s="10" t="s">
        <v>20</v>
      </c>
      <c r="C34" s="10" t="s">
        <v>22</v>
      </c>
      <c r="D34" s="10" t="s">
        <v>18</v>
      </c>
      <c r="E34" s="15" t="s">
        <v>5</v>
      </c>
      <c r="F34" s="10" t="s">
        <v>19</v>
      </c>
      <c r="G34" s="15" t="s">
        <v>30</v>
      </c>
    </row>
    <row r="35" spans="2:7" x14ac:dyDescent="0.3">
      <c r="B35" s="11" t="s">
        <v>2</v>
      </c>
      <c r="C35" s="42">
        <f>D35/D36</f>
        <v>1</v>
      </c>
      <c r="D35" s="42">
        <v>0.5</v>
      </c>
      <c r="E35" s="42">
        <v>2</v>
      </c>
      <c r="F35" s="17">
        <v>0.1598</v>
      </c>
      <c r="G35" s="20">
        <f>D35*(1+F35)^5</f>
        <v>1.0492658212453803</v>
      </c>
    </row>
    <row r="36" spans="2:7" x14ac:dyDescent="0.3">
      <c r="B36" s="38" t="s">
        <v>23</v>
      </c>
      <c r="C36" s="39">
        <f>SUM(C35:C35)</f>
        <v>1</v>
      </c>
      <c r="D36" s="39">
        <f>SUM(D35:D35)</f>
        <v>0.5</v>
      </c>
      <c r="E36" s="39">
        <f>SUMPRODUCT(E35,C35)</f>
        <v>2</v>
      </c>
      <c r="F36" s="40">
        <f>F35*C35</f>
        <v>0.1598</v>
      </c>
      <c r="G36" s="41">
        <f>G35</f>
        <v>1.0492658212453803</v>
      </c>
    </row>
  </sheetData>
  <mergeCells count="10">
    <mergeCell ref="C10:D10"/>
    <mergeCell ref="B9:D9"/>
    <mergeCell ref="C11:D11"/>
    <mergeCell ref="C12:D12"/>
    <mergeCell ref="B17:F17"/>
    <mergeCell ref="J17:N17"/>
    <mergeCell ref="B25:F25"/>
    <mergeCell ref="J23:N23"/>
    <mergeCell ref="B33:F33"/>
    <mergeCell ref="C13:D13"/>
  </mergeCells>
  <pageMargins left="0.7" right="0.7" top="0.75" bottom="0.75" header="0.3" footer="0.3"/>
  <pageSetup paperSize="9" scale="5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DB619-71E6-4DCB-9BA0-C4F52C8322C6}">
  <dimension ref="A2:O36"/>
  <sheetViews>
    <sheetView showGridLines="0" workbookViewId="0"/>
  </sheetViews>
  <sheetFormatPr defaultRowHeight="14.4" x14ac:dyDescent="0.3"/>
  <cols>
    <col min="1" max="1" width="1.6640625" customWidth="1"/>
    <col min="2" max="2" width="19.77734375" customWidth="1"/>
    <col min="3" max="5" width="9.5546875" customWidth="1"/>
    <col min="6" max="6" width="10.77734375" customWidth="1"/>
    <col min="7" max="7" width="11.21875" customWidth="1"/>
    <col min="8" max="8" width="13.5546875" customWidth="1"/>
    <col min="10" max="10" width="16" customWidth="1"/>
    <col min="13" max="13" width="10.33203125" customWidth="1"/>
  </cols>
  <sheetData>
    <row r="2" spans="1:15" x14ac:dyDescent="0.3">
      <c r="B2" s="27" t="s">
        <v>75</v>
      </c>
    </row>
    <row r="3" spans="1:15" ht="45" customHeight="1" x14ac:dyDescent="0.3">
      <c r="A3" t="s">
        <v>17</v>
      </c>
      <c r="B3" s="1" t="s">
        <v>3</v>
      </c>
      <c r="C3" s="2" t="s">
        <v>11</v>
      </c>
      <c r="D3" s="1" t="s">
        <v>7</v>
      </c>
      <c r="E3" s="2" t="s">
        <v>8</v>
      </c>
      <c r="F3" s="2" t="s">
        <v>9</v>
      </c>
      <c r="G3" s="2" t="s">
        <v>10</v>
      </c>
    </row>
    <row r="4" spans="1:15" x14ac:dyDescent="0.3">
      <c r="B4" s="4" t="s">
        <v>52</v>
      </c>
      <c r="C4" s="53">
        <f>F22</f>
        <v>7.4269662921348317E-2</v>
      </c>
      <c r="D4" s="53">
        <f>N20</f>
        <v>0.16</v>
      </c>
      <c r="E4" s="53">
        <f>F30</f>
        <v>0.15772642623702149</v>
      </c>
      <c r="F4" s="53">
        <f>N26</f>
        <v>0.2</v>
      </c>
      <c r="G4" s="53">
        <f>F36</f>
        <v>0.1308</v>
      </c>
    </row>
    <row r="5" spans="1:15" x14ac:dyDescent="0.3">
      <c r="B5" s="5" t="s">
        <v>5</v>
      </c>
      <c r="C5" s="66" t="str">
        <f>E22</f>
        <v>-</v>
      </c>
      <c r="D5" s="26">
        <f>M20</f>
        <v>12</v>
      </c>
      <c r="E5" s="26">
        <f>E30</f>
        <v>12.882857142857143</v>
      </c>
      <c r="F5" s="66" t="str">
        <f>M26</f>
        <v>-</v>
      </c>
      <c r="G5" s="26">
        <f>E36</f>
        <v>4</v>
      </c>
    </row>
    <row r="6" spans="1:15" x14ac:dyDescent="0.3">
      <c r="B6" s="5" t="s">
        <v>6</v>
      </c>
      <c r="C6" s="26">
        <f>D22/C10</f>
        <v>0.44500000000000001</v>
      </c>
      <c r="D6" s="6">
        <f>L20/C10</f>
        <v>7.4999999999999997E-2</v>
      </c>
      <c r="E6" s="6">
        <f>D30/C10</f>
        <v>0.42000000000000004</v>
      </c>
      <c r="F6" s="6">
        <f>L26/C10</f>
        <v>0.01</v>
      </c>
      <c r="G6" s="6">
        <f>D36/C10</f>
        <v>0.05</v>
      </c>
    </row>
    <row r="8" spans="1:15" ht="15" thickBot="1" x14ac:dyDescent="0.35"/>
    <row r="9" spans="1:15" x14ac:dyDescent="0.3">
      <c r="A9" t="s">
        <v>17</v>
      </c>
      <c r="B9" s="97" t="s">
        <v>12</v>
      </c>
      <c r="C9" s="98"/>
      <c r="D9" s="99"/>
    </row>
    <row r="10" spans="1:15" x14ac:dyDescent="0.3">
      <c r="B10" s="33" t="s">
        <v>28</v>
      </c>
      <c r="C10" s="95">
        <v>10</v>
      </c>
      <c r="D10" s="96"/>
    </row>
    <row r="11" spans="1:15" x14ac:dyDescent="0.3">
      <c r="B11" s="89" t="s">
        <v>4</v>
      </c>
      <c r="C11" s="100">
        <f>(C13/C10)^(1/10)-1</f>
        <v>0.11518932183624409</v>
      </c>
      <c r="D11" s="101"/>
    </row>
    <row r="12" spans="1:15" x14ac:dyDescent="0.3">
      <c r="B12" s="34" t="s">
        <v>5</v>
      </c>
      <c r="C12" s="102">
        <f>SUMPRODUCT(C5:G5,C6:G6)</f>
        <v>6.5108000000000006</v>
      </c>
      <c r="D12" s="103"/>
    </row>
    <row r="13" spans="1:15" ht="15" thickBot="1" x14ac:dyDescent="0.35">
      <c r="B13" s="36" t="s">
        <v>46</v>
      </c>
      <c r="C13" s="104">
        <f>SUM(G22,G30,O26,G36)</f>
        <v>29.749935135416695</v>
      </c>
      <c r="D13" s="105"/>
    </row>
    <row r="15" spans="1:15" x14ac:dyDescent="0.3">
      <c r="A15" t="s">
        <v>17</v>
      </c>
      <c r="B15" s="9" t="s">
        <v>13</v>
      </c>
      <c r="C15" s="8"/>
      <c r="D15" s="8"/>
      <c r="E15" s="8"/>
      <c r="F15" s="8"/>
      <c r="G15" s="8"/>
      <c r="H15" s="8"/>
      <c r="I15" s="8"/>
      <c r="J15" s="8"/>
      <c r="K15" s="8"/>
      <c r="L15" s="8"/>
      <c r="M15" s="8"/>
      <c r="N15" s="8"/>
      <c r="O15" s="8"/>
    </row>
    <row r="17" spans="2:15" x14ac:dyDescent="0.3">
      <c r="B17" s="32" t="s">
        <v>11</v>
      </c>
      <c r="C17" s="32"/>
      <c r="D17" s="32"/>
      <c r="E17" s="32"/>
      <c r="F17" s="32"/>
      <c r="G17" s="14"/>
      <c r="J17" s="32" t="s">
        <v>7</v>
      </c>
      <c r="K17" s="32"/>
      <c r="L17" s="32"/>
      <c r="M17" s="32"/>
      <c r="N17" s="32"/>
      <c r="O17" s="14"/>
    </row>
    <row r="18" spans="2:15" ht="41.4" customHeight="1" x14ac:dyDescent="0.3">
      <c r="B18" s="10" t="s">
        <v>20</v>
      </c>
      <c r="C18" s="10" t="s">
        <v>22</v>
      </c>
      <c r="D18" s="10" t="s">
        <v>18</v>
      </c>
      <c r="E18" s="15" t="s">
        <v>5</v>
      </c>
      <c r="F18" s="10" t="s">
        <v>19</v>
      </c>
      <c r="G18" s="15" t="s">
        <v>34</v>
      </c>
      <c r="J18" s="10" t="s">
        <v>20</v>
      </c>
      <c r="K18" s="10" t="s">
        <v>22</v>
      </c>
      <c r="L18" s="10" t="s">
        <v>18</v>
      </c>
      <c r="M18" s="15" t="s">
        <v>5</v>
      </c>
      <c r="N18" s="10" t="s">
        <v>19</v>
      </c>
      <c r="O18" s="15" t="s">
        <v>34</v>
      </c>
    </row>
    <row r="19" spans="2:15" ht="26.4" customHeight="1" x14ac:dyDescent="0.3">
      <c r="B19" s="11" t="s">
        <v>14</v>
      </c>
      <c r="C19" s="42">
        <f>D19/$D$22</f>
        <v>0.4157303370786517</v>
      </c>
      <c r="D19" s="56">
        <v>1.85</v>
      </c>
      <c r="E19" s="68" t="s">
        <v>25</v>
      </c>
      <c r="F19" s="48">
        <v>7.0000000000000007E-2</v>
      </c>
      <c r="G19" s="19">
        <f>D19*(1+F19)^10</f>
        <v>3.6392300109856963</v>
      </c>
      <c r="J19" s="13" t="s">
        <v>21</v>
      </c>
      <c r="K19" s="26">
        <f>L19/L20</f>
        <v>1</v>
      </c>
      <c r="L19" s="6">
        <v>0.75</v>
      </c>
      <c r="M19" s="26">
        <v>12</v>
      </c>
      <c r="N19" s="49">
        <v>0.16</v>
      </c>
      <c r="O19" s="26">
        <f>L19*(1+N19)^10</f>
        <v>3.3085763089874356</v>
      </c>
    </row>
    <row r="20" spans="2:15" ht="28.2" customHeight="1" x14ac:dyDescent="0.3">
      <c r="B20" s="13" t="s">
        <v>15</v>
      </c>
      <c r="C20" s="42">
        <f t="shared" ref="C20:C21" si="0">D20/$D$22</f>
        <v>0.3595505617977528</v>
      </c>
      <c r="D20" s="59">
        <v>1.6</v>
      </c>
      <c r="E20" s="67" t="s">
        <v>25</v>
      </c>
      <c r="F20" s="49">
        <v>7.0000000000000007E-2</v>
      </c>
      <c r="G20" s="26">
        <f>D20*(1+F20)^10</f>
        <v>3.1474421716633052</v>
      </c>
      <c r="J20" s="38" t="s">
        <v>23</v>
      </c>
      <c r="K20" s="39">
        <f>SUM(K19:K19)</f>
        <v>1</v>
      </c>
      <c r="L20" s="38">
        <f>SUM(L19:L19)</f>
        <v>0.75</v>
      </c>
      <c r="M20" s="39">
        <f>SUMPRODUCT(M19,K19)</f>
        <v>12</v>
      </c>
      <c r="N20" s="51">
        <f>N19*K19</f>
        <v>0.16</v>
      </c>
      <c r="O20" s="39">
        <f>O19</f>
        <v>3.3085763089874356</v>
      </c>
    </row>
    <row r="21" spans="2:15" ht="15.6" customHeight="1" x14ac:dyDescent="0.3">
      <c r="B21" s="5" t="s">
        <v>16</v>
      </c>
      <c r="C21" s="42">
        <f t="shared" si="0"/>
        <v>0.2247191011235955</v>
      </c>
      <c r="D21" s="64">
        <v>1</v>
      </c>
      <c r="E21" s="67" t="s">
        <v>25</v>
      </c>
      <c r="F21" s="49">
        <v>8.8999999999999996E-2</v>
      </c>
      <c r="G21" s="26">
        <f>D21*(1+F21)^10</f>
        <v>2.3457341881036795</v>
      </c>
      <c r="J21" s="3"/>
    </row>
    <row r="22" spans="2:15" x14ac:dyDescent="0.3">
      <c r="B22" s="38" t="s">
        <v>23</v>
      </c>
      <c r="C22" s="39">
        <f>SUM(C19:C21)</f>
        <v>1</v>
      </c>
      <c r="D22" s="39">
        <f>SUM(D19:D21)</f>
        <v>4.45</v>
      </c>
      <c r="E22" s="37" t="s">
        <v>25</v>
      </c>
      <c r="F22" s="50">
        <f>SUMPRODUCT(C19:C21,F19:F21)</f>
        <v>7.4269662921348317E-2</v>
      </c>
      <c r="G22" s="39">
        <f>SUM(G19:G21)</f>
        <v>9.1324063707526797</v>
      </c>
    </row>
    <row r="23" spans="2:15" x14ac:dyDescent="0.3">
      <c r="B23" s="3"/>
      <c r="J23" s="32" t="s">
        <v>24</v>
      </c>
      <c r="K23" s="32"/>
      <c r="L23" s="32"/>
      <c r="M23" s="32"/>
      <c r="N23" s="32"/>
      <c r="O23" s="14"/>
    </row>
    <row r="24" spans="2:15" ht="43.2" x14ac:dyDescent="0.3">
      <c r="J24" s="10" t="s">
        <v>20</v>
      </c>
      <c r="K24" s="10" t="s">
        <v>22</v>
      </c>
      <c r="L24" s="10" t="s">
        <v>18</v>
      </c>
      <c r="M24" s="15" t="s">
        <v>5</v>
      </c>
      <c r="N24" s="10" t="s">
        <v>19</v>
      </c>
      <c r="O24" s="15" t="s">
        <v>34</v>
      </c>
    </row>
    <row r="25" spans="2:15" ht="28.8" x14ac:dyDescent="0.3">
      <c r="B25" s="32" t="s">
        <v>8</v>
      </c>
      <c r="C25" s="32"/>
      <c r="D25" s="32"/>
      <c r="E25" s="32"/>
      <c r="F25" s="32"/>
      <c r="G25" s="14"/>
      <c r="J25" s="11" t="s">
        <v>31</v>
      </c>
      <c r="K25" s="42">
        <f>L25/L26</f>
        <v>5</v>
      </c>
      <c r="L25" s="42">
        <v>0.5</v>
      </c>
      <c r="M25" s="16" t="s">
        <v>25</v>
      </c>
      <c r="N25" s="52">
        <v>0.04</v>
      </c>
      <c r="O25" s="19">
        <f>L25*(1+N25)^10</f>
        <v>0.74012214245917229</v>
      </c>
    </row>
    <row r="26" spans="2:15" ht="43.2" x14ac:dyDescent="0.3">
      <c r="B26" s="10" t="s">
        <v>20</v>
      </c>
      <c r="C26" s="10" t="s">
        <v>22</v>
      </c>
      <c r="D26" s="10" t="s">
        <v>18</v>
      </c>
      <c r="E26" s="15" t="s">
        <v>5</v>
      </c>
      <c r="F26" s="10" t="s">
        <v>19</v>
      </c>
      <c r="G26" s="15" t="s">
        <v>34</v>
      </c>
      <c r="J26" s="38" t="s">
        <v>23</v>
      </c>
      <c r="K26" s="39">
        <f>K25</f>
        <v>5</v>
      </c>
      <c r="L26" s="39">
        <v>0.1</v>
      </c>
      <c r="M26" s="37" t="s">
        <v>25</v>
      </c>
      <c r="N26" s="54">
        <f>N25*K25</f>
        <v>0.2</v>
      </c>
      <c r="O26" s="39">
        <f>O25</f>
        <v>0.74012214245917229</v>
      </c>
    </row>
    <row r="27" spans="2:15" x14ac:dyDescent="0.3">
      <c r="B27" s="84" t="s">
        <v>1</v>
      </c>
      <c r="C27" s="42">
        <f>D27/$D$30</f>
        <v>0.14285714285714285</v>
      </c>
      <c r="D27" s="12">
        <v>0.6</v>
      </c>
      <c r="E27" s="42">
        <v>9.23</v>
      </c>
      <c r="F27" s="48">
        <v>0.1134</v>
      </c>
      <c r="G27" s="19">
        <f>D27*(1+F27)^10</f>
        <v>1.7565617441380652</v>
      </c>
      <c r="O27" s="25"/>
    </row>
    <row r="28" spans="2:15" ht="28.8" x14ac:dyDescent="0.3">
      <c r="B28" s="18" t="s">
        <v>32</v>
      </c>
      <c r="C28" s="42">
        <f t="shared" ref="C28:C29" si="1">D28/$D$30</f>
        <v>0.14285714285714285</v>
      </c>
      <c r="D28" s="47">
        <v>0.6</v>
      </c>
      <c r="E28" s="47">
        <v>10.95</v>
      </c>
      <c r="F28" s="53">
        <v>0.188</v>
      </c>
      <c r="G28" s="26">
        <v>0.71</v>
      </c>
      <c r="O28" s="20"/>
    </row>
    <row r="29" spans="2:15" ht="16.2" customHeight="1" x14ac:dyDescent="0.3">
      <c r="B29" s="13" t="s">
        <v>53</v>
      </c>
      <c r="C29" s="42">
        <f t="shared" si="1"/>
        <v>0.7142857142857143</v>
      </c>
      <c r="D29" s="26">
        <v>3</v>
      </c>
      <c r="E29" s="26">
        <v>14</v>
      </c>
      <c r="F29" s="49">
        <v>0.18</v>
      </c>
      <c r="G29" s="26">
        <f>D29*(1+F29)^10</f>
        <v>15.701506661395696</v>
      </c>
    </row>
    <row r="30" spans="2:15" x14ac:dyDescent="0.3">
      <c r="B30" s="38" t="s">
        <v>23</v>
      </c>
      <c r="C30" s="38">
        <f>SUM(C27:C29)</f>
        <v>1</v>
      </c>
      <c r="D30" s="38">
        <f>SUM(D27:D29)</f>
        <v>4.2</v>
      </c>
      <c r="E30" s="39">
        <f>SUMPRODUCT(E27:E29,C27:C29)</f>
        <v>12.882857142857143</v>
      </c>
      <c r="F30" s="50">
        <f>(G30/D30)^(1/10)-1</f>
        <v>0.15772642623702149</v>
      </c>
      <c r="G30" s="39">
        <f>SUM(G27:G29)</f>
        <v>18.168068405533759</v>
      </c>
    </row>
    <row r="31" spans="2:15" x14ac:dyDescent="0.3">
      <c r="B31" s="3"/>
    </row>
    <row r="33" spans="2:7" x14ac:dyDescent="0.3">
      <c r="B33" s="32" t="s">
        <v>35</v>
      </c>
      <c r="C33" s="32"/>
      <c r="D33" s="32"/>
      <c r="E33" s="32"/>
      <c r="F33" s="32"/>
      <c r="G33" s="14"/>
    </row>
    <row r="34" spans="2:7" ht="43.2" x14ac:dyDescent="0.3">
      <c r="B34" s="10" t="s">
        <v>20</v>
      </c>
      <c r="C34" s="10" t="s">
        <v>22</v>
      </c>
      <c r="D34" s="10" t="s">
        <v>18</v>
      </c>
      <c r="E34" s="15" t="s">
        <v>5</v>
      </c>
      <c r="F34" s="10" t="s">
        <v>19</v>
      </c>
      <c r="G34" s="15" t="s">
        <v>34</v>
      </c>
    </row>
    <row r="35" spans="2:7" x14ac:dyDescent="0.3">
      <c r="B35" s="11" t="s">
        <v>2</v>
      </c>
      <c r="C35" s="42">
        <f>D35/D36</f>
        <v>1</v>
      </c>
      <c r="D35" s="42">
        <v>0.5</v>
      </c>
      <c r="E35" s="42">
        <v>4</v>
      </c>
      <c r="F35" s="48">
        <v>0.1308</v>
      </c>
      <c r="G35" s="19">
        <f>D35*(1+F35)^10</f>
        <v>1.709338216671084</v>
      </c>
    </row>
    <row r="36" spans="2:7" x14ac:dyDescent="0.3">
      <c r="B36" s="38" t="s">
        <v>23</v>
      </c>
      <c r="C36" s="39">
        <f>SUM(C35:C35)</f>
        <v>1</v>
      </c>
      <c r="D36" s="39">
        <f>SUM(D35:D35)</f>
        <v>0.5</v>
      </c>
      <c r="E36" s="39">
        <f>SUMPRODUCT(E35,C35)</f>
        <v>4</v>
      </c>
      <c r="F36" s="51">
        <f>F35*C35</f>
        <v>0.1308</v>
      </c>
      <c r="G36" s="39">
        <f>G35</f>
        <v>1.709338216671084</v>
      </c>
    </row>
  </sheetData>
  <mergeCells count="5">
    <mergeCell ref="B9:D9"/>
    <mergeCell ref="C10:D10"/>
    <mergeCell ref="C11:D11"/>
    <mergeCell ref="C12:D12"/>
    <mergeCell ref="C13:D1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D2A16-FBB7-463F-85D0-40CC26C56E1A}">
  <dimension ref="A2:G21"/>
  <sheetViews>
    <sheetView showGridLines="0" zoomScale="120" zoomScaleNormal="120" workbookViewId="0">
      <selection activeCell="B8" sqref="B8"/>
    </sheetView>
  </sheetViews>
  <sheetFormatPr defaultRowHeight="14.4" x14ac:dyDescent="0.3"/>
  <cols>
    <col min="1" max="1" width="2" customWidth="1"/>
    <col min="2" max="2" width="30.77734375" customWidth="1"/>
    <col min="3" max="3" width="7.77734375" customWidth="1"/>
    <col min="4" max="6" width="11.44140625" customWidth="1"/>
    <col min="7" max="7" width="10.77734375" customWidth="1"/>
  </cols>
  <sheetData>
    <row r="2" spans="1:7" x14ac:dyDescent="0.3">
      <c r="A2" t="s">
        <v>17</v>
      </c>
      <c r="B2" s="108" t="s">
        <v>55</v>
      </c>
      <c r="C2" s="108"/>
      <c r="D2" s="108"/>
      <c r="E2" s="7"/>
      <c r="F2" s="7"/>
    </row>
    <row r="3" spans="1:7" ht="40.799999999999997" customHeight="1" x14ac:dyDescent="0.3">
      <c r="B3" s="109"/>
      <c r="C3" s="109"/>
      <c r="D3" s="29" t="s">
        <v>49</v>
      </c>
      <c r="E3" s="29" t="s">
        <v>0</v>
      </c>
      <c r="F3" s="29" t="s">
        <v>4</v>
      </c>
      <c r="G3" s="22"/>
    </row>
    <row r="4" spans="1:7" x14ac:dyDescent="0.3">
      <c r="B4" s="106" t="s">
        <v>39</v>
      </c>
      <c r="C4" s="106"/>
      <c r="D4" s="49">
        <v>0.23</v>
      </c>
      <c r="E4" s="26">
        <v>0.6</v>
      </c>
      <c r="F4" s="6">
        <f>(50000*12)/10000000</f>
        <v>0.06</v>
      </c>
    </row>
    <row r="5" spans="1:7" x14ac:dyDescent="0.3">
      <c r="B5" s="107" t="s">
        <v>38</v>
      </c>
      <c r="C5" s="107"/>
      <c r="D5" s="49">
        <v>7.0000000000000007E-2</v>
      </c>
      <c r="E5" s="26">
        <v>4</v>
      </c>
      <c r="F5" s="6">
        <f>E5*D5</f>
        <v>0.28000000000000003</v>
      </c>
    </row>
    <row r="6" spans="1:7" x14ac:dyDescent="0.3">
      <c r="B6" s="23" t="s">
        <v>50</v>
      </c>
      <c r="C6" s="23"/>
      <c r="D6" s="49">
        <v>2.8799999999999999E-2</v>
      </c>
      <c r="E6" s="26">
        <f>'Portfolio 5Y'!L19</f>
        <v>0.75</v>
      </c>
      <c r="F6" s="26">
        <f>E6*D6</f>
        <v>2.1600000000000001E-2</v>
      </c>
    </row>
    <row r="7" spans="1:7" x14ac:dyDescent="0.3">
      <c r="B7" s="23" t="s">
        <v>51</v>
      </c>
      <c r="C7" s="23"/>
      <c r="D7" s="49">
        <v>0.04</v>
      </c>
      <c r="E7" s="26">
        <v>0.1</v>
      </c>
      <c r="F7" s="26">
        <f>E7*D7</f>
        <v>4.0000000000000001E-3</v>
      </c>
    </row>
    <row r="8" spans="1:7" x14ac:dyDescent="0.3">
      <c r="B8" s="5" t="s">
        <v>23</v>
      </c>
      <c r="C8" s="5"/>
      <c r="D8" s="6"/>
      <c r="E8" s="90">
        <f>SUM(E4:E7)</f>
        <v>5.4499999999999993</v>
      </c>
      <c r="F8" s="90">
        <f>SUM(F4:F7)</f>
        <v>0.36560000000000004</v>
      </c>
    </row>
    <row r="9" spans="1:7" ht="15" thickBot="1" x14ac:dyDescent="0.35"/>
    <row r="10" spans="1:7" ht="13.8" customHeight="1" thickBot="1" x14ac:dyDescent="0.35">
      <c r="B10" s="24" t="s">
        <v>47</v>
      </c>
      <c r="C10" s="65">
        <f>F8/12</f>
        <v>3.046666666666667E-2</v>
      </c>
    </row>
    <row r="13" spans="1:7" x14ac:dyDescent="0.3">
      <c r="A13" t="s">
        <v>17</v>
      </c>
      <c r="B13" s="108" t="s">
        <v>56</v>
      </c>
      <c r="C13" s="108"/>
      <c r="D13" s="108"/>
      <c r="E13" s="7"/>
      <c r="F13" s="7"/>
    </row>
    <row r="14" spans="1:7" ht="43.8" customHeight="1" x14ac:dyDescent="0.3">
      <c r="B14" s="109"/>
      <c r="C14" s="109"/>
      <c r="D14" s="29" t="s">
        <v>49</v>
      </c>
      <c r="E14" s="29" t="s">
        <v>0</v>
      </c>
      <c r="F14" s="29" t="s">
        <v>4</v>
      </c>
    </row>
    <row r="15" spans="1:7" x14ac:dyDescent="0.3">
      <c r="B15" s="106" t="s">
        <v>37</v>
      </c>
      <c r="C15" s="106"/>
      <c r="D15" s="49">
        <v>0.188</v>
      </c>
      <c r="E15" s="26">
        <v>0.6</v>
      </c>
      <c r="F15" s="30">
        <f>(50000*12)/10000000</f>
        <v>0.06</v>
      </c>
    </row>
    <row r="16" spans="1:7" x14ac:dyDescent="0.3">
      <c r="B16" s="107" t="s">
        <v>36</v>
      </c>
      <c r="C16" s="107"/>
      <c r="D16" s="49">
        <v>7.0000000000000007E-2</v>
      </c>
      <c r="E16" s="26">
        <v>4</v>
      </c>
      <c r="F16" s="6">
        <f>E16*D16</f>
        <v>0.28000000000000003</v>
      </c>
    </row>
    <row r="17" spans="2:6" x14ac:dyDescent="0.3">
      <c r="B17" s="23" t="s">
        <v>50</v>
      </c>
      <c r="C17" s="23"/>
      <c r="D17" s="49">
        <v>2.8799999999999999E-2</v>
      </c>
      <c r="E17" s="26">
        <v>0.75</v>
      </c>
      <c r="F17" s="26">
        <f>E17*D17</f>
        <v>2.1600000000000001E-2</v>
      </c>
    </row>
    <row r="18" spans="2:6" x14ac:dyDescent="0.3">
      <c r="B18" s="23" t="s">
        <v>51</v>
      </c>
      <c r="C18" s="23"/>
      <c r="D18" s="49">
        <v>0.04</v>
      </c>
      <c r="E18" s="26">
        <v>0.1</v>
      </c>
      <c r="F18" s="26">
        <f>E18*D18</f>
        <v>4.0000000000000001E-3</v>
      </c>
    </row>
    <row r="19" spans="2:6" x14ac:dyDescent="0.3">
      <c r="B19" s="5" t="s">
        <v>23</v>
      </c>
      <c r="C19" s="5"/>
      <c r="D19" s="6"/>
      <c r="E19" s="90">
        <f>SUM(E15:E18)</f>
        <v>5.4499999999999993</v>
      </c>
      <c r="F19" s="90">
        <f>SUM(F15:F18)</f>
        <v>0.36560000000000004</v>
      </c>
    </row>
    <row r="20" spans="2:6" ht="15" thickBot="1" x14ac:dyDescent="0.35"/>
    <row r="21" spans="2:6" ht="13.8" customHeight="1" thickBot="1" x14ac:dyDescent="0.35">
      <c r="B21" s="24" t="s">
        <v>48</v>
      </c>
      <c r="C21" s="65">
        <f>F19/12</f>
        <v>3.046666666666667E-2</v>
      </c>
    </row>
  </sheetData>
  <mergeCells count="8">
    <mergeCell ref="B15:C15"/>
    <mergeCell ref="B16:C16"/>
    <mergeCell ref="B2:D2"/>
    <mergeCell ref="B3:C3"/>
    <mergeCell ref="B4:C4"/>
    <mergeCell ref="B5:C5"/>
    <mergeCell ref="B13:D13"/>
    <mergeCell ref="B14:C1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DBA21-E14F-483F-952D-18B20EBE253E}">
  <dimension ref="A2:S161"/>
  <sheetViews>
    <sheetView showGridLines="0" topLeftCell="A100" zoomScale="117" zoomScaleNormal="117" workbookViewId="0">
      <selection activeCell="Q113" sqref="Q113"/>
    </sheetView>
  </sheetViews>
  <sheetFormatPr defaultRowHeight="14.4" x14ac:dyDescent="0.3"/>
  <cols>
    <col min="1" max="1" width="2.21875" customWidth="1"/>
    <col min="2" max="2" width="11.77734375" customWidth="1"/>
    <col min="3" max="3" width="10.44140625" customWidth="1"/>
    <col min="7" max="7" width="12.77734375" customWidth="1"/>
    <col min="8" max="8" width="11.21875" customWidth="1"/>
    <col min="9" max="9" width="11.88671875" customWidth="1"/>
    <col min="10" max="10" width="9.109375" customWidth="1"/>
    <col min="11" max="11" width="7.88671875" customWidth="1"/>
    <col min="12" max="12" width="6.21875" customWidth="1"/>
    <col min="13" max="13" width="6.6640625" customWidth="1"/>
    <col min="14" max="14" width="10" customWidth="1"/>
    <col min="15" max="15" width="10.77734375" customWidth="1"/>
  </cols>
  <sheetData>
    <row r="2" spans="1:2" x14ac:dyDescent="0.3">
      <c r="A2" t="s">
        <v>17</v>
      </c>
      <c r="B2" s="3" t="s">
        <v>26</v>
      </c>
    </row>
    <row r="25" spans="1:13" x14ac:dyDescent="0.3">
      <c r="M25" s="3"/>
    </row>
    <row r="27" spans="1:13" x14ac:dyDescent="0.3">
      <c r="M27" s="3"/>
    </row>
    <row r="28" spans="1:13" x14ac:dyDescent="0.3">
      <c r="A28" t="s">
        <v>17</v>
      </c>
      <c r="B28" s="3" t="s">
        <v>27</v>
      </c>
    </row>
    <row r="43" spans="1:2" x14ac:dyDescent="0.3">
      <c r="A43" t="s">
        <v>17</v>
      </c>
      <c r="B43" s="3" t="s">
        <v>33</v>
      </c>
    </row>
    <row r="58" spans="1:2" x14ac:dyDescent="0.3">
      <c r="A58" t="s">
        <v>17</v>
      </c>
      <c r="B58" s="3" t="s">
        <v>40</v>
      </c>
    </row>
    <row r="83" spans="1:7" ht="15" thickBot="1" x14ac:dyDescent="0.35"/>
    <row r="84" spans="1:7" ht="15" thickBot="1" x14ac:dyDescent="0.35">
      <c r="C84" s="28" t="s">
        <v>76</v>
      </c>
      <c r="D84" s="71">
        <f>_xlfn.STDEV.S(17.55,17.16,12.83,16.67)</f>
        <v>2.1782925270342575</v>
      </c>
    </row>
    <row r="85" spans="1:7" ht="15" thickBot="1" x14ac:dyDescent="0.35">
      <c r="C85" s="28" t="s">
        <v>77</v>
      </c>
      <c r="D85" s="71">
        <f>_xlfn.STDEV.S(17.55,17.16,12.83,16.67,9.18)</f>
        <v>3.6062404245973259</v>
      </c>
    </row>
    <row r="88" spans="1:7" x14ac:dyDescent="0.3">
      <c r="A88" t="s">
        <v>41</v>
      </c>
      <c r="B88" s="3" t="s">
        <v>42</v>
      </c>
    </row>
    <row r="89" spans="1:7" x14ac:dyDescent="0.3">
      <c r="A89" t="s">
        <v>43</v>
      </c>
    </row>
    <row r="90" spans="1:7" x14ac:dyDescent="0.3">
      <c r="B90" s="45" t="s">
        <v>66</v>
      </c>
      <c r="C90" s="45" t="s">
        <v>67</v>
      </c>
      <c r="D90" s="45" t="s">
        <v>69</v>
      </c>
      <c r="E90" s="45" t="s">
        <v>70</v>
      </c>
      <c r="F90" s="45" t="s">
        <v>71</v>
      </c>
      <c r="G90" s="45" t="s">
        <v>73</v>
      </c>
    </row>
    <row r="91" spans="1:7" x14ac:dyDescent="0.3">
      <c r="B91" s="3" t="s">
        <v>72</v>
      </c>
      <c r="C91" s="21">
        <v>-4.8899999999999999E-2</v>
      </c>
      <c r="D91" s="21">
        <v>1.08</v>
      </c>
      <c r="E91" s="21">
        <v>0.56999999999999995</v>
      </c>
      <c r="F91" s="44">
        <v>-3.5000000000000003E-2</v>
      </c>
      <c r="G91">
        <v>3.19</v>
      </c>
    </row>
    <row r="92" spans="1:7" x14ac:dyDescent="0.3">
      <c r="B92" s="3" t="s">
        <v>65</v>
      </c>
      <c r="C92" s="21">
        <v>0.75</v>
      </c>
      <c r="D92" s="21">
        <v>1.7</v>
      </c>
      <c r="E92" s="21">
        <v>0.61</v>
      </c>
      <c r="F92" s="21">
        <v>0.28999999999999998</v>
      </c>
      <c r="G92">
        <v>4.08</v>
      </c>
    </row>
    <row r="93" spans="1:7" x14ac:dyDescent="0.3">
      <c r="B93" s="3" t="s">
        <v>74</v>
      </c>
      <c r="C93" s="21">
        <v>0.15</v>
      </c>
      <c r="D93" s="44">
        <v>-4.5999999999999999E-3</v>
      </c>
      <c r="E93" s="21">
        <v>0.97</v>
      </c>
      <c r="F93" s="21">
        <v>2.74</v>
      </c>
      <c r="G93">
        <v>2.5499999999999998</v>
      </c>
    </row>
    <row r="94" spans="1:7" x14ac:dyDescent="0.3">
      <c r="B94" s="3" t="s">
        <v>94</v>
      </c>
      <c r="C94" s="21">
        <v>-7.5700000000000003E-2</v>
      </c>
      <c r="D94" s="21">
        <v>4.8599999999999997E-2</v>
      </c>
      <c r="E94" s="21">
        <v>0.4</v>
      </c>
      <c r="F94" s="21">
        <v>2.93</v>
      </c>
      <c r="G94">
        <v>1.69</v>
      </c>
    </row>
    <row r="95" spans="1:7" x14ac:dyDescent="0.3">
      <c r="B95" s="69"/>
      <c r="C95" s="70">
        <f>AVERAGE(C91:C94)</f>
        <v>0.19385000000000002</v>
      </c>
      <c r="D95" s="70">
        <f t="shared" ref="D95:F95" si="0">AVERAGE(D91:D94)</f>
        <v>0.70600000000000007</v>
      </c>
      <c r="E95" s="70">
        <f t="shared" si="0"/>
        <v>0.63749999999999996</v>
      </c>
      <c r="F95" s="70">
        <f t="shared" si="0"/>
        <v>1.4812500000000002</v>
      </c>
      <c r="G95" s="73">
        <f>AVERAGE(G91:G94)</f>
        <v>2.8774999999999999</v>
      </c>
    </row>
    <row r="97" spans="1:19" ht="15" thickBot="1" x14ac:dyDescent="0.35"/>
    <row r="98" spans="1:19" ht="15" thickBot="1" x14ac:dyDescent="0.35">
      <c r="C98" s="28" t="s">
        <v>44</v>
      </c>
      <c r="D98" s="74">
        <f>(24.03+20.23+24.5+20.48+22.71+24.57)/6</f>
        <v>22.753333333333334</v>
      </c>
      <c r="F98" s="28" t="s">
        <v>45</v>
      </c>
      <c r="G98" s="74">
        <f>(14.9+17.77+16.18+14.77+17.42)/5</f>
        <v>16.208000000000002</v>
      </c>
    </row>
    <row r="99" spans="1:19" ht="15" thickBot="1" x14ac:dyDescent="0.35">
      <c r="C99" s="28" t="s">
        <v>63</v>
      </c>
      <c r="D99" s="46">
        <f>_xlfn.STDEV.S(C95:E95)</f>
        <v>0.27803332983655038</v>
      </c>
      <c r="F99" s="28" t="s">
        <v>64</v>
      </c>
      <c r="G99" s="46">
        <f>_xlfn.STDEV.S(C95:F95)</f>
        <v>0.53495642968999513</v>
      </c>
    </row>
    <row r="101" spans="1:19" x14ac:dyDescent="0.3">
      <c r="A101" t="s">
        <v>17</v>
      </c>
      <c r="B101" s="3" t="s">
        <v>54</v>
      </c>
    </row>
    <row r="103" spans="1:19" ht="15" thickBot="1" x14ac:dyDescent="0.35"/>
    <row r="104" spans="1:19" x14ac:dyDescent="0.3">
      <c r="R104" s="78" t="s">
        <v>60</v>
      </c>
      <c r="S104" s="85">
        <f>O117</f>
        <v>23.4</v>
      </c>
    </row>
    <row r="105" spans="1:19" ht="15" thickBot="1" x14ac:dyDescent="0.35">
      <c r="R105" s="80" t="s">
        <v>61</v>
      </c>
      <c r="S105" s="81">
        <f>P117</f>
        <v>18</v>
      </c>
    </row>
    <row r="106" spans="1:19" ht="15" thickBot="1" x14ac:dyDescent="0.35"/>
    <row r="107" spans="1:19" x14ac:dyDescent="0.3">
      <c r="R107" s="78" t="s">
        <v>63</v>
      </c>
      <c r="S107" s="79">
        <f>_xlfn.STDEV.S(L117:O117)</f>
        <v>13.807244475274578</v>
      </c>
    </row>
    <row r="108" spans="1:19" ht="15" thickBot="1" x14ac:dyDescent="0.35">
      <c r="R108" s="80" t="s">
        <v>64</v>
      </c>
      <c r="S108" s="88">
        <f>_xlfn.STDEV.S(L117:P117)</f>
        <v>14.074515977467932</v>
      </c>
    </row>
    <row r="117" spans="1:16" x14ac:dyDescent="0.3">
      <c r="L117" s="19">
        <f>AVERAGE(74,53,51,50,61,41,49)</f>
        <v>54.142857142857146</v>
      </c>
      <c r="M117" s="19">
        <f>AVERAGE(41,31,35,32,39,28,34)</f>
        <v>34.285714285714285</v>
      </c>
      <c r="N117" s="19">
        <f>AVERAGE(31,26,27,25,27,22,28)</f>
        <v>26.571428571428573</v>
      </c>
      <c r="O117" s="19">
        <f>AVERAGE(29,23,23,19,23)</f>
        <v>23.4</v>
      </c>
      <c r="P117" s="19">
        <f>AVERAGE(23,15,18,17,17)</f>
        <v>18</v>
      </c>
    </row>
    <row r="121" spans="1:16" x14ac:dyDescent="0.3">
      <c r="A121" t="s">
        <v>17</v>
      </c>
      <c r="B121" s="3" t="s">
        <v>1</v>
      </c>
    </row>
    <row r="122" spans="1:16" x14ac:dyDescent="0.3">
      <c r="B122" s="31"/>
    </row>
    <row r="123" spans="1:16" ht="15" thickBot="1" x14ac:dyDescent="0.35"/>
    <row r="124" spans="1:16" x14ac:dyDescent="0.3">
      <c r="O124" s="78" t="s">
        <v>60</v>
      </c>
      <c r="P124" s="79">
        <f>AVERAGE(11,11,19.5,11,11,13)</f>
        <v>12.75</v>
      </c>
    </row>
    <row r="125" spans="1:16" ht="15" thickBot="1" x14ac:dyDescent="0.35">
      <c r="O125" s="80" t="s">
        <v>61</v>
      </c>
      <c r="P125" s="81">
        <f>AVERAGE(9.6,9,16,9.6,12.5)</f>
        <v>11.34</v>
      </c>
    </row>
    <row r="127" spans="1:16" ht="15" thickBot="1" x14ac:dyDescent="0.35"/>
    <row r="128" spans="1:16" x14ac:dyDescent="0.3">
      <c r="O128" s="78" t="s">
        <v>57</v>
      </c>
      <c r="P128" s="82">
        <f>_xlfn.STDEV.S(J143:M143)</f>
        <v>9.4996040365823617</v>
      </c>
    </row>
    <row r="129" spans="10:16" ht="15" thickBot="1" x14ac:dyDescent="0.35">
      <c r="O129" s="80" t="s">
        <v>58</v>
      </c>
      <c r="P129" s="83">
        <f>_xlfn.STDEV.S(J143:N143)</f>
        <v>9.2280555313071702</v>
      </c>
    </row>
    <row r="142" spans="10:16" x14ac:dyDescent="0.3">
      <c r="J142" s="86" t="s">
        <v>67</v>
      </c>
      <c r="K142" s="87" t="s">
        <v>68</v>
      </c>
      <c r="L142" s="86" t="s">
        <v>69</v>
      </c>
      <c r="M142" s="86" t="s">
        <v>70</v>
      </c>
      <c r="N142" s="86" t="s">
        <v>71</v>
      </c>
    </row>
    <row r="143" spans="10:16" x14ac:dyDescent="0.3">
      <c r="J143">
        <f>AVERAGE(22,28,44,65,28,22,29)</f>
        <v>34</v>
      </c>
      <c r="K143" s="31">
        <f>AVERAGE(17,19,32,19,17,21)</f>
        <v>20.833333333333332</v>
      </c>
      <c r="L143" s="19">
        <f>AVERAGE(12,16,25,12,12,14)</f>
        <v>15.166666666666666</v>
      </c>
      <c r="M143">
        <f>AVERAGE(11,11,19.5,11,11,13)</f>
        <v>12.75</v>
      </c>
      <c r="N143">
        <f>AVERAGE(9.6,9,16,9.6,12.5)</f>
        <v>11.34</v>
      </c>
    </row>
    <row r="145" spans="1:16" x14ac:dyDescent="0.3">
      <c r="A145" s="3" t="s">
        <v>17</v>
      </c>
      <c r="B145" s="3" t="s">
        <v>62</v>
      </c>
    </row>
    <row r="146" spans="1:16" x14ac:dyDescent="0.3">
      <c r="A146" s="3"/>
      <c r="B146" s="3"/>
    </row>
    <row r="147" spans="1:16" ht="15" thickBot="1" x14ac:dyDescent="0.35">
      <c r="A147" s="3"/>
      <c r="B147" s="3"/>
    </row>
    <row r="148" spans="1:16" x14ac:dyDescent="0.3">
      <c r="A148" s="3"/>
      <c r="B148" s="3"/>
      <c r="O148" s="78" t="s">
        <v>60</v>
      </c>
      <c r="P148" s="79">
        <f>M161</f>
        <v>23.285714285714285</v>
      </c>
    </row>
    <row r="149" spans="1:16" ht="15" thickBot="1" x14ac:dyDescent="0.35">
      <c r="A149" s="3"/>
      <c r="B149" s="3"/>
      <c r="O149" s="80" t="s">
        <v>61</v>
      </c>
      <c r="P149" s="81">
        <f>N161</f>
        <v>18.8</v>
      </c>
    </row>
    <row r="150" spans="1:16" x14ac:dyDescent="0.3">
      <c r="A150" s="3"/>
      <c r="B150" s="3"/>
    </row>
    <row r="151" spans="1:16" ht="15" thickBot="1" x14ac:dyDescent="0.35">
      <c r="A151" s="3"/>
      <c r="B151" s="3"/>
    </row>
    <row r="152" spans="1:16" x14ac:dyDescent="0.3">
      <c r="A152" s="3"/>
      <c r="B152" s="3"/>
      <c r="O152" s="78" t="s">
        <v>57</v>
      </c>
      <c r="P152" s="82">
        <f>_xlfn.STDEV.S(J161:M161)</f>
        <v>10.664585521891663</v>
      </c>
    </row>
    <row r="153" spans="1:16" ht="15" thickBot="1" x14ac:dyDescent="0.35">
      <c r="A153" s="3"/>
      <c r="B153" s="3"/>
      <c r="O153" s="80" t="s">
        <v>58</v>
      </c>
      <c r="P153" s="83">
        <f>_xlfn.STDEV.S(J161:N161)</f>
        <v>10.953471167271333</v>
      </c>
    </row>
    <row r="154" spans="1:16" x14ac:dyDescent="0.3">
      <c r="A154" s="3"/>
      <c r="B154" s="3"/>
    </row>
    <row r="155" spans="1:16" x14ac:dyDescent="0.3">
      <c r="A155" s="3"/>
      <c r="B155" s="3"/>
    </row>
    <row r="156" spans="1:16" x14ac:dyDescent="0.3">
      <c r="A156" s="3"/>
      <c r="B156" s="3"/>
    </row>
    <row r="157" spans="1:16" x14ac:dyDescent="0.3">
      <c r="A157" s="3"/>
      <c r="B157" s="3"/>
    </row>
    <row r="158" spans="1:16" x14ac:dyDescent="0.3">
      <c r="A158" s="3"/>
      <c r="B158" s="3"/>
    </row>
    <row r="159" spans="1:16" x14ac:dyDescent="0.3">
      <c r="A159" s="3"/>
      <c r="B159" s="3"/>
    </row>
    <row r="161" spans="10:14" x14ac:dyDescent="0.3">
      <c r="J161">
        <f>AVERAGE(46,58,56,60,44,44,33,33,45,44)</f>
        <v>46.3</v>
      </c>
      <c r="K161" s="19">
        <f>AVERAGE(31,34,34,38,30,29,41)</f>
        <v>33.857142857142854</v>
      </c>
      <c r="L161" s="19">
        <f>AVERAGE(21,27,26,20,21,23,33)</f>
        <v>24.428571428571427</v>
      </c>
      <c r="M161" s="19">
        <f>AVERAGE(22,31,26,19,22,20,23)</f>
        <v>23.285714285714285</v>
      </c>
      <c r="N161">
        <f>AVERAGE(18,23,18,17,18)</f>
        <v>18.8</v>
      </c>
    </row>
  </sheetData>
  <pageMargins left="0.7" right="0.7" top="0.75" bottom="0.75" header="0.3" footer="0.3"/>
  <pageSetup paperSize="3"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Profile</vt:lpstr>
      <vt:lpstr>Portfolio 5Y</vt:lpstr>
      <vt:lpstr>Portfolio 10Y</vt:lpstr>
      <vt:lpstr>Cashflow Calculation</vt:lpstr>
      <vt:lpstr>Asset Classes Return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Ajitesh Shrivastava</dc:creator>
  <cp:lastModifiedBy>Ajitesh Shrivastava</cp:lastModifiedBy>
  <cp:lastPrinted>2024-06-20T21:14:02Z</cp:lastPrinted>
  <dcterms:created xsi:type="dcterms:W3CDTF">2024-06-14T06:56:02Z</dcterms:created>
  <dcterms:modified xsi:type="dcterms:W3CDTF">2024-06-20T21:17:22Z</dcterms:modified>
</cp:coreProperties>
</file>