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 2023\Corp Finance study\Amazon\"/>
    </mc:Choice>
  </mc:AlternateContent>
  <xr:revisionPtr revIDLastSave="0" documentId="8_{E9DBCB98-5455-4E0B-B1D6-4F095554DE2B}" xr6:coauthVersionLast="47" xr6:coauthVersionMax="47" xr10:uidLastSave="{00000000-0000-0000-0000-000000000000}"/>
  <bookViews>
    <workbookView xWindow="-108" yWindow="-108" windowWidth="23256" windowHeight="12696" xr2:uid="{48C69A6B-F398-4FF8-8838-E5FF4A402C8B}"/>
  </bookViews>
  <sheets>
    <sheet name="DCF" sheetId="1" r:id="rId1"/>
    <sheet name="IS" sheetId="2" r:id="rId2"/>
    <sheet name="CF" sheetId="3" r:id="rId3"/>
    <sheet name="BS" sheetId="4" r:id="rId4"/>
  </sheets>
  <definedNames>
    <definedName name="TGR">DCF!$B$20</definedName>
    <definedName name="WACC">DCF!$B$19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7" i="1" l="1"/>
  <c r="Q84" i="1"/>
  <c r="Q83" i="1"/>
  <c r="C20" i="1"/>
  <c r="C19" i="1"/>
  <c r="M75" i="1"/>
  <c r="Q75" i="1" s="1"/>
  <c r="L75" i="1"/>
  <c r="L74" i="1"/>
  <c r="Q69" i="1"/>
  <c r="P69" i="1"/>
  <c r="O69" i="1"/>
  <c r="L69" i="1"/>
  <c r="L68" i="1"/>
  <c r="N69" i="1"/>
  <c r="M69" i="1"/>
  <c r="N72" i="1"/>
  <c r="M72" i="1"/>
  <c r="O72" i="1" s="1"/>
  <c r="P72" i="1" s="1"/>
  <c r="Q72" i="1" s="1"/>
  <c r="L72" i="1"/>
  <c r="I24" i="1"/>
  <c r="E75" i="1"/>
  <c r="F75" i="1"/>
  <c r="G75" i="1"/>
  <c r="H75" i="1"/>
  <c r="I75" i="1"/>
  <c r="J75" i="1"/>
  <c r="K75" i="1"/>
  <c r="D75" i="1"/>
  <c r="D72" i="1"/>
  <c r="E74" i="1"/>
  <c r="F74" i="1"/>
  <c r="G74" i="1"/>
  <c r="H74" i="1"/>
  <c r="I74" i="1"/>
  <c r="J74" i="1"/>
  <c r="K74" i="1"/>
  <c r="D74" i="1"/>
  <c r="G42" i="1"/>
  <c r="G43" i="1" s="1"/>
  <c r="E68" i="1"/>
  <c r="E43" i="1"/>
  <c r="F43" i="1"/>
  <c r="H43" i="1"/>
  <c r="I43" i="1"/>
  <c r="J43" i="1"/>
  <c r="K43" i="1"/>
  <c r="L43" i="1"/>
  <c r="D43" i="1"/>
  <c r="E40" i="1"/>
  <c r="F40" i="1"/>
  <c r="G40" i="1"/>
  <c r="H40" i="1"/>
  <c r="I40" i="1"/>
  <c r="J40" i="1"/>
  <c r="K40" i="1"/>
  <c r="L40" i="1"/>
  <c r="D40" i="1"/>
  <c r="E72" i="1"/>
  <c r="F72" i="1"/>
  <c r="G72" i="1"/>
  <c r="H72" i="1"/>
  <c r="I72" i="1"/>
  <c r="J72" i="1"/>
  <c r="K72" i="1"/>
  <c r="E71" i="1"/>
  <c r="F71" i="1"/>
  <c r="G71" i="1"/>
  <c r="H71" i="1"/>
  <c r="I71" i="1"/>
  <c r="J71" i="1"/>
  <c r="K71" i="1"/>
  <c r="L71" i="1"/>
  <c r="D71" i="1"/>
  <c r="E69" i="1"/>
  <c r="F69" i="1"/>
  <c r="G69" i="1"/>
  <c r="H69" i="1"/>
  <c r="I69" i="1"/>
  <c r="J69" i="1"/>
  <c r="K69" i="1"/>
  <c r="D69" i="1"/>
  <c r="F68" i="1"/>
  <c r="G68" i="1"/>
  <c r="H68" i="1"/>
  <c r="I68" i="1"/>
  <c r="J68" i="1"/>
  <c r="K68" i="1"/>
  <c r="D68" i="1"/>
  <c r="P64" i="1"/>
  <c r="Q64" i="1"/>
  <c r="O64" i="1"/>
  <c r="N64" i="1"/>
  <c r="M64" i="1"/>
  <c r="P62" i="1"/>
  <c r="Q62" i="1"/>
  <c r="O62" i="1"/>
  <c r="N62" i="1"/>
  <c r="M62" i="1"/>
  <c r="K61" i="1"/>
  <c r="K60" i="1"/>
  <c r="L60" i="1"/>
  <c r="L30" i="1"/>
  <c r="N61" i="1"/>
  <c r="O61" i="1"/>
  <c r="P61" i="1"/>
  <c r="Q61" i="1"/>
  <c r="M61" i="1"/>
  <c r="L55" i="1"/>
  <c r="X68" i="1"/>
  <c r="X44" i="1"/>
  <c r="W44" i="1"/>
  <c r="Z35" i="1"/>
  <c r="Y35" i="1"/>
  <c r="X43" i="1"/>
  <c r="W39" i="1"/>
  <c r="X39" i="1"/>
  <c r="X35" i="1"/>
  <c r="W35" i="1"/>
  <c r="Y68" i="1"/>
  <c r="Z68" i="1"/>
  <c r="V47" i="1"/>
  <c r="W47" i="1"/>
  <c r="U47" i="1"/>
  <c r="V46" i="1"/>
  <c r="W46" i="1"/>
  <c r="X46" i="1"/>
  <c r="U46" i="1"/>
  <c r="V39" i="1"/>
  <c r="V43" i="1"/>
  <c r="W43" i="1"/>
  <c r="U43" i="1"/>
  <c r="V44" i="1" s="1"/>
  <c r="U39" i="1"/>
  <c r="V35" i="1"/>
  <c r="W45" i="1"/>
  <c r="U35" i="1"/>
  <c r="K49" i="1"/>
  <c r="V60" i="1"/>
  <c r="W60" i="1"/>
  <c r="U60" i="1"/>
  <c r="V54" i="1"/>
  <c r="W54" i="1"/>
  <c r="X54" i="1"/>
  <c r="Y54" i="1"/>
  <c r="Z54" i="1"/>
  <c r="U54" i="1"/>
  <c r="M49" i="1"/>
  <c r="M48" i="1" s="1"/>
  <c r="Y46" i="1" s="1"/>
  <c r="O49" i="1"/>
  <c r="N49" i="1"/>
  <c r="N50" i="1"/>
  <c r="N52" i="1"/>
  <c r="M52" i="1"/>
  <c r="M50" i="1"/>
  <c r="O51" i="1"/>
  <c r="O50" i="1" s="1"/>
  <c r="L42" i="1"/>
  <c r="K42" i="1"/>
  <c r="J42" i="1"/>
  <c r="I42" i="1"/>
  <c r="H42" i="1"/>
  <c r="F42" i="1"/>
  <c r="E42" i="1"/>
  <c r="D42" i="1"/>
  <c r="C12" i="3"/>
  <c r="D12" i="3"/>
  <c r="B12" i="3"/>
  <c r="D52" i="3"/>
  <c r="C52" i="3"/>
  <c r="B52" i="3"/>
  <c r="H52" i="3"/>
  <c r="I52" i="3"/>
  <c r="G52" i="3"/>
  <c r="L35" i="1"/>
  <c r="K35" i="1"/>
  <c r="J35" i="1"/>
  <c r="I35" i="1"/>
  <c r="H35" i="1"/>
  <c r="G35" i="1"/>
  <c r="F35" i="1"/>
  <c r="E35" i="1"/>
  <c r="D35" i="1"/>
  <c r="L39" i="1"/>
  <c r="K39" i="1"/>
  <c r="J39" i="1"/>
  <c r="I39" i="1"/>
  <c r="H39" i="1"/>
  <c r="G39" i="1"/>
  <c r="F39" i="1"/>
  <c r="E39" i="1"/>
  <c r="D39" i="1"/>
  <c r="D29" i="1"/>
  <c r="D60" i="1" s="1"/>
  <c r="L29" i="1"/>
  <c r="K29" i="1"/>
  <c r="J29" i="1"/>
  <c r="J60" i="1" s="1"/>
  <c r="I29" i="1"/>
  <c r="I60" i="1" s="1"/>
  <c r="H29" i="1"/>
  <c r="H60" i="1" s="1"/>
  <c r="G29" i="1"/>
  <c r="G60" i="1" s="1"/>
  <c r="F29" i="1"/>
  <c r="F60" i="1" s="1"/>
  <c r="E29" i="1"/>
  <c r="E60" i="1" s="1"/>
  <c r="D23" i="1"/>
  <c r="D48" i="1" s="1"/>
  <c r="E23" i="1"/>
  <c r="E48" i="1" s="1"/>
  <c r="F23" i="1"/>
  <c r="D26" i="1"/>
  <c r="E26" i="1"/>
  <c r="E54" i="1" s="1"/>
  <c r="F26" i="1"/>
  <c r="F54" i="1" s="1"/>
  <c r="G26" i="1"/>
  <c r="G54" i="1" s="1"/>
  <c r="H26" i="1"/>
  <c r="H54" i="1" s="1"/>
  <c r="I26" i="1"/>
  <c r="I54" i="1" s="1"/>
  <c r="J26" i="1"/>
  <c r="J54" i="1" s="1"/>
  <c r="K26" i="1"/>
  <c r="K54" i="1" s="1"/>
  <c r="L26" i="1"/>
  <c r="L54" i="1" s="1"/>
  <c r="G23" i="1"/>
  <c r="G48" i="1" s="1"/>
  <c r="H23" i="1"/>
  <c r="H48" i="1" s="1"/>
  <c r="I23" i="1"/>
  <c r="I48" i="1" s="1"/>
  <c r="K23" i="1"/>
  <c r="K48" i="1" s="1"/>
  <c r="L23" i="1"/>
  <c r="L48" i="1" s="1"/>
  <c r="J23" i="1"/>
  <c r="J48" i="1" s="1"/>
  <c r="M71" i="1" l="1"/>
  <c r="N75" i="1"/>
  <c r="O75" i="1"/>
  <c r="P75" i="1"/>
  <c r="M74" i="1"/>
  <c r="M68" i="1"/>
  <c r="Y44" i="1"/>
  <c r="Z44" i="1" s="1"/>
  <c r="V45" i="1"/>
  <c r="Y43" i="1"/>
  <c r="Z43" i="1" s="1"/>
  <c r="U45" i="1"/>
  <c r="Y39" i="1"/>
  <c r="Z39" i="1" s="1"/>
  <c r="P51" i="1"/>
  <c r="O52" i="1"/>
  <c r="N48" i="1"/>
  <c r="N74" i="1" s="1"/>
  <c r="F61" i="1"/>
  <c r="J61" i="1"/>
  <c r="K55" i="1"/>
  <c r="J55" i="1"/>
  <c r="G61" i="1"/>
  <c r="I55" i="1"/>
  <c r="E55" i="1"/>
  <c r="H61" i="1"/>
  <c r="L61" i="1"/>
  <c r="H55" i="1"/>
  <c r="D27" i="1"/>
  <c r="G55" i="1"/>
  <c r="E61" i="1"/>
  <c r="I61" i="1"/>
  <c r="D54" i="1"/>
  <c r="D55" i="1" s="1"/>
  <c r="G36" i="1"/>
  <c r="K36" i="1"/>
  <c r="J49" i="1"/>
  <c r="E49" i="1"/>
  <c r="D37" i="1"/>
  <c r="H37" i="1"/>
  <c r="L37" i="1"/>
  <c r="H49" i="1"/>
  <c r="E36" i="1"/>
  <c r="I36" i="1"/>
  <c r="I49" i="1"/>
  <c r="L49" i="1"/>
  <c r="J36" i="1"/>
  <c r="F36" i="1"/>
  <c r="K37" i="1"/>
  <c r="G37" i="1"/>
  <c r="F24" i="1"/>
  <c r="F30" i="1"/>
  <c r="J30" i="1"/>
  <c r="D36" i="1"/>
  <c r="J37" i="1"/>
  <c r="F37" i="1"/>
  <c r="L36" i="1"/>
  <c r="H36" i="1"/>
  <c r="I37" i="1"/>
  <c r="E37" i="1"/>
  <c r="F48" i="1"/>
  <c r="E27" i="1"/>
  <c r="J24" i="1"/>
  <c r="F27" i="1"/>
  <c r="G27" i="1"/>
  <c r="L27" i="1"/>
  <c r="H27" i="1"/>
  <c r="K27" i="1"/>
  <c r="H30" i="1"/>
  <c r="H24" i="1"/>
  <c r="J27" i="1"/>
  <c r="E24" i="1"/>
  <c r="E30" i="1"/>
  <c r="I30" i="1"/>
  <c r="K24" i="1"/>
  <c r="L24" i="1"/>
  <c r="I27" i="1"/>
  <c r="G30" i="1"/>
  <c r="K30" i="1"/>
  <c r="D30" i="1"/>
  <c r="G24" i="1"/>
  <c r="N71" i="1" l="1"/>
  <c r="N68" i="1"/>
  <c r="Z46" i="1"/>
  <c r="X45" i="1"/>
  <c r="X47" i="1" s="1"/>
  <c r="U68" i="1" s="1"/>
  <c r="Z45" i="1"/>
  <c r="Y45" i="1"/>
  <c r="P52" i="1"/>
  <c r="P49" i="1"/>
  <c r="Q51" i="1"/>
  <c r="P50" i="1"/>
  <c r="O48" i="1"/>
  <c r="O74" i="1" s="1"/>
  <c r="F49" i="1"/>
  <c r="F55" i="1"/>
  <c r="D61" i="1"/>
  <c r="G49" i="1"/>
  <c r="O71" i="1" l="1"/>
  <c r="O68" i="1"/>
  <c r="Z47" i="1"/>
  <c r="W68" i="1" s="1"/>
  <c r="N57" i="1" s="1"/>
  <c r="Y47" i="1"/>
  <c r="Q49" i="1"/>
  <c r="Q52" i="1"/>
  <c r="Q50" i="1"/>
  <c r="P48" i="1"/>
  <c r="P74" i="1" s="1"/>
  <c r="P71" i="1" l="1"/>
  <c r="P68" i="1"/>
  <c r="N58" i="1"/>
  <c r="O57" i="1"/>
  <c r="N56" i="1"/>
  <c r="V68" i="1"/>
  <c r="M57" i="1" s="1"/>
  <c r="Q48" i="1"/>
  <c r="Q74" i="1" s="1"/>
  <c r="N55" i="1" l="1"/>
  <c r="N54" i="1" s="1"/>
  <c r="N60" i="1" s="1"/>
  <c r="N66" i="1" s="1"/>
  <c r="N77" i="1" s="1"/>
  <c r="N78" i="1" s="1"/>
  <c r="Q71" i="1"/>
  <c r="Q68" i="1"/>
  <c r="O58" i="1"/>
  <c r="M56" i="1"/>
  <c r="M58" i="1"/>
  <c r="P57" i="1"/>
  <c r="O56" i="1"/>
  <c r="O55" i="1" s="1"/>
  <c r="O54" i="1" s="1"/>
  <c r="M55" i="1" l="1"/>
  <c r="M54" i="1" s="1"/>
  <c r="M60" i="1" s="1"/>
  <c r="M66" i="1" s="1"/>
  <c r="O60" i="1"/>
  <c r="O66" i="1" s="1"/>
  <c r="O77" i="1" s="1"/>
  <c r="O78" i="1" s="1"/>
  <c r="P58" i="1"/>
  <c r="Q57" i="1"/>
  <c r="P56" i="1"/>
  <c r="P55" i="1" l="1"/>
  <c r="P54" i="1" s="1"/>
  <c r="P60" i="1" s="1"/>
  <c r="P66" i="1" s="1"/>
  <c r="P77" i="1" s="1"/>
  <c r="P78" i="1" s="1"/>
  <c r="M77" i="1"/>
  <c r="M78" i="1" s="1"/>
  <c r="Q56" i="1"/>
  <c r="Q58" i="1"/>
  <c r="Q55" i="1" l="1"/>
  <c r="Q54" i="1" s="1"/>
  <c r="Q60" i="1" s="1"/>
  <c r="Q66" i="1" s="1"/>
  <c r="Q77" i="1" s="1"/>
  <c r="Q80" i="1" s="1"/>
  <c r="Q78" i="1" l="1"/>
  <c r="Q81" i="1"/>
  <c r="Q82" i="1" l="1"/>
  <c r="Q86" i="1" s="1"/>
  <c r="Q88" i="1" s="1"/>
  <c r="F5" i="1" s="1"/>
</calcChain>
</file>

<file path=xl/sharedStrings.xml><?xml version="1.0" encoding="utf-8"?>
<sst xmlns="http://schemas.openxmlformats.org/spreadsheetml/2006/main" count="503" uniqueCount="215">
  <si>
    <t>Amazon DCF</t>
  </si>
  <si>
    <t>Ticker</t>
  </si>
  <si>
    <t>Date</t>
  </si>
  <si>
    <t>AMZN</t>
  </si>
  <si>
    <t>Assumptions</t>
  </si>
  <si>
    <t>Income Statement</t>
  </si>
  <si>
    <t>Cash Flow Items</t>
  </si>
  <si>
    <t>DCF</t>
  </si>
  <si>
    <t>Revenue</t>
  </si>
  <si>
    <t>%growth</t>
  </si>
  <si>
    <t>EBIT</t>
  </si>
  <si>
    <t>% of sales</t>
  </si>
  <si>
    <t>Taxes</t>
  </si>
  <si>
    <t>% of EBIT</t>
  </si>
  <si>
    <t>Consolidated Statements Of Operations - USD ($) shares in Millions, $ in Millions</t>
  </si>
  <si>
    <t>12 Months Ended</t>
  </si>
  <si>
    <t>Dec. 31, 2022</t>
  </si>
  <si>
    <t>Dec. 31, 2021</t>
  </si>
  <si>
    <t>Dec. 31, 2020</t>
  </si>
  <si>
    <t>Total net sales</t>
  </si>
  <si>
    <t>Operating expenses:</t>
  </si>
  <si>
    <t> </t>
  </si>
  <si>
    <t>Cost of sales</t>
  </si>
  <si>
    <t>Fulfillment</t>
  </si>
  <si>
    <t>Technology and content</t>
  </si>
  <si>
    <t>Sales and marketing</t>
  </si>
  <si>
    <t>General and administrative</t>
  </si>
  <si>
    <t>Other operating expense (income),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</si>
  <si>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</si>
  <si>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</si>
  <si>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</si>
  <si>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</si>
  <si>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</si>
  <si>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</si>
  <si>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(loss) before income taxes</t>
  </si>
  <si>
    <t>Benefit (provision) for income taxes</t>
  </si>
  <si>
    <t>Equity-method investment activity, net of tax</t>
  </si>
  <si>
    <t>Net income (loss)</t>
  </si>
  <si>
    <t>Basic earnings per share (in dollars per share)</t>
  </si>
  <si>
    <t>Diluted earnings per share (in dollars per share)</t>
  </si>
  <si>
    <t>Weighted-average shares used in computation of earnings per share:</t>
  </si>
  <si>
    <t>Basic (in shares)</t>
  </si>
  <si>
    <t>Diluted (in shares)</t>
  </si>
  <si>
    <t>Net product sales</t>
  </si>
  <si>
    <t>Net service sales</t>
  </si>
  <si>
    <t>Dec. 31, 2019</t>
  </si>
  <si>
    <t>Dec. 31, 2018</t>
  </si>
  <si>
    <t>Dec. 31, 2017</t>
  </si>
  <si>
    <t>Consolidated Statements of Cash Flows - USD ($) $ in Millions</t>
  </si>
  <si>
    <t>Statement of Cash Flows [Abstract]</t>
  </si>
  <si>
    <t>CASH, CASH EQUIVALENTS, AND RESTRICTED CASH, BEGINNING OF PERIOD</t>
  </si>
  <si>
    <t>OPERATING ACTIVITIES:</t>
  </si>
  <si>
    <t>Net income</t>
  </si>
  <si>
    <t>Adjustments to reconcile net income to net cash from operating activities:</t>
  </si>
  <si>
    <t>Depreciation and amortization of property and equipment and capitalized content costs, operating lease assets, and other</t>
  </si>
  <si>
    <t>Stock-based compensation</t>
  </si>
  <si>
    <t>Other expense (income), net</t>
  </si>
  <si>
    <t>Deferred income taxes</t>
  </si>
  <si>
    <t>Changes in operating assets and liabilities:</t>
  </si>
  <si>
    <t>Inventories</t>
  </si>
  <si>
    <t>Accounts receivable, net and other</t>
  </si>
  <si>
    <t>Accounts payable</t>
  </si>
  <si>
    <t>Accrued expenses and other</t>
  </si>
  <si>
    <t>Unearned revenue</t>
  </si>
  <si>
    <t>Net cash provided by (used in) operating activities</t>
  </si>
  <si>
    <t>INVESTING ACTIVITIES:</t>
  </si>
  <si>
    <t>Purchases of property and equipment</t>
  </si>
  <si>
    <t>Proceeds from property and equipment sales and incentives</t>
  </si>
  <si>
    <t>Acquisitions, net of cash acquired, and other</t>
  </si>
  <si>
    <t>Sales and maturities of marketable securities</t>
  </si>
  <si>
    <t>Purchases of marketable securities</t>
  </si>
  <si>
    <t>Net cash provided by (used in) investing activities</t>
  </si>
  <si>
    <t>FINANCING ACTIVITIES:</t>
  </si>
  <si>
    <t>Proceeds from long-term debt and other</t>
  </si>
  <si>
    <t>Repayments of long-term debt and other</t>
  </si>
  <si>
    <t>Principal repayments of finance leases</t>
  </si>
  <si>
    <t>Principal repayments of financing obligations</t>
  </si>
  <si>
    <t>Net cash provided by (used in) financing activities</t>
  </si>
  <si>
    <t>Foreign currency effect on cash, cash equivalents, and restricted cash</t>
  </si>
  <si>
    <t>Net increase (decrease) in cash, cash equivalents, and restricted cash</t>
  </si>
  <si>
    <t>CASH, CASH EQUIVALENTS, AND RESTRICTED CASH, END OF PERIOD</t>
  </si>
  <si>
    <t>SUPPLEMENTAL CASH FLOW INFORMATION:</t>
  </si>
  <si>
    <t>Cash paid for interest on long-term debt</t>
  </si>
  <si>
    <t>Cash paid for operating leases</t>
  </si>
  <si>
    <t>Cash paid for interest on capital leases</t>
  </si>
  <si>
    <t>Cash paid for interest on finance leases</t>
  </si>
  <si>
    <t>Cash paid for interest on financing obligations</t>
  </si>
  <si>
    <t>Cash paid for income taxes, net of refunds</t>
  </si>
  <si>
    <t>Assets acquired under operating leases</t>
  </si>
  <si>
    <t>Property and equipment acquired under capital leases</t>
  </si>
  <si>
    <t>Property and equipment acquired under finance leases</t>
  </si>
  <si>
    <t>Property and equipment acquired under build-to-suit arrangements</t>
  </si>
  <si>
    <t>Consolidated Balance Sheets - USD ($) $ in Millions</t>
  </si>
  <si>
    <t>Current assets:</t>
  </si>
  <si>
    <t>Cash and cash equivalents</t>
  </si>
  <si>
    <t>Marketable securities</t>
  </si>
  <si>
    <t>Total current assets</t>
  </si>
  <si>
    <t>Property and equipment, net</t>
  </si>
  <si>
    <t>Operating leases</t>
  </si>
  <si>
    <t>Goodwill</t>
  </si>
  <si>
    <t>Other assets</t>
  </si>
  <si>
    <t>Total assets</t>
  </si>
  <si>
    <t>Current liabilities:</t>
  </si>
  <si>
    <t>Total current liabilities</t>
  </si>
  <si>
    <t>Long-term lease liabilities</t>
  </si>
  <si>
    <t>Long-term debt</t>
  </si>
  <si>
    <t>Other long-term liabilities</t>
  </si>
  <si>
    <t>Commitments and contingencies (Note 7)</t>
  </si>
  <si>
    <t>Stockholders’ equity:</t>
  </si>
  <si>
    <t>Preferred stock, $0.01 par value: Authorized shares - 500 Issued and outstanding shares - none</t>
  </si>
  <si>
    <t>Common stock, $0.01 par value: Authorized shares - 5,000 Issued shares - 507 and 514 Outstanding shares - 484 and 491</t>
  </si>
  <si>
    <t>Treasury stock, at cost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</si>
  <si>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</si>
  <si>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</si>
  <si>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</si>
  <si>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</si>
  <si>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</si>
  <si>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Dec. 31, 2015</t>
  </si>
  <si>
    <t>Dec. 31, 2014</t>
  </si>
  <si>
    <t>Dec. 31, 2016</t>
  </si>
  <si>
    <t>Consolidated Statements Of Cash Flows - USD ($) $ in Millions</t>
  </si>
  <si>
    <t>CASH AND CASH EQUIVALENTS, BEGINNING OF PERIOD</t>
  </si>
  <si>
    <t>Adjustments to reconcile net income (loss) to net cash from operating activities:</t>
  </si>
  <si>
    <t>Depreciation of property and equipment, including internal-use software and website development, and other amortization, including capitalized content costs</t>
  </si>
  <si>
    <t>Other operating expense, net</t>
  </si>
  <si>
    <t>Excess tax benefits from stock-based compensation</t>
  </si>
  <si>
    <t>Additions to unearned revenue</t>
  </si>
  <si>
    <t>Amortization of previously unearned revenue</t>
  </si>
  <si>
    <t>Purchases of property and equipment, including internal-use software and website development, net</t>
  </si>
  <si>
    <t>Proceeds from Issuance of Long-term Debt</t>
  </si>
  <si>
    <t>Principal repayments of capital lease obligations</t>
  </si>
  <si>
    <t>Principal repayments of finance lease obligations</t>
  </si>
  <si>
    <t>Foreign currency effect on cash and cash equivalents</t>
  </si>
  <si>
    <t>Net increase (decrease) in cash and cash equivalents</t>
  </si>
  <si>
    <t>CASH AND CASH EQUIVALENTS, END OF PERIOD</t>
  </si>
  <si>
    <t>Cash paid for interest on capital and finance lease obligations</t>
  </si>
  <si>
    <t>Assets held under capital leases</t>
  </si>
  <si>
    <t>Property and equipment acquired</t>
  </si>
  <si>
    <t>Assets held under build-to-suit leases</t>
  </si>
  <si>
    <t>Common stock repurchased</t>
  </si>
  <si>
    <t>Proceeds from short-term debt, and other</t>
  </si>
  <si>
    <t>Repayments of short-term debt, and other</t>
  </si>
  <si>
    <t>Proceeds from long-term debt</t>
  </si>
  <si>
    <t>Repayments of long-term debt</t>
  </si>
  <si>
    <t xml:space="preserve"> </t>
  </si>
  <si>
    <t>Preferred stock ($0.01 par value; 500 shares authorized; no shares issued or outstanding)</t>
  </si>
  <si>
    <t>Common stock ($0.01 par value; 100,000 shares authorized; 10,644 and 10,757 shares issued; 10,175 and 10,242 shares outstanding)</t>
  </si>
  <si>
    <t>Marketing</t>
  </si>
  <si>
    <t>Income before income taxes</t>
  </si>
  <si>
    <t>Provision for income taxes</t>
  </si>
  <si>
    <t>Basic earnings per share</t>
  </si>
  <si>
    <t>Diluted earnings per share</t>
  </si>
  <si>
    <t>Basic</t>
  </si>
  <si>
    <t>Diluted</t>
  </si>
  <si>
    <t>Common stock, $0.01 par value: Authorized shares - 5,000 Issued shares - 494 and 500 Outstanding shares - 471 and 477</t>
  </si>
  <si>
    <t>Accumulated other comprehensive loss</t>
  </si>
  <si>
    <t>D&amp;A</t>
  </si>
  <si>
    <t>% of Sales</t>
  </si>
  <si>
    <t>CapEx</t>
  </si>
  <si>
    <t>% of CapEx</t>
  </si>
  <si>
    <t>Change in NWC</t>
  </si>
  <si>
    <t>% of change in Sales</t>
  </si>
  <si>
    <t>% growth</t>
  </si>
  <si>
    <t>% margin</t>
  </si>
  <si>
    <t>EBIAT</t>
  </si>
  <si>
    <t>Changes in NWC</t>
  </si>
  <si>
    <t>Unlevered FCF</t>
  </si>
  <si>
    <t>PV of FCF</t>
  </si>
  <si>
    <t>Conservative Case</t>
  </si>
  <si>
    <t>Optimistic Case</t>
  </si>
  <si>
    <t>Base Case</t>
  </si>
  <si>
    <t>Switches</t>
  </si>
  <si>
    <t>Revenue Growth</t>
  </si>
  <si>
    <t>EBIT Margin</t>
  </si>
  <si>
    <t>WACC</t>
  </si>
  <si>
    <t>TGR</t>
  </si>
  <si>
    <t>Valuation Assumptions</t>
  </si>
  <si>
    <t>Revenue step</t>
  </si>
  <si>
    <t>Revenue 2023</t>
  </si>
  <si>
    <t>Margin</t>
  </si>
  <si>
    <t>2022E</t>
  </si>
  <si>
    <t>2023E</t>
  </si>
  <si>
    <t>2024E</t>
  </si>
  <si>
    <t>2025E</t>
  </si>
  <si>
    <t>2026E</t>
  </si>
  <si>
    <t>2027E</t>
  </si>
  <si>
    <r>
      <t>Cowen</t>
    </r>
    <r>
      <rPr>
        <sz val="11"/>
        <color theme="1"/>
        <rFont val="Calibri"/>
        <family val="2"/>
        <scheme val="minor"/>
      </rPr>
      <t xml:space="preserve"> Equity Reseach Report 2022</t>
    </r>
  </si>
  <si>
    <r>
      <rPr>
        <b/>
        <sz val="11"/>
        <color theme="1"/>
        <rFont val="Calibri"/>
        <family val="2"/>
        <scheme val="minor"/>
      </rPr>
      <t>Morgan stanley</t>
    </r>
    <r>
      <rPr>
        <sz val="11"/>
        <color theme="1"/>
        <rFont val="Calibri"/>
        <family val="2"/>
        <scheme val="minor"/>
      </rPr>
      <t xml:space="preserve"> Equity Research Report 2021</t>
    </r>
  </si>
  <si>
    <t>Credit Suisse</t>
  </si>
  <si>
    <t>From Factsheet</t>
  </si>
  <si>
    <t>Average</t>
  </si>
  <si>
    <t>North America</t>
  </si>
  <si>
    <t>Op Exp</t>
  </si>
  <si>
    <t>Op Inc</t>
  </si>
  <si>
    <t>Net Sales</t>
  </si>
  <si>
    <t>International</t>
  </si>
  <si>
    <t>AWS</t>
  </si>
  <si>
    <t>Total OI</t>
  </si>
  <si>
    <t>% change</t>
  </si>
  <si>
    <t>Op Inc Margin</t>
  </si>
  <si>
    <t>EBIT Step</t>
  </si>
  <si>
    <t>From Annual Report 2022</t>
  </si>
  <si>
    <t>Revenue step 2024+</t>
  </si>
  <si>
    <t>EBIT 2023+</t>
  </si>
  <si>
    <t>TV</t>
  </si>
  <si>
    <t>PV of TV</t>
  </si>
  <si>
    <t>Enterprise value</t>
  </si>
  <si>
    <t>Cash (+)</t>
  </si>
  <si>
    <t>Debt (-)</t>
  </si>
  <si>
    <t>Equity Value</t>
  </si>
  <si>
    <t>Shares</t>
  </si>
  <si>
    <t>Share Price</t>
  </si>
  <si>
    <t>Implied Share Price</t>
  </si>
  <si>
    <t>Current Share Price</t>
  </si>
  <si>
    <t>$100.05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</si>
</sst>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 &quot;#,##0_);_(&quot;$ &quot;\(#,##0\)"/>
    <numFmt numFmtId="165" formatCode="_(&quot;$ &quot;#,##0.00_);_(&quot;$ &quot;\(#,##0.00\)"/>
    <numFmt numFmtId="166" formatCode="[$$-409]#,##0.00"/>
    <numFmt numFmtId="167" formatCode="0.0%"/>
    <numFmt numFmtId="168" formatCode="[$$-409]#,##0"/>
    <numFmt numFmtId="169" formatCode="0.0000000%"/>
    <numFmt numFmtId="183" formatCode="0_);\(0\)"/>
    <numFmt numFmtId="190" formatCode="#,##0.0"/>
    <numFmt numFmtId="193" formatCode="&quot;₹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37" fontId="6" fillId="0" borderId="0" xfId="0" applyNumberFormat="1" applyFont="1" applyAlignment="1">
      <alignment horizontal="right" vertical="top"/>
    </xf>
    <xf numFmtId="37" fontId="5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166" fontId="0" fillId="2" borderId="0" xfId="0" applyNumberFormat="1" applyFill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6" fillId="2" borderId="0" xfId="0" applyNumberFormat="1" applyFont="1" applyFill="1" applyAlignment="1">
      <alignment horizontal="right" vertical="top"/>
    </xf>
    <xf numFmtId="37" fontId="6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right" vertical="top"/>
    </xf>
    <xf numFmtId="37" fontId="0" fillId="2" borderId="0" xfId="0" applyNumberFormat="1" applyFill="1" applyAlignment="1">
      <alignment horizontal="right" vertical="top"/>
    </xf>
    <xf numFmtId="165" fontId="6" fillId="2" borderId="0" xfId="0" applyNumberFormat="1" applyFont="1" applyFill="1" applyAlignment="1">
      <alignment horizontal="right" vertical="top"/>
    </xf>
    <xf numFmtId="165" fontId="0" fillId="2" borderId="0" xfId="0" applyNumberFormat="1" applyFill="1" applyAlignment="1">
      <alignment horizontal="right" vertical="top"/>
    </xf>
    <xf numFmtId="37" fontId="5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vertical="top" wrapText="1"/>
    </xf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6" fillId="6" borderId="0" xfId="0" applyFont="1" applyFill="1" applyAlignment="1">
      <alignment vertical="top" wrapText="1"/>
    </xf>
    <xf numFmtId="0" fontId="5" fillId="4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vertical="top" wrapText="1"/>
    </xf>
    <xf numFmtId="0" fontId="0" fillId="7" borderId="0" xfId="0" applyFill="1"/>
    <xf numFmtId="37" fontId="6" fillId="7" borderId="0" xfId="0" applyNumberFormat="1" applyFont="1" applyFill="1" applyAlignment="1">
      <alignment horizontal="right" vertical="top"/>
    </xf>
    <xf numFmtId="0" fontId="2" fillId="8" borderId="0" xfId="0" applyFont="1" applyFill="1"/>
    <xf numFmtId="0" fontId="0" fillId="8" borderId="0" xfId="0" applyFill="1"/>
    <xf numFmtId="0" fontId="2" fillId="8" borderId="0" xfId="0" applyFont="1" applyFill="1" applyAlignment="1">
      <alignment horizontal="center"/>
    </xf>
    <xf numFmtId="0" fontId="5" fillId="3" borderId="0" xfId="0" applyFont="1" applyFill="1" applyAlignment="1">
      <alignment vertical="top" wrapText="1"/>
    </xf>
    <xf numFmtId="37" fontId="5" fillId="3" borderId="0" xfId="0" applyNumberFormat="1" applyFont="1" applyFill="1" applyAlignment="1">
      <alignment horizontal="right" vertical="top"/>
    </xf>
    <xf numFmtId="10" fontId="0" fillId="2" borderId="0" xfId="0" applyNumberFormat="1" applyFill="1" applyAlignment="1">
      <alignment horizontal="center"/>
    </xf>
    <xf numFmtId="167" fontId="0" fillId="2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37" fontId="0" fillId="0" borderId="0" xfId="0" applyNumberFormat="1"/>
    <xf numFmtId="37" fontId="3" fillId="3" borderId="0" xfId="0" applyNumberFormat="1" applyFont="1" applyFill="1"/>
    <xf numFmtId="37" fontId="5" fillId="3" borderId="0" xfId="0" applyNumberFormat="1" applyFont="1" applyFill="1" applyAlignment="1">
      <alignment vertical="top" wrapText="1"/>
    </xf>
    <xf numFmtId="0" fontId="7" fillId="2" borderId="0" xfId="0" applyFont="1" applyFill="1" applyAlignment="1">
      <alignment horizontal="center"/>
    </xf>
    <xf numFmtId="37" fontId="7" fillId="2" borderId="0" xfId="0" applyNumberFormat="1" applyFont="1" applyFill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37" fontId="0" fillId="2" borderId="0" xfId="0" applyNumberFormat="1" applyFill="1" applyAlignment="1">
      <alignment horizontal="center"/>
    </xf>
    <xf numFmtId="10" fontId="0" fillId="9" borderId="5" xfId="0" applyNumberFormat="1" applyFill="1" applyBorder="1" applyAlignment="1">
      <alignment horizontal="center"/>
    </xf>
    <xf numFmtId="10" fontId="0" fillId="10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167" fontId="0" fillId="9" borderId="5" xfId="1" applyNumberFormat="1" applyFont="1" applyFill="1" applyBorder="1" applyAlignment="1">
      <alignment horizontal="center"/>
    </xf>
    <xf numFmtId="10" fontId="0" fillId="9" borderId="5" xfId="1" applyNumberFormat="1" applyFont="1" applyFill="1" applyBorder="1" applyAlignment="1">
      <alignment horizontal="center"/>
    </xf>
    <xf numFmtId="9" fontId="0" fillId="10" borderId="5" xfId="0" applyNumberFormat="1" applyFill="1" applyBorder="1" applyAlignment="1">
      <alignment horizontal="center"/>
    </xf>
    <xf numFmtId="167" fontId="0" fillId="10" borderId="5" xfId="0" applyNumberFormat="1" applyFill="1" applyBorder="1" applyAlignment="1">
      <alignment horizontal="center"/>
    </xf>
    <xf numFmtId="9" fontId="0" fillId="9" borderId="5" xfId="0" applyNumberForma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11" borderId="0" xfId="0" applyFill="1"/>
    <xf numFmtId="169" fontId="0" fillId="2" borderId="0" xfId="1" applyNumberFormat="1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10" fontId="8" fillId="9" borderId="5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6" fillId="5" borderId="0" xfId="0" applyFont="1" applyFill="1" applyAlignment="1">
      <alignment horizontal="center" vertical="center" wrapText="1"/>
    </xf>
    <xf numFmtId="37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83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0" fontId="0" fillId="10" borderId="5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190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1" fontId="3" fillId="2" borderId="10" xfId="0" applyNumberFormat="1" applyFont="1" applyFill="1" applyBorder="1"/>
    <xf numFmtId="3" fontId="3" fillId="2" borderId="11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93" fontId="0" fillId="2" borderId="0" xfId="0" applyNumberFormat="1" applyFill="1"/>
    <xf numFmtId="15" fontId="3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11AD-F071-441D-80A6-ED8F8C057D1D}">
  <dimension ref="A1:AA88"/>
  <sheetViews>
    <sheetView tabSelected="1" topLeftCell="A16" zoomScaleNormal="100" workbookViewId="0">
      <selection activeCell="E92" sqref="E92"/>
    </sheetView>
  </sheetViews>
  <sheetFormatPr defaultRowHeight="14.4" x14ac:dyDescent="0.3"/>
  <cols>
    <col min="1" max="1" width="4.33203125" style="1" customWidth="1"/>
    <col min="2" max="2" width="18.44140625" style="1" bestFit="1" customWidth="1"/>
    <col min="3" max="3" width="11.6640625" style="1" customWidth="1"/>
    <col min="4" max="4" width="12.109375" style="1" customWidth="1"/>
    <col min="5" max="5" width="16.6640625" style="1" customWidth="1"/>
    <col min="6" max="6" width="13.44140625" style="1" customWidth="1"/>
    <col min="7" max="7" width="13" style="1" customWidth="1"/>
    <col min="8" max="8" width="21.21875" style="1" customWidth="1"/>
    <col min="9" max="9" width="14" style="1" customWidth="1"/>
    <col min="10" max="11" width="11.88671875" style="1" customWidth="1"/>
    <col min="12" max="12" width="13" style="1" customWidth="1"/>
    <col min="13" max="13" width="12.5546875" style="1" customWidth="1"/>
    <col min="14" max="14" width="11.6640625" style="1" customWidth="1"/>
    <col min="15" max="15" width="10.77734375" style="1" customWidth="1"/>
    <col min="16" max="16" width="9.77734375" style="1" customWidth="1"/>
    <col min="17" max="17" width="11.109375" style="1" customWidth="1"/>
    <col min="18" max="19" width="8.88671875" style="1"/>
    <col min="20" max="20" width="13.6640625" style="1" customWidth="1"/>
    <col min="21" max="23" width="11.44140625" style="1" bestFit="1" customWidth="1"/>
    <col min="24" max="24" width="20.21875" style="1" bestFit="1" customWidth="1"/>
    <col min="25" max="25" width="11.44140625" style="1" bestFit="1" customWidth="1"/>
    <col min="26" max="26" width="12.44140625" style="1" bestFit="1" customWidth="1"/>
    <col min="27" max="16384" width="8.88671875" style="1"/>
  </cols>
  <sheetData>
    <row r="1" spans="1:17" x14ac:dyDescent="0.3">
      <c r="A1" s="73" t="s">
        <v>0</v>
      </c>
      <c r="B1" s="74"/>
      <c r="C1" s="74"/>
      <c r="D1" s="74"/>
      <c r="E1" s="74"/>
      <c r="F1" s="74"/>
    </row>
    <row r="2" spans="1:17" x14ac:dyDescent="0.3">
      <c r="A2" s="74"/>
      <c r="B2" s="74"/>
      <c r="C2" s="74"/>
      <c r="D2" s="74"/>
      <c r="E2" s="74"/>
      <c r="F2" s="74"/>
    </row>
    <row r="3" spans="1:17" x14ac:dyDescent="0.3">
      <c r="A3" s="75"/>
      <c r="B3" s="75"/>
      <c r="C3" s="75"/>
      <c r="D3" s="75"/>
      <c r="E3" s="75"/>
      <c r="F3" s="75"/>
    </row>
    <row r="4" spans="1:17" x14ac:dyDescent="0.3">
      <c r="E4" s="101">
        <v>44966</v>
      </c>
    </row>
    <row r="5" spans="1:17" x14ac:dyDescent="0.3">
      <c r="B5" s="1" t="s">
        <v>1</v>
      </c>
      <c r="C5" s="3" t="s">
        <v>3</v>
      </c>
      <c r="E5" s="1" t="s">
        <v>212</v>
      </c>
      <c r="F5" s="13">
        <f ca="1">Q88</f>
        <v>97.489140445513002</v>
      </c>
      <c r="I5" s="100"/>
    </row>
    <row r="6" spans="1:17" x14ac:dyDescent="0.3">
      <c r="B6" s="1" t="s">
        <v>2</v>
      </c>
      <c r="C6" s="4">
        <v>44963</v>
      </c>
      <c r="E6" s="1" t="s">
        <v>213</v>
      </c>
      <c r="F6" s="13" t="s">
        <v>214</v>
      </c>
    </row>
    <row r="8" spans="1:17" x14ac:dyDescent="0.3">
      <c r="B8" s="33" t="s">
        <v>4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 x14ac:dyDescent="0.3">
      <c r="B9" s="5" t="s">
        <v>171</v>
      </c>
      <c r="D9" s="5" t="s">
        <v>168</v>
      </c>
      <c r="E9" s="5"/>
      <c r="F9" s="5"/>
      <c r="G9" s="5" t="s">
        <v>170</v>
      </c>
      <c r="H9" s="5"/>
      <c r="I9" s="5" t="s">
        <v>169</v>
      </c>
    </row>
    <row r="10" spans="1:17" x14ac:dyDescent="0.3">
      <c r="B10" s="1" t="s">
        <v>172</v>
      </c>
      <c r="C10" s="51">
        <v>2</v>
      </c>
      <c r="D10" s="1" t="s">
        <v>178</v>
      </c>
      <c r="F10" s="50">
        <v>0.112</v>
      </c>
      <c r="I10" s="1" t="s">
        <v>178</v>
      </c>
      <c r="J10" s="55">
        <v>0.13200000000000001</v>
      </c>
    </row>
    <row r="11" spans="1:17" x14ac:dyDescent="0.3">
      <c r="B11" s="1" t="s">
        <v>173</v>
      </c>
      <c r="C11" s="51">
        <v>2</v>
      </c>
      <c r="D11" s="1" t="s">
        <v>202</v>
      </c>
      <c r="F11" s="50">
        <v>-1.4999999999999999E-2</v>
      </c>
      <c r="G11" s="1" t="s">
        <v>177</v>
      </c>
      <c r="H11" s="50">
        <v>1.2500000000000001E-2</v>
      </c>
      <c r="I11" s="1" t="s">
        <v>202</v>
      </c>
      <c r="J11" s="50">
        <v>1.4999999999999999E-2</v>
      </c>
    </row>
    <row r="12" spans="1:17" x14ac:dyDescent="0.3">
      <c r="B12" s="1" t="s">
        <v>12</v>
      </c>
      <c r="C12" s="51">
        <v>2</v>
      </c>
      <c r="D12" s="1" t="s">
        <v>203</v>
      </c>
      <c r="F12" s="50">
        <v>5.0000000000000001E-3</v>
      </c>
      <c r="G12" s="1" t="s">
        <v>200</v>
      </c>
      <c r="H12" s="50">
        <v>1.2500000000000001E-2</v>
      </c>
      <c r="I12" s="1" t="s">
        <v>203</v>
      </c>
      <c r="J12" s="50">
        <v>5.0000000000000001E-3</v>
      </c>
    </row>
    <row r="13" spans="1:17" x14ac:dyDescent="0.3">
      <c r="B13" s="91"/>
      <c r="C13" s="92"/>
      <c r="D13" s="1" t="s">
        <v>12</v>
      </c>
      <c r="F13" s="54">
        <v>-0.24</v>
      </c>
      <c r="G13" s="1" t="s">
        <v>12</v>
      </c>
      <c r="H13" s="54">
        <v>-0.2</v>
      </c>
      <c r="I13" s="1" t="s">
        <v>12</v>
      </c>
      <c r="J13" s="54">
        <v>-0.16</v>
      </c>
    </row>
    <row r="14" spans="1:17" x14ac:dyDescent="0.3">
      <c r="B14" s="91"/>
      <c r="C14" s="92"/>
      <c r="D14" s="1" t="s">
        <v>174</v>
      </c>
      <c r="F14" s="50">
        <v>0.115</v>
      </c>
      <c r="H14" s="90"/>
      <c r="J14" s="92"/>
    </row>
    <row r="15" spans="1:17" x14ac:dyDescent="0.3">
      <c r="B15" s="1" t="s">
        <v>174</v>
      </c>
      <c r="C15" s="51">
        <v>2</v>
      </c>
      <c r="D15" s="1" t="s">
        <v>175</v>
      </c>
      <c r="F15" s="50">
        <v>0.02</v>
      </c>
      <c r="G15" s="1" t="s">
        <v>174</v>
      </c>
      <c r="H15" s="50">
        <v>0.105</v>
      </c>
      <c r="J15" s="92"/>
    </row>
    <row r="16" spans="1:17" x14ac:dyDescent="0.3">
      <c r="B16" s="1" t="s">
        <v>175</v>
      </c>
      <c r="C16" s="51">
        <v>2</v>
      </c>
      <c r="G16" s="1" t="s">
        <v>175</v>
      </c>
      <c r="H16" s="50">
        <v>2.5000000000000001E-2</v>
      </c>
      <c r="I16" s="1" t="s">
        <v>174</v>
      </c>
      <c r="J16" s="50">
        <v>9.5000000000000001E-2</v>
      </c>
    </row>
    <row r="17" spans="2:27" x14ac:dyDescent="0.3">
      <c r="C17" s="2"/>
      <c r="I17" s="1" t="s">
        <v>175</v>
      </c>
      <c r="J17" s="50">
        <v>0.03</v>
      </c>
    </row>
    <row r="18" spans="2:27" x14ac:dyDescent="0.3">
      <c r="B18" s="5" t="s">
        <v>176</v>
      </c>
      <c r="C18" s="2"/>
      <c r="J18" s="2"/>
    </row>
    <row r="19" spans="2:27" x14ac:dyDescent="0.3">
      <c r="B19" s="1" t="s">
        <v>174</v>
      </c>
      <c r="C19" s="89">
        <f>CHOOSE(C15,F14,H15,J16)</f>
        <v>0.105</v>
      </c>
    </row>
    <row r="20" spans="2:27" x14ac:dyDescent="0.3">
      <c r="B20" s="1" t="s">
        <v>175</v>
      </c>
      <c r="C20" s="89">
        <f>CHOOSE(C16,F15,H16,J17)</f>
        <v>2.5000000000000001E-2</v>
      </c>
    </row>
    <row r="22" spans="2:27" x14ac:dyDescent="0.3">
      <c r="B22" s="33" t="s">
        <v>5</v>
      </c>
      <c r="C22" s="34"/>
      <c r="D22" s="35">
        <v>2014</v>
      </c>
      <c r="E22" s="35">
        <v>2015</v>
      </c>
      <c r="F22" s="35">
        <v>2016</v>
      </c>
      <c r="G22" s="35">
        <v>2017</v>
      </c>
      <c r="H22" s="35">
        <v>2018</v>
      </c>
      <c r="I22" s="35">
        <v>2019</v>
      </c>
      <c r="J22" s="35">
        <v>2020</v>
      </c>
      <c r="K22" s="35">
        <v>2021</v>
      </c>
      <c r="L22" s="35">
        <v>2022</v>
      </c>
      <c r="M22" s="86"/>
      <c r="N22" s="86"/>
      <c r="O22" s="86"/>
      <c r="P22" s="86"/>
      <c r="Q22" s="86"/>
    </row>
    <row r="23" spans="2:27" x14ac:dyDescent="0.3">
      <c r="B23" s="1" t="s">
        <v>8</v>
      </c>
      <c r="D23" s="44">
        <f>IS!I35</f>
        <v>88988</v>
      </c>
      <c r="E23" s="44">
        <f>IS!H35</f>
        <v>107006</v>
      </c>
      <c r="F23" s="44">
        <f>IS!G35</f>
        <v>135987</v>
      </c>
      <c r="G23" s="44">
        <f>IS!D34</f>
        <v>177866</v>
      </c>
      <c r="H23" s="44">
        <f>IS!C34</f>
        <v>232887</v>
      </c>
      <c r="I23" s="44">
        <f>IS!B34</f>
        <v>280522</v>
      </c>
      <c r="J23" s="44">
        <f>IS!D3</f>
        <v>386064</v>
      </c>
      <c r="K23" s="44">
        <f>IS!C3</f>
        <v>469822</v>
      </c>
      <c r="L23" s="44">
        <f>IS!B3</f>
        <v>513983</v>
      </c>
      <c r="M23" s="13"/>
      <c r="N23" s="13"/>
      <c r="O23" s="13"/>
      <c r="P23" s="13"/>
      <c r="Q23" s="13"/>
    </row>
    <row r="24" spans="2:27" x14ac:dyDescent="0.3">
      <c r="B24" s="1" t="s">
        <v>9</v>
      </c>
      <c r="D24" s="2"/>
      <c r="E24" s="38">
        <f>(E23-D23)/D23</f>
        <v>0.20247673843664316</v>
      </c>
      <c r="F24" s="38">
        <f t="shared" ref="F24:L24" si="0">(F23-E23)/E23</f>
        <v>0.27083528026465803</v>
      </c>
      <c r="G24" s="38">
        <f t="shared" si="0"/>
        <v>0.30796326119408474</v>
      </c>
      <c r="H24" s="38">
        <f t="shared" si="0"/>
        <v>0.3093396152159491</v>
      </c>
      <c r="I24" s="38">
        <f>(I23-H23)/H23</f>
        <v>0.2045412582067698</v>
      </c>
      <c r="J24" s="38">
        <f t="shared" si="0"/>
        <v>0.37623430604373276</v>
      </c>
      <c r="K24" s="38">
        <f t="shared" si="0"/>
        <v>0.21695366571345684</v>
      </c>
      <c r="L24" s="38">
        <f t="shared" si="0"/>
        <v>9.3995172639850841E-2</v>
      </c>
      <c r="M24" s="38"/>
      <c r="N24" s="38"/>
      <c r="O24" s="38"/>
      <c r="P24" s="38"/>
      <c r="Q24" s="38"/>
    </row>
    <row r="25" spans="2:27" x14ac:dyDescent="0.3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27" x14ac:dyDescent="0.3">
      <c r="B26" s="5" t="s">
        <v>10</v>
      </c>
      <c r="D26" s="44">
        <f>IS!I44</f>
        <v>178</v>
      </c>
      <c r="E26" s="44">
        <f>IS!H44</f>
        <v>2233</v>
      </c>
      <c r="F26" s="44">
        <f>IS!G44</f>
        <v>4186</v>
      </c>
      <c r="G26" s="44">
        <f>IS!D43</f>
        <v>4106</v>
      </c>
      <c r="H26" s="44">
        <f>IS!C43</f>
        <v>12421</v>
      </c>
      <c r="I26" s="44">
        <f>IS!B43</f>
        <v>14541</v>
      </c>
      <c r="J26" s="44">
        <f>IS!D12</f>
        <v>22899</v>
      </c>
      <c r="K26" s="44">
        <f>IS!C12</f>
        <v>24879</v>
      </c>
      <c r="L26" s="44">
        <f>IS!B12</f>
        <v>12248</v>
      </c>
      <c r="M26" s="13"/>
      <c r="N26" s="13"/>
      <c r="O26" s="13"/>
      <c r="P26" s="13"/>
      <c r="Q26" s="13"/>
    </row>
    <row r="27" spans="2:27" x14ac:dyDescent="0.3">
      <c r="B27" s="5" t="s">
        <v>11</v>
      </c>
      <c r="D27" s="39">
        <f>D26/D23</f>
        <v>2.000269699285297E-3</v>
      </c>
      <c r="E27" s="39">
        <f t="shared" ref="E27:L27" si="1">E26/E23</f>
        <v>2.0867988710913405E-2</v>
      </c>
      <c r="F27" s="39">
        <f t="shared" si="1"/>
        <v>3.0782354195621642E-2</v>
      </c>
      <c r="G27" s="39">
        <f t="shared" si="1"/>
        <v>2.3084794170892695E-2</v>
      </c>
      <c r="H27" s="39">
        <f t="shared" si="1"/>
        <v>5.3334879147397665E-2</v>
      </c>
      <c r="I27" s="39">
        <f t="shared" si="1"/>
        <v>5.1835506662579051E-2</v>
      </c>
      <c r="J27" s="39">
        <f t="shared" si="1"/>
        <v>5.9313999751336569E-2</v>
      </c>
      <c r="K27" s="39">
        <f t="shared" si="1"/>
        <v>5.2954097509269465E-2</v>
      </c>
      <c r="L27" s="39">
        <f t="shared" si="1"/>
        <v>2.3829581912242232E-2</v>
      </c>
      <c r="M27" s="2"/>
      <c r="N27" s="2"/>
      <c r="O27" s="2"/>
      <c r="P27" s="2"/>
      <c r="Q27" s="2"/>
    </row>
    <row r="28" spans="2:27" x14ac:dyDescent="0.3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27" x14ac:dyDescent="0.3">
      <c r="B29" s="5" t="s">
        <v>12</v>
      </c>
      <c r="D29" s="45">
        <f>IS!I50</f>
        <v>-167</v>
      </c>
      <c r="E29" s="45">
        <f>IS!H50</f>
        <v>-950</v>
      </c>
      <c r="F29" s="45">
        <f>IS!G50</f>
        <v>-1425</v>
      </c>
      <c r="G29" s="45">
        <f>IS!D49</f>
        <v>-769</v>
      </c>
      <c r="H29" s="45">
        <f>IS!C49</f>
        <v>-1197</v>
      </c>
      <c r="I29" s="45">
        <f>IS!B49</f>
        <v>-2374</v>
      </c>
      <c r="J29" s="45">
        <f>IS!D18</f>
        <v>-2863</v>
      </c>
      <c r="K29" s="45">
        <f>IS!C18</f>
        <v>-4791</v>
      </c>
      <c r="L29" s="45">
        <f>IS!B18</f>
        <v>3217</v>
      </c>
      <c r="M29" s="2"/>
      <c r="N29" s="2"/>
      <c r="O29" s="2"/>
      <c r="P29" s="2"/>
      <c r="Q29" s="2"/>
    </row>
    <row r="30" spans="2:27" x14ac:dyDescent="0.3">
      <c r="B30" s="5" t="s">
        <v>13</v>
      </c>
      <c r="D30" s="38">
        <f>D29/D26</f>
        <v>-0.9382022471910112</v>
      </c>
      <c r="E30" s="38">
        <f t="shared" ref="E30:K30" si="2">E29/E26</f>
        <v>-0.42543663233318407</v>
      </c>
      <c r="F30" s="38">
        <f t="shared" si="2"/>
        <v>-0.34042044911610131</v>
      </c>
      <c r="G30" s="38">
        <f t="shared" si="2"/>
        <v>-0.18728689722357525</v>
      </c>
      <c r="H30" s="38">
        <f t="shared" si="2"/>
        <v>-9.6369052411239026E-2</v>
      </c>
      <c r="I30" s="38">
        <f t="shared" si="2"/>
        <v>-0.16326249914036173</v>
      </c>
      <c r="J30" s="38">
        <f t="shared" si="2"/>
        <v>-0.12502729376828683</v>
      </c>
      <c r="K30" s="38">
        <f t="shared" si="2"/>
        <v>-0.1925720487157844</v>
      </c>
      <c r="L30" s="38">
        <f>L29/L26</f>
        <v>0.2626551273677335</v>
      </c>
      <c r="M30" s="2"/>
      <c r="N30" s="2"/>
      <c r="O30" s="2"/>
      <c r="P30" s="2"/>
      <c r="Q30" s="2"/>
      <c r="W30" s="5" t="s">
        <v>201</v>
      </c>
      <c r="X30" s="5"/>
    </row>
    <row r="31" spans="2:27" x14ac:dyDescent="0.3">
      <c r="B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7" x14ac:dyDescent="0.3">
      <c r="B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T32" s="66" t="s">
        <v>191</v>
      </c>
      <c r="U32" s="67">
        <v>2019</v>
      </c>
      <c r="V32" s="68">
        <v>2020</v>
      </c>
      <c r="W32" s="68">
        <v>2021</v>
      </c>
      <c r="X32" s="68">
        <v>2022</v>
      </c>
      <c r="Y32" s="68">
        <v>2023</v>
      </c>
      <c r="Z32" s="68">
        <v>2024</v>
      </c>
      <c r="AA32" s="2"/>
    </row>
    <row r="33" spans="2:27" x14ac:dyDescent="0.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T33" s="1" t="s">
        <v>194</v>
      </c>
      <c r="U33" s="2">
        <v>170773</v>
      </c>
      <c r="V33" s="2">
        <v>236282</v>
      </c>
      <c r="W33" s="2">
        <v>279833</v>
      </c>
      <c r="X33" s="2">
        <v>315880</v>
      </c>
      <c r="Y33" s="2"/>
      <c r="Z33" s="2"/>
      <c r="AA33" s="2"/>
    </row>
    <row r="34" spans="2:27" x14ac:dyDescent="0.3">
      <c r="B34" s="33" t="s">
        <v>6</v>
      </c>
      <c r="C34" s="34"/>
      <c r="D34" s="35">
        <v>2014</v>
      </c>
      <c r="E34" s="35">
        <v>2015</v>
      </c>
      <c r="F34" s="35">
        <v>2016</v>
      </c>
      <c r="G34" s="35">
        <v>2017</v>
      </c>
      <c r="H34" s="35">
        <v>2018</v>
      </c>
      <c r="I34" s="35">
        <v>2019</v>
      </c>
      <c r="J34" s="35">
        <v>2020</v>
      </c>
      <c r="K34" s="35">
        <v>2021</v>
      </c>
      <c r="L34" s="35">
        <v>2022</v>
      </c>
      <c r="M34" s="86"/>
      <c r="N34" s="86"/>
      <c r="O34" s="86"/>
      <c r="P34" s="86"/>
      <c r="Q34" s="86"/>
      <c r="T34" s="1" t="s">
        <v>192</v>
      </c>
      <c r="U34" s="47">
        <v>163740</v>
      </c>
      <c r="V34" s="47">
        <v>227631</v>
      </c>
      <c r="W34" s="47">
        <v>272562</v>
      </c>
      <c r="X34" s="47">
        <v>318727</v>
      </c>
      <c r="Y34" s="47"/>
      <c r="Z34" s="47"/>
      <c r="AA34" s="2"/>
    </row>
    <row r="35" spans="2:27" x14ac:dyDescent="0.3">
      <c r="B35" s="1" t="s">
        <v>156</v>
      </c>
      <c r="D35" s="45">
        <f>CF!I46</f>
        <v>4746</v>
      </c>
      <c r="E35" s="45">
        <f>CF!H46</f>
        <v>6281</v>
      </c>
      <c r="F35" s="45">
        <f>CF!G46</f>
        <v>8116</v>
      </c>
      <c r="G35" s="45">
        <f>CF!D47</f>
        <v>11478</v>
      </c>
      <c r="H35" s="45">
        <f>CF!C47</f>
        <v>15341</v>
      </c>
      <c r="I35" s="45">
        <f>CF!B47</f>
        <v>21789</v>
      </c>
      <c r="J35" s="45">
        <f>CF!D8</f>
        <v>25180</v>
      </c>
      <c r="K35" s="45">
        <f>CF!C8</f>
        <v>34433</v>
      </c>
      <c r="L35" s="45">
        <f>CF!B8</f>
        <v>41921</v>
      </c>
      <c r="M35" s="2"/>
      <c r="N35" s="2"/>
      <c r="O35" s="2"/>
      <c r="P35" s="2"/>
      <c r="Q35" s="2"/>
      <c r="T35" s="1" t="s">
        <v>193</v>
      </c>
      <c r="U35" s="59">
        <f>U33-U34</f>
        <v>7033</v>
      </c>
      <c r="V35" s="59">
        <f t="shared" ref="V35" si="3">V33-V34</f>
        <v>8651</v>
      </c>
      <c r="W35" s="59">
        <f>W33-W34</f>
        <v>7271</v>
      </c>
      <c r="X35" s="64">
        <f>X33-X34</f>
        <v>-2847</v>
      </c>
      <c r="Y35" s="64">
        <f>AVERAGE(V35:X35)</f>
        <v>4358.333333333333</v>
      </c>
      <c r="Z35" s="64">
        <f>AVERAGE(W35:Y35)</f>
        <v>2927.4444444444439</v>
      </c>
      <c r="AA35" s="2"/>
    </row>
    <row r="36" spans="2:27" x14ac:dyDescent="0.3">
      <c r="B36" s="1" t="s">
        <v>157</v>
      </c>
      <c r="D36" s="39">
        <f>D35/D23</f>
        <v>5.3333033667460783E-2</v>
      </c>
      <c r="E36" s="39">
        <f t="shared" ref="E36:L36" si="4">E35/E23</f>
        <v>5.8697643122815543E-2</v>
      </c>
      <c r="F36" s="39">
        <f t="shared" si="4"/>
        <v>5.9682175502070049E-2</v>
      </c>
      <c r="G36" s="39">
        <f t="shared" si="4"/>
        <v>6.4531726130907532E-2</v>
      </c>
      <c r="H36" s="39">
        <f t="shared" si="4"/>
        <v>6.5873148780309768E-2</v>
      </c>
      <c r="I36" s="39">
        <f t="shared" si="4"/>
        <v>7.7673052380918428E-2</v>
      </c>
      <c r="J36" s="39">
        <f t="shared" si="4"/>
        <v>6.5222346553939242E-2</v>
      </c>
      <c r="K36" s="39">
        <f t="shared" si="4"/>
        <v>7.3289458560901785E-2</v>
      </c>
      <c r="L36" s="39">
        <f t="shared" si="4"/>
        <v>8.1561063303650122E-2</v>
      </c>
      <c r="M36" s="2"/>
      <c r="N36" s="2"/>
      <c r="O36" s="2"/>
      <c r="P36" s="2"/>
      <c r="Q36" s="2"/>
      <c r="T36" s="5" t="s">
        <v>195</v>
      </c>
      <c r="X36" s="58"/>
      <c r="Y36" s="2"/>
      <c r="Z36" s="2"/>
      <c r="AA36" s="2"/>
    </row>
    <row r="37" spans="2:27" x14ac:dyDescent="0.3">
      <c r="B37" s="1" t="s">
        <v>159</v>
      </c>
      <c r="D37" s="39">
        <f>D35/D39</f>
        <v>-0.96995708154506433</v>
      </c>
      <c r="E37" s="39">
        <f t="shared" ref="E37:L37" si="5">E35/E39</f>
        <v>-1.3687077794726521</v>
      </c>
      <c r="F37" s="39">
        <f t="shared" si="5"/>
        <v>-1.2046905150660532</v>
      </c>
      <c r="G37" s="39">
        <f t="shared" si="5"/>
        <v>-1.1411811493338635</v>
      </c>
      <c r="H37" s="39">
        <f t="shared" si="5"/>
        <v>-1.3548529541640908</v>
      </c>
      <c r="I37" s="39">
        <f t="shared" si="5"/>
        <v>-1.7171565923240601</v>
      </c>
      <c r="J37" s="39">
        <f t="shared" si="5"/>
        <v>-0.71852528250199754</v>
      </c>
      <c r="K37" s="39">
        <f t="shared" si="5"/>
        <v>-0.62157917539172503</v>
      </c>
      <c r="L37" s="39">
        <f t="shared" si="5"/>
        <v>-0.7187976886541726</v>
      </c>
      <c r="M37" s="2"/>
      <c r="N37" s="2"/>
      <c r="O37" s="2"/>
      <c r="P37" s="2"/>
      <c r="Q37" s="2"/>
      <c r="T37" s="1" t="s">
        <v>194</v>
      </c>
      <c r="U37" s="2">
        <v>74723</v>
      </c>
      <c r="V37" s="2">
        <v>104415</v>
      </c>
      <c r="W37" s="2">
        <v>127787</v>
      </c>
      <c r="X37" s="58">
        <v>118007</v>
      </c>
      <c r="Y37" s="2"/>
      <c r="Z37" s="2"/>
      <c r="AA37" s="2"/>
    </row>
    <row r="38" spans="2:27" x14ac:dyDescent="0.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T38" s="1" t="s">
        <v>192</v>
      </c>
      <c r="U38" s="47">
        <v>76416</v>
      </c>
      <c r="V38" s="47">
        <v>103698</v>
      </c>
      <c r="W38" s="47">
        <v>128711</v>
      </c>
      <c r="X38" s="69">
        <v>125753</v>
      </c>
      <c r="Y38" s="47"/>
      <c r="Z38" s="47"/>
      <c r="AA38" s="2"/>
    </row>
    <row r="39" spans="2:27" x14ac:dyDescent="0.3">
      <c r="B39" s="1" t="s">
        <v>158</v>
      </c>
      <c r="D39" s="45">
        <f>CF!I61</f>
        <v>-4893</v>
      </c>
      <c r="E39" s="45">
        <f>CF!H61</f>
        <v>-4589</v>
      </c>
      <c r="F39" s="45">
        <f>CF!G61</f>
        <v>-6737</v>
      </c>
      <c r="G39" s="45">
        <f>CF!D60+CF!D61</f>
        <v>-10058</v>
      </c>
      <c r="H39" s="45">
        <f>CF!C60+CF!C61</f>
        <v>-11323</v>
      </c>
      <c r="I39" s="45">
        <f>CF!B60+CF!B61</f>
        <v>-12689</v>
      </c>
      <c r="J39" s="45">
        <f>CF!D20+CF!D21</f>
        <v>-35044</v>
      </c>
      <c r="K39" s="45">
        <f>CF!C20+CF!C21</f>
        <v>-55396</v>
      </c>
      <c r="L39" s="45">
        <f>CF!B20+CF!B21</f>
        <v>-58321</v>
      </c>
      <c r="M39" s="2"/>
      <c r="N39" s="2"/>
      <c r="O39" s="2"/>
      <c r="P39" s="2"/>
      <c r="Q39" s="2"/>
      <c r="T39" s="1" t="s">
        <v>193</v>
      </c>
      <c r="U39" s="59">
        <f>U37-U38</f>
        <v>-1693</v>
      </c>
      <c r="V39" s="59">
        <f>V37-V38</f>
        <v>717</v>
      </c>
      <c r="W39" s="59">
        <f>W37-W38</f>
        <v>-924</v>
      </c>
      <c r="X39" s="59">
        <f t="shared" ref="X39" si="6">X37-X38</f>
        <v>-7746</v>
      </c>
      <c r="Y39" s="64">
        <f t="shared" ref="Y39" si="7">AVERAGE(V39:X39)</f>
        <v>-2651</v>
      </c>
      <c r="Z39" s="64">
        <f t="shared" ref="Z39" si="8">AVERAGE(W39:Y39)</f>
        <v>-3773.6666666666665</v>
      </c>
      <c r="AA39" s="2"/>
    </row>
    <row r="40" spans="2:27" x14ac:dyDescent="0.3">
      <c r="B40" s="1" t="s">
        <v>157</v>
      </c>
      <c r="D40" s="39">
        <f>D39/D23</f>
        <v>-5.4984941789904256E-2</v>
      </c>
      <c r="E40" s="39">
        <f t="shared" ref="E40:L40" si="9">E39/E23</f>
        <v>-4.2885445675943407E-2</v>
      </c>
      <c r="F40" s="39">
        <f t="shared" si="9"/>
        <v>-4.9541500290468943E-2</v>
      </c>
      <c r="G40" s="39">
        <f t="shared" si="9"/>
        <v>-5.6548187961723992E-2</v>
      </c>
      <c r="H40" s="39">
        <f t="shared" si="9"/>
        <v>-4.86201462511862E-2</v>
      </c>
      <c r="I40" s="39">
        <f t="shared" si="9"/>
        <v>-4.5233528921082837E-2</v>
      </c>
      <c r="J40" s="39">
        <f t="shared" si="9"/>
        <v>-9.0772514401757223E-2</v>
      </c>
      <c r="K40" s="39">
        <f t="shared" si="9"/>
        <v>-0.11790848448987064</v>
      </c>
      <c r="L40" s="39">
        <f t="shared" si="9"/>
        <v>-0.11346873340168838</v>
      </c>
      <c r="M40" s="2"/>
      <c r="N40" s="2"/>
      <c r="O40" s="2"/>
      <c r="P40" s="2"/>
      <c r="Q40" s="2"/>
      <c r="T40" s="5" t="s">
        <v>196</v>
      </c>
      <c r="X40" s="58"/>
      <c r="Y40" s="2"/>
      <c r="Z40" s="2"/>
      <c r="AA40" s="2"/>
    </row>
    <row r="41" spans="2:27" x14ac:dyDescent="0.3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T41" s="1" t="s">
        <v>194</v>
      </c>
      <c r="U41" s="2">
        <v>35026</v>
      </c>
      <c r="V41" s="2">
        <v>45370</v>
      </c>
      <c r="W41" s="2">
        <v>62202</v>
      </c>
      <c r="X41" s="58">
        <v>80096</v>
      </c>
      <c r="Y41" s="2"/>
      <c r="Z41" s="2"/>
      <c r="AA41" s="2"/>
    </row>
    <row r="42" spans="2:27" x14ac:dyDescent="0.3">
      <c r="B42" s="1" t="s">
        <v>160</v>
      </c>
      <c r="D42" s="45">
        <f>CF!I52</f>
        <v>974</v>
      </c>
      <c r="E42" s="45">
        <f>CF!H52</f>
        <v>2557</v>
      </c>
      <c r="F42" s="45">
        <f>CF!G52</f>
        <v>3916</v>
      </c>
      <c r="G42" s="45">
        <f>CF!D52</f>
        <v>-242</v>
      </c>
      <c r="H42" s="45">
        <f>CF!C52</f>
        <v>-1043</v>
      </c>
      <c r="I42" s="45">
        <f>CF!B52</f>
        <v>-2438</v>
      </c>
      <c r="J42" s="45">
        <f>CF!D12</f>
        <v>13481</v>
      </c>
      <c r="K42" s="45">
        <f>CF!C12</f>
        <v>-19611</v>
      </c>
      <c r="L42" s="45">
        <f>CF!B12</f>
        <v>-20886</v>
      </c>
      <c r="M42" s="2"/>
      <c r="N42" s="2"/>
      <c r="O42" s="2"/>
      <c r="P42" s="2"/>
      <c r="Q42" s="2"/>
      <c r="T42" s="1" t="s">
        <v>192</v>
      </c>
      <c r="U42" s="2">
        <v>25825</v>
      </c>
      <c r="V42" s="2">
        <v>31839</v>
      </c>
      <c r="W42" s="2">
        <v>43670</v>
      </c>
      <c r="X42" s="58">
        <v>57255</v>
      </c>
      <c r="Y42" s="2"/>
      <c r="Z42" s="2"/>
      <c r="AA42" s="2"/>
    </row>
    <row r="43" spans="2:27" x14ac:dyDescent="0.3">
      <c r="B43" s="1" t="s">
        <v>157</v>
      </c>
      <c r="D43" s="39">
        <f>D42/D23</f>
        <v>1.0945295994965614E-2</v>
      </c>
      <c r="E43" s="39">
        <f t="shared" ref="E43:L43" si="10">E42/E23</f>
        <v>2.3895856307122966E-2</v>
      </c>
      <c r="F43" s="39">
        <f t="shared" si="10"/>
        <v>2.8796870289071748E-2</v>
      </c>
      <c r="G43" s="39">
        <f t="shared" si="10"/>
        <v>-1.3605748147481813E-3</v>
      </c>
      <c r="H43" s="39">
        <f t="shared" si="10"/>
        <v>-4.4785668586052466E-3</v>
      </c>
      <c r="I43" s="39">
        <f t="shared" si="10"/>
        <v>-8.6909404609977117E-3</v>
      </c>
      <c r="J43" s="39">
        <f t="shared" si="10"/>
        <v>3.4919080774172155E-2</v>
      </c>
      <c r="K43" s="39">
        <f t="shared" si="10"/>
        <v>-4.1741340337404377E-2</v>
      </c>
      <c r="L43" s="39">
        <f t="shared" si="10"/>
        <v>-4.0635585223635799E-2</v>
      </c>
      <c r="M43" s="2"/>
      <c r="N43" s="2"/>
      <c r="O43" s="2"/>
      <c r="P43" s="2"/>
      <c r="Q43" s="2"/>
      <c r="T43" s="1" t="s">
        <v>193</v>
      </c>
      <c r="U43" s="63">
        <f>U41-U42</f>
        <v>9201</v>
      </c>
      <c r="V43" s="63">
        <f t="shared" ref="V43:X43" si="11">V41-V42</f>
        <v>13531</v>
      </c>
      <c r="W43" s="63">
        <f t="shared" si="11"/>
        <v>18532</v>
      </c>
      <c r="X43" s="63">
        <f t="shared" si="11"/>
        <v>22841</v>
      </c>
      <c r="Y43" s="64">
        <f t="shared" ref="Y43:Z43" si="12">X43*(1+Y44)</f>
        <v>26324.634580185622</v>
      </c>
      <c r="Z43" s="64">
        <f t="shared" si="12"/>
        <v>28233.610941054383</v>
      </c>
    </row>
    <row r="44" spans="2:27" x14ac:dyDescent="0.3">
      <c r="B44" s="1" t="s">
        <v>161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T44" s="1" t="s">
        <v>198</v>
      </c>
      <c r="V44" s="46">
        <f>V43/U43-1</f>
        <v>0.47060102162808382</v>
      </c>
      <c r="W44" s="46">
        <f>W43/V43-1</f>
        <v>0.36959574310841781</v>
      </c>
      <c r="X44" s="46">
        <f>X43/W43-1</f>
        <v>0.23251672782214539</v>
      </c>
      <c r="Y44" s="46">
        <f t="shared" ref="Y44:Z44" si="13">X44-8%</f>
        <v>0.15251672782214537</v>
      </c>
      <c r="Z44" s="46">
        <f t="shared" si="13"/>
        <v>7.2516727822145369E-2</v>
      </c>
    </row>
    <row r="45" spans="2:27" x14ac:dyDescent="0.3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T45" s="1" t="s">
        <v>197</v>
      </c>
      <c r="U45" s="63">
        <f>U35+U39+U43</f>
        <v>14541</v>
      </c>
      <c r="V45" s="63">
        <f t="shared" ref="V45:Z45" si="14">V35+V39+V43</f>
        <v>22899</v>
      </c>
      <c r="W45" s="65">
        <f t="shared" si="14"/>
        <v>24879</v>
      </c>
      <c r="X45" s="65">
        <f t="shared" si="14"/>
        <v>12248</v>
      </c>
      <c r="Y45" s="65">
        <f t="shared" si="14"/>
        <v>28031.967913518954</v>
      </c>
      <c r="Z45" s="65">
        <f t="shared" si="14"/>
        <v>27387.388718832161</v>
      </c>
    </row>
    <row r="46" spans="2:27" x14ac:dyDescent="0.3">
      <c r="B46" s="33" t="s">
        <v>7</v>
      </c>
      <c r="C46" s="34"/>
      <c r="D46" s="35">
        <v>2014</v>
      </c>
      <c r="E46" s="35">
        <v>2015</v>
      </c>
      <c r="F46" s="35">
        <v>2016</v>
      </c>
      <c r="G46" s="35">
        <v>2017</v>
      </c>
      <c r="H46" s="35">
        <v>2018</v>
      </c>
      <c r="I46" s="35">
        <v>2019</v>
      </c>
      <c r="J46" s="35">
        <v>2020</v>
      </c>
      <c r="K46" s="35">
        <v>2021</v>
      </c>
      <c r="L46" s="35">
        <v>2022</v>
      </c>
      <c r="M46" s="35" t="s">
        <v>181</v>
      </c>
      <c r="N46" s="35" t="s">
        <v>182</v>
      </c>
      <c r="O46" s="35" t="s">
        <v>183</v>
      </c>
      <c r="P46" s="35" t="s">
        <v>184</v>
      </c>
      <c r="Q46" s="35" t="s">
        <v>185</v>
      </c>
      <c r="T46" s="1" t="s">
        <v>8</v>
      </c>
      <c r="U46" s="58">
        <f>I48</f>
        <v>280522</v>
      </c>
      <c r="V46" s="58">
        <f t="shared" ref="V46:Z46" si="15">J48</f>
        <v>386064</v>
      </c>
      <c r="W46" s="58">
        <f t="shared" si="15"/>
        <v>469822</v>
      </c>
      <c r="X46" s="58">
        <f t="shared" si="15"/>
        <v>513983</v>
      </c>
      <c r="Y46" s="58">
        <f t="shared" ca="1" si="15"/>
        <v>575660.96000000008</v>
      </c>
      <c r="Z46" s="58">
        <f t="shared" ca="1" si="15"/>
        <v>672372.00128000008</v>
      </c>
    </row>
    <row r="47" spans="2:27" x14ac:dyDescent="0.3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T47" s="1" t="s">
        <v>199</v>
      </c>
      <c r="U47" s="39">
        <f>U45/U46</f>
        <v>5.1835506662579051E-2</v>
      </c>
      <c r="V47" s="39">
        <f t="shared" ref="V47:Z47" si="16">V45/V46</f>
        <v>5.9313999751336569E-2</v>
      </c>
      <c r="W47" s="39">
        <f t="shared" si="16"/>
        <v>5.2954097509269465E-2</v>
      </c>
      <c r="X47" s="39">
        <f t="shared" si="16"/>
        <v>2.3829581912242232E-2</v>
      </c>
      <c r="Y47" s="39">
        <f ca="1">Y45/Y46</f>
        <v>4.869527354003466E-2</v>
      </c>
      <c r="Z47" s="39">
        <f t="shared" ca="1" si="16"/>
        <v>4.073249431370516E-2</v>
      </c>
    </row>
    <row r="48" spans="2:27" x14ac:dyDescent="0.3">
      <c r="B48" s="1" t="s">
        <v>8</v>
      </c>
      <c r="D48" s="83">
        <f>D23</f>
        <v>88988</v>
      </c>
      <c r="E48" s="83">
        <f t="shared" ref="E48:L48" si="17">E23</f>
        <v>107006</v>
      </c>
      <c r="F48" s="83">
        <f t="shared" si="17"/>
        <v>135987</v>
      </c>
      <c r="G48" s="83">
        <f t="shared" si="17"/>
        <v>177866</v>
      </c>
      <c r="H48" s="83">
        <f t="shared" si="17"/>
        <v>232887</v>
      </c>
      <c r="I48" s="83">
        <f t="shared" si="17"/>
        <v>280522</v>
      </c>
      <c r="J48" s="83">
        <f t="shared" si="17"/>
        <v>386064</v>
      </c>
      <c r="K48" s="83">
        <f t="shared" si="17"/>
        <v>469822</v>
      </c>
      <c r="L48" s="83">
        <f t="shared" si="17"/>
        <v>513983</v>
      </c>
      <c r="M48" s="58">
        <f ca="1">L48*(1+M49)</f>
        <v>575660.96000000008</v>
      </c>
      <c r="N48" s="58">
        <f t="shared" ref="N48:Q48" ca="1" si="18">M48*(1+N49)</f>
        <v>672372.00128000008</v>
      </c>
      <c r="O48" s="58">
        <f t="shared" ca="1" si="18"/>
        <v>776925.84747904004</v>
      </c>
      <c r="P48" s="58">
        <f ca="1">O48*(1+P49)</f>
        <v>888026.24366854283</v>
      </c>
      <c r="Q48" s="58">
        <f t="shared" ca="1" si="18"/>
        <v>1003913.6684672877</v>
      </c>
    </row>
    <row r="49" spans="2:26" x14ac:dyDescent="0.3">
      <c r="B49" s="1" t="s">
        <v>162</v>
      </c>
      <c r="D49" s="2"/>
      <c r="E49" s="46">
        <f>(E48-D48)/D48</f>
        <v>0.20247673843664316</v>
      </c>
      <c r="F49" s="46">
        <f t="shared" ref="F49:L49" si="19">(F48-E48)/E48</f>
        <v>0.27083528026465803</v>
      </c>
      <c r="G49" s="46">
        <f t="shared" si="19"/>
        <v>0.30796326119408474</v>
      </c>
      <c r="H49" s="46">
        <f t="shared" si="19"/>
        <v>0.3093396152159491</v>
      </c>
      <c r="I49" s="46">
        <f t="shared" si="19"/>
        <v>0.2045412582067698</v>
      </c>
      <c r="J49" s="46">
        <f t="shared" si="19"/>
        <v>0.37623430604373276</v>
      </c>
      <c r="K49" s="46">
        <f>(K48-J48)/J48</f>
        <v>0.21695366571345684</v>
      </c>
      <c r="L49" s="46">
        <f t="shared" si="19"/>
        <v>9.3995172639850841E-2</v>
      </c>
      <c r="M49" s="39">
        <f ca="1">OFFSET(M49,$C$10,0)</f>
        <v>0.12</v>
      </c>
      <c r="N49" s="39">
        <f ca="1">OFFSET(N49,$C$10,0)</f>
        <v>0.16800000000000001</v>
      </c>
      <c r="O49" s="39">
        <f ca="1">OFFSET(O49,$C$10,0)</f>
        <v>0.1555</v>
      </c>
      <c r="P49" s="39">
        <f t="shared" ref="P49:Q49" ca="1" si="20">OFFSET(P49,$C$10,0)</f>
        <v>0.14299999999999999</v>
      </c>
      <c r="Q49" s="39">
        <f t="shared" ca="1" si="20"/>
        <v>0.13049999999999998</v>
      </c>
    </row>
    <row r="50" spans="2:26" x14ac:dyDescent="0.3">
      <c r="B50" s="1" t="s">
        <v>168</v>
      </c>
      <c r="D50" s="2"/>
      <c r="E50" s="2"/>
      <c r="F50" s="2"/>
      <c r="G50" s="2"/>
      <c r="H50" s="2"/>
      <c r="I50" s="2"/>
      <c r="J50" s="2"/>
      <c r="K50" s="62"/>
      <c r="L50" s="2"/>
      <c r="M50" s="49">
        <f>F10</f>
        <v>0.112</v>
      </c>
      <c r="N50" s="49">
        <f>N51+$F$11</f>
        <v>0.15300000000000002</v>
      </c>
      <c r="O50" s="49">
        <f t="shared" ref="O50:Q50" si="21">O51+$F$11</f>
        <v>0.14050000000000001</v>
      </c>
      <c r="P50" s="49">
        <f t="shared" si="21"/>
        <v>0.128</v>
      </c>
      <c r="Q50" s="49">
        <f t="shared" si="21"/>
        <v>0.11549999999999998</v>
      </c>
      <c r="T50" s="5" t="s">
        <v>186</v>
      </c>
    </row>
    <row r="51" spans="2:26" x14ac:dyDescent="0.3">
      <c r="B51" s="1" t="s">
        <v>170</v>
      </c>
      <c r="D51" s="2"/>
      <c r="E51" s="2"/>
      <c r="F51" s="2"/>
      <c r="G51" s="2"/>
      <c r="H51" s="2"/>
      <c r="I51" s="2"/>
      <c r="J51" s="2"/>
      <c r="K51" s="2"/>
      <c r="L51" s="2"/>
      <c r="M51" s="72">
        <v>0.12</v>
      </c>
      <c r="N51" s="72">
        <v>0.16800000000000001</v>
      </c>
      <c r="O51" s="52">
        <f>N51-$H$11</f>
        <v>0.1555</v>
      </c>
      <c r="P51" s="52">
        <f t="shared" ref="P51:Q51" si="22">O51-$H$11</f>
        <v>0.14299999999999999</v>
      </c>
      <c r="Q51" s="52">
        <f t="shared" si="22"/>
        <v>0.13049999999999998</v>
      </c>
      <c r="T51" s="5"/>
      <c r="U51" s="59" t="s">
        <v>180</v>
      </c>
      <c r="V51" s="59" t="s">
        <v>181</v>
      </c>
      <c r="W51" s="59" t="s">
        <v>182</v>
      </c>
      <c r="X51" s="59" t="s">
        <v>183</v>
      </c>
      <c r="Y51" s="59" t="s">
        <v>184</v>
      </c>
      <c r="Z51" s="59" t="s">
        <v>185</v>
      </c>
    </row>
    <row r="52" spans="2:26" x14ac:dyDescent="0.3">
      <c r="B52" s="1" t="s">
        <v>169</v>
      </c>
      <c r="D52" s="2"/>
      <c r="E52" s="2"/>
      <c r="F52" s="2"/>
      <c r="G52" s="2"/>
      <c r="H52" s="2"/>
      <c r="I52" s="2"/>
      <c r="J52" s="2"/>
      <c r="K52" s="2"/>
      <c r="L52" s="2"/>
      <c r="M52" s="57">
        <f>J10</f>
        <v>0.13200000000000001</v>
      </c>
      <c r="N52" s="49">
        <f>N51+$J$11</f>
        <v>0.183</v>
      </c>
      <c r="O52" s="49">
        <f t="shared" ref="O52:Q52" si="23">O51+$J$11</f>
        <v>0.17049999999999998</v>
      </c>
      <c r="P52" s="49">
        <f t="shared" si="23"/>
        <v>0.15799999999999997</v>
      </c>
      <c r="Q52" s="49">
        <f t="shared" si="23"/>
        <v>0.14549999999999996</v>
      </c>
      <c r="T52" s="1" t="s">
        <v>8</v>
      </c>
      <c r="U52" s="60">
        <v>530875</v>
      </c>
      <c r="V52" s="60">
        <v>618219</v>
      </c>
      <c r="W52" s="60">
        <v>717852</v>
      </c>
      <c r="X52" s="60">
        <v>831603</v>
      </c>
      <c r="Y52" s="60">
        <v>959252</v>
      </c>
      <c r="Z52" s="60">
        <v>1097530</v>
      </c>
    </row>
    <row r="53" spans="2:26" x14ac:dyDescent="0.3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T53" s="1" t="s">
        <v>10</v>
      </c>
      <c r="U53" s="60">
        <v>23199</v>
      </c>
      <c r="V53" s="60">
        <v>41859</v>
      </c>
      <c r="W53" s="60">
        <v>65187</v>
      </c>
      <c r="X53" s="60">
        <v>92897</v>
      </c>
      <c r="Y53" s="60">
        <v>127205</v>
      </c>
      <c r="Z53" s="60">
        <v>168809</v>
      </c>
    </row>
    <row r="54" spans="2:26" x14ac:dyDescent="0.3">
      <c r="B54" s="1" t="s">
        <v>10</v>
      </c>
      <c r="D54" s="83">
        <f>D26</f>
        <v>178</v>
      </c>
      <c r="E54" s="83">
        <f t="shared" ref="E54:L54" si="24">E26</f>
        <v>2233</v>
      </c>
      <c r="F54" s="83">
        <f t="shared" si="24"/>
        <v>4186</v>
      </c>
      <c r="G54" s="83">
        <f t="shared" si="24"/>
        <v>4106</v>
      </c>
      <c r="H54" s="83">
        <f t="shared" si="24"/>
        <v>12421</v>
      </c>
      <c r="I54" s="83">
        <f t="shared" si="24"/>
        <v>14541</v>
      </c>
      <c r="J54" s="83">
        <f t="shared" si="24"/>
        <v>22899</v>
      </c>
      <c r="K54" s="83">
        <f t="shared" si="24"/>
        <v>24879</v>
      </c>
      <c r="L54" s="83">
        <f t="shared" si="24"/>
        <v>12248</v>
      </c>
      <c r="M54" s="58">
        <f ca="1">M48*M55</f>
        <v>35069.334771110371</v>
      </c>
      <c r="N54" s="58">
        <f t="shared" ref="N54:Q54" ca="1" si="25">N48*N55</f>
        <v>51306.981541900968</v>
      </c>
      <c r="O54" s="58">
        <f t="shared" ca="1" si="25"/>
        <v>68996.790265154559</v>
      </c>
      <c r="P54" s="58">
        <f t="shared" ca="1" si="25"/>
        <v>89963.659318928447</v>
      </c>
      <c r="Q54" s="58">
        <f t="shared" ca="1" si="25"/>
        <v>114252.83771588971</v>
      </c>
      <c r="T54" s="1" t="s">
        <v>179</v>
      </c>
      <c r="U54" s="40">
        <f>U53/U52</f>
        <v>4.3699552625382623E-2</v>
      </c>
      <c r="V54" s="40">
        <f t="shared" ref="V54:Z54" si="26">V53/V52</f>
        <v>6.7709015737141692E-2</v>
      </c>
      <c r="W54" s="40">
        <f t="shared" si="26"/>
        <v>9.08084117617559E-2</v>
      </c>
      <c r="X54" s="40">
        <f t="shared" si="26"/>
        <v>0.11170835122047419</v>
      </c>
      <c r="Y54" s="40">
        <f t="shared" si="26"/>
        <v>0.13260853248155854</v>
      </c>
      <c r="Z54" s="40">
        <f t="shared" si="26"/>
        <v>0.15380809636183065</v>
      </c>
    </row>
    <row r="55" spans="2:26" x14ac:dyDescent="0.3">
      <c r="B55" s="1" t="s">
        <v>163</v>
      </c>
      <c r="D55" s="46">
        <f>D54/D48</f>
        <v>2.000269699285297E-3</v>
      </c>
      <c r="E55" s="46">
        <f t="shared" ref="E55:K55" si="27">E54/E48</f>
        <v>2.0867988710913405E-2</v>
      </c>
      <c r="F55" s="46">
        <f t="shared" si="27"/>
        <v>3.0782354195621642E-2</v>
      </c>
      <c r="G55" s="46">
        <f t="shared" si="27"/>
        <v>2.3084794170892695E-2</v>
      </c>
      <c r="H55" s="46">
        <f t="shared" si="27"/>
        <v>5.3334879147397665E-2</v>
      </c>
      <c r="I55" s="46">
        <f t="shared" si="27"/>
        <v>5.1835506662579051E-2</v>
      </c>
      <c r="J55" s="46">
        <f t="shared" si="27"/>
        <v>5.9313999751336569E-2</v>
      </c>
      <c r="K55" s="46">
        <f t="shared" si="27"/>
        <v>5.2954097509269465E-2</v>
      </c>
      <c r="L55" s="46">
        <f>L54/L48</f>
        <v>2.3829581912242232E-2</v>
      </c>
      <c r="M55" s="40">
        <f ca="1">OFFSET(M55,$C$11,0)</f>
        <v>6.0920120014930947E-2</v>
      </c>
      <c r="N55" s="40">
        <f t="shared" ref="N55:Q55" ca="1" si="28">OFFSET(N55,$C$11,0)</f>
        <v>7.6307433153414247E-2</v>
      </c>
      <c r="O55" s="40">
        <f t="shared" ca="1" si="28"/>
        <v>8.8807433153414245E-2</v>
      </c>
      <c r="P55" s="40">
        <f t="shared" ca="1" si="28"/>
        <v>0.10130743315341424</v>
      </c>
      <c r="Q55" s="40">
        <f t="shared" ca="1" si="28"/>
        <v>0.11380743315341424</v>
      </c>
    </row>
    <row r="56" spans="2:26" x14ac:dyDescent="0.3">
      <c r="B56" s="1" t="s">
        <v>168</v>
      </c>
      <c r="E56" s="1" t="s">
        <v>144</v>
      </c>
      <c r="M56" s="49">
        <f ca="1">M57-$F$12</f>
        <v>5.5920120014930949E-2</v>
      </c>
      <c r="N56" s="49">
        <f t="shared" ref="N56:Q56" ca="1" si="29">N57-$F$12</f>
        <v>7.1307433153414243E-2</v>
      </c>
      <c r="O56" s="49">
        <f t="shared" ca="1" si="29"/>
        <v>8.380743315341424E-2</v>
      </c>
      <c r="P56" s="49">
        <f t="shared" ca="1" si="29"/>
        <v>9.6307433153414237E-2</v>
      </c>
      <c r="Q56" s="49">
        <f t="shared" ca="1" si="29"/>
        <v>0.10880743315341423</v>
      </c>
      <c r="T56" s="1" t="s">
        <v>187</v>
      </c>
    </row>
    <row r="57" spans="2:26" x14ac:dyDescent="0.3">
      <c r="B57" s="1" t="s">
        <v>170</v>
      </c>
      <c r="M57" s="53">
        <f ca="1">V68</f>
        <v>6.0920120014930947E-2</v>
      </c>
      <c r="N57" s="53">
        <f ca="1">W68</f>
        <v>7.6307433153414247E-2</v>
      </c>
      <c r="O57" s="53">
        <f ca="1">N57+$H$12</f>
        <v>8.8807433153414245E-2</v>
      </c>
      <c r="P57" s="53">
        <f ca="1">O57+$H$12</f>
        <v>0.10130743315341424</v>
      </c>
      <c r="Q57" s="53">
        <f ca="1">P57+$H$12</f>
        <v>0.11380743315341424</v>
      </c>
      <c r="U57" s="59" t="s">
        <v>180</v>
      </c>
      <c r="V57" s="59" t="s">
        <v>181</v>
      </c>
      <c r="W57" s="59" t="s">
        <v>182</v>
      </c>
    </row>
    <row r="58" spans="2:26" x14ac:dyDescent="0.3">
      <c r="B58" s="1" t="s">
        <v>169</v>
      </c>
      <c r="M58" s="49">
        <f ca="1">M57+$J$12</f>
        <v>6.5920120014930944E-2</v>
      </c>
      <c r="N58" s="49">
        <f t="shared" ref="N58:Q58" ca="1" si="30">N57+$J$12</f>
        <v>8.1307433153414252E-2</v>
      </c>
      <c r="O58" s="49">
        <f t="shared" ca="1" si="30"/>
        <v>9.3807433153414249E-2</v>
      </c>
      <c r="P58" s="49">
        <f t="shared" ca="1" si="30"/>
        <v>0.10630743315341425</v>
      </c>
      <c r="Q58" s="49">
        <f t="shared" ca="1" si="30"/>
        <v>0.11880743315341424</v>
      </c>
      <c r="T58" s="1" t="s">
        <v>8</v>
      </c>
      <c r="U58" s="60">
        <v>524671</v>
      </c>
      <c r="V58" s="60">
        <v>611189</v>
      </c>
      <c r="W58" s="60">
        <v>700477</v>
      </c>
    </row>
    <row r="59" spans="2:26" x14ac:dyDescent="0.3">
      <c r="T59" s="1" t="s">
        <v>10</v>
      </c>
      <c r="U59" s="60">
        <v>18781</v>
      </c>
      <c r="V59" s="60">
        <v>32513</v>
      </c>
      <c r="W59" s="60">
        <v>42026</v>
      </c>
    </row>
    <row r="60" spans="2:26" x14ac:dyDescent="0.3">
      <c r="B60" s="1" t="s">
        <v>12</v>
      </c>
      <c r="D60" s="82">
        <f>D29</f>
        <v>-167</v>
      </c>
      <c r="E60" s="82">
        <f t="shared" ref="E60:J60" si="31">E29</f>
        <v>-950</v>
      </c>
      <c r="F60" s="82">
        <f t="shared" si="31"/>
        <v>-1425</v>
      </c>
      <c r="G60" s="82">
        <f t="shared" si="31"/>
        <v>-769</v>
      </c>
      <c r="H60" s="82">
        <f t="shared" si="31"/>
        <v>-1197</v>
      </c>
      <c r="I60" s="82">
        <f t="shared" si="31"/>
        <v>-2374</v>
      </c>
      <c r="J60" s="82">
        <f t="shared" si="31"/>
        <v>-2863</v>
      </c>
      <c r="K60" s="82">
        <f>K29</f>
        <v>-4791</v>
      </c>
      <c r="L60" s="82">
        <f>L29</f>
        <v>3217</v>
      </c>
      <c r="M60" s="48">
        <f ca="1">M61*M54</f>
        <v>-7013.8669542220741</v>
      </c>
      <c r="N60" s="48">
        <f t="shared" ref="N60:Q60" ca="1" si="32">N61*N54</f>
        <v>-10774.466123799202</v>
      </c>
      <c r="O60" s="48">
        <f t="shared" ca="1" si="32"/>
        <v>-14489.325955682458</v>
      </c>
      <c r="P60" s="48">
        <f t="shared" ca="1" si="32"/>
        <v>-18892.368456974975</v>
      </c>
      <c r="Q60" s="48">
        <f t="shared" ca="1" si="32"/>
        <v>-23993.095920336837</v>
      </c>
      <c r="T60" s="1" t="s">
        <v>179</v>
      </c>
      <c r="U60" s="40">
        <f>U59/U58</f>
        <v>3.5795765346283669E-2</v>
      </c>
      <c r="V60" s="40">
        <f t="shared" ref="V60:W60" si="33">V59/V58</f>
        <v>5.3196310797478358E-2</v>
      </c>
      <c r="W60" s="40">
        <f t="shared" si="33"/>
        <v>5.9996259691610147E-2</v>
      </c>
    </row>
    <row r="61" spans="2:26" x14ac:dyDescent="0.3">
      <c r="B61" s="1" t="s">
        <v>13</v>
      </c>
      <c r="D61" s="46">
        <f>D60/D54</f>
        <v>-0.9382022471910112</v>
      </c>
      <c r="E61" s="46">
        <f t="shared" ref="E61:L61" si="34">E60/E54</f>
        <v>-0.42543663233318407</v>
      </c>
      <c r="F61" s="46">
        <f t="shared" si="34"/>
        <v>-0.34042044911610131</v>
      </c>
      <c r="G61" s="46">
        <f t="shared" si="34"/>
        <v>-0.18728689722357525</v>
      </c>
      <c r="H61" s="46">
        <f t="shared" si="34"/>
        <v>-9.6369052411239026E-2</v>
      </c>
      <c r="I61" s="46">
        <f t="shared" si="34"/>
        <v>-0.16326249914036173</v>
      </c>
      <c r="J61" s="46">
        <f t="shared" si="34"/>
        <v>-0.12502729376828683</v>
      </c>
      <c r="K61" s="46">
        <f>K60/K54</f>
        <v>-0.1925720487157844</v>
      </c>
      <c r="L61" s="46">
        <f t="shared" si="34"/>
        <v>0.2626551273677335</v>
      </c>
      <c r="M61" s="46">
        <f ca="1">OFFSET(M61,$C$12,0)</f>
        <v>-0.2</v>
      </c>
      <c r="N61" s="46">
        <f t="shared" ref="N61:Q61" ca="1" si="35">OFFSET(N61,$C$12,0)</f>
        <v>-0.21</v>
      </c>
      <c r="O61" s="46">
        <f t="shared" ca="1" si="35"/>
        <v>-0.21</v>
      </c>
      <c r="P61" s="46">
        <f t="shared" ca="1" si="35"/>
        <v>-0.21</v>
      </c>
      <c r="Q61" s="46">
        <f t="shared" ca="1" si="35"/>
        <v>-0.21</v>
      </c>
    </row>
    <row r="62" spans="2:26" x14ac:dyDescent="0.3">
      <c r="B62" s="1" t="s">
        <v>168</v>
      </c>
      <c r="M62" s="56">
        <f>M63</f>
        <v>-0.2</v>
      </c>
      <c r="N62" s="56">
        <f>N63</f>
        <v>-0.21</v>
      </c>
      <c r="O62" s="56">
        <f>$F$13</f>
        <v>-0.24</v>
      </c>
      <c r="P62" s="56">
        <f t="shared" ref="P62:Q62" si="36">$F$13</f>
        <v>-0.24</v>
      </c>
      <c r="Q62" s="56">
        <f t="shared" si="36"/>
        <v>-0.24</v>
      </c>
      <c r="T62" s="5" t="s">
        <v>188</v>
      </c>
      <c r="V62" s="59" t="s">
        <v>181</v>
      </c>
      <c r="W62" s="59" t="s">
        <v>182</v>
      </c>
    </row>
    <row r="63" spans="2:26" x14ac:dyDescent="0.3">
      <c r="B63" s="1" t="s">
        <v>170</v>
      </c>
      <c r="M63" s="56">
        <v>-0.2</v>
      </c>
      <c r="N63" s="56">
        <v>-0.21</v>
      </c>
      <c r="O63" s="56">
        <v>-0.21</v>
      </c>
      <c r="P63" s="56">
        <v>-0.21</v>
      </c>
      <c r="Q63" s="56">
        <v>-0.21</v>
      </c>
      <c r="T63" s="1" t="s">
        <v>173</v>
      </c>
      <c r="V63" s="38">
        <v>7.8E-2</v>
      </c>
      <c r="W63" s="38">
        <v>0.108</v>
      </c>
    </row>
    <row r="64" spans="2:26" x14ac:dyDescent="0.3">
      <c r="B64" s="1" t="s">
        <v>169</v>
      </c>
      <c r="M64" s="56">
        <f>M63</f>
        <v>-0.2</v>
      </c>
      <c r="N64" s="56">
        <f>N63</f>
        <v>-0.21</v>
      </c>
      <c r="O64" s="56">
        <f>$J$13</f>
        <v>-0.16</v>
      </c>
      <c r="P64" s="56">
        <f t="shared" ref="P64:Q64" si="37">$J$13</f>
        <v>-0.16</v>
      </c>
      <c r="Q64" s="56">
        <f t="shared" si="37"/>
        <v>-0.16</v>
      </c>
    </row>
    <row r="65" spans="2:26" x14ac:dyDescent="0.3">
      <c r="T65" s="5" t="s">
        <v>189</v>
      </c>
      <c r="U65" s="59" t="s">
        <v>180</v>
      </c>
      <c r="V65" s="59" t="s">
        <v>181</v>
      </c>
      <c r="W65" s="59" t="s">
        <v>182</v>
      </c>
      <c r="X65" s="59" t="s">
        <v>183</v>
      </c>
      <c r="Y65" s="59" t="s">
        <v>184</v>
      </c>
      <c r="Z65" s="59" t="s">
        <v>185</v>
      </c>
    </row>
    <row r="66" spans="2:26" x14ac:dyDescent="0.3">
      <c r="B66" s="70" t="s">
        <v>164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87">
        <f ca="1">M54+M60</f>
        <v>28055.467816888297</v>
      </c>
      <c r="N66" s="87">
        <f ca="1">N54+N60</f>
        <v>40532.515418101764</v>
      </c>
      <c r="O66" s="87">
        <f ca="1">O54+O60</f>
        <v>54507.464309472103</v>
      </c>
      <c r="P66" s="87">
        <f t="shared" ref="N66:Q66" ca="1" si="38">P54+P60</f>
        <v>71071.290861953472</v>
      </c>
      <c r="Q66" s="88">
        <f t="shared" ca="1" si="38"/>
        <v>90259.741795552865</v>
      </c>
      <c r="T66" s="1" t="s">
        <v>173</v>
      </c>
      <c r="U66" s="38">
        <v>3.5999999999999997E-2</v>
      </c>
      <c r="V66" s="38">
        <v>5.7000000000000002E-2</v>
      </c>
      <c r="W66" s="38">
        <v>8.2000000000000003E-2</v>
      </c>
      <c r="X66" s="38">
        <v>9.6000000000000002E-2</v>
      </c>
      <c r="Y66" s="38">
        <v>0.11799999999999999</v>
      </c>
      <c r="Z66" s="38">
        <v>0.14299999999999999</v>
      </c>
    </row>
    <row r="68" spans="2:26" x14ac:dyDescent="0.3">
      <c r="B68" s="1" t="s">
        <v>156</v>
      </c>
      <c r="D68" s="82">
        <f>D35</f>
        <v>4746</v>
      </c>
      <c r="E68" s="82">
        <f t="shared" ref="E68:L68" si="39">E35</f>
        <v>6281</v>
      </c>
      <c r="F68" s="82">
        <f t="shared" si="39"/>
        <v>8116</v>
      </c>
      <c r="G68" s="82">
        <f t="shared" si="39"/>
        <v>11478</v>
      </c>
      <c r="H68" s="82">
        <f t="shared" si="39"/>
        <v>15341</v>
      </c>
      <c r="I68" s="82">
        <f t="shared" si="39"/>
        <v>21789</v>
      </c>
      <c r="J68" s="82">
        <f t="shared" si="39"/>
        <v>25180</v>
      </c>
      <c r="K68" s="82">
        <f t="shared" si="39"/>
        <v>34433</v>
      </c>
      <c r="L68" s="82">
        <f>L35</f>
        <v>41921</v>
      </c>
      <c r="M68" s="58">
        <f ca="1">M48*M69</f>
        <v>42850.175650868019</v>
      </c>
      <c r="N68" s="58">
        <f t="shared" ref="N68:O68" ca="1" si="40">N48*N69</f>
        <v>51729.935163413851</v>
      </c>
      <c r="O68" s="58">
        <f t="shared" ca="1" si="40"/>
        <v>61716.254700022298</v>
      </c>
      <c r="P68" s="58">
        <f t="shared" ref="P68" ca="1" si="41">P48*P69</f>
        <v>68321.613512954136</v>
      </c>
      <c r="Q68" s="58">
        <f t="shared" ref="Q68" ca="1" si="42">Q48*Q69</f>
        <v>74727.799905226435</v>
      </c>
      <c r="T68" s="61" t="s">
        <v>190</v>
      </c>
      <c r="U68" s="38">
        <f>AVERAGE(U54,U60,U63,U66,X47)</f>
        <v>3.4831224970977133E-2</v>
      </c>
      <c r="V68" s="38">
        <f ca="1">AVERAGE(V54,V60,V63,V66,Y47)</f>
        <v>6.0920120014930947E-2</v>
      </c>
      <c r="W68" s="38">
        <f ca="1">AVERAGE(W54,W60,W63,W66,Z47)</f>
        <v>7.6307433153414247E-2</v>
      </c>
      <c r="X68" s="38">
        <f>AVERAGE(X54,X60,X63,X66,AA47)</f>
        <v>0.1038541756102371</v>
      </c>
      <c r="Y68" s="38">
        <f t="shared" ref="Y68:Z68" si="43">AVERAGE(Y54,Y60,Y63,Y66,AB47)</f>
        <v>0.12530426624077928</v>
      </c>
      <c r="Z68" s="38">
        <f t="shared" si="43"/>
        <v>0.14840404818091532</v>
      </c>
    </row>
    <row r="69" spans="2:26" x14ac:dyDescent="0.3">
      <c r="B69" s="1" t="s">
        <v>157</v>
      </c>
      <c r="D69" s="39">
        <f>D68/D23</f>
        <v>5.3333033667460783E-2</v>
      </c>
      <c r="E69" s="39">
        <f t="shared" ref="E69:L69" si="44">E68/E23</f>
        <v>5.8697643122815543E-2</v>
      </c>
      <c r="F69" s="39">
        <f t="shared" si="44"/>
        <v>5.9682175502070049E-2</v>
      </c>
      <c r="G69" s="39">
        <f t="shared" si="44"/>
        <v>6.4531726130907532E-2</v>
      </c>
      <c r="H69" s="39">
        <f t="shared" si="44"/>
        <v>6.5873148780309768E-2</v>
      </c>
      <c r="I69" s="39">
        <f t="shared" si="44"/>
        <v>7.7673052380918428E-2</v>
      </c>
      <c r="J69" s="39">
        <f t="shared" si="44"/>
        <v>6.5222346553939242E-2</v>
      </c>
      <c r="K69" s="39">
        <f t="shared" si="44"/>
        <v>7.3289458560901785E-2</v>
      </c>
      <c r="L69" s="39">
        <f>L68/L23</f>
        <v>8.1561063303650122E-2</v>
      </c>
      <c r="M69" s="84">
        <f>AVERAGE(I69:L69)</f>
        <v>7.4436480199852384E-2</v>
      </c>
      <c r="N69" s="84">
        <f>M69+0.25%</f>
        <v>7.6936480199852386E-2</v>
      </c>
      <c r="O69" s="84">
        <f>N69+0.25%</f>
        <v>7.9436480199852388E-2</v>
      </c>
      <c r="P69" s="84">
        <f>N69</f>
        <v>7.6936480199852386E-2</v>
      </c>
      <c r="Q69" s="84">
        <f>M69</f>
        <v>7.4436480199852384E-2</v>
      </c>
    </row>
    <row r="71" spans="2:26" x14ac:dyDescent="0.3">
      <c r="B71" s="1" t="s">
        <v>158</v>
      </c>
      <c r="D71" s="82">
        <f>D39</f>
        <v>-4893</v>
      </c>
      <c r="E71" s="82">
        <f t="shared" ref="E71:L71" si="45">E39</f>
        <v>-4589</v>
      </c>
      <c r="F71" s="82">
        <f t="shared" si="45"/>
        <v>-6737</v>
      </c>
      <c r="G71" s="82">
        <f t="shared" si="45"/>
        <v>-10058</v>
      </c>
      <c r="H71" s="82">
        <f t="shared" si="45"/>
        <v>-11323</v>
      </c>
      <c r="I71" s="82">
        <f t="shared" si="45"/>
        <v>-12689</v>
      </c>
      <c r="J71" s="82">
        <f t="shared" si="45"/>
        <v>-35044</v>
      </c>
      <c r="K71" s="82">
        <f t="shared" si="45"/>
        <v>-55396</v>
      </c>
      <c r="L71" s="82">
        <f t="shared" si="45"/>
        <v>-58321</v>
      </c>
      <c r="M71" s="85">
        <f ca="1">M48*M72</f>
        <v>-61816.341385237814</v>
      </c>
      <c r="N71" s="85">
        <f t="shared" ref="N71:Q71" ca="1" si="46">N48*N72</f>
        <v>-67158.696728357769</v>
      </c>
      <c r="O71" s="85">
        <f t="shared" ca="1" si="46"/>
        <v>-71774.930213524596</v>
      </c>
      <c r="P71" s="85">
        <f t="shared" ca="1" si="46"/>
        <v>-75378.548406544534</v>
      </c>
      <c r="Q71" s="85">
        <f t="shared" ca="1" si="46"/>
        <v>-77686.096460093933</v>
      </c>
    </row>
    <row r="72" spans="2:26" x14ac:dyDescent="0.3">
      <c r="B72" s="1" t="s">
        <v>157</v>
      </c>
      <c r="D72" s="39">
        <f>D71/D23</f>
        <v>-5.4984941789904256E-2</v>
      </c>
      <c r="E72" s="39">
        <f t="shared" ref="E72:L72" si="47">E71/E23</f>
        <v>-4.2885445675943407E-2</v>
      </c>
      <c r="F72" s="39">
        <f t="shared" si="47"/>
        <v>-4.9541500290468943E-2</v>
      </c>
      <c r="G72" s="39">
        <f t="shared" si="47"/>
        <v>-5.6548187961723992E-2</v>
      </c>
      <c r="H72" s="39">
        <f t="shared" si="47"/>
        <v>-4.86201462511862E-2</v>
      </c>
      <c r="I72" s="39">
        <f t="shared" si="47"/>
        <v>-4.5233528921082837E-2</v>
      </c>
      <c r="J72" s="39">
        <f t="shared" si="47"/>
        <v>-9.0772514401757223E-2</v>
      </c>
      <c r="K72" s="39">
        <f t="shared" si="47"/>
        <v>-0.11790848448987064</v>
      </c>
      <c r="L72" s="39">
        <f>L71/L23</f>
        <v>-0.11346873340168838</v>
      </c>
      <c r="M72" s="84">
        <f>AVERAGE(J72:L72)</f>
        <v>-0.10738324409777207</v>
      </c>
      <c r="N72" s="84">
        <f>M72+0.75%</f>
        <v>-9.9883244097772078E-2</v>
      </c>
      <c r="O72" s="84">
        <f t="shared" ref="O72:Q72" si="48">N72+0.75%</f>
        <v>-9.2383244097772071E-2</v>
      </c>
      <c r="P72" s="84">
        <f t="shared" si="48"/>
        <v>-8.4883244097772065E-2</v>
      </c>
      <c r="Q72" s="84">
        <f t="shared" si="48"/>
        <v>-7.7383244097772058E-2</v>
      </c>
    </row>
    <row r="74" spans="2:26" x14ac:dyDescent="0.3">
      <c r="B74" s="1" t="s">
        <v>165</v>
      </c>
      <c r="D74" s="82">
        <f>D42</f>
        <v>974</v>
      </c>
      <c r="E74" s="82">
        <f t="shared" ref="E74:L74" si="49">E42</f>
        <v>2557</v>
      </c>
      <c r="F74" s="82">
        <f t="shared" si="49"/>
        <v>3916</v>
      </c>
      <c r="G74" s="82">
        <f t="shared" si="49"/>
        <v>-242</v>
      </c>
      <c r="H74" s="82">
        <f t="shared" si="49"/>
        <v>-1043</v>
      </c>
      <c r="I74" s="82">
        <f t="shared" si="49"/>
        <v>-2438</v>
      </c>
      <c r="J74" s="82">
        <f t="shared" si="49"/>
        <v>13481</v>
      </c>
      <c r="K74" s="82">
        <f t="shared" si="49"/>
        <v>-19611</v>
      </c>
      <c r="L74" s="82">
        <f>L42</f>
        <v>-20886</v>
      </c>
      <c r="M74" s="85">
        <f ca="1">M48*M75</f>
        <v>-5947.3382533131453</v>
      </c>
      <c r="N74" s="85">
        <f t="shared" ref="N74:Q74" ca="1" si="50">N48*N75</f>
        <v>-6946.4910798697529</v>
      </c>
      <c r="O74" s="85">
        <f t="shared" ca="1" si="50"/>
        <v>-8026.6704427894992</v>
      </c>
      <c r="P74" s="85">
        <f t="shared" ca="1" si="50"/>
        <v>-9174.4843161083991</v>
      </c>
      <c r="Q74" s="85">
        <f t="shared" ca="1" si="50"/>
        <v>-10371.754519360544</v>
      </c>
    </row>
    <row r="75" spans="2:26" x14ac:dyDescent="0.3">
      <c r="B75" s="1" t="s">
        <v>157</v>
      </c>
      <c r="D75" s="39">
        <f>D74/D23</f>
        <v>1.0945295994965614E-2</v>
      </c>
      <c r="E75" s="39">
        <f t="shared" ref="E75:L75" si="51">E74/E23</f>
        <v>2.3895856307122966E-2</v>
      </c>
      <c r="F75" s="39">
        <f t="shared" si="51"/>
        <v>2.8796870289071748E-2</v>
      </c>
      <c r="G75" s="39">
        <f t="shared" si="51"/>
        <v>-1.3605748147481813E-3</v>
      </c>
      <c r="H75" s="39">
        <f t="shared" si="51"/>
        <v>-4.4785668586052466E-3</v>
      </c>
      <c r="I75" s="39">
        <f t="shared" si="51"/>
        <v>-8.6909404609977117E-3</v>
      </c>
      <c r="J75" s="39">
        <f t="shared" si="51"/>
        <v>3.4919080774172155E-2</v>
      </c>
      <c r="K75" s="39">
        <f t="shared" si="51"/>
        <v>-4.1741340337404377E-2</v>
      </c>
      <c r="L75" s="39">
        <f>L74/L23</f>
        <v>-4.0635585223635799E-2</v>
      </c>
      <c r="M75" s="84">
        <f>AVERAGE(G75:L75)</f>
        <v>-1.0331321153536526E-2</v>
      </c>
      <c r="N75" s="84">
        <f>M75</f>
        <v>-1.0331321153536526E-2</v>
      </c>
      <c r="O75" s="84">
        <f>M75</f>
        <v>-1.0331321153536526E-2</v>
      </c>
      <c r="P75" s="84">
        <f>M75</f>
        <v>-1.0331321153536526E-2</v>
      </c>
      <c r="Q75" s="84">
        <f>M75</f>
        <v>-1.0331321153536526E-2</v>
      </c>
    </row>
    <row r="77" spans="2:26" x14ac:dyDescent="0.3">
      <c r="B77" s="70" t="s">
        <v>166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87">
        <f ca="1">M66+M68+M71-M74</f>
        <v>15036.640335831638</v>
      </c>
      <c r="N77" s="87">
        <f t="shared" ref="N77:Q77" ca="1" si="52">N66+N68+N71-N74</f>
        <v>32050.244933027599</v>
      </c>
      <c r="O77" s="87">
        <f t="shared" ca="1" si="52"/>
        <v>52475.459238759315</v>
      </c>
      <c r="P77" s="87">
        <f t="shared" ca="1" si="52"/>
        <v>73188.840284471473</v>
      </c>
      <c r="Q77" s="88">
        <f t="shared" ca="1" si="52"/>
        <v>97673.1997600459</v>
      </c>
      <c r="R77" s="5"/>
    </row>
    <row r="78" spans="2:26" x14ac:dyDescent="0.3">
      <c r="B78" s="1" t="s">
        <v>167</v>
      </c>
      <c r="M78" s="93">
        <f ca="1">M77/(1+$C$19)^1</f>
        <v>13607.819308444921</v>
      </c>
      <c r="N78" s="93">
        <f ca="1">N77/(1+$C$19)^2</f>
        <v>26248.639407897135</v>
      </c>
      <c r="O78" s="93">
        <f ca="1">O77/(1+$C$19)^3</f>
        <v>38892.818233445338</v>
      </c>
      <c r="P78" s="93">
        <f ca="1">P77/(1+$C$19)^4</f>
        <v>49090.307611952121</v>
      </c>
      <c r="Q78" s="93">
        <f ca="1">Q77/(1+$C$19)^5</f>
        <v>59287.621171952393</v>
      </c>
    </row>
    <row r="80" spans="2:26" x14ac:dyDescent="0.3">
      <c r="B80" s="1" t="s">
        <v>204</v>
      </c>
      <c r="Q80" s="94">
        <f ca="1">Q77*(1+C20)/($C$19-C20)</f>
        <v>1251437.8719255882</v>
      </c>
    </row>
    <row r="81" spans="2:17" x14ac:dyDescent="0.3">
      <c r="B81" s="1" t="s">
        <v>205</v>
      </c>
      <c r="Q81" s="94">
        <f ca="1">Q80/(1+C19)^5</f>
        <v>759622.64626564004</v>
      </c>
    </row>
    <row r="82" spans="2:17" x14ac:dyDescent="0.3">
      <c r="B82" s="95" t="s">
        <v>206</v>
      </c>
      <c r="C82" s="96"/>
      <c r="D82" s="96"/>
      <c r="E82" s="96"/>
      <c r="F82" s="96"/>
      <c r="G82" s="96"/>
      <c r="H82" s="96"/>
      <c r="I82" s="96"/>
      <c r="J82" s="97"/>
      <c r="K82" s="96"/>
      <c r="L82" s="96"/>
      <c r="M82" s="96"/>
      <c r="N82" s="96"/>
      <c r="O82" s="96"/>
      <c r="P82" s="96"/>
      <c r="Q82" s="98">
        <f ca="1">SUM(M78:Q78,Q81)</f>
        <v>946749.85199933196</v>
      </c>
    </row>
    <row r="83" spans="2:17" x14ac:dyDescent="0.3">
      <c r="B83" s="1" t="s">
        <v>207</v>
      </c>
      <c r="Q83" s="94">
        <f>BS!B3+BS!C4</f>
        <v>113717</v>
      </c>
    </row>
    <row r="84" spans="2:17" x14ac:dyDescent="0.3">
      <c r="B84" s="1" t="s">
        <v>208</v>
      </c>
      <c r="Q84" s="48">
        <f>BS!B19</f>
        <v>67150</v>
      </c>
    </row>
    <row r="86" spans="2:17" x14ac:dyDescent="0.3">
      <c r="B86" s="95" t="s">
        <v>209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98">
        <f ca="1">Q82+Q83-Q84</f>
        <v>993316.85199933196</v>
      </c>
    </row>
    <row r="87" spans="2:17" x14ac:dyDescent="0.3">
      <c r="B87" s="1" t="s">
        <v>210</v>
      </c>
      <c r="Q87" s="48">
        <f>IS!B24</f>
        <v>10189</v>
      </c>
    </row>
    <row r="88" spans="2:17" x14ac:dyDescent="0.3">
      <c r="B88" s="1" t="s">
        <v>211</v>
      </c>
      <c r="Q88" s="99">
        <f ca="1">Q86/Q87</f>
        <v>97.489140445513002</v>
      </c>
    </row>
  </sheetData>
  <mergeCells count="1">
    <mergeCell ref="A1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CFDC-E37C-4CEB-BB16-C19E8105D11B}">
  <dimension ref="A1:K60"/>
  <sheetViews>
    <sheetView topLeftCell="A26" workbookViewId="0">
      <selection activeCell="F13" sqref="F13"/>
    </sheetView>
  </sheetViews>
  <sheetFormatPr defaultRowHeight="14.4" x14ac:dyDescent="0.3"/>
  <cols>
    <col min="1" max="1" width="81.44140625" style="1" customWidth="1"/>
    <col min="2" max="2" width="15.44140625" style="1" customWidth="1"/>
    <col min="3" max="3" width="14.5546875" style="1" customWidth="1"/>
    <col min="4" max="4" width="18.21875" style="1" customWidth="1"/>
    <col min="5" max="5" width="15.6640625" style="1" customWidth="1"/>
    <col min="6" max="6" width="52.21875" style="1" customWidth="1"/>
    <col min="7" max="7" width="12.6640625" style="1" customWidth="1"/>
    <col min="8" max="8" width="15.21875" style="1" customWidth="1"/>
    <col min="9" max="9" width="13.109375" style="1" customWidth="1"/>
    <col min="10" max="10" width="14.21875" style="1" customWidth="1"/>
    <col min="11" max="11" width="13.6640625" style="1" customWidth="1"/>
    <col min="12" max="16384" width="8.88671875" style="1"/>
  </cols>
  <sheetData>
    <row r="1" spans="1:11" x14ac:dyDescent="0.3">
      <c r="A1" s="78" t="s">
        <v>14</v>
      </c>
      <c r="B1" s="76" t="s">
        <v>15</v>
      </c>
      <c r="C1" s="77"/>
      <c r="D1" s="77"/>
    </row>
    <row r="2" spans="1:11" x14ac:dyDescent="0.3">
      <c r="A2" s="77"/>
      <c r="B2" s="29" t="s">
        <v>16</v>
      </c>
      <c r="C2" s="29" t="s">
        <v>17</v>
      </c>
      <c r="D2" s="29" t="s">
        <v>18</v>
      </c>
      <c r="E2" s="18"/>
      <c r="F2" s="18"/>
      <c r="G2" s="18"/>
      <c r="H2" s="18"/>
      <c r="I2" s="19"/>
      <c r="J2" s="19"/>
      <c r="K2" s="19"/>
    </row>
    <row r="3" spans="1:11" ht="19.8" customHeight="1" x14ac:dyDescent="0.3">
      <c r="A3" s="7" t="s">
        <v>19</v>
      </c>
      <c r="B3" s="8">
        <v>513983</v>
      </c>
      <c r="C3" s="8">
        <v>469822</v>
      </c>
      <c r="D3" s="8">
        <v>386064</v>
      </c>
      <c r="E3" s="16"/>
      <c r="F3" s="16"/>
      <c r="G3" s="16"/>
      <c r="H3" s="16"/>
      <c r="I3" s="20"/>
      <c r="J3" s="20"/>
      <c r="K3" s="20"/>
    </row>
    <row r="4" spans="1:11" ht="14.4" customHeight="1" x14ac:dyDescent="0.3">
      <c r="A4" s="9" t="s">
        <v>20</v>
      </c>
      <c r="B4" s="7" t="s">
        <v>21</v>
      </c>
      <c r="C4" s="7" t="s">
        <v>21</v>
      </c>
      <c r="D4" s="7" t="s">
        <v>21</v>
      </c>
      <c r="H4" s="17"/>
      <c r="I4" s="21"/>
      <c r="J4" s="21"/>
      <c r="K4" s="21"/>
    </row>
    <row r="5" spans="1:11" ht="15.6" customHeight="1" x14ac:dyDescent="0.3">
      <c r="A5" s="7" t="s">
        <v>22</v>
      </c>
      <c r="B5" s="10">
        <v>288831</v>
      </c>
      <c r="C5" s="10">
        <v>272344</v>
      </c>
      <c r="D5" s="10">
        <v>233307</v>
      </c>
      <c r="E5" s="17"/>
      <c r="F5" s="17"/>
      <c r="G5" s="17"/>
      <c r="H5" s="17"/>
      <c r="I5" s="21"/>
      <c r="J5" s="21"/>
      <c r="K5" s="21"/>
    </row>
    <row r="6" spans="1:11" ht="15.6" customHeight="1" x14ac:dyDescent="0.3">
      <c r="A6" s="7" t="s">
        <v>23</v>
      </c>
      <c r="B6" s="10">
        <v>84299</v>
      </c>
      <c r="C6" s="10">
        <v>75111</v>
      </c>
      <c r="D6" s="10">
        <v>58517</v>
      </c>
      <c r="E6" s="17"/>
      <c r="F6" s="17"/>
      <c r="G6" s="17"/>
    </row>
    <row r="7" spans="1:11" ht="22.2" customHeight="1" x14ac:dyDescent="0.3">
      <c r="A7" s="7" t="s">
        <v>24</v>
      </c>
      <c r="B7" s="10">
        <v>73213</v>
      </c>
      <c r="C7" s="10">
        <v>56052</v>
      </c>
      <c r="D7" s="10">
        <v>42740</v>
      </c>
      <c r="E7" s="17"/>
      <c r="F7" s="17"/>
      <c r="G7" s="17"/>
      <c r="H7" s="17"/>
      <c r="I7" s="21"/>
      <c r="J7" s="21"/>
      <c r="K7" s="21"/>
    </row>
    <row r="8" spans="1:11" ht="22.2" customHeight="1" x14ac:dyDescent="0.3">
      <c r="A8" s="7" t="s">
        <v>25</v>
      </c>
      <c r="B8" s="10">
        <v>42238</v>
      </c>
      <c r="C8" s="10">
        <v>32551</v>
      </c>
      <c r="D8" s="10">
        <v>22008</v>
      </c>
      <c r="E8" s="17"/>
      <c r="F8" s="17"/>
      <c r="G8" s="17"/>
      <c r="H8" s="17"/>
      <c r="I8" s="21"/>
      <c r="J8" s="21"/>
      <c r="K8" s="21"/>
    </row>
    <row r="9" spans="1:11" ht="12.6" customHeight="1" x14ac:dyDescent="0.3">
      <c r="A9" s="7" t="s">
        <v>26</v>
      </c>
      <c r="B9" s="10">
        <v>11891</v>
      </c>
      <c r="C9" s="10">
        <v>8823</v>
      </c>
      <c r="D9" s="10">
        <v>6668</v>
      </c>
      <c r="E9" s="17"/>
      <c r="F9" s="17"/>
      <c r="G9" s="17"/>
      <c r="H9" s="17"/>
      <c r="I9" s="21"/>
      <c r="J9" s="21"/>
      <c r="K9" s="21"/>
    </row>
    <row r="10" spans="1:11" ht="17.399999999999999" customHeight="1" x14ac:dyDescent="0.3">
      <c r="A10" s="7" t="s">
        <v>27</v>
      </c>
      <c r="B10" s="10">
        <v>1263</v>
      </c>
      <c r="C10" s="10">
        <v>62</v>
      </c>
      <c r="D10" s="10">
        <v>-75</v>
      </c>
      <c r="E10" s="17"/>
      <c r="F10" s="17"/>
      <c r="G10" s="17"/>
      <c r="H10" s="17"/>
      <c r="I10" s="21"/>
      <c r="J10" s="21"/>
      <c r="K10" s="21"/>
    </row>
    <row r="11" spans="1:11" ht="16.8" customHeight="1" x14ac:dyDescent="0.3">
      <c r="A11" s="7" t="s">
        <v>28</v>
      </c>
      <c r="B11" s="10">
        <v>501735</v>
      </c>
      <c r="C11" s="10">
        <v>444943</v>
      </c>
      <c r="D11" s="10">
        <v>363165</v>
      </c>
      <c r="E11" s="17"/>
      <c r="F11" s="17"/>
      <c r="G11" s="17"/>
      <c r="H11" s="17"/>
      <c r="I11" s="21"/>
      <c r="J11" s="21"/>
      <c r="K11" s="21"/>
    </row>
    <row r="12" spans="1:11" ht="14.4" customHeight="1" x14ac:dyDescent="0.3">
      <c r="A12" s="9" t="s">
        <v>29</v>
      </c>
      <c r="B12" s="11">
        <v>12248</v>
      </c>
      <c r="C12" s="11">
        <v>24879</v>
      </c>
      <c r="D12" s="11">
        <v>22899</v>
      </c>
      <c r="E12" s="24"/>
      <c r="F12" s="24"/>
      <c r="G12" s="24"/>
      <c r="H12" s="17"/>
      <c r="I12" s="21"/>
      <c r="J12" s="21"/>
      <c r="K12" s="21"/>
    </row>
    <row r="13" spans="1:11" ht="18" customHeight="1" x14ac:dyDescent="0.3">
      <c r="A13" s="7" t="s">
        <v>30</v>
      </c>
      <c r="B13" s="10">
        <v>989</v>
      </c>
      <c r="C13" s="10">
        <v>448</v>
      </c>
      <c r="D13" s="10">
        <v>555</v>
      </c>
      <c r="E13" s="17"/>
      <c r="F13" s="17"/>
      <c r="G13" s="17"/>
      <c r="H13" s="17"/>
      <c r="I13" s="21"/>
      <c r="J13" s="21"/>
      <c r="K13" s="21"/>
    </row>
    <row r="14" spans="1:11" ht="13.2" customHeight="1" x14ac:dyDescent="0.3">
      <c r="A14" s="7" t="s">
        <v>31</v>
      </c>
      <c r="B14" s="10">
        <v>-2367</v>
      </c>
      <c r="C14" s="10">
        <v>-1809</v>
      </c>
      <c r="D14" s="10">
        <v>-1647</v>
      </c>
      <c r="E14" s="17"/>
      <c r="F14" s="17"/>
      <c r="G14" s="17"/>
      <c r="H14" s="17"/>
      <c r="I14" s="21"/>
      <c r="J14" s="21"/>
      <c r="K14" s="21"/>
    </row>
    <row r="15" spans="1:11" ht="18" customHeight="1" x14ac:dyDescent="0.3">
      <c r="A15" s="7" t="s">
        <v>32</v>
      </c>
      <c r="B15" s="10">
        <v>-16806</v>
      </c>
      <c r="C15" s="10">
        <v>14633</v>
      </c>
      <c r="D15" s="10">
        <v>2371</v>
      </c>
      <c r="E15" s="17"/>
      <c r="F15" s="17"/>
      <c r="G15" s="17"/>
      <c r="H15" s="17"/>
      <c r="I15" s="21"/>
      <c r="J15" s="21"/>
      <c r="K15" s="21"/>
    </row>
    <row r="16" spans="1:11" ht="16.2" customHeight="1" x14ac:dyDescent="0.3">
      <c r="A16" s="7" t="s">
        <v>33</v>
      </c>
      <c r="B16" s="10">
        <v>-18184</v>
      </c>
      <c r="C16" s="10">
        <v>13272</v>
      </c>
      <c r="D16" s="10">
        <v>1279</v>
      </c>
      <c r="E16" s="17"/>
      <c r="F16" s="17"/>
      <c r="G16" s="17"/>
      <c r="H16" s="17"/>
      <c r="I16" s="21"/>
      <c r="J16" s="21"/>
      <c r="K16" s="21"/>
    </row>
    <row r="17" spans="1:11" ht="20.399999999999999" customHeight="1" x14ac:dyDescent="0.3">
      <c r="A17" s="7" t="s">
        <v>34</v>
      </c>
      <c r="B17" s="10">
        <v>-5936</v>
      </c>
      <c r="C17" s="10">
        <v>38151</v>
      </c>
      <c r="D17" s="10">
        <v>24178</v>
      </c>
      <c r="E17" s="17"/>
      <c r="F17" s="17"/>
      <c r="G17" s="17"/>
      <c r="H17" s="17"/>
      <c r="I17" s="21"/>
      <c r="J17" s="21"/>
      <c r="K17" s="21"/>
    </row>
    <row r="18" spans="1:11" ht="17.399999999999999" customHeight="1" x14ac:dyDescent="0.3">
      <c r="A18" s="9" t="s">
        <v>35</v>
      </c>
      <c r="B18" s="11">
        <v>3217</v>
      </c>
      <c r="C18" s="11">
        <v>-4791</v>
      </c>
      <c r="D18" s="11">
        <v>-2863</v>
      </c>
      <c r="E18" s="17"/>
      <c r="F18" s="17"/>
      <c r="G18" s="17"/>
      <c r="H18" s="17"/>
      <c r="I18" s="21"/>
      <c r="J18" s="21"/>
      <c r="K18" s="21"/>
    </row>
    <row r="19" spans="1:11" ht="19.2" customHeight="1" x14ac:dyDescent="0.3">
      <c r="A19" s="7" t="s">
        <v>36</v>
      </c>
      <c r="B19" s="10">
        <v>-3</v>
      </c>
      <c r="C19" s="10">
        <v>4</v>
      </c>
      <c r="D19" s="10">
        <v>16</v>
      </c>
      <c r="E19" s="17"/>
      <c r="F19" s="17"/>
      <c r="G19" s="17"/>
      <c r="H19" s="17"/>
      <c r="I19" s="21"/>
      <c r="J19" s="21"/>
      <c r="K19" s="21"/>
    </row>
    <row r="20" spans="1:11" ht="17.399999999999999" customHeight="1" x14ac:dyDescent="0.3">
      <c r="A20" s="7" t="s">
        <v>37</v>
      </c>
      <c r="B20" s="8">
        <v>-2722</v>
      </c>
      <c r="C20" s="8">
        <v>33364</v>
      </c>
      <c r="D20" s="8">
        <v>21331</v>
      </c>
      <c r="E20" s="16"/>
      <c r="F20" s="16"/>
      <c r="G20" s="16"/>
      <c r="H20" s="17"/>
      <c r="I20" s="21"/>
      <c r="J20" s="21"/>
      <c r="K20" s="21"/>
    </row>
    <row r="21" spans="1:11" ht="19.2" customHeight="1" x14ac:dyDescent="0.3">
      <c r="A21" s="7" t="s">
        <v>38</v>
      </c>
      <c r="B21" s="12">
        <v>-0.27</v>
      </c>
      <c r="C21" s="12">
        <v>3.3</v>
      </c>
      <c r="D21" s="12">
        <v>2.13</v>
      </c>
      <c r="E21" s="22"/>
      <c r="F21" s="22"/>
      <c r="G21" s="22"/>
      <c r="H21" s="17"/>
      <c r="I21" s="21"/>
      <c r="J21" s="21"/>
      <c r="K21" s="21"/>
    </row>
    <row r="22" spans="1:11" ht="17.399999999999999" customHeight="1" x14ac:dyDescent="0.3">
      <c r="A22" s="7" t="s">
        <v>39</v>
      </c>
      <c r="B22" s="12">
        <v>-0.27</v>
      </c>
      <c r="C22" s="12">
        <v>3.24</v>
      </c>
      <c r="D22" s="12">
        <v>2.09</v>
      </c>
      <c r="E22" s="22"/>
      <c r="F22" s="22"/>
      <c r="G22" s="22"/>
      <c r="H22" s="16"/>
      <c r="I22" s="20"/>
      <c r="J22" s="20"/>
      <c r="K22" s="20"/>
    </row>
    <row r="23" spans="1:11" ht="17.399999999999999" customHeight="1" x14ac:dyDescent="0.3">
      <c r="A23" s="9" t="s">
        <v>40</v>
      </c>
      <c r="B23" s="7" t="s">
        <v>21</v>
      </c>
      <c r="C23" s="7" t="s">
        <v>21</v>
      </c>
      <c r="D23" s="7" t="s">
        <v>21</v>
      </c>
      <c r="H23" s="22"/>
      <c r="I23" s="23"/>
      <c r="J23" s="23"/>
      <c r="K23" s="23"/>
    </row>
    <row r="24" spans="1:11" ht="13.8" customHeight="1" x14ac:dyDescent="0.3">
      <c r="A24" s="7" t="s">
        <v>41</v>
      </c>
      <c r="B24" s="10">
        <v>10189</v>
      </c>
      <c r="C24" s="10">
        <v>10117</v>
      </c>
      <c r="D24" s="10">
        <v>10005</v>
      </c>
      <c r="E24" s="17"/>
      <c r="F24" s="17"/>
      <c r="G24" s="17"/>
      <c r="H24" s="22"/>
      <c r="I24" s="23"/>
      <c r="J24" s="23"/>
      <c r="K24" s="23"/>
    </row>
    <row r="25" spans="1:11" ht="16.2" customHeight="1" x14ac:dyDescent="0.3">
      <c r="A25" s="7" t="s">
        <v>42</v>
      </c>
      <c r="B25" s="10">
        <v>10189</v>
      </c>
      <c r="C25" s="10">
        <v>10296</v>
      </c>
      <c r="D25" s="10">
        <v>10198</v>
      </c>
      <c r="E25" s="17"/>
      <c r="F25" s="17"/>
      <c r="G25" s="17"/>
    </row>
    <row r="26" spans="1:11" ht="19.2" customHeight="1" x14ac:dyDescent="0.3">
      <c r="A26" s="7" t="s">
        <v>43</v>
      </c>
      <c r="B26" s="7" t="s">
        <v>21</v>
      </c>
      <c r="C26" s="7" t="s">
        <v>21</v>
      </c>
      <c r="D26" s="7" t="s">
        <v>21</v>
      </c>
      <c r="H26" s="17"/>
      <c r="I26" s="21"/>
      <c r="J26" s="21"/>
      <c r="K26" s="21"/>
    </row>
    <row r="27" spans="1:11" ht="17.399999999999999" customHeight="1" x14ac:dyDescent="0.3">
      <c r="A27" s="7" t="s">
        <v>19</v>
      </c>
      <c r="B27" s="8">
        <v>242901</v>
      </c>
      <c r="C27" s="8">
        <v>241787</v>
      </c>
      <c r="D27" s="8">
        <v>215915</v>
      </c>
      <c r="E27" s="16"/>
      <c r="F27" s="16"/>
      <c r="G27" s="16"/>
      <c r="H27" s="17"/>
      <c r="I27" s="21"/>
      <c r="J27" s="21"/>
      <c r="K27" s="21"/>
    </row>
    <row r="28" spans="1:11" ht="16.2" customHeight="1" x14ac:dyDescent="0.3">
      <c r="A28" s="7" t="s">
        <v>44</v>
      </c>
      <c r="B28" s="7" t="s">
        <v>21</v>
      </c>
      <c r="C28" s="7" t="s">
        <v>21</v>
      </c>
      <c r="D28" s="7" t="s">
        <v>21</v>
      </c>
    </row>
    <row r="29" spans="1:11" ht="19.8" customHeight="1" x14ac:dyDescent="0.3">
      <c r="A29" s="7" t="s">
        <v>19</v>
      </c>
      <c r="B29" s="8">
        <v>271082</v>
      </c>
      <c r="C29" s="8">
        <v>228035</v>
      </c>
      <c r="D29" s="8">
        <v>170149</v>
      </c>
      <c r="E29" s="16"/>
      <c r="F29" s="16"/>
      <c r="G29" s="16"/>
    </row>
    <row r="30" spans="1:11" s="31" customFormat="1" ht="4.8" customHeight="1" x14ac:dyDescent="0.3"/>
    <row r="31" spans="1:11" x14ac:dyDescent="0.3">
      <c r="F31" s="78" t="s">
        <v>14</v>
      </c>
      <c r="G31" s="76" t="s">
        <v>15</v>
      </c>
      <c r="H31" s="77"/>
      <c r="I31" s="77"/>
    </row>
    <row r="32" spans="1:11" x14ac:dyDescent="0.3">
      <c r="A32" s="78" t="s">
        <v>14</v>
      </c>
      <c r="B32" s="76" t="s">
        <v>15</v>
      </c>
      <c r="C32" s="77"/>
      <c r="D32" s="77"/>
      <c r="F32" s="77"/>
      <c r="G32" s="29" t="s">
        <v>119</v>
      </c>
      <c r="H32" s="29" t="s">
        <v>117</v>
      </c>
      <c r="I32" s="29" t="s">
        <v>118</v>
      </c>
    </row>
    <row r="33" spans="1:9" x14ac:dyDescent="0.3">
      <c r="A33" s="77"/>
      <c r="B33" s="29" t="s">
        <v>45</v>
      </c>
      <c r="C33" s="29" t="s">
        <v>46</v>
      </c>
      <c r="D33" s="29" t="s">
        <v>47</v>
      </c>
      <c r="F33" s="7" t="s">
        <v>43</v>
      </c>
      <c r="G33" s="8">
        <v>94665</v>
      </c>
      <c r="H33" s="8">
        <v>79268</v>
      </c>
      <c r="I33" s="8">
        <v>70080</v>
      </c>
    </row>
    <row r="34" spans="1:9" x14ac:dyDescent="0.3">
      <c r="A34" s="7" t="s">
        <v>19</v>
      </c>
      <c r="B34" s="8">
        <v>280522</v>
      </c>
      <c r="C34" s="8">
        <v>232887</v>
      </c>
      <c r="D34" s="8">
        <v>177866</v>
      </c>
      <c r="F34" s="7" t="s">
        <v>44</v>
      </c>
      <c r="G34" s="10">
        <v>41322</v>
      </c>
      <c r="H34" s="10">
        <v>27738</v>
      </c>
      <c r="I34" s="10">
        <v>18908</v>
      </c>
    </row>
    <row r="35" spans="1:9" x14ac:dyDescent="0.3">
      <c r="A35" s="9" t="s">
        <v>20</v>
      </c>
      <c r="B35"/>
      <c r="C35"/>
      <c r="D35"/>
      <c r="F35" s="36" t="s">
        <v>19</v>
      </c>
      <c r="G35" s="37">
        <v>135987</v>
      </c>
      <c r="H35" s="37">
        <v>107006</v>
      </c>
      <c r="I35" s="37">
        <v>88988</v>
      </c>
    </row>
    <row r="36" spans="1:9" x14ac:dyDescent="0.3">
      <c r="A36" s="7" t="s">
        <v>22</v>
      </c>
      <c r="B36" s="10">
        <v>165536</v>
      </c>
      <c r="C36" s="10">
        <v>139156</v>
      </c>
      <c r="D36" s="10">
        <v>111934</v>
      </c>
      <c r="F36" s="9" t="s">
        <v>20</v>
      </c>
      <c r="G36"/>
      <c r="H36"/>
      <c r="I36"/>
    </row>
    <row r="37" spans="1:9" x14ac:dyDescent="0.3">
      <c r="A37" s="7" t="s">
        <v>23</v>
      </c>
      <c r="B37" s="10">
        <v>40232</v>
      </c>
      <c r="C37" s="10">
        <v>34027</v>
      </c>
      <c r="D37" s="10">
        <v>25249</v>
      </c>
      <c r="F37" s="7" t="s">
        <v>22</v>
      </c>
      <c r="G37" s="10">
        <v>88265</v>
      </c>
      <c r="H37" s="10">
        <v>71651</v>
      </c>
      <c r="I37" s="10">
        <v>62752</v>
      </c>
    </row>
    <row r="38" spans="1:9" x14ac:dyDescent="0.3">
      <c r="A38" s="7" t="s">
        <v>24</v>
      </c>
      <c r="B38" s="10">
        <v>35931</v>
      </c>
      <c r="C38" s="10">
        <v>28837</v>
      </c>
      <c r="D38" s="10">
        <v>22620</v>
      </c>
      <c r="F38" s="7" t="s">
        <v>23</v>
      </c>
      <c r="G38" s="10">
        <v>17619</v>
      </c>
      <c r="H38" s="10">
        <v>13410</v>
      </c>
      <c r="I38" s="10">
        <v>10766</v>
      </c>
    </row>
    <row r="39" spans="1:9" x14ac:dyDescent="0.3">
      <c r="A39" s="7" t="s">
        <v>147</v>
      </c>
      <c r="B39" s="10">
        <v>18878</v>
      </c>
      <c r="C39" s="10">
        <v>13814</v>
      </c>
      <c r="D39" s="10">
        <v>10069</v>
      </c>
      <c r="F39" s="7" t="s">
        <v>147</v>
      </c>
      <c r="G39" s="10">
        <v>7233</v>
      </c>
      <c r="H39" s="10">
        <v>5254</v>
      </c>
      <c r="I39" s="10">
        <v>4332</v>
      </c>
    </row>
    <row r="40" spans="1:9" x14ac:dyDescent="0.3">
      <c r="A40" s="7" t="s">
        <v>26</v>
      </c>
      <c r="B40" s="10">
        <v>5203</v>
      </c>
      <c r="C40" s="10">
        <v>4336</v>
      </c>
      <c r="D40" s="10">
        <v>3674</v>
      </c>
      <c r="F40" s="7" t="s">
        <v>24</v>
      </c>
      <c r="G40" s="10">
        <v>16085</v>
      </c>
      <c r="H40" s="10">
        <v>12540</v>
      </c>
      <c r="I40" s="10">
        <v>9275</v>
      </c>
    </row>
    <row r="41" spans="1:9" x14ac:dyDescent="0.3">
      <c r="A41" s="7" t="s">
        <v>27</v>
      </c>
      <c r="B41" s="10">
        <v>201</v>
      </c>
      <c r="C41" s="10">
        <v>296</v>
      </c>
      <c r="D41" s="10">
        <v>214</v>
      </c>
      <c r="F41" s="7" t="s">
        <v>26</v>
      </c>
      <c r="G41" s="10">
        <v>2432</v>
      </c>
      <c r="H41" s="10">
        <v>1747</v>
      </c>
      <c r="I41" s="10">
        <v>1552</v>
      </c>
    </row>
    <row r="42" spans="1:9" x14ac:dyDescent="0.3">
      <c r="A42" s="7" t="s">
        <v>28</v>
      </c>
      <c r="B42" s="10">
        <v>265981</v>
      </c>
      <c r="C42" s="10">
        <v>220466</v>
      </c>
      <c r="D42" s="10">
        <v>173760</v>
      </c>
      <c r="F42" s="7" t="s">
        <v>124</v>
      </c>
      <c r="G42" s="10">
        <v>167</v>
      </c>
      <c r="H42" s="10">
        <v>171</v>
      </c>
      <c r="I42" s="10">
        <v>133</v>
      </c>
    </row>
    <row r="43" spans="1:9" x14ac:dyDescent="0.3">
      <c r="A43" s="9" t="s">
        <v>29</v>
      </c>
      <c r="B43" s="11">
        <v>14541</v>
      </c>
      <c r="C43" s="11">
        <v>12421</v>
      </c>
      <c r="D43" s="11">
        <v>4106</v>
      </c>
      <c r="F43" s="7" t="s">
        <v>28</v>
      </c>
      <c r="G43" s="10">
        <v>131801</v>
      </c>
      <c r="H43" s="10">
        <v>104773</v>
      </c>
      <c r="I43" s="10">
        <v>88810</v>
      </c>
    </row>
    <row r="44" spans="1:9" x14ac:dyDescent="0.3">
      <c r="A44" s="7" t="s">
        <v>30</v>
      </c>
      <c r="B44" s="10">
        <v>832</v>
      </c>
      <c r="C44" s="10">
        <v>440</v>
      </c>
      <c r="D44" s="10">
        <v>202</v>
      </c>
      <c r="F44" s="9" t="s">
        <v>29</v>
      </c>
      <c r="G44" s="11">
        <v>4186</v>
      </c>
      <c r="H44" s="11">
        <v>2233</v>
      </c>
      <c r="I44" s="11">
        <v>178</v>
      </c>
    </row>
    <row r="45" spans="1:9" x14ac:dyDescent="0.3">
      <c r="A45" s="7" t="s">
        <v>31</v>
      </c>
      <c r="B45" s="10">
        <v>-1600</v>
      </c>
      <c r="C45" s="10">
        <v>-1417</v>
      </c>
      <c r="D45" s="10">
        <v>-848</v>
      </c>
      <c r="F45" s="7" t="s">
        <v>30</v>
      </c>
      <c r="G45" s="10">
        <v>100</v>
      </c>
      <c r="H45" s="10">
        <v>50</v>
      </c>
      <c r="I45" s="10">
        <v>39</v>
      </c>
    </row>
    <row r="46" spans="1:9" x14ac:dyDescent="0.3">
      <c r="A46" s="7" t="s">
        <v>32</v>
      </c>
      <c r="B46" s="10">
        <v>203</v>
      </c>
      <c r="C46" s="10">
        <v>-183</v>
      </c>
      <c r="D46" s="10">
        <v>346</v>
      </c>
      <c r="F46" s="7" t="s">
        <v>31</v>
      </c>
      <c r="G46" s="10">
        <v>-484</v>
      </c>
      <c r="H46" s="10">
        <v>-459</v>
      </c>
      <c r="I46" s="10">
        <v>-210</v>
      </c>
    </row>
    <row r="47" spans="1:9" x14ac:dyDescent="0.3">
      <c r="A47" s="7" t="s">
        <v>33</v>
      </c>
      <c r="B47" s="10">
        <v>-565</v>
      </c>
      <c r="C47" s="10">
        <v>-1160</v>
      </c>
      <c r="D47" s="10">
        <v>-300</v>
      </c>
      <c r="F47" s="7" t="s">
        <v>32</v>
      </c>
      <c r="G47" s="10">
        <v>90</v>
      </c>
      <c r="H47" s="10">
        <v>-256</v>
      </c>
      <c r="I47" s="10">
        <v>-118</v>
      </c>
    </row>
    <row r="48" spans="1:9" x14ac:dyDescent="0.3">
      <c r="A48" s="7" t="s">
        <v>148</v>
      </c>
      <c r="B48" s="10">
        <v>13976</v>
      </c>
      <c r="C48" s="10">
        <v>11261</v>
      </c>
      <c r="D48" s="10">
        <v>3806</v>
      </c>
      <c r="F48" s="7" t="s">
        <v>33</v>
      </c>
      <c r="G48" s="10">
        <v>-294</v>
      </c>
      <c r="H48" s="10">
        <v>-665</v>
      </c>
      <c r="I48" s="10">
        <v>-289</v>
      </c>
    </row>
    <row r="49" spans="1:9" x14ac:dyDescent="0.3">
      <c r="A49" s="9" t="s">
        <v>149</v>
      </c>
      <c r="B49" s="11">
        <v>-2374</v>
      </c>
      <c r="C49" s="11">
        <v>-1197</v>
      </c>
      <c r="D49" s="11">
        <v>-769</v>
      </c>
      <c r="F49" s="7" t="s">
        <v>34</v>
      </c>
      <c r="G49" s="10">
        <v>3892</v>
      </c>
      <c r="H49" s="10">
        <v>1568</v>
      </c>
      <c r="I49" s="10">
        <v>-111</v>
      </c>
    </row>
    <row r="50" spans="1:9" x14ac:dyDescent="0.3">
      <c r="A50" s="7" t="s">
        <v>36</v>
      </c>
      <c r="B50" s="10">
        <v>-14</v>
      </c>
      <c r="C50" s="10">
        <v>9</v>
      </c>
      <c r="D50" s="10">
        <v>-4</v>
      </c>
      <c r="F50" s="9" t="s">
        <v>149</v>
      </c>
      <c r="G50" s="11">
        <v>-1425</v>
      </c>
      <c r="H50" s="11">
        <v>-950</v>
      </c>
      <c r="I50" s="11">
        <v>-167</v>
      </c>
    </row>
    <row r="51" spans="1:9" x14ac:dyDescent="0.3">
      <c r="A51" s="7" t="s">
        <v>52</v>
      </c>
      <c r="B51" s="8">
        <v>11588</v>
      </c>
      <c r="C51" s="8">
        <v>10073</v>
      </c>
      <c r="D51" s="8">
        <v>3033</v>
      </c>
      <c r="F51" s="7" t="s">
        <v>36</v>
      </c>
      <c r="G51" s="10">
        <v>-96</v>
      </c>
      <c r="H51" s="10">
        <v>-22</v>
      </c>
      <c r="I51" s="10">
        <v>37</v>
      </c>
    </row>
    <row r="52" spans="1:9" x14ac:dyDescent="0.3">
      <c r="A52" s="7" t="s">
        <v>150</v>
      </c>
      <c r="B52" s="12">
        <v>23.46</v>
      </c>
      <c r="C52" s="12">
        <v>20.68</v>
      </c>
      <c r="D52" s="12">
        <v>6.32</v>
      </c>
      <c r="F52" s="7" t="s">
        <v>37</v>
      </c>
      <c r="G52" s="8">
        <v>2371</v>
      </c>
      <c r="H52" s="8">
        <v>596</v>
      </c>
      <c r="I52" s="8">
        <v>-241</v>
      </c>
    </row>
    <row r="53" spans="1:9" x14ac:dyDescent="0.3">
      <c r="A53" s="7" t="s">
        <v>151</v>
      </c>
      <c r="B53" s="12">
        <v>23.01</v>
      </c>
      <c r="C53" s="12">
        <v>20.14</v>
      </c>
      <c r="D53" s="12">
        <v>6.15</v>
      </c>
      <c r="F53" s="7" t="s">
        <v>150</v>
      </c>
      <c r="G53" s="12">
        <v>5.01</v>
      </c>
      <c r="H53" s="12">
        <v>1.28</v>
      </c>
      <c r="I53" s="12">
        <v>-0.52</v>
      </c>
    </row>
    <row r="54" spans="1:9" x14ac:dyDescent="0.3">
      <c r="A54" s="9" t="s">
        <v>40</v>
      </c>
      <c r="B54"/>
      <c r="C54"/>
      <c r="D54"/>
      <c r="F54" s="7" t="s">
        <v>151</v>
      </c>
      <c r="G54" s="12">
        <v>4.9000000000000004</v>
      </c>
      <c r="H54" s="12">
        <v>1.25</v>
      </c>
      <c r="I54" s="12">
        <v>-0.52</v>
      </c>
    </row>
    <row r="55" spans="1:9" ht="28.8" x14ac:dyDescent="0.3">
      <c r="A55" s="7" t="s">
        <v>41</v>
      </c>
      <c r="B55" s="10">
        <v>494</v>
      </c>
      <c r="C55" s="10">
        <v>487</v>
      </c>
      <c r="D55" s="10">
        <v>480</v>
      </c>
      <c r="F55" s="9" t="s">
        <v>40</v>
      </c>
      <c r="G55"/>
      <c r="H55"/>
      <c r="I55"/>
    </row>
    <row r="56" spans="1:9" x14ac:dyDescent="0.3">
      <c r="A56" s="7" t="s">
        <v>42</v>
      </c>
      <c r="B56" s="10">
        <v>504</v>
      </c>
      <c r="C56" s="10">
        <v>500</v>
      </c>
      <c r="D56" s="10">
        <v>493</v>
      </c>
      <c r="F56" s="7" t="s">
        <v>152</v>
      </c>
      <c r="G56" s="10">
        <v>474</v>
      </c>
      <c r="H56" s="10">
        <v>467</v>
      </c>
      <c r="I56" s="10">
        <v>462</v>
      </c>
    </row>
    <row r="57" spans="1:9" x14ac:dyDescent="0.3">
      <c r="A57" s="7" t="s">
        <v>43</v>
      </c>
      <c r="B57"/>
      <c r="C57"/>
      <c r="D57"/>
      <c r="F57" s="7" t="s">
        <v>153</v>
      </c>
      <c r="G57" s="10">
        <v>484</v>
      </c>
      <c r="H57" s="10">
        <v>477</v>
      </c>
      <c r="I57" s="10">
        <v>462</v>
      </c>
    </row>
    <row r="58" spans="1:9" x14ac:dyDescent="0.3">
      <c r="A58" s="7" t="s">
        <v>19</v>
      </c>
      <c r="B58" s="8">
        <v>160408</v>
      </c>
      <c r="C58" s="8">
        <v>141915</v>
      </c>
      <c r="D58" s="8">
        <v>118573</v>
      </c>
    </row>
    <row r="59" spans="1:9" x14ac:dyDescent="0.3">
      <c r="A59" s="7" t="s">
        <v>44</v>
      </c>
      <c r="B59"/>
      <c r="C59"/>
      <c r="D59"/>
    </row>
    <row r="60" spans="1:9" x14ac:dyDescent="0.3">
      <c r="A60" s="7" t="s">
        <v>19</v>
      </c>
      <c r="B60" s="8">
        <v>120114</v>
      </c>
      <c r="C60" s="8">
        <v>90972</v>
      </c>
      <c r="D60" s="8">
        <v>59293</v>
      </c>
    </row>
  </sheetData>
  <mergeCells count="6">
    <mergeCell ref="G31:I31"/>
    <mergeCell ref="A1:A2"/>
    <mergeCell ref="B1:D1"/>
    <mergeCell ref="A32:A33"/>
    <mergeCell ref="B32:D32"/>
    <mergeCell ref="F31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DA-1F28-4ED7-BCD2-F713A0B5670A}">
  <dimension ref="A1:L85"/>
  <sheetViews>
    <sheetView workbookViewId="0">
      <pane xSplit="4" topLeftCell="F1" activePane="topRight" state="frozen"/>
      <selection pane="topRight" activeCell="C8" sqref="C8"/>
    </sheetView>
  </sheetViews>
  <sheetFormatPr defaultRowHeight="14.4" x14ac:dyDescent="0.3"/>
  <cols>
    <col min="1" max="1" width="70.6640625" style="1" customWidth="1"/>
    <col min="2" max="2" width="13" style="1" customWidth="1"/>
    <col min="3" max="3" width="12.6640625" style="1" customWidth="1"/>
    <col min="4" max="4" width="14.33203125" style="1" customWidth="1"/>
    <col min="5" max="5" width="2.5546875" style="1" customWidth="1"/>
    <col min="6" max="6" width="52" style="1" customWidth="1"/>
    <col min="7" max="7" width="14.21875" style="1" customWidth="1"/>
    <col min="8" max="8" width="13.5546875" style="1" customWidth="1"/>
    <col min="9" max="9" width="16.44140625" style="1" customWidth="1"/>
    <col min="10" max="10" width="12.77734375" style="1" customWidth="1"/>
    <col min="11" max="11" width="13.6640625" style="1" customWidth="1"/>
    <col min="12" max="12" width="13.5546875" style="1" customWidth="1"/>
    <col min="13" max="16384" width="8.88671875" style="1"/>
  </cols>
  <sheetData>
    <row r="1" spans="1:12" ht="14.4" customHeight="1" x14ac:dyDescent="0.3">
      <c r="A1" s="79" t="s">
        <v>48</v>
      </c>
      <c r="B1" s="81" t="s">
        <v>15</v>
      </c>
      <c r="C1" s="80"/>
      <c r="D1" s="80"/>
      <c r="E1" s="27"/>
    </row>
    <row r="2" spans="1:12" ht="15.6" customHeight="1" x14ac:dyDescent="0.3">
      <c r="A2" s="80"/>
      <c r="B2" s="26" t="s">
        <v>16</v>
      </c>
      <c r="C2" s="26" t="s">
        <v>17</v>
      </c>
      <c r="D2" s="26" t="s">
        <v>18</v>
      </c>
      <c r="E2" s="26"/>
      <c r="F2" s="18"/>
      <c r="G2" s="18"/>
      <c r="H2" s="18"/>
      <c r="I2" s="18"/>
      <c r="J2" s="19"/>
      <c r="K2" s="19"/>
      <c r="L2" s="19"/>
    </row>
    <row r="3" spans="1:12" x14ac:dyDescent="0.3">
      <c r="A3" s="9" t="s">
        <v>49</v>
      </c>
      <c r="B3" s="7" t="s">
        <v>21</v>
      </c>
      <c r="C3" s="7" t="s">
        <v>21</v>
      </c>
      <c r="D3" s="7" t="s">
        <v>21</v>
      </c>
      <c r="E3" s="7"/>
      <c r="I3" s="16"/>
      <c r="J3" s="16"/>
      <c r="K3" s="16"/>
    </row>
    <row r="4" spans="1:12" x14ac:dyDescent="0.3">
      <c r="A4" s="7" t="s">
        <v>50</v>
      </c>
      <c r="B4" s="8">
        <v>36477</v>
      </c>
      <c r="C4" s="8">
        <v>42377</v>
      </c>
      <c r="D4" s="8">
        <v>36410</v>
      </c>
      <c r="E4" s="8"/>
      <c r="F4" s="16"/>
      <c r="G4" s="16"/>
      <c r="H4" s="16"/>
    </row>
    <row r="5" spans="1:12" x14ac:dyDescent="0.3">
      <c r="A5" s="9" t="s">
        <v>51</v>
      </c>
      <c r="B5" s="7" t="s">
        <v>21</v>
      </c>
      <c r="C5" s="7" t="s">
        <v>21</v>
      </c>
      <c r="D5" s="7" t="s">
        <v>21</v>
      </c>
      <c r="E5" s="7"/>
      <c r="I5" s="17"/>
      <c r="J5" s="17"/>
      <c r="K5" s="17"/>
    </row>
    <row r="6" spans="1:12" x14ac:dyDescent="0.3">
      <c r="A6" s="7" t="s">
        <v>37</v>
      </c>
      <c r="B6" s="10">
        <v>-2722</v>
      </c>
      <c r="C6" s="10">
        <v>33364</v>
      </c>
      <c r="D6" s="10">
        <v>21331</v>
      </c>
      <c r="E6" s="10"/>
      <c r="F6" s="17"/>
      <c r="G6" s="17"/>
      <c r="H6" s="17"/>
    </row>
    <row r="7" spans="1:12" x14ac:dyDescent="0.3">
      <c r="A7" s="9" t="s">
        <v>122</v>
      </c>
      <c r="B7" s="7" t="s">
        <v>21</v>
      </c>
      <c r="C7" s="7" t="s">
        <v>21</v>
      </c>
      <c r="D7" s="7" t="s">
        <v>21</v>
      </c>
      <c r="E7" s="7"/>
      <c r="I7" s="17"/>
      <c r="J7" s="17"/>
      <c r="K7" s="17"/>
    </row>
    <row r="8" spans="1:12" ht="28.8" x14ac:dyDescent="0.3">
      <c r="A8" s="28" t="s">
        <v>54</v>
      </c>
      <c r="B8" s="10">
        <v>41921</v>
      </c>
      <c r="C8" s="10">
        <v>34433</v>
      </c>
      <c r="D8" s="10">
        <v>25180</v>
      </c>
      <c r="E8" s="10"/>
      <c r="F8" s="17"/>
      <c r="G8" s="17"/>
      <c r="H8" s="17"/>
      <c r="I8" s="17"/>
      <c r="J8" s="17"/>
      <c r="K8" s="17"/>
    </row>
    <row r="9" spans="1:12" x14ac:dyDescent="0.3">
      <c r="A9" s="7" t="s">
        <v>55</v>
      </c>
      <c r="B9" s="10">
        <v>19621</v>
      </c>
      <c r="C9" s="10">
        <v>12757</v>
      </c>
      <c r="D9" s="10">
        <v>9208</v>
      </c>
      <c r="E9" s="10"/>
      <c r="F9" s="17"/>
      <c r="G9" s="17"/>
      <c r="H9" s="17"/>
      <c r="I9" s="17"/>
      <c r="J9" s="17"/>
      <c r="K9" s="17"/>
    </row>
    <row r="10" spans="1:12" x14ac:dyDescent="0.3">
      <c r="A10" s="7" t="s">
        <v>56</v>
      </c>
      <c r="B10" s="10">
        <v>16966</v>
      </c>
      <c r="C10" s="10">
        <v>-14306</v>
      </c>
      <c r="D10" s="10">
        <v>-2582</v>
      </c>
      <c r="E10" s="10"/>
      <c r="F10" s="17"/>
      <c r="G10" s="17"/>
      <c r="H10" s="17"/>
      <c r="I10" s="17"/>
      <c r="J10" s="17"/>
      <c r="K10" s="17"/>
    </row>
    <row r="11" spans="1:12" x14ac:dyDescent="0.3">
      <c r="A11" s="7" t="s">
        <v>57</v>
      </c>
      <c r="B11" s="10">
        <v>-8148</v>
      </c>
      <c r="C11" s="10">
        <v>-310</v>
      </c>
      <c r="D11" s="10">
        <v>-554</v>
      </c>
      <c r="E11" s="10"/>
      <c r="F11" s="17"/>
      <c r="G11" s="17"/>
      <c r="H11" s="17"/>
      <c r="I11" s="17"/>
      <c r="J11" s="17"/>
      <c r="K11" s="17"/>
    </row>
    <row r="12" spans="1:12" x14ac:dyDescent="0.3">
      <c r="A12" s="9" t="s">
        <v>58</v>
      </c>
      <c r="B12" s="43">
        <f>B13+B14+B15+B16+B17</f>
        <v>-20886</v>
      </c>
      <c r="C12" s="43">
        <f t="shared" ref="C12:D12" si="0">C13+C14+C15+C16+C17</f>
        <v>-19611</v>
      </c>
      <c r="D12" s="43">
        <f t="shared" si="0"/>
        <v>13481</v>
      </c>
      <c r="E12" s="7"/>
      <c r="F12" s="17"/>
      <c r="G12" s="17"/>
      <c r="H12" s="17"/>
      <c r="I12" s="17"/>
      <c r="J12" s="17"/>
      <c r="K12" s="17"/>
    </row>
    <row r="13" spans="1:12" x14ac:dyDescent="0.3">
      <c r="A13" s="7" t="s">
        <v>59</v>
      </c>
      <c r="B13" s="10">
        <v>-2592</v>
      </c>
      <c r="C13" s="10">
        <v>-9487</v>
      </c>
      <c r="D13" s="10">
        <v>-2849</v>
      </c>
      <c r="E13" s="10"/>
    </row>
    <row r="14" spans="1:12" x14ac:dyDescent="0.3">
      <c r="A14" s="7" t="s">
        <v>60</v>
      </c>
      <c r="B14" s="10">
        <v>-21897</v>
      </c>
      <c r="C14" s="10">
        <v>-18163</v>
      </c>
      <c r="D14" s="10">
        <v>-8169</v>
      </c>
      <c r="E14" s="10"/>
      <c r="F14" s="17"/>
      <c r="G14" s="17"/>
      <c r="H14" s="17"/>
      <c r="I14" s="17"/>
      <c r="J14" s="17"/>
      <c r="K14" s="17"/>
    </row>
    <row r="15" spans="1:12" x14ac:dyDescent="0.3">
      <c r="A15" s="7" t="s">
        <v>61</v>
      </c>
      <c r="B15" s="10">
        <v>2945</v>
      </c>
      <c r="C15" s="10">
        <v>3602</v>
      </c>
      <c r="D15" s="10">
        <v>17480</v>
      </c>
      <c r="E15" s="10"/>
      <c r="F15" s="17"/>
      <c r="G15" s="17"/>
      <c r="H15" s="17"/>
      <c r="I15" s="17"/>
      <c r="J15" s="17"/>
      <c r="K15" s="17"/>
    </row>
    <row r="16" spans="1:12" x14ac:dyDescent="0.3">
      <c r="A16" s="7" t="s">
        <v>62</v>
      </c>
      <c r="B16" s="10">
        <v>-1558</v>
      </c>
      <c r="C16" s="10">
        <v>2123</v>
      </c>
      <c r="D16" s="10">
        <v>5754</v>
      </c>
      <c r="E16" s="10"/>
      <c r="F16" s="17"/>
      <c r="G16" s="17"/>
      <c r="H16" s="17"/>
      <c r="I16" s="17"/>
      <c r="J16" s="17"/>
      <c r="K16" s="17"/>
    </row>
    <row r="17" spans="1:11" x14ac:dyDescent="0.3">
      <c r="A17" s="7" t="s">
        <v>63</v>
      </c>
      <c r="B17" s="10">
        <v>2216</v>
      </c>
      <c r="C17" s="10">
        <v>2314</v>
      </c>
      <c r="D17" s="10">
        <v>1265</v>
      </c>
      <c r="E17" s="10"/>
      <c r="F17" s="17"/>
      <c r="G17" s="17"/>
      <c r="H17" s="17"/>
      <c r="I17" s="17"/>
      <c r="J17" s="17"/>
      <c r="K17" s="17"/>
    </row>
    <row r="18" spans="1:11" x14ac:dyDescent="0.3">
      <c r="A18" s="7" t="s">
        <v>64</v>
      </c>
      <c r="B18" s="10">
        <v>46752</v>
      </c>
      <c r="C18" s="10">
        <v>46327</v>
      </c>
      <c r="D18" s="10">
        <v>66064</v>
      </c>
      <c r="E18" s="10"/>
      <c r="F18" s="17"/>
      <c r="G18" s="17"/>
      <c r="H18" s="17"/>
      <c r="I18" s="17"/>
      <c r="J18" s="17"/>
      <c r="K18" s="17"/>
    </row>
    <row r="19" spans="1:11" x14ac:dyDescent="0.3">
      <c r="A19" s="9" t="s">
        <v>65</v>
      </c>
      <c r="B19" s="7" t="s">
        <v>21</v>
      </c>
      <c r="C19" s="7" t="s">
        <v>21</v>
      </c>
      <c r="D19" s="7" t="s">
        <v>21</v>
      </c>
      <c r="E19" s="7"/>
      <c r="F19" s="17"/>
      <c r="G19" s="17"/>
      <c r="H19" s="17"/>
      <c r="I19" s="17"/>
      <c r="J19" s="17"/>
      <c r="K19" s="17"/>
    </row>
    <row r="20" spans="1:11" x14ac:dyDescent="0.3">
      <c r="A20" s="7" t="s">
        <v>66</v>
      </c>
      <c r="B20" s="10">
        <v>-63645</v>
      </c>
      <c r="C20" s="10">
        <v>-61053</v>
      </c>
      <c r="D20" s="10">
        <v>-40140</v>
      </c>
      <c r="E20" s="10"/>
      <c r="I20" s="17"/>
      <c r="J20" s="17"/>
      <c r="K20" s="17"/>
    </row>
    <row r="21" spans="1:11" x14ac:dyDescent="0.3">
      <c r="A21" s="7" t="s">
        <v>67</v>
      </c>
      <c r="B21" s="10">
        <v>5324</v>
      </c>
      <c r="C21" s="10">
        <v>5657</v>
      </c>
      <c r="D21" s="10">
        <v>5096</v>
      </c>
      <c r="E21" s="10"/>
      <c r="F21" s="17"/>
      <c r="G21" s="17"/>
      <c r="H21" s="17"/>
    </row>
    <row r="22" spans="1:11" x14ac:dyDescent="0.3">
      <c r="A22" s="7" t="s">
        <v>68</v>
      </c>
      <c r="B22" s="10">
        <v>-8316</v>
      </c>
      <c r="C22" s="10">
        <v>-1985</v>
      </c>
      <c r="D22" s="10">
        <v>-2325</v>
      </c>
      <c r="E22" s="10"/>
      <c r="F22" s="17"/>
      <c r="G22" s="17"/>
      <c r="H22" s="17"/>
      <c r="I22" s="17"/>
      <c r="J22" s="17"/>
      <c r="K22" s="17"/>
    </row>
    <row r="23" spans="1:11" x14ac:dyDescent="0.3">
      <c r="A23" s="7" t="s">
        <v>69</v>
      </c>
      <c r="B23" s="10">
        <v>31601</v>
      </c>
      <c r="C23" s="10">
        <v>59384</v>
      </c>
      <c r="D23" s="10">
        <v>50237</v>
      </c>
      <c r="E23" s="10"/>
      <c r="F23" s="17"/>
      <c r="G23" s="17"/>
      <c r="H23" s="17"/>
      <c r="I23" s="17"/>
      <c r="J23" s="17"/>
      <c r="K23" s="17"/>
    </row>
    <row r="24" spans="1:11" x14ac:dyDescent="0.3">
      <c r="A24" s="7" t="s">
        <v>70</v>
      </c>
      <c r="B24" s="10">
        <v>-2565</v>
      </c>
      <c r="C24" s="10">
        <v>-60157</v>
      </c>
      <c r="D24" s="10">
        <v>-72479</v>
      </c>
      <c r="E24" s="10"/>
      <c r="F24" s="17"/>
      <c r="G24" s="17"/>
      <c r="H24" s="17"/>
      <c r="I24" s="17"/>
      <c r="J24" s="17"/>
      <c r="K24" s="17"/>
    </row>
    <row r="25" spans="1:11" x14ac:dyDescent="0.3">
      <c r="A25" s="7" t="s">
        <v>71</v>
      </c>
      <c r="B25" s="10">
        <v>-37601</v>
      </c>
      <c r="C25" s="10">
        <v>-58154</v>
      </c>
      <c r="D25" s="10">
        <v>-59611</v>
      </c>
      <c r="E25" s="10"/>
      <c r="F25" s="17"/>
      <c r="G25" s="17"/>
      <c r="H25" s="17"/>
      <c r="I25" s="17"/>
      <c r="J25" s="17"/>
      <c r="K25" s="17"/>
    </row>
    <row r="26" spans="1:11" x14ac:dyDescent="0.3">
      <c r="A26" s="9" t="s">
        <v>72</v>
      </c>
      <c r="B26" s="7" t="s">
        <v>21</v>
      </c>
      <c r="C26" s="7" t="s">
        <v>21</v>
      </c>
      <c r="D26" s="7" t="s">
        <v>21</v>
      </c>
      <c r="E26" s="7"/>
      <c r="F26" s="17"/>
      <c r="G26" s="17"/>
      <c r="H26" s="17"/>
      <c r="I26" s="17"/>
      <c r="J26" s="17"/>
      <c r="K26" s="17"/>
    </row>
    <row r="27" spans="1:11" x14ac:dyDescent="0.3">
      <c r="A27" s="7" t="s">
        <v>139</v>
      </c>
      <c r="B27" s="10">
        <v>-6000</v>
      </c>
      <c r="C27" s="10">
        <v>0</v>
      </c>
      <c r="D27" s="10">
        <v>0</v>
      </c>
      <c r="E27" s="10"/>
    </row>
    <row r="28" spans="1:11" x14ac:dyDescent="0.3">
      <c r="A28" s="7" t="s">
        <v>140</v>
      </c>
      <c r="B28" s="10">
        <v>41553</v>
      </c>
      <c r="C28" s="10">
        <v>7956</v>
      </c>
      <c r="D28" s="10">
        <v>6796</v>
      </c>
      <c r="E28" s="10"/>
      <c r="F28" s="17"/>
      <c r="G28" s="17"/>
      <c r="H28" s="17"/>
      <c r="I28" s="17"/>
      <c r="J28" s="17"/>
      <c r="K28" s="17"/>
    </row>
    <row r="29" spans="1:11" x14ac:dyDescent="0.3">
      <c r="A29" s="7" t="s">
        <v>141</v>
      </c>
      <c r="B29" s="10">
        <v>-37554</v>
      </c>
      <c r="C29" s="10">
        <v>-7753</v>
      </c>
      <c r="D29" s="10">
        <v>-6177</v>
      </c>
      <c r="E29" s="10"/>
      <c r="F29" s="17"/>
      <c r="G29" s="17"/>
      <c r="H29" s="17"/>
      <c r="I29" s="17"/>
      <c r="J29" s="17"/>
      <c r="K29" s="17"/>
    </row>
    <row r="30" spans="1:11" x14ac:dyDescent="0.3">
      <c r="A30" s="7" t="s">
        <v>142</v>
      </c>
      <c r="B30" s="10">
        <v>21166</v>
      </c>
      <c r="C30" s="10">
        <v>19003</v>
      </c>
      <c r="D30" s="10">
        <v>10525</v>
      </c>
      <c r="E30" s="10"/>
      <c r="F30" s="17"/>
      <c r="G30" s="17"/>
      <c r="H30" s="17"/>
      <c r="I30" s="17"/>
      <c r="J30" s="17"/>
      <c r="K30" s="17"/>
    </row>
    <row r="31" spans="1:11" x14ac:dyDescent="0.3">
      <c r="A31" s="7" t="s">
        <v>143</v>
      </c>
      <c r="B31" s="10">
        <v>-1258</v>
      </c>
      <c r="C31" s="10">
        <v>-1590</v>
      </c>
      <c r="D31" s="10">
        <v>-1553</v>
      </c>
      <c r="E31" s="10"/>
      <c r="F31" s="17"/>
      <c r="G31" s="17"/>
      <c r="H31" s="17"/>
      <c r="I31" s="17"/>
      <c r="J31" s="17"/>
      <c r="K31" s="17"/>
    </row>
    <row r="32" spans="1:11" x14ac:dyDescent="0.3">
      <c r="A32" s="7" t="s">
        <v>75</v>
      </c>
      <c r="B32" s="10">
        <v>-7941</v>
      </c>
      <c r="C32" s="10">
        <v>-11163</v>
      </c>
      <c r="D32" s="10">
        <v>-10642</v>
      </c>
      <c r="E32" s="10"/>
      <c r="F32" s="17"/>
      <c r="G32" s="17"/>
      <c r="H32" s="17"/>
      <c r="I32" s="17"/>
      <c r="J32" s="17"/>
      <c r="K32" s="17"/>
    </row>
    <row r="33" spans="1:11" x14ac:dyDescent="0.3">
      <c r="A33" s="7" t="s">
        <v>76</v>
      </c>
      <c r="B33" s="10">
        <v>-248</v>
      </c>
      <c r="C33" s="10">
        <v>-162</v>
      </c>
      <c r="D33" s="10">
        <v>-53</v>
      </c>
      <c r="E33" s="10"/>
      <c r="F33" s="17"/>
      <c r="G33" s="17"/>
      <c r="H33" s="17"/>
      <c r="I33" s="17"/>
      <c r="J33" s="17"/>
      <c r="K33" s="17"/>
    </row>
    <row r="34" spans="1:11" x14ac:dyDescent="0.3">
      <c r="A34" s="7" t="s">
        <v>77</v>
      </c>
      <c r="B34" s="10">
        <v>9718</v>
      </c>
      <c r="C34" s="10">
        <v>6291</v>
      </c>
      <c r="D34" s="10">
        <v>-1104</v>
      </c>
      <c r="E34" s="10"/>
      <c r="F34" s="17"/>
      <c r="G34" s="17"/>
      <c r="H34" s="17"/>
      <c r="I34" s="17"/>
      <c r="J34" s="17"/>
      <c r="K34" s="17"/>
    </row>
    <row r="35" spans="1:11" x14ac:dyDescent="0.3">
      <c r="A35" s="7" t="s">
        <v>78</v>
      </c>
      <c r="B35" s="10">
        <v>-1093</v>
      </c>
      <c r="C35" s="10">
        <v>-364</v>
      </c>
      <c r="D35" s="10">
        <v>618</v>
      </c>
      <c r="E35" s="10"/>
      <c r="F35" s="17"/>
      <c r="G35" s="17"/>
      <c r="H35" s="17"/>
      <c r="I35" s="17"/>
      <c r="J35" s="17"/>
      <c r="K35" s="17"/>
    </row>
    <row r="36" spans="1:11" x14ac:dyDescent="0.3">
      <c r="A36" s="7" t="s">
        <v>79</v>
      </c>
      <c r="B36" s="10">
        <v>17776</v>
      </c>
      <c r="C36" s="10">
        <v>-5900</v>
      </c>
      <c r="D36" s="10">
        <v>5967</v>
      </c>
      <c r="E36" s="10"/>
      <c r="I36" s="17"/>
      <c r="J36" s="17"/>
      <c r="K36" s="17"/>
    </row>
    <row r="37" spans="1:11" x14ac:dyDescent="0.3">
      <c r="A37" s="7" t="s">
        <v>80</v>
      </c>
      <c r="B37" s="8">
        <v>54253</v>
      </c>
      <c r="C37" s="8">
        <v>36477</v>
      </c>
      <c r="D37" s="8">
        <v>42377</v>
      </c>
      <c r="E37" s="8"/>
      <c r="F37" s="17"/>
      <c r="G37" s="17"/>
      <c r="H37" s="17"/>
    </row>
    <row r="38" spans="1:11" x14ac:dyDescent="0.3">
      <c r="A38" s="7"/>
      <c r="B38" s="8"/>
      <c r="C38" s="8"/>
      <c r="D38" s="8"/>
      <c r="E38" s="8"/>
      <c r="F38" s="17"/>
      <c r="G38" s="17"/>
      <c r="H38" s="17"/>
    </row>
    <row r="39" spans="1:11" s="31" customFormat="1" ht="3.6" customHeight="1" x14ac:dyDescent="0.3">
      <c r="A39" s="30"/>
      <c r="F39" s="32"/>
      <c r="G39" s="32"/>
      <c r="H39" s="32"/>
      <c r="I39" s="32"/>
      <c r="J39" s="32"/>
      <c r="K39" s="32"/>
    </row>
    <row r="40" spans="1:11" x14ac:dyDescent="0.3">
      <c r="A40" s="78" t="s">
        <v>48</v>
      </c>
      <c r="B40" s="76" t="s">
        <v>15</v>
      </c>
      <c r="C40" s="77"/>
      <c r="D40" s="77"/>
      <c r="E40"/>
      <c r="F40" s="78" t="s">
        <v>120</v>
      </c>
      <c r="G40" s="76" t="s">
        <v>15</v>
      </c>
      <c r="H40" s="77"/>
      <c r="I40" s="77"/>
      <c r="J40" s="17"/>
      <c r="K40" s="17"/>
    </row>
    <row r="41" spans="1:11" x14ac:dyDescent="0.3">
      <c r="A41" s="77"/>
      <c r="B41" s="29" t="s">
        <v>45</v>
      </c>
      <c r="C41" s="29" t="s">
        <v>46</v>
      </c>
      <c r="D41" s="29" t="s">
        <v>47</v>
      </c>
      <c r="E41" s="29"/>
      <c r="F41" s="77"/>
      <c r="G41" s="26" t="s">
        <v>119</v>
      </c>
      <c r="H41" s="26" t="s">
        <v>117</v>
      </c>
      <c r="I41" s="26" t="s">
        <v>118</v>
      </c>
      <c r="J41" s="17"/>
      <c r="K41" s="17"/>
    </row>
    <row r="42" spans="1:11" x14ac:dyDescent="0.3">
      <c r="A42" s="9" t="s">
        <v>49</v>
      </c>
      <c r="B42"/>
      <c r="C42"/>
      <c r="D42"/>
      <c r="E42"/>
      <c r="F42" s="7" t="s">
        <v>121</v>
      </c>
      <c r="G42" s="8">
        <v>15890</v>
      </c>
      <c r="H42" s="8">
        <v>14557</v>
      </c>
      <c r="I42" s="8">
        <v>8658</v>
      </c>
    </row>
    <row r="43" spans="1:11" x14ac:dyDescent="0.3">
      <c r="A43" s="7" t="s">
        <v>50</v>
      </c>
      <c r="B43" s="8">
        <v>32173</v>
      </c>
      <c r="C43" s="8">
        <v>21856</v>
      </c>
      <c r="D43" s="8">
        <v>19934</v>
      </c>
      <c r="E43" s="8"/>
      <c r="F43" s="9" t="s">
        <v>51</v>
      </c>
      <c r="G43"/>
      <c r="H43"/>
      <c r="I43"/>
    </row>
    <row r="44" spans="1:11" x14ac:dyDescent="0.3">
      <c r="A44" s="9" t="s">
        <v>51</v>
      </c>
      <c r="B44"/>
      <c r="C44"/>
      <c r="D44"/>
      <c r="E44"/>
      <c r="F44" s="7" t="s">
        <v>37</v>
      </c>
      <c r="G44" s="10">
        <v>2371</v>
      </c>
      <c r="H44" s="10">
        <v>596</v>
      </c>
      <c r="I44" s="10">
        <v>-241</v>
      </c>
      <c r="J44" s="17"/>
      <c r="K44" s="17"/>
    </row>
    <row r="45" spans="1:11" ht="28.8" x14ac:dyDescent="0.3">
      <c r="A45" s="7" t="s">
        <v>52</v>
      </c>
      <c r="B45" s="10">
        <v>11588</v>
      </c>
      <c r="C45" s="10">
        <v>10073</v>
      </c>
      <c r="D45" s="10">
        <v>3033</v>
      </c>
      <c r="E45" s="10"/>
      <c r="F45" s="9" t="s">
        <v>122</v>
      </c>
      <c r="G45"/>
      <c r="H45"/>
      <c r="I45"/>
    </row>
    <row r="46" spans="1:11" ht="43.2" x14ac:dyDescent="0.3">
      <c r="A46" s="9" t="s">
        <v>53</v>
      </c>
      <c r="B46"/>
      <c r="C46"/>
      <c r="D46"/>
      <c r="E46"/>
      <c r="F46" s="25" t="s">
        <v>123</v>
      </c>
      <c r="G46" s="10">
        <v>8116</v>
      </c>
      <c r="H46" s="10">
        <v>6281</v>
      </c>
      <c r="I46" s="10">
        <v>4746</v>
      </c>
    </row>
    <row r="47" spans="1:11" ht="28.8" x14ac:dyDescent="0.3">
      <c r="A47" s="7" t="s">
        <v>54</v>
      </c>
      <c r="B47" s="10">
        <v>21789</v>
      </c>
      <c r="C47" s="10">
        <v>15341</v>
      </c>
      <c r="D47" s="10">
        <v>11478</v>
      </c>
      <c r="E47" s="10"/>
      <c r="F47" s="7" t="s">
        <v>55</v>
      </c>
      <c r="G47" s="10">
        <v>2975</v>
      </c>
      <c r="H47" s="10">
        <v>2119</v>
      </c>
      <c r="I47" s="10">
        <v>1497</v>
      </c>
      <c r="J47" s="16"/>
      <c r="K47" s="16"/>
    </row>
    <row r="48" spans="1:11" x14ac:dyDescent="0.3">
      <c r="A48" s="7" t="s">
        <v>55</v>
      </c>
      <c r="B48" s="10">
        <v>6864</v>
      </c>
      <c r="C48" s="10">
        <v>5418</v>
      </c>
      <c r="D48" s="10">
        <v>4215</v>
      </c>
      <c r="E48" s="10"/>
      <c r="F48" s="7" t="s">
        <v>124</v>
      </c>
      <c r="G48" s="10">
        <v>160</v>
      </c>
      <c r="H48" s="10">
        <v>155</v>
      </c>
      <c r="I48" s="10">
        <v>129</v>
      </c>
    </row>
    <row r="49" spans="1:9" x14ac:dyDescent="0.3">
      <c r="A49" s="7" t="s">
        <v>27</v>
      </c>
      <c r="B49" s="10">
        <v>164</v>
      </c>
      <c r="C49" s="10">
        <v>274</v>
      </c>
      <c r="D49" s="10">
        <v>202</v>
      </c>
      <c r="E49" s="10"/>
      <c r="F49" s="7" t="s">
        <v>56</v>
      </c>
      <c r="G49" s="10">
        <v>-20</v>
      </c>
      <c r="H49" s="10">
        <v>250</v>
      </c>
      <c r="I49" s="10">
        <v>59</v>
      </c>
    </row>
    <row r="50" spans="1:9" x14ac:dyDescent="0.3">
      <c r="A50" s="7" t="s">
        <v>56</v>
      </c>
      <c r="B50" s="10">
        <v>-249</v>
      </c>
      <c r="C50" s="10">
        <v>219</v>
      </c>
      <c r="D50" s="10">
        <v>-292</v>
      </c>
      <c r="E50" s="10"/>
      <c r="F50" s="7" t="s">
        <v>57</v>
      </c>
      <c r="G50" s="10">
        <v>-246</v>
      </c>
      <c r="H50" s="10">
        <v>81</v>
      </c>
      <c r="I50" s="10">
        <v>-316</v>
      </c>
    </row>
    <row r="51" spans="1:9" x14ac:dyDescent="0.3">
      <c r="A51" s="7" t="s">
        <v>57</v>
      </c>
      <c r="B51" s="10">
        <v>796</v>
      </c>
      <c r="C51" s="10">
        <v>441</v>
      </c>
      <c r="D51" s="10">
        <v>-29</v>
      </c>
      <c r="E51" s="10"/>
      <c r="F51" s="7" t="s">
        <v>125</v>
      </c>
      <c r="G51" s="10">
        <v>-829</v>
      </c>
      <c r="H51" s="10">
        <v>-119</v>
      </c>
      <c r="I51" s="10">
        <v>-6</v>
      </c>
    </row>
    <row r="52" spans="1:9" x14ac:dyDescent="0.3">
      <c r="A52" s="9" t="s">
        <v>58</v>
      </c>
      <c r="B52" s="42">
        <f>B53+B54+B55+B56+B57</f>
        <v>-2438</v>
      </c>
      <c r="C52" s="42">
        <f t="shared" ref="C52" si="1">C53+C54+C55+C56+C57</f>
        <v>-1043</v>
      </c>
      <c r="D52" s="42">
        <f>D53+D54+D55+D56+D57</f>
        <v>-242</v>
      </c>
      <c r="E52"/>
      <c r="F52" s="9" t="s">
        <v>58</v>
      </c>
      <c r="G52" s="42">
        <f>G53+G54+G55+G56+G57+G58</f>
        <v>3916</v>
      </c>
      <c r="H52" s="42">
        <f t="shared" ref="H52:I52" si="2">H53+H54+H55+H56+H57+H58</f>
        <v>2557</v>
      </c>
      <c r="I52" s="42">
        <f t="shared" si="2"/>
        <v>974</v>
      </c>
    </row>
    <row r="53" spans="1:9" x14ac:dyDescent="0.3">
      <c r="A53" s="7" t="s">
        <v>59</v>
      </c>
      <c r="B53" s="10">
        <v>-3278</v>
      </c>
      <c r="C53" s="10">
        <v>-1314</v>
      </c>
      <c r="D53" s="10">
        <v>-3583</v>
      </c>
      <c r="E53" s="10"/>
      <c r="F53" s="7" t="s">
        <v>59</v>
      </c>
      <c r="G53" s="10">
        <v>-1426</v>
      </c>
      <c r="H53" s="10">
        <v>-2187</v>
      </c>
      <c r="I53" s="10">
        <v>-1193</v>
      </c>
    </row>
    <row r="54" spans="1:9" x14ac:dyDescent="0.3">
      <c r="A54" s="7" t="s">
        <v>60</v>
      </c>
      <c r="B54" s="10">
        <v>-7681</v>
      </c>
      <c r="C54" s="10">
        <v>-4615</v>
      </c>
      <c r="D54" s="10">
        <v>-4780</v>
      </c>
      <c r="E54" s="10"/>
      <c r="F54" s="7" t="s">
        <v>60</v>
      </c>
      <c r="G54" s="10">
        <v>-3367</v>
      </c>
      <c r="H54" s="10">
        <v>-1755</v>
      </c>
      <c r="I54" s="10">
        <v>-1039</v>
      </c>
    </row>
    <row r="55" spans="1:9" x14ac:dyDescent="0.3">
      <c r="A55" s="7" t="s">
        <v>61</v>
      </c>
      <c r="B55" s="10">
        <v>8193</v>
      </c>
      <c r="C55" s="10">
        <v>3263</v>
      </c>
      <c r="D55" s="10">
        <v>7100</v>
      </c>
      <c r="E55" s="10"/>
      <c r="F55" s="7" t="s">
        <v>61</v>
      </c>
      <c r="G55" s="10">
        <v>5030</v>
      </c>
      <c r="H55" s="10">
        <v>4294</v>
      </c>
      <c r="I55" s="10">
        <v>1759</v>
      </c>
    </row>
    <row r="56" spans="1:9" x14ac:dyDescent="0.3">
      <c r="A56" s="7" t="s">
        <v>62</v>
      </c>
      <c r="B56" s="10">
        <v>-1383</v>
      </c>
      <c r="C56" s="10">
        <v>472</v>
      </c>
      <c r="D56" s="10">
        <v>283</v>
      </c>
      <c r="E56" s="10"/>
      <c r="F56" s="7" t="s">
        <v>62</v>
      </c>
      <c r="G56" s="10">
        <v>1724</v>
      </c>
      <c r="H56" s="10">
        <v>913</v>
      </c>
      <c r="I56" s="10">
        <v>706</v>
      </c>
    </row>
    <row r="57" spans="1:9" x14ac:dyDescent="0.3">
      <c r="A57" s="7" t="s">
        <v>63</v>
      </c>
      <c r="B57" s="10">
        <v>1711</v>
      </c>
      <c r="C57" s="10">
        <v>1151</v>
      </c>
      <c r="D57" s="10">
        <v>738</v>
      </c>
      <c r="E57" s="10"/>
      <c r="F57" s="7" t="s">
        <v>126</v>
      </c>
      <c r="G57" s="10">
        <v>11931</v>
      </c>
      <c r="H57" s="10">
        <v>7401</v>
      </c>
      <c r="I57" s="10">
        <v>4433</v>
      </c>
    </row>
    <row r="58" spans="1:9" x14ac:dyDescent="0.3">
      <c r="A58" s="7" t="s">
        <v>64</v>
      </c>
      <c r="B58" s="10">
        <v>38514</v>
      </c>
      <c r="C58" s="10">
        <v>30723</v>
      </c>
      <c r="D58" s="10">
        <v>18365</v>
      </c>
      <c r="E58" s="10"/>
      <c r="F58" s="7" t="s">
        <v>127</v>
      </c>
      <c r="G58" s="10">
        <v>-9976</v>
      </c>
      <c r="H58" s="10">
        <v>-6109</v>
      </c>
      <c r="I58" s="10">
        <v>-3692</v>
      </c>
    </row>
    <row r="59" spans="1:9" x14ac:dyDescent="0.3">
      <c r="A59" s="9" t="s">
        <v>65</v>
      </c>
      <c r="B59"/>
      <c r="C59"/>
      <c r="D59" s="41"/>
      <c r="E59"/>
      <c r="F59" s="7" t="s">
        <v>64</v>
      </c>
      <c r="G59" s="10">
        <v>16443</v>
      </c>
      <c r="H59" s="10">
        <v>11920</v>
      </c>
      <c r="I59" s="10">
        <v>6842</v>
      </c>
    </row>
    <row r="60" spans="1:9" x14ac:dyDescent="0.3">
      <c r="A60" s="7" t="s">
        <v>66</v>
      </c>
      <c r="B60" s="10">
        <v>-16861</v>
      </c>
      <c r="C60" s="10">
        <v>-13427</v>
      </c>
      <c r="D60" s="10">
        <v>-11955</v>
      </c>
      <c r="E60" s="10"/>
      <c r="F60" s="9" t="s">
        <v>65</v>
      </c>
      <c r="G60"/>
      <c r="H60"/>
      <c r="I60"/>
    </row>
    <row r="61" spans="1:9" ht="28.8" x14ac:dyDescent="0.3">
      <c r="A61" s="7" t="s">
        <v>67</v>
      </c>
      <c r="B61" s="10">
        <v>4172</v>
      </c>
      <c r="C61" s="10">
        <v>2104</v>
      </c>
      <c r="D61" s="10">
        <v>1897</v>
      </c>
      <c r="E61" s="10"/>
      <c r="F61" s="7" t="s">
        <v>128</v>
      </c>
      <c r="G61" s="10">
        <v>-6737</v>
      </c>
      <c r="H61" s="10">
        <v>-4589</v>
      </c>
      <c r="I61" s="10">
        <v>-4893</v>
      </c>
    </row>
    <row r="62" spans="1:9" x14ac:dyDescent="0.3">
      <c r="A62" s="7" t="s">
        <v>68</v>
      </c>
      <c r="B62" s="10">
        <v>-2461</v>
      </c>
      <c r="C62" s="10">
        <v>-2186</v>
      </c>
      <c r="D62" s="10">
        <v>-13972</v>
      </c>
      <c r="E62" s="10"/>
      <c r="F62" s="7" t="s">
        <v>68</v>
      </c>
      <c r="G62" s="10">
        <v>-116</v>
      </c>
      <c r="H62" s="10">
        <v>-795</v>
      </c>
      <c r="I62" s="10">
        <v>-979</v>
      </c>
    </row>
    <row r="63" spans="1:9" x14ac:dyDescent="0.3">
      <c r="A63" s="7" t="s">
        <v>69</v>
      </c>
      <c r="B63" s="10">
        <v>22681</v>
      </c>
      <c r="C63" s="10">
        <v>8240</v>
      </c>
      <c r="D63" s="10">
        <v>9677</v>
      </c>
      <c r="E63" s="10"/>
      <c r="F63" s="7" t="s">
        <v>69</v>
      </c>
      <c r="G63" s="10">
        <v>4733</v>
      </c>
      <c r="H63" s="10">
        <v>3025</v>
      </c>
      <c r="I63" s="10">
        <v>3349</v>
      </c>
    </row>
    <row r="64" spans="1:9" x14ac:dyDescent="0.3">
      <c r="A64" s="7" t="s">
        <v>70</v>
      </c>
      <c r="B64" s="10">
        <v>-31812</v>
      </c>
      <c r="C64" s="10">
        <v>-7100</v>
      </c>
      <c r="D64" s="10">
        <v>-12731</v>
      </c>
      <c r="E64" s="10"/>
      <c r="F64" s="7" t="s">
        <v>70</v>
      </c>
      <c r="G64" s="10">
        <v>-7756</v>
      </c>
      <c r="H64" s="10">
        <v>-4091</v>
      </c>
      <c r="I64" s="10">
        <v>-2542</v>
      </c>
    </row>
    <row r="65" spans="1:9" x14ac:dyDescent="0.3">
      <c r="A65" s="7" t="s">
        <v>71</v>
      </c>
      <c r="B65" s="10">
        <v>-24281</v>
      </c>
      <c r="C65" s="10">
        <v>-12369</v>
      </c>
      <c r="D65" s="10">
        <v>-27084</v>
      </c>
      <c r="E65" s="10"/>
      <c r="F65" s="7" t="s">
        <v>71</v>
      </c>
      <c r="G65" s="10">
        <v>-9876</v>
      </c>
      <c r="H65" s="10">
        <v>-6450</v>
      </c>
      <c r="I65" s="10">
        <v>-5065</v>
      </c>
    </row>
    <row r="66" spans="1:9" x14ac:dyDescent="0.3">
      <c r="A66" s="9" t="s">
        <v>72</v>
      </c>
      <c r="B66"/>
      <c r="C66"/>
      <c r="D66"/>
      <c r="E66"/>
      <c r="F66" s="9" t="s">
        <v>72</v>
      </c>
      <c r="G66"/>
      <c r="H66"/>
      <c r="I66"/>
    </row>
    <row r="67" spans="1:9" x14ac:dyDescent="0.3">
      <c r="A67" s="7" t="s">
        <v>73</v>
      </c>
      <c r="B67" s="10">
        <v>2273</v>
      </c>
      <c r="C67" s="10">
        <v>768</v>
      </c>
      <c r="D67" s="10">
        <v>16228</v>
      </c>
      <c r="E67" s="10"/>
      <c r="F67" s="7" t="s">
        <v>125</v>
      </c>
      <c r="G67" s="10">
        <v>829</v>
      </c>
      <c r="H67" s="10">
        <v>119</v>
      </c>
      <c r="I67" s="10">
        <v>6</v>
      </c>
    </row>
    <row r="68" spans="1:9" x14ac:dyDescent="0.3">
      <c r="A68" s="7" t="s">
        <v>74</v>
      </c>
      <c r="B68" s="10">
        <v>-2684</v>
      </c>
      <c r="C68" s="10">
        <v>-668</v>
      </c>
      <c r="D68" s="10">
        <v>-1301</v>
      </c>
      <c r="E68" s="10"/>
      <c r="F68" s="7" t="s">
        <v>129</v>
      </c>
      <c r="G68" s="10">
        <v>621</v>
      </c>
      <c r="H68" s="10">
        <v>353</v>
      </c>
      <c r="I68" s="10">
        <v>6359</v>
      </c>
    </row>
    <row r="69" spans="1:9" x14ac:dyDescent="0.3">
      <c r="A69" s="7" t="s">
        <v>75</v>
      </c>
      <c r="B69" s="10">
        <v>-9628</v>
      </c>
      <c r="C69" s="10">
        <v>-7449</v>
      </c>
      <c r="D69" s="10">
        <v>-4799</v>
      </c>
      <c r="E69" s="10"/>
      <c r="F69" s="7" t="s">
        <v>74</v>
      </c>
      <c r="G69" s="10">
        <v>-354</v>
      </c>
      <c r="H69" s="10">
        <v>-1652</v>
      </c>
      <c r="I69" s="10">
        <v>-513</v>
      </c>
    </row>
    <row r="70" spans="1:9" x14ac:dyDescent="0.3">
      <c r="A70" s="7" t="s">
        <v>76</v>
      </c>
      <c r="B70" s="10">
        <v>-27</v>
      </c>
      <c r="C70" s="10">
        <v>-337</v>
      </c>
      <c r="D70" s="10">
        <v>-200</v>
      </c>
      <c r="E70" s="10"/>
      <c r="F70" s="7" t="s">
        <v>130</v>
      </c>
      <c r="G70" s="10">
        <v>-3860</v>
      </c>
      <c r="H70" s="10">
        <v>-2462</v>
      </c>
      <c r="I70" s="10">
        <v>-1285</v>
      </c>
    </row>
    <row r="71" spans="1:9" x14ac:dyDescent="0.3">
      <c r="A71" s="7" t="s">
        <v>77</v>
      </c>
      <c r="B71" s="10">
        <v>-10066</v>
      </c>
      <c r="C71" s="10">
        <v>-7686</v>
      </c>
      <c r="D71" s="10">
        <v>9928</v>
      </c>
      <c r="E71" s="10"/>
      <c r="F71" s="7" t="s">
        <v>131</v>
      </c>
      <c r="G71" s="10">
        <v>-147</v>
      </c>
      <c r="H71" s="10">
        <v>-121</v>
      </c>
      <c r="I71" s="10">
        <v>-135</v>
      </c>
    </row>
    <row r="72" spans="1:9" x14ac:dyDescent="0.3">
      <c r="A72" s="7" t="s">
        <v>78</v>
      </c>
      <c r="B72" s="10">
        <v>70</v>
      </c>
      <c r="C72" s="10">
        <v>-351</v>
      </c>
      <c r="D72" s="10">
        <v>713</v>
      </c>
      <c r="E72" s="10"/>
      <c r="F72" s="7" t="s">
        <v>77</v>
      </c>
      <c r="G72" s="10">
        <v>-2911</v>
      </c>
      <c r="H72" s="10">
        <v>-3763</v>
      </c>
      <c r="I72" s="10">
        <v>4432</v>
      </c>
    </row>
    <row r="73" spans="1:9" x14ac:dyDescent="0.3">
      <c r="A73" s="7" t="s">
        <v>79</v>
      </c>
      <c r="B73" s="10">
        <v>4237</v>
      </c>
      <c r="C73" s="10">
        <v>10317</v>
      </c>
      <c r="D73" s="10">
        <v>1922</v>
      </c>
      <c r="E73" s="10"/>
      <c r="F73" s="7" t="s">
        <v>132</v>
      </c>
      <c r="G73" s="10">
        <v>-212</v>
      </c>
      <c r="H73" s="10">
        <v>-374</v>
      </c>
      <c r="I73" s="10">
        <v>-310</v>
      </c>
    </row>
    <row r="74" spans="1:9" x14ac:dyDescent="0.3">
      <c r="A74" s="7" t="s">
        <v>80</v>
      </c>
      <c r="B74" s="10">
        <v>36410</v>
      </c>
      <c r="C74" s="10">
        <v>32173</v>
      </c>
      <c r="D74" s="10">
        <v>21856</v>
      </c>
      <c r="E74" s="10"/>
      <c r="F74" s="7" t="s">
        <v>133</v>
      </c>
      <c r="G74" s="10">
        <v>3444</v>
      </c>
      <c r="H74" s="10">
        <v>1333</v>
      </c>
      <c r="I74" s="10">
        <v>5899</v>
      </c>
    </row>
    <row r="75" spans="1:9" x14ac:dyDescent="0.3">
      <c r="A75" s="9" t="s">
        <v>81</v>
      </c>
      <c r="B75"/>
      <c r="C75"/>
      <c r="D75"/>
      <c r="E75"/>
      <c r="F75" s="7" t="s">
        <v>134</v>
      </c>
      <c r="G75" s="10">
        <v>19334</v>
      </c>
      <c r="H75" s="10">
        <v>15890</v>
      </c>
      <c r="I75" s="10">
        <v>14557</v>
      </c>
    </row>
    <row r="76" spans="1:9" x14ac:dyDescent="0.3">
      <c r="A76" s="7" t="s">
        <v>82</v>
      </c>
      <c r="B76" s="10">
        <v>875</v>
      </c>
      <c r="C76" s="10">
        <v>854</v>
      </c>
      <c r="D76" s="10">
        <v>328</v>
      </c>
      <c r="E76" s="10"/>
      <c r="F76" s="9" t="s">
        <v>81</v>
      </c>
      <c r="G76"/>
      <c r="H76"/>
      <c r="I76"/>
    </row>
    <row r="77" spans="1:9" x14ac:dyDescent="0.3">
      <c r="A77" s="7" t="s">
        <v>83</v>
      </c>
      <c r="B77" s="10">
        <v>3361</v>
      </c>
      <c r="C77" s="10">
        <v>0</v>
      </c>
      <c r="D77" s="10">
        <v>0</v>
      </c>
      <c r="E77" s="10"/>
      <c r="F77" s="7" t="s">
        <v>82</v>
      </c>
      <c r="G77" s="10">
        <v>290</v>
      </c>
      <c r="H77" s="10">
        <v>325</v>
      </c>
      <c r="I77" s="10">
        <v>91</v>
      </c>
    </row>
    <row r="78" spans="1:9" x14ac:dyDescent="0.3">
      <c r="A78" s="7" t="s">
        <v>84</v>
      </c>
      <c r="B78"/>
      <c r="C78" s="10">
        <v>381</v>
      </c>
      <c r="D78" s="10">
        <v>200</v>
      </c>
      <c r="E78" s="10"/>
      <c r="F78" s="7" t="s">
        <v>135</v>
      </c>
      <c r="G78" s="10">
        <v>206</v>
      </c>
      <c r="H78" s="10">
        <v>153</v>
      </c>
      <c r="I78" s="10">
        <v>86</v>
      </c>
    </row>
    <row r="79" spans="1:9" x14ac:dyDescent="0.3">
      <c r="A79" s="7" t="s">
        <v>85</v>
      </c>
      <c r="B79" s="10">
        <v>647</v>
      </c>
      <c r="C79"/>
      <c r="D79"/>
      <c r="E79"/>
      <c r="F79" s="7" t="s">
        <v>87</v>
      </c>
      <c r="G79" s="10">
        <v>412</v>
      </c>
      <c r="H79" s="10">
        <v>273</v>
      </c>
      <c r="I79" s="10">
        <v>177</v>
      </c>
    </row>
    <row r="80" spans="1:9" x14ac:dyDescent="0.3">
      <c r="A80" s="7" t="s">
        <v>86</v>
      </c>
      <c r="B80" s="10">
        <v>39</v>
      </c>
      <c r="C80" s="10">
        <v>194</v>
      </c>
      <c r="D80" s="10">
        <v>119</v>
      </c>
      <c r="E80" s="10"/>
      <c r="F80" s="7" t="s">
        <v>136</v>
      </c>
      <c r="G80"/>
      <c r="H80"/>
      <c r="I80"/>
    </row>
    <row r="81" spans="1:9" x14ac:dyDescent="0.3">
      <c r="A81" s="7" t="s">
        <v>87</v>
      </c>
      <c r="B81" s="10">
        <v>881</v>
      </c>
      <c r="C81" s="10">
        <v>-1184</v>
      </c>
      <c r="D81" s="10">
        <v>-957</v>
      </c>
      <c r="E81" s="10"/>
      <c r="F81" s="9" t="s">
        <v>81</v>
      </c>
      <c r="G81"/>
      <c r="H81"/>
      <c r="I81"/>
    </row>
    <row r="82" spans="1:9" x14ac:dyDescent="0.3">
      <c r="A82" s="7" t="s">
        <v>88</v>
      </c>
      <c r="B82" s="10">
        <v>7870</v>
      </c>
      <c r="C82" s="10">
        <v>0</v>
      </c>
      <c r="D82" s="10">
        <v>0</v>
      </c>
      <c r="E82" s="10"/>
      <c r="F82" s="7" t="s">
        <v>137</v>
      </c>
      <c r="G82" s="10">
        <v>5704</v>
      </c>
      <c r="H82" s="10">
        <v>4717</v>
      </c>
      <c r="I82" s="10">
        <v>4008</v>
      </c>
    </row>
    <row r="83" spans="1:9" x14ac:dyDescent="0.3">
      <c r="A83" s="7" t="s">
        <v>89</v>
      </c>
      <c r="B83"/>
      <c r="C83" s="10">
        <v>10615</v>
      </c>
      <c r="D83" s="10">
        <v>9637</v>
      </c>
      <c r="E83" s="10"/>
      <c r="F83" s="7" t="s">
        <v>138</v>
      </c>
      <c r="G83"/>
      <c r="H83"/>
      <c r="I83"/>
    </row>
    <row r="84" spans="1:9" x14ac:dyDescent="0.3">
      <c r="A84" s="7" t="s">
        <v>90</v>
      </c>
      <c r="B84" s="10">
        <v>13723</v>
      </c>
      <c r="C84"/>
      <c r="D84"/>
      <c r="E84"/>
      <c r="F84" s="9" t="s">
        <v>81</v>
      </c>
      <c r="G84"/>
      <c r="H84"/>
      <c r="I84"/>
    </row>
    <row r="85" spans="1:9" x14ac:dyDescent="0.3">
      <c r="A85" s="7" t="s">
        <v>91</v>
      </c>
      <c r="B85" s="8">
        <v>1362</v>
      </c>
      <c r="C85" s="8">
        <v>3641</v>
      </c>
      <c r="D85" s="8">
        <v>3541</v>
      </c>
      <c r="E85" s="8"/>
      <c r="F85" s="7" t="s">
        <v>137</v>
      </c>
      <c r="G85" s="8">
        <v>1209</v>
      </c>
      <c r="H85" s="8">
        <v>544</v>
      </c>
      <c r="I85" s="8">
        <v>920</v>
      </c>
    </row>
  </sheetData>
  <mergeCells count="6">
    <mergeCell ref="A40:A41"/>
    <mergeCell ref="B40:D40"/>
    <mergeCell ref="F40:F41"/>
    <mergeCell ref="G40:I40"/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B48-2ECA-4067-AA82-5B006B086E4E}">
  <dimension ref="A1:K63"/>
  <sheetViews>
    <sheetView workbookViewId="0">
      <selection activeCell="C7" sqref="C7"/>
    </sheetView>
  </sheetViews>
  <sheetFormatPr defaultRowHeight="14.4" x14ac:dyDescent="0.3"/>
  <cols>
    <col min="1" max="1" width="57.44140625" style="1" customWidth="1"/>
    <col min="2" max="2" width="14.21875" style="1" customWidth="1"/>
    <col min="3" max="3" width="15.21875" style="1" customWidth="1"/>
    <col min="4" max="4" width="13.44140625" style="1" customWidth="1"/>
    <col min="5" max="5" width="47" style="1" customWidth="1"/>
    <col min="6" max="6" width="14.21875" style="1" customWidth="1"/>
    <col min="7" max="7" width="13.44140625" style="1" customWidth="1"/>
    <col min="8" max="8" width="13.33203125" style="1" customWidth="1"/>
    <col min="9" max="10" width="12.109375" style="1" customWidth="1"/>
    <col min="11" max="11" width="13" style="1" customWidth="1"/>
    <col min="12" max="16384" width="8.88671875" style="1"/>
  </cols>
  <sheetData>
    <row r="1" spans="1:11" ht="19.8" customHeight="1" x14ac:dyDescent="0.3">
      <c r="A1" s="6" t="s">
        <v>92</v>
      </c>
      <c r="B1" s="6" t="s">
        <v>16</v>
      </c>
      <c r="C1" s="6" t="s">
        <v>17</v>
      </c>
      <c r="D1" s="18"/>
      <c r="E1" s="18"/>
      <c r="F1" s="18"/>
      <c r="G1" s="18"/>
      <c r="H1" s="14"/>
      <c r="I1" s="15"/>
      <c r="J1" s="15"/>
      <c r="K1" s="15"/>
    </row>
    <row r="2" spans="1:11" x14ac:dyDescent="0.3">
      <c r="A2" s="9" t="s">
        <v>93</v>
      </c>
      <c r="B2" s="7" t="s">
        <v>21</v>
      </c>
      <c r="C2" s="7" t="s">
        <v>21</v>
      </c>
    </row>
    <row r="3" spans="1:11" x14ac:dyDescent="0.3">
      <c r="A3" s="7" t="s">
        <v>94</v>
      </c>
      <c r="B3" s="8">
        <v>53888</v>
      </c>
      <c r="C3" s="8">
        <v>36220</v>
      </c>
    </row>
    <row r="4" spans="1:11" x14ac:dyDescent="0.3">
      <c r="A4" s="7" t="s">
        <v>95</v>
      </c>
      <c r="B4" s="10">
        <v>16138</v>
      </c>
      <c r="C4" s="10">
        <v>59829</v>
      </c>
    </row>
    <row r="5" spans="1:11" x14ac:dyDescent="0.3">
      <c r="A5" s="7" t="s">
        <v>59</v>
      </c>
      <c r="B5" s="10">
        <v>34405</v>
      </c>
      <c r="C5" s="10">
        <v>32640</v>
      </c>
    </row>
    <row r="6" spans="1:11" x14ac:dyDescent="0.3">
      <c r="A6" s="7" t="s">
        <v>60</v>
      </c>
      <c r="B6" s="10">
        <v>42360</v>
      </c>
      <c r="C6" s="10">
        <v>32891</v>
      </c>
    </row>
    <row r="7" spans="1:11" x14ac:dyDescent="0.3">
      <c r="A7" s="7" t="s">
        <v>96</v>
      </c>
      <c r="B7" s="10">
        <v>146791</v>
      </c>
      <c r="C7" s="10">
        <v>161580</v>
      </c>
    </row>
    <row r="8" spans="1:11" x14ac:dyDescent="0.3">
      <c r="A8" s="7" t="s">
        <v>97</v>
      </c>
      <c r="B8" s="10">
        <v>186715</v>
      </c>
      <c r="C8" s="10">
        <v>160281</v>
      </c>
    </row>
    <row r="9" spans="1:11" x14ac:dyDescent="0.3">
      <c r="A9" s="7" t="s">
        <v>98</v>
      </c>
      <c r="B9" s="10">
        <v>66123</v>
      </c>
      <c r="C9" s="10">
        <v>56082</v>
      </c>
    </row>
    <row r="10" spans="1:11" x14ac:dyDescent="0.3">
      <c r="A10" s="7" t="s">
        <v>99</v>
      </c>
      <c r="B10" s="10">
        <v>20288</v>
      </c>
      <c r="C10" s="10">
        <v>15371</v>
      </c>
    </row>
    <row r="11" spans="1:11" x14ac:dyDescent="0.3">
      <c r="A11" s="7" t="s">
        <v>100</v>
      </c>
      <c r="B11" s="10">
        <v>42758</v>
      </c>
      <c r="C11" s="10">
        <v>27235</v>
      </c>
    </row>
    <row r="12" spans="1:11" x14ac:dyDescent="0.3">
      <c r="A12" s="7" t="s">
        <v>101</v>
      </c>
      <c r="B12" s="10">
        <v>462675</v>
      </c>
      <c r="C12" s="10">
        <v>420549</v>
      </c>
    </row>
    <row r="13" spans="1:11" x14ac:dyDescent="0.3">
      <c r="A13" s="9" t="s">
        <v>102</v>
      </c>
      <c r="B13" s="7" t="s">
        <v>21</v>
      </c>
      <c r="C13" s="7" t="s">
        <v>21</v>
      </c>
    </row>
    <row r="14" spans="1:11" x14ac:dyDescent="0.3">
      <c r="A14" s="7" t="s">
        <v>61</v>
      </c>
      <c r="B14" s="10">
        <v>79600</v>
      </c>
      <c r="C14" s="10">
        <v>78664</v>
      </c>
    </row>
    <row r="15" spans="1:11" x14ac:dyDescent="0.3">
      <c r="A15" s="7" t="s">
        <v>62</v>
      </c>
      <c r="B15" s="10">
        <v>62566</v>
      </c>
      <c r="C15" s="10">
        <v>51775</v>
      </c>
    </row>
    <row r="16" spans="1:11" x14ac:dyDescent="0.3">
      <c r="A16" s="7" t="s">
        <v>63</v>
      </c>
      <c r="B16" s="10">
        <v>13227</v>
      </c>
      <c r="C16" s="10">
        <v>11827</v>
      </c>
    </row>
    <row r="17" spans="1:3" x14ac:dyDescent="0.3">
      <c r="A17" s="7" t="s">
        <v>103</v>
      </c>
      <c r="B17" s="10">
        <v>155393</v>
      </c>
      <c r="C17" s="10">
        <v>142266</v>
      </c>
    </row>
    <row r="18" spans="1:3" x14ac:dyDescent="0.3">
      <c r="A18" s="7" t="s">
        <v>104</v>
      </c>
      <c r="B18" s="10">
        <v>72968</v>
      </c>
      <c r="C18" s="10">
        <v>67651</v>
      </c>
    </row>
    <row r="19" spans="1:3" x14ac:dyDescent="0.3">
      <c r="A19" s="7" t="s">
        <v>105</v>
      </c>
      <c r="B19" s="10">
        <v>67150</v>
      </c>
      <c r="C19" s="10">
        <v>48744</v>
      </c>
    </row>
    <row r="20" spans="1:3" x14ac:dyDescent="0.3">
      <c r="A20" s="7" t="s">
        <v>106</v>
      </c>
      <c r="B20" s="10">
        <v>21121</v>
      </c>
      <c r="C20" s="10">
        <v>23643</v>
      </c>
    </row>
    <row r="21" spans="1:3" x14ac:dyDescent="0.3">
      <c r="A21" s="7" t="s">
        <v>107</v>
      </c>
      <c r="B21" s="7" t="s">
        <v>144</v>
      </c>
      <c r="C21" s="7" t="s">
        <v>144</v>
      </c>
    </row>
    <row r="22" spans="1:3" x14ac:dyDescent="0.3">
      <c r="A22" s="9" t="s">
        <v>108</v>
      </c>
      <c r="B22" s="7" t="s">
        <v>21</v>
      </c>
      <c r="C22" s="7" t="s">
        <v>21</v>
      </c>
    </row>
    <row r="23" spans="1:3" ht="28.8" x14ac:dyDescent="0.3">
      <c r="A23" s="7" t="s">
        <v>145</v>
      </c>
      <c r="B23" s="10">
        <v>0</v>
      </c>
      <c r="C23" s="10">
        <v>0</v>
      </c>
    </row>
    <row r="24" spans="1:3" ht="28.8" x14ac:dyDescent="0.3">
      <c r="A24" s="7" t="s">
        <v>146</v>
      </c>
      <c r="B24" s="10">
        <v>108</v>
      </c>
      <c r="C24" s="10">
        <v>106</v>
      </c>
    </row>
    <row r="25" spans="1:3" x14ac:dyDescent="0.3">
      <c r="A25" s="7" t="s">
        <v>111</v>
      </c>
      <c r="B25" s="10">
        <v>-7837</v>
      </c>
      <c r="C25" s="10">
        <v>-1837</v>
      </c>
    </row>
    <row r="26" spans="1:3" x14ac:dyDescent="0.3">
      <c r="A26" s="7" t="s">
        <v>112</v>
      </c>
      <c r="B26" s="10">
        <v>75066</v>
      </c>
      <c r="C26" s="10">
        <v>55437</v>
      </c>
    </row>
    <row r="27" spans="1:3" x14ac:dyDescent="0.3">
      <c r="A27" s="7" t="s">
        <v>113</v>
      </c>
      <c r="B27" s="10">
        <v>-4487</v>
      </c>
      <c r="C27" s="10">
        <v>-1376</v>
      </c>
    </row>
    <row r="28" spans="1:3" x14ac:dyDescent="0.3">
      <c r="A28" s="7" t="s">
        <v>114</v>
      </c>
      <c r="B28" s="10">
        <v>83193</v>
      </c>
      <c r="C28" s="10">
        <v>85915</v>
      </c>
    </row>
    <row r="29" spans="1:3" x14ac:dyDescent="0.3">
      <c r="A29" s="7" t="s">
        <v>115</v>
      </c>
      <c r="B29" s="10">
        <v>146043</v>
      </c>
      <c r="C29" s="10">
        <v>138245</v>
      </c>
    </row>
    <row r="30" spans="1:3" x14ac:dyDescent="0.3">
      <c r="A30" s="7" t="s">
        <v>116</v>
      </c>
      <c r="B30" s="8">
        <v>462675</v>
      </c>
      <c r="C30" s="8">
        <v>420549</v>
      </c>
    </row>
    <row r="31" spans="1:3" x14ac:dyDescent="0.3">
      <c r="A31" s="7"/>
      <c r="B31" s="8"/>
      <c r="C31" s="8"/>
    </row>
    <row r="32" spans="1:3" s="31" customFormat="1" ht="6" customHeight="1" x14ac:dyDescent="0.3"/>
    <row r="34" spans="1:7" x14ac:dyDescent="0.3">
      <c r="A34" s="6" t="s">
        <v>92</v>
      </c>
      <c r="B34" s="29" t="s">
        <v>45</v>
      </c>
      <c r="C34" s="29" t="s">
        <v>46</v>
      </c>
      <c r="E34" s="6" t="s">
        <v>92</v>
      </c>
      <c r="F34" s="29" t="s">
        <v>119</v>
      </c>
      <c r="G34" s="29" t="s">
        <v>117</v>
      </c>
    </row>
    <row r="35" spans="1:7" x14ac:dyDescent="0.3">
      <c r="A35" s="9" t="s">
        <v>93</v>
      </c>
      <c r="B35"/>
      <c r="C35"/>
      <c r="E35" s="9" t="s">
        <v>93</v>
      </c>
      <c r="F35"/>
      <c r="G35"/>
    </row>
    <row r="36" spans="1:7" x14ac:dyDescent="0.3">
      <c r="A36" s="7" t="s">
        <v>94</v>
      </c>
      <c r="B36" s="8">
        <v>36092</v>
      </c>
      <c r="C36" s="8">
        <v>31750</v>
      </c>
      <c r="E36" s="7" t="s">
        <v>94</v>
      </c>
      <c r="F36" s="8">
        <v>19334</v>
      </c>
      <c r="G36" s="8">
        <v>15890</v>
      </c>
    </row>
    <row r="37" spans="1:7" x14ac:dyDescent="0.3">
      <c r="A37" s="7" t="s">
        <v>95</v>
      </c>
      <c r="B37" s="10">
        <v>18929</v>
      </c>
      <c r="C37" s="10">
        <v>9500</v>
      </c>
      <c r="E37" s="7" t="s">
        <v>95</v>
      </c>
      <c r="F37" s="10">
        <v>6647</v>
      </c>
      <c r="G37" s="10">
        <v>3918</v>
      </c>
    </row>
    <row r="38" spans="1:7" x14ac:dyDescent="0.3">
      <c r="A38" s="7" t="s">
        <v>59</v>
      </c>
      <c r="B38" s="10">
        <v>20497</v>
      </c>
      <c r="C38" s="10">
        <v>17174</v>
      </c>
      <c r="E38" s="7" t="s">
        <v>59</v>
      </c>
      <c r="F38" s="10">
        <v>11461</v>
      </c>
      <c r="G38" s="10">
        <v>10243</v>
      </c>
    </row>
    <row r="39" spans="1:7" x14ac:dyDescent="0.3">
      <c r="A39" s="7" t="s">
        <v>60</v>
      </c>
      <c r="B39" s="10">
        <v>20816</v>
      </c>
      <c r="C39" s="10">
        <v>16677</v>
      </c>
      <c r="E39" s="7" t="s">
        <v>60</v>
      </c>
      <c r="F39" s="10">
        <v>8339</v>
      </c>
      <c r="G39" s="10">
        <v>5654</v>
      </c>
    </row>
    <row r="40" spans="1:7" x14ac:dyDescent="0.3">
      <c r="A40" s="7" t="s">
        <v>96</v>
      </c>
      <c r="B40" s="10">
        <v>96334</v>
      </c>
      <c r="C40" s="10">
        <v>75101</v>
      </c>
      <c r="E40" s="7" t="s">
        <v>96</v>
      </c>
      <c r="F40" s="10">
        <v>45781</v>
      </c>
      <c r="G40" s="10">
        <v>35705</v>
      </c>
    </row>
    <row r="41" spans="1:7" x14ac:dyDescent="0.3">
      <c r="A41" s="7" t="s">
        <v>97</v>
      </c>
      <c r="B41" s="10">
        <v>72705</v>
      </c>
      <c r="C41" s="10">
        <v>61797</v>
      </c>
      <c r="E41" s="7" t="s">
        <v>97</v>
      </c>
      <c r="F41" s="10">
        <v>29114</v>
      </c>
      <c r="G41" s="10">
        <v>21838</v>
      </c>
    </row>
    <row r="42" spans="1:7" x14ac:dyDescent="0.3">
      <c r="A42" s="7" t="s">
        <v>98</v>
      </c>
      <c r="B42" s="10">
        <v>25141</v>
      </c>
      <c r="C42" s="10">
        <v>0</v>
      </c>
      <c r="E42" s="7" t="s">
        <v>99</v>
      </c>
      <c r="F42" s="10">
        <v>3784</v>
      </c>
      <c r="G42" s="10">
        <v>3759</v>
      </c>
    </row>
    <row r="43" spans="1:7" x14ac:dyDescent="0.3">
      <c r="A43" s="7" t="s">
        <v>99</v>
      </c>
      <c r="B43" s="10">
        <v>14754</v>
      </c>
      <c r="C43" s="10">
        <v>14548</v>
      </c>
      <c r="E43" s="7" t="s">
        <v>100</v>
      </c>
      <c r="F43" s="10">
        <v>4723</v>
      </c>
      <c r="G43" s="10">
        <v>3445</v>
      </c>
    </row>
    <row r="44" spans="1:7" x14ac:dyDescent="0.3">
      <c r="A44" s="7" t="s">
        <v>100</v>
      </c>
      <c r="B44" s="10">
        <v>16314</v>
      </c>
      <c r="C44" s="10">
        <v>11202</v>
      </c>
      <c r="E44" s="7" t="s">
        <v>101</v>
      </c>
      <c r="F44" s="10">
        <v>83402</v>
      </c>
      <c r="G44" s="10">
        <v>64747</v>
      </c>
    </row>
    <row r="45" spans="1:7" x14ac:dyDescent="0.3">
      <c r="A45" s="7" t="s">
        <v>101</v>
      </c>
      <c r="B45" s="10">
        <v>225248</v>
      </c>
      <c r="C45" s="10">
        <v>162648</v>
      </c>
      <c r="E45" s="9" t="s">
        <v>102</v>
      </c>
      <c r="F45"/>
      <c r="G45"/>
    </row>
    <row r="46" spans="1:7" x14ac:dyDescent="0.3">
      <c r="A46" s="9" t="s">
        <v>102</v>
      </c>
      <c r="B46"/>
      <c r="C46"/>
      <c r="E46" s="7" t="s">
        <v>61</v>
      </c>
      <c r="F46" s="10">
        <v>25309</v>
      </c>
      <c r="G46" s="10">
        <v>20397</v>
      </c>
    </row>
    <row r="47" spans="1:7" x14ac:dyDescent="0.3">
      <c r="A47" s="7" t="s">
        <v>61</v>
      </c>
      <c r="B47" s="10">
        <v>47183</v>
      </c>
      <c r="C47" s="10">
        <v>38192</v>
      </c>
      <c r="E47" s="7" t="s">
        <v>62</v>
      </c>
      <c r="F47" s="10">
        <v>13739</v>
      </c>
      <c r="G47" s="10">
        <v>10372</v>
      </c>
    </row>
    <row r="48" spans="1:7" x14ac:dyDescent="0.3">
      <c r="A48" s="7" t="s">
        <v>62</v>
      </c>
      <c r="B48" s="10">
        <v>32439</v>
      </c>
      <c r="C48" s="10">
        <v>23663</v>
      </c>
      <c r="E48" s="7" t="s">
        <v>63</v>
      </c>
      <c r="F48" s="10">
        <v>4768</v>
      </c>
      <c r="G48" s="10">
        <v>3118</v>
      </c>
    </row>
    <row r="49" spans="1:7" x14ac:dyDescent="0.3">
      <c r="A49" s="7" t="s">
        <v>63</v>
      </c>
      <c r="B49" s="10">
        <v>8190</v>
      </c>
      <c r="C49" s="10">
        <v>6536</v>
      </c>
      <c r="E49" s="7" t="s">
        <v>103</v>
      </c>
      <c r="F49" s="10">
        <v>43816</v>
      </c>
      <c r="G49" s="10">
        <v>33887</v>
      </c>
    </row>
    <row r="50" spans="1:7" x14ac:dyDescent="0.3">
      <c r="A50" s="7" t="s">
        <v>103</v>
      </c>
      <c r="B50" s="10">
        <v>87812</v>
      </c>
      <c r="C50" s="10">
        <v>68391</v>
      </c>
      <c r="E50" s="7" t="s">
        <v>105</v>
      </c>
      <c r="F50" s="10">
        <v>7694</v>
      </c>
      <c r="G50" s="10">
        <v>8227</v>
      </c>
    </row>
    <row r="51" spans="1:7" x14ac:dyDescent="0.3">
      <c r="A51" s="7" t="s">
        <v>104</v>
      </c>
      <c r="B51" s="10">
        <v>39791</v>
      </c>
      <c r="C51" s="10">
        <v>9650</v>
      </c>
      <c r="E51" s="7" t="s">
        <v>106</v>
      </c>
      <c r="F51" s="10">
        <v>12607</v>
      </c>
      <c r="G51" s="10">
        <v>9249</v>
      </c>
    </row>
    <row r="52" spans="1:7" x14ac:dyDescent="0.3">
      <c r="A52" s="7" t="s">
        <v>105</v>
      </c>
      <c r="B52" s="10">
        <v>23414</v>
      </c>
      <c r="C52" s="10">
        <v>23495</v>
      </c>
      <c r="E52" s="7" t="s">
        <v>107</v>
      </c>
      <c r="F52" s="7" t="s">
        <v>144</v>
      </c>
      <c r="G52"/>
    </row>
    <row r="53" spans="1:7" x14ac:dyDescent="0.3">
      <c r="A53" s="7" t="s">
        <v>106</v>
      </c>
      <c r="B53" s="10">
        <v>12171</v>
      </c>
      <c r="C53" s="10">
        <v>17563</v>
      </c>
      <c r="E53" s="9" t="s">
        <v>108</v>
      </c>
      <c r="F53"/>
      <c r="G53"/>
    </row>
    <row r="54" spans="1:7" ht="28.8" x14ac:dyDescent="0.3">
      <c r="A54" s="7" t="s">
        <v>107</v>
      </c>
      <c r="B54" s="7" t="s">
        <v>144</v>
      </c>
      <c r="C54" s="7" t="s">
        <v>144</v>
      </c>
      <c r="E54" s="7" t="s">
        <v>109</v>
      </c>
      <c r="F54" s="10">
        <v>0</v>
      </c>
      <c r="G54" s="10">
        <v>0</v>
      </c>
    </row>
    <row r="55" spans="1:7" ht="43.2" x14ac:dyDescent="0.3">
      <c r="A55" s="9" t="s">
        <v>108</v>
      </c>
      <c r="B55"/>
      <c r="C55"/>
      <c r="E55" s="7" t="s">
        <v>154</v>
      </c>
      <c r="F55" s="10">
        <v>5</v>
      </c>
      <c r="G55" s="10">
        <v>5</v>
      </c>
    </row>
    <row r="56" spans="1:7" ht="28.8" x14ac:dyDescent="0.3">
      <c r="A56" s="7" t="s">
        <v>109</v>
      </c>
      <c r="B56" s="10">
        <v>0</v>
      </c>
      <c r="C56" s="10">
        <v>0</v>
      </c>
      <c r="E56" s="7" t="s">
        <v>111</v>
      </c>
      <c r="F56" s="10">
        <v>-1837</v>
      </c>
      <c r="G56" s="10">
        <v>-1837</v>
      </c>
    </row>
    <row r="57" spans="1:7" ht="28.8" x14ac:dyDescent="0.3">
      <c r="A57" s="7" t="s">
        <v>110</v>
      </c>
      <c r="B57" s="10">
        <v>5</v>
      </c>
      <c r="C57" s="10">
        <v>5</v>
      </c>
      <c r="E57" s="7" t="s">
        <v>112</v>
      </c>
      <c r="F57" s="10">
        <v>17186</v>
      </c>
      <c r="G57" s="10">
        <v>13394</v>
      </c>
    </row>
    <row r="58" spans="1:7" x14ac:dyDescent="0.3">
      <c r="A58" s="7" t="s">
        <v>111</v>
      </c>
      <c r="B58" s="10">
        <v>-1837</v>
      </c>
      <c r="C58" s="10">
        <v>-1837</v>
      </c>
      <c r="E58" s="7" t="s">
        <v>155</v>
      </c>
      <c r="F58" s="10">
        <v>-985</v>
      </c>
      <c r="G58" s="10">
        <v>-723</v>
      </c>
    </row>
    <row r="59" spans="1:7" x14ac:dyDescent="0.3">
      <c r="A59" s="7" t="s">
        <v>112</v>
      </c>
      <c r="B59" s="10">
        <v>33658</v>
      </c>
      <c r="C59" s="10">
        <v>26791</v>
      </c>
      <c r="E59" s="7" t="s">
        <v>114</v>
      </c>
      <c r="F59" s="10">
        <v>4916</v>
      </c>
      <c r="G59" s="10">
        <v>2545</v>
      </c>
    </row>
    <row r="60" spans="1:7" x14ac:dyDescent="0.3">
      <c r="A60" s="7" t="s">
        <v>113</v>
      </c>
      <c r="B60" s="10">
        <v>-986</v>
      </c>
      <c r="C60" s="10">
        <v>-1035</v>
      </c>
      <c r="E60" s="7" t="s">
        <v>115</v>
      </c>
      <c r="F60" s="10">
        <v>19285</v>
      </c>
      <c r="G60" s="10">
        <v>13384</v>
      </c>
    </row>
    <row r="61" spans="1:7" x14ac:dyDescent="0.3">
      <c r="A61" s="7" t="s">
        <v>114</v>
      </c>
      <c r="B61" s="10">
        <v>31220</v>
      </c>
      <c r="C61" s="10">
        <v>19625</v>
      </c>
      <c r="E61" s="7" t="s">
        <v>116</v>
      </c>
      <c r="F61" s="8">
        <v>83402</v>
      </c>
      <c r="G61" s="8">
        <v>64747</v>
      </c>
    </row>
    <row r="62" spans="1:7" x14ac:dyDescent="0.3">
      <c r="A62" s="7" t="s">
        <v>115</v>
      </c>
      <c r="B62" s="10">
        <v>62060</v>
      </c>
      <c r="C62" s="10">
        <v>43549</v>
      </c>
    </row>
    <row r="63" spans="1:7" x14ac:dyDescent="0.3">
      <c r="A63" s="7" t="s">
        <v>116</v>
      </c>
      <c r="B63" s="8">
        <v>225248</v>
      </c>
      <c r="C63" s="8">
        <v>162648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CB42C-90AC-4799-A303-99BC49215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DCF</vt:lpstr>
      <vt:lpstr>IS</vt:lpstr>
      <vt:lpstr>CF</vt:lpstr>
      <vt:lpstr>BS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RAJAN</dc:creator>
  <cp:lastModifiedBy>AJITH RAJAN</cp:lastModifiedBy>
  <dcterms:created xsi:type="dcterms:W3CDTF">2023-02-05T10:38:28Z</dcterms:created>
  <dcterms:modified xsi:type="dcterms:W3CDTF">2023-02-12T22:33:13Z</dcterms:modified>
</cp:coreProperties>
</file>