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ITH RAJAN\Desktop\VBM\"/>
    </mc:Choice>
  </mc:AlternateContent>
  <bookViews>
    <workbookView xWindow="24" yWindow="24" windowWidth="23016" windowHeight="12456" tabRatio="683" activeTab="1"/>
  </bookViews>
  <sheets>
    <sheet name="Half Yearly Report" sheetId="2" r:id="rId1"/>
    <sheet name="IS(Forcasted)" sheetId="3" r:id="rId2"/>
    <sheet name="Revenue Analysis by Segment" sheetId="4" r:id="rId3"/>
    <sheet name="NET INCOME &amp; FP" sheetId="17" r:id="rId4"/>
    <sheet name="Residual Income" sheetId="11" r:id="rId5"/>
    <sheet name="WACC" sheetId="12" r:id="rId6"/>
    <sheet name="Beta Calculation" sheetId="13" r:id="rId7"/>
    <sheet name="Working Capital Analysis" sheetId="7" r:id="rId8"/>
    <sheet name="Investment Analysis" sheetId="9" r:id="rId9"/>
    <sheet name="Cashflow Statement" sheetId="5" r:id="rId10"/>
    <sheet name="EVA(BV)" sheetId="15" r:id="rId11"/>
    <sheet name="Balance Sheet" sheetId="6" r:id="rId12"/>
    <sheet name="Chart Work" sheetId="10" r:id="rId13"/>
    <sheet name="Historical Analysis" sheetId="18" r:id="rId14"/>
    <sheet name="Rough Work" sheetId="14" r:id="rId15"/>
  </sheets>
  <definedNames>
    <definedName name="CoE">WACC!$F$14</definedName>
    <definedName name="MV">WACC!$I$8</definedName>
    <definedName name="NOPAT" localSheetId="3">'NET INCOME &amp; FP'!$B$3:$O$24</definedName>
    <definedName name="NOPAT" localSheetId="4">'Residual Income'!$B$3:$O$21</definedName>
    <definedName name="NOPAT">'IS(Forcasted)'!$B$3:$P$21</definedName>
    <definedName name="roe">WACC!$F$14</definedName>
    <definedName name="WACC" localSheetId="3">'NET INCOME &amp; FP'!$R$22</definedName>
    <definedName name="WACC">'Residual Income'!$R$20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3" l="1"/>
  <c r="J4" i="3"/>
  <c r="I4" i="3" l="1"/>
  <c r="K4" i="9" l="1"/>
  <c r="J5" i="9"/>
  <c r="I4" i="12"/>
  <c r="C3" i="12"/>
  <c r="F14" i="12"/>
  <c r="I68" i="11"/>
  <c r="J68" i="11"/>
  <c r="K68" i="11"/>
  <c r="K74" i="11" s="1"/>
  <c r="L68" i="11"/>
  <c r="L74" i="11" s="1"/>
  <c r="M68" i="11"/>
  <c r="H68" i="11"/>
  <c r="H80" i="17"/>
  <c r="I74" i="11"/>
  <c r="J74" i="11"/>
  <c r="M74" i="11"/>
  <c r="H74" i="11"/>
  <c r="H73" i="11"/>
  <c r="H79" i="17"/>
  <c r="K72" i="11"/>
  <c r="L72" i="11"/>
  <c r="M72" i="11"/>
  <c r="H72" i="11"/>
  <c r="H78" i="17"/>
  <c r="K71" i="11"/>
  <c r="L71" i="11"/>
  <c r="M71" i="11"/>
  <c r="H71" i="11"/>
  <c r="I70" i="11"/>
  <c r="J70" i="11"/>
  <c r="K70" i="11"/>
  <c r="L70" i="11"/>
  <c r="M70" i="11"/>
  <c r="H70" i="11"/>
  <c r="H69" i="11"/>
  <c r="F15" i="12" l="1"/>
  <c r="R22" i="17"/>
  <c r="K6" i="13"/>
  <c r="K9" i="13" s="1"/>
  <c r="D7" i="18"/>
  <c r="E7" i="18"/>
  <c r="F7" i="18"/>
  <c r="G7" i="18"/>
  <c r="C7" i="18"/>
  <c r="D5" i="18"/>
  <c r="E5" i="18"/>
  <c r="F5" i="18"/>
  <c r="G5" i="18"/>
  <c r="C5" i="18"/>
  <c r="U16" i="15" l="1"/>
  <c r="V16" i="15"/>
  <c r="W16" i="15"/>
  <c r="X16" i="15"/>
  <c r="Y16" i="15"/>
  <c r="T16" i="15"/>
  <c r="T18" i="15"/>
  <c r="S18" i="15"/>
  <c r="S19" i="15"/>
  <c r="S17" i="15"/>
  <c r="I80" i="17"/>
  <c r="J80" i="17"/>
  <c r="K80" i="17"/>
  <c r="L80" i="17"/>
  <c r="M80" i="17"/>
  <c r="I8" i="12" l="1"/>
  <c r="I9" i="12"/>
  <c r="K33" i="11" l="1"/>
  <c r="K74" i="17" l="1"/>
  <c r="L74" i="17"/>
  <c r="M74" i="17"/>
  <c r="H74" i="17"/>
  <c r="H81" i="17"/>
  <c r="H75" i="17"/>
  <c r="H77" i="17"/>
  <c r="I76" i="17"/>
  <c r="J76" i="17"/>
  <c r="K76" i="17"/>
  <c r="L76" i="17"/>
  <c r="M76" i="17"/>
  <c r="H76" i="17"/>
  <c r="J73" i="17"/>
  <c r="L73" i="17"/>
  <c r="I73" i="17"/>
  <c r="X69" i="17"/>
  <c r="Y69" i="17"/>
  <c r="K73" i="17" s="1"/>
  <c r="Z69" i="17"/>
  <c r="AA69" i="17"/>
  <c r="M73" i="17" s="1"/>
  <c r="W69" i="17"/>
  <c r="S34" i="6"/>
  <c r="R34" i="6"/>
  <c r="P34" i="6"/>
  <c r="Q34" i="6" s="1"/>
  <c r="O34" i="6"/>
  <c r="L36" i="6"/>
  <c r="M36" i="6"/>
  <c r="N36" i="6"/>
  <c r="K36" i="6"/>
  <c r="R57" i="17" l="1"/>
  <c r="G10" i="9"/>
  <c r="H10" i="9"/>
  <c r="I10" i="9"/>
  <c r="W56" i="17"/>
  <c r="W53" i="17"/>
  <c r="W51" i="17"/>
  <c r="S48" i="17"/>
  <c r="V70" i="17" l="1"/>
  <c r="U70" i="17"/>
  <c r="T70" i="17"/>
  <c r="S70" i="17"/>
  <c r="R70" i="17"/>
  <c r="T68" i="17"/>
  <c r="U68" i="17"/>
  <c r="S68" i="17"/>
  <c r="R68" i="17"/>
  <c r="H67" i="11"/>
  <c r="R5" i="4" l="1"/>
  <c r="I4" i="9"/>
  <c r="J3" i="9"/>
  <c r="I3" i="9"/>
  <c r="H3" i="9"/>
  <c r="J123" i="11" l="1"/>
  <c r="I129" i="11"/>
  <c r="J122" i="11"/>
  <c r="J135" i="11"/>
  <c r="M97" i="11" l="1"/>
  <c r="L97" i="11"/>
  <c r="K97" i="11"/>
  <c r="J97" i="11"/>
  <c r="I97" i="11"/>
  <c r="H97" i="11"/>
  <c r="I87" i="11"/>
  <c r="J87" i="11"/>
  <c r="K87" i="11"/>
  <c r="L87" i="11"/>
  <c r="M87" i="11"/>
  <c r="H87" i="11"/>
  <c r="Y1" i="15"/>
  <c r="T6" i="15"/>
  <c r="H82" i="11" s="1"/>
  <c r="U4" i="15" l="1"/>
  <c r="Q95" i="11"/>
  <c r="S62" i="17"/>
  <c r="T62" i="17"/>
  <c r="T67" i="17" s="1"/>
  <c r="U62" i="17"/>
  <c r="V62" i="17"/>
  <c r="R62" i="17"/>
  <c r="B90" i="17"/>
  <c r="B88" i="17"/>
  <c r="H87" i="17"/>
  <c r="B87" i="17"/>
  <c r="B86" i="17"/>
  <c r="B85" i="17"/>
  <c r="B84" i="17"/>
  <c r="M83" i="17"/>
  <c r="L83" i="17"/>
  <c r="K83" i="17"/>
  <c r="J83" i="17"/>
  <c r="I83" i="17"/>
  <c r="H83" i="17"/>
  <c r="M72" i="17"/>
  <c r="AA67" i="17" s="1"/>
  <c r="L72" i="17"/>
  <c r="L75" i="17" s="1"/>
  <c r="K72" i="17"/>
  <c r="K75" i="17" s="1"/>
  <c r="J72" i="17"/>
  <c r="X67" i="17" s="1"/>
  <c r="I72" i="17"/>
  <c r="W67" i="17" s="1"/>
  <c r="H72" i="17"/>
  <c r="F53" i="17"/>
  <c r="E53" i="17"/>
  <c r="D53" i="17"/>
  <c r="F51" i="17"/>
  <c r="E51" i="17"/>
  <c r="D51" i="17"/>
  <c r="F46" i="17"/>
  <c r="E46" i="17"/>
  <c r="D46" i="17"/>
  <c r="F43" i="17"/>
  <c r="E43" i="17"/>
  <c r="D43" i="17"/>
  <c r="L28" i="17"/>
  <c r="V53" i="17" s="1"/>
  <c r="K28" i="17"/>
  <c r="U53" i="17" s="1"/>
  <c r="J28" i="17"/>
  <c r="T53" i="17" s="1"/>
  <c r="I28" i="17"/>
  <c r="L27" i="17"/>
  <c r="V51" i="17" s="1"/>
  <c r="K27" i="17"/>
  <c r="U51" i="17" s="1"/>
  <c r="J27" i="17"/>
  <c r="T51" i="17" s="1"/>
  <c r="I27" i="17"/>
  <c r="S51" i="17" s="1"/>
  <c r="H17" i="17"/>
  <c r="G17" i="17"/>
  <c r="F17" i="17"/>
  <c r="E17" i="17"/>
  <c r="M16" i="17"/>
  <c r="L16" i="17"/>
  <c r="K16" i="17"/>
  <c r="J16" i="17"/>
  <c r="I16" i="17"/>
  <c r="H14" i="17"/>
  <c r="G14" i="17"/>
  <c r="F14" i="17"/>
  <c r="E14" i="17"/>
  <c r="D14" i="17"/>
  <c r="H12" i="17"/>
  <c r="G12" i="17"/>
  <c r="F12" i="17"/>
  <c r="E12" i="17"/>
  <c r="D12" i="17"/>
  <c r="H8" i="17"/>
  <c r="H18" i="17" s="1"/>
  <c r="H24" i="17" s="1"/>
  <c r="G8" i="17"/>
  <c r="F8" i="17"/>
  <c r="F18" i="17" s="1"/>
  <c r="F24" i="17" s="1"/>
  <c r="E8" i="17"/>
  <c r="D8" i="17"/>
  <c r="D10" i="17" s="1"/>
  <c r="C8" i="17"/>
  <c r="M7" i="17"/>
  <c r="K7" i="17"/>
  <c r="H7" i="17"/>
  <c r="G7" i="17"/>
  <c r="F7" i="17"/>
  <c r="E7" i="17"/>
  <c r="D7" i="17"/>
  <c r="R5" i="17"/>
  <c r="H5" i="17"/>
  <c r="G5" i="17"/>
  <c r="F5" i="17"/>
  <c r="E5" i="17"/>
  <c r="D5" i="17"/>
  <c r="T3" i="17"/>
  <c r="H60" i="17" l="1"/>
  <c r="H61" i="17" s="1"/>
  <c r="I60" i="17"/>
  <c r="I85" i="17"/>
  <c r="S53" i="17"/>
  <c r="I79" i="11"/>
  <c r="I99" i="11" s="1"/>
  <c r="H26" i="17"/>
  <c r="Z67" i="17"/>
  <c r="F48" i="17"/>
  <c r="Y67" i="17"/>
  <c r="D47" i="17"/>
  <c r="R4" i="17"/>
  <c r="F44" i="17"/>
  <c r="F47" i="17"/>
  <c r="F52" i="17"/>
  <c r="D48" i="17"/>
  <c r="D50" i="17" s="1"/>
  <c r="R7" i="17"/>
  <c r="K12" i="17" s="1"/>
  <c r="D52" i="17"/>
  <c r="E52" i="17"/>
  <c r="F54" i="17"/>
  <c r="D54" i="17"/>
  <c r="F9" i="17"/>
  <c r="F50" i="17"/>
  <c r="F56" i="17"/>
  <c r="F58" i="17" s="1"/>
  <c r="E15" i="17"/>
  <c r="F15" i="17"/>
  <c r="F10" i="17"/>
  <c r="E47" i="17"/>
  <c r="D9" i="17"/>
  <c r="G15" i="17"/>
  <c r="F55" i="17"/>
  <c r="M17" i="17"/>
  <c r="K17" i="17"/>
  <c r="H22" i="17"/>
  <c r="G10" i="17"/>
  <c r="G18" i="17"/>
  <c r="G9" i="17"/>
  <c r="L17" i="17"/>
  <c r="D18" i="17"/>
  <c r="D24" i="17" s="1"/>
  <c r="I17" i="17"/>
  <c r="R8" i="17"/>
  <c r="F22" i="17"/>
  <c r="E54" i="17"/>
  <c r="I75" i="17"/>
  <c r="M75" i="17"/>
  <c r="H9" i="17"/>
  <c r="E18" i="17"/>
  <c r="E24" i="17" s="1"/>
  <c r="E10" i="17"/>
  <c r="H10" i="17"/>
  <c r="E9" i="17"/>
  <c r="I14" i="17"/>
  <c r="H15" i="17"/>
  <c r="J17" i="17"/>
  <c r="E48" i="17"/>
  <c r="E44" i="17"/>
  <c r="E55" i="17"/>
  <c r="J75" i="17"/>
  <c r="I67" i="11"/>
  <c r="J67" i="11"/>
  <c r="K67" i="11"/>
  <c r="L67" i="11"/>
  <c r="M67" i="11"/>
  <c r="D56" i="17" l="1"/>
  <c r="D58" i="17" s="1"/>
  <c r="H70" i="17"/>
  <c r="H71" i="17" s="1"/>
  <c r="V68" i="17"/>
  <c r="H65" i="11"/>
  <c r="H66" i="11" s="1"/>
  <c r="G24" i="17"/>
  <c r="G26" i="17"/>
  <c r="O47" i="17"/>
  <c r="O46" i="17"/>
  <c r="G43" i="17" s="1"/>
  <c r="G46" i="17" s="1"/>
  <c r="G48" i="17" s="1"/>
  <c r="L12" i="17"/>
  <c r="M12" i="17" s="1"/>
  <c r="J12" i="17"/>
  <c r="O48" i="17"/>
  <c r="G64" i="17"/>
  <c r="E22" i="17"/>
  <c r="D22" i="17"/>
  <c r="I15" i="17"/>
  <c r="S7" i="17" s="1"/>
  <c r="J14" i="17" s="1"/>
  <c r="E56" i="17"/>
  <c r="E58" i="17" s="1"/>
  <c r="E50" i="17"/>
  <c r="G22" i="17"/>
  <c r="H64" i="17"/>
  <c r="H75" i="11"/>
  <c r="H77" i="11"/>
  <c r="I77" i="11"/>
  <c r="J77" i="11"/>
  <c r="K77" i="11"/>
  <c r="L77" i="11"/>
  <c r="M77" i="11"/>
  <c r="B78" i="11"/>
  <c r="B79" i="11"/>
  <c r="B80" i="11"/>
  <c r="B82" i="11"/>
  <c r="B83" i="11"/>
  <c r="B81" i="11"/>
  <c r="H43" i="17" l="1"/>
  <c r="G51" i="17"/>
  <c r="G53" i="17"/>
  <c r="G55" i="17" s="1"/>
  <c r="G50" i="17"/>
  <c r="J15" i="17"/>
  <c r="K14" i="17"/>
  <c r="H51" i="17"/>
  <c r="H46" i="17"/>
  <c r="H48" i="17" s="1"/>
  <c r="H53" i="17"/>
  <c r="I43" i="17"/>
  <c r="H55" i="17" l="1"/>
  <c r="G56" i="17"/>
  <c r="H50" i="17"/>
  <c r="H56" i="17"/>
  <c r="K15" i="17"/>
  <c r="L14" i="17"/>
  <c r="I53" i="17"/>
  <c r="I55" i="17" s="1"/>
  <c r="J43" i="17"/>
  <c r="I51" i="17"/>
  <c r="I46" i="17"/>
  <c r="I48" i="17" s="1"/>
  <c r="I56" i="17" l="1"/>
  <c r="I50" i="17"/>
  <c r="J46" i="17"/>
  <c r="J48" i="17" s="1"/>
  <c r="J51" i="17"/>
  <c r="K43" i="17"/>
  <c r="J53" i="17"/>
  <c r="J55" i="17" s="1"/>
  <c r="L15" i="17"/>
  <c r="M14" i="17"/>
  <c r="J50" i="17" l="1"/>
  <c r="J56" i="17"/>
  <c r="M15" i="17"/>
  <c r="K53" i="17"/>
  <c r="K55" i="17" s="1"/>
  <c r="K51" i="17"/>
  <c r="K46" i="17"/>
  <c r="K48" i="17" s="1"/>
  <c r="M10" i="15"/>
  <c r="L10" i="15"/>
  <c r="K10" i="15"/>
  <c r="B12" i="15"/>
  <c r="K11" i="15"/>
  <c r="K12" i="15" s="1"/>
  <c r="C11" i="15"/>
  <c r="C12" i="15" s="1"/>
  <c r="B11" i="15"/>
  <c r="M11" i="15"/>
  <c r="M12" i="15" s="1"/>
  <c r="D10" i="15"/>
  <c r="D11" i="15" s="1"/>
  <c r="D12" i="15" s="1"/>
  <c r="C10" i="15"/>
  <c r="F7" i="15"/>
  <c r="F8" i="15" s="1"/>
  <c r="E7" i="15"/>
  <c r="D8" i="15" s="1"/>
  <c r="D7" i="15"/>
  <c r="C8" i="15" s="1"/>
  <c r="C7" i="15"/>
  <c r="B8" i="15" s="1"/>
  <c r="B7" i="15"/>
  <c r="N5" i="15"/>
  <c r="M5" i="15"/>
  <c r="L5" i="15"/>
  <c r="K6" i="15" s="1"/>
  <c r="K5" i="15"/>
  <c r="J6" i="15" s="1"/>
  <c r="P20" i="14"/>
  <c r="P19" i="14"/>
  <c r="P18" i="14"/>
  <c r="J13" i="14"/>
  <c r="J14" i="14" s="1"/>
  <c r="J6" i="14"/>
  <c r="K14" i="14"/>
  <c r="K13" i="14"/>
  <c r="K5" i="14"/>
  <c r="L5" i="14"/>
  <c r="M5" i="14"/>
  <c r="N5" i="14"/>
  <c r="K6" i="14" s="1"/>
  <c r="K10" i="14"/>
  <c r="L10" i="14" s="1"/>
  <c r="M10" i="14" s="1"/>
  <c r="N10" i="14" s="1"/>
  <c r="K11" i="14"/>
  <c r="K12" i="14" s="1"/>
  <c r="C10" i="14"/>
  <c r="C11" i="14" s="1"/>
  <c r="C12" i="14" s="1"/>
  <c r="B7" i="14"/>
  <c r="B11" i="14"/>
  <c r="B12" i="14" s="1"/>
  <c r="D7" i="14"/>
  <c r="K56" i="17" l="1"/>
  <c r="K50" i="17"/>
  <c r="E8" i="15"/>
  <c r="E10" i="15"/>
  <c r="L11" i="15"/>
  <c r="L12" i="15" s="1"/>
  <c r="L11" i="14"/>
  <c r="L12" i="14" s="1"/>
  <c r="D10" i="14"/>
  <c r="E11" i="15" l="1"/>
  <c r="E12" i="15" s="1"/>
  <c r="F10" i="15"/>
  <c r="F11" i="15" s="1"/>
  <c r="F12" i="15" s="1"/>
  <c r="N11" i="15"/>
  <c r="N12" i="15" s="1"/>
  <c r="K13" i="15" s="1"/>
  <c r="K14" i="15" s="1"/>
  <c r="N10" i="15"/>
  <c r="M11" i="14"/>
  <c r="M12" i="14" s="1"/>
  <c r="D11" i="14"/>
  <c r="D12" i="14" s="1"/>
  <c r="E10" i="14"/>
  <c r="J13" i="15" l="1"/>
  <c r="J14" i="15" s="1"/>
  <c r="B13" i="15"/>
  <c r="B14" i="15" s="1"/>
  <c r="N11" i="14"/>
  <c r="N12" i="14" s="1"/>
  <c r="F10" i="14"/>
  <c r="F11" i="14" s="1"/>
  <c r="F12" i="14" s="1"/>
  <c r="E11" i="14"/>
  <c r="E12" i="14" s="1"/>
  <c r="B13" i="14" l="1"/>
  <c r="B14" i="14" s="1"/>
  <c r="C7" i="14" l="1"/>
  <c r="E7" i="14"/>
  <c r="F7" i="14"/>
  <c r="L22" i="11"/>
  <c r="K22" i="11"/>
  <c r="J22" i="11"/>
  <c r="I22" i="11"/>
  <c r="L18" i="15" l="1"/>
  <c r="L18" i="14"/>
  <c r="M18" i="15"/>
  <c r="M18" i="14"/>
  <c r="N18" i="14"/>
  <c r="N18" i="15"/>
  <c r="O18" i="15"/>
  <c r="O18" i="14"/>
  <c r="B8" i="14"/>
  <c r="D8" i="14"/>
  <c r="E8" i="14"/>
  <c r="F8" i="14"/>
  <c r="C8" i="14"/>
  <c r="L7" i="3" l="1"/>
  <c r="I12" i="3"/>
  <c r="I14" i="3"/>
  <c r="I17" i="3"/>
  <c r="I7" i="3"/>
  <c r="J7" i="3"/>
  <c r="K16" i="11"/>
  <c r="I15" i="3" l="1"/>
  <c r="S5" i="3" l="1"/>
  <c r="L5" i="7" l="1"/>
  <c r="T7" i="7"/>
  <c r="T5" i="7"/>
  <c r="T4" i="7"/>
  <c r="M5" i="7"/>
  <c r="E28" i="3"/>
  <c r="D28" i="3"/>
  <c r="H45" i="3" l="1"/>
  <c r="H5" i="5"/>
  <c r="I5" i="5"/>
  <c r="J5" i="5"/>
  <c r="K5" i="5"/>
  <c r="G5" i="5"/>
  <c r="G28" i="3"/>
  <c r="I45" i="3" l="1"/>
  <c r="J45" i="3" s="1"/>
  <c r="K45" i="3" s="1"/>
  <c r="H28" i="3" l="1"/>
  <c r="I28" i="3" s="1"/>
  <c r="J28" i="3" s="1"/>
  <c r="K28" i="3" s="1"/>
  <c r="T3" i="11" l="1"/>
  <c r="B6" i="5" l="1"/>
  <c r="H20" i="6"/>
  <c r="L9" i="7" l="1"/>
  <c r="E19" i="9"/>
  <c r="F19" i="9"/>
  <c r="G19" i="9"/>
  <c r="D19" i="9"/>
  <c r="T6" i="10" l="1"/>
  <c r="T5" i="10"/>
  <c r="T4" i="10"/>
  <c r="T3" i="10"/>
  <c r="T2" i="10"/>
  <c r="D21" i="10"/>
  <c r="D8" i="10"/>
  <c r="K4" i="13" l="1"/>
  <c r="L4" i="13"/>
  <c r="K7" i="13" s="1"/>
  <c r="C10" i="12" l="1"/>
  <c r="C9" i="12" l="1"/>
  <c r="C6" i="5"/>
  <c r="D6" i="5"/>
  <c r="E6" i="5"/>
  <c r="F6" i="5"/>
  <c r="C36" i="5"/>
  <c r="D36" i="5"/>
  <c r="E36" i="5"/>
  <c r="F36" i="5"/>
  <c r="B36" i="5"/>
  <c r="D5" i="11"/>
  <c r="E5" i="11"/>
  <c r="F5" i="11"/>
  <c r="G5" i="11"/>
  <c r="D7" i="11"/>
  <c r="E7" i="11"/>
  <c r="F7" i="11"/>
  <c r="G7" i="11"/>
  <c r="D8" i="11"/>
  <c r="D18" i="11" s="1"/>
  <c r="D20" i="11" s="1"/>
  <c r="E8" i="11"/>
  <c r="E10" i="11" s="1"/>
  <c r="F8" i="11"/>
  <c r="F18" i="11" s="1"/>
  <c r="G8" i="11"/>
  <c r="G18" i="11" s="1"/>
  <c r="D10" i="11"/>
  <c r="D12" i="11"/>
  <c r="E12" i="11"/>
  <c r="F12" i="11"/>
  <c r="G12" i="11"/>
  <c r="D14" i="11"/>
  <c r="E14" i="11"/>
  <c r="F14" i="11"/>
  <c r="G14" i="11"/>
  <c r="E17" i="11"/>
  <c r="F17" i="11"/>
  <c r="G17" i="11"/>
  <c r="R20" i="11" l="1"/>
  <c r="G10" i="11"/>
  <c r="G15" i="11"/>
  <c r="E18" i="11"/>
  <c r="E9" i="11"/>
  <c r="F15" i="11"/>
  <c r="D21" i="11"/>
  <c r="F10" i="11"/>
  <c r="F9" i="11"/>
  <c r="G9" i="11"/>
  <c r="E15" i="11"/>
  <c r="M28" i="5"/>
  <c r="G20" i="11"/>
  <c r="G21" i="11"/>
  <c r="F20" i="11"/>
  <c r="F21" i="11"/>
  <c r="I89" i="11" l="1"/>
  <c r="H64" i="11"/>
  <c r="P14" i="14"/>
  <c r="L26" i="14" s="1"/>
  <c r="P14" i="15"/>
  <c r="L26" i="15" s="1"/>
  <c r="H55" i="11"/>
  <c r="H56" i="11" s="1"/>
  <c r="I55" i="11"/>
  <c r="E20" i="11"/>
  <c r="E21" i="11"/>
  <c r="F48" i="11"/>
  <c r="E48" i="11"/>
  <c r="D48" i="11"/>
  <c r="F46" i="11"/>
  <c r="E46" i="11"/>
  <c r="D46" i="11"/>
  <c r="F41" i="11"/>
  <c r="E41" i="11"/>
  <c r="D41" i="11"/>
  <c r="F38" i="11"/>
  <c r="E38" i="11"/>
  <c r="D38" i="11"/>
  <c r="H17" i="11"/>
  <c r="H14" i="11"/>
  <c r="I14" i="11" s="1"/>
  <c r="H12" i="11"/>
  <c r="R7" i="11" s="1"/>
  <c r="H8" i="11"/>
  <c r="H18" i="11" s="1"/>
  <c r="C8" i="11"/>
  <c r="D9" i="11" s="1"/>
  <c r="H7" i="11"/>
  <c r="R4" i="11" s="1"/>
  <c r="R5" i="11"/>
  <c r="H5" i="11"/>
  <c r="E42" i="11" l="1"/>
  <c r="D43" i="11"/>
  <c r="D51" i="11" s="1"/>
  <c r="D53" i="11" s="1"/>
  <c r="F39" i="11"/>
  <c r="H15" i="11"/>
  <c r="E43" i="11"/>
  <c r="E51" i="11" s="1"/>
  <c r="E53" i="11" s="1"/>
  <c r="D47" i="11"/>
  <c r="E49" i="11"/>
  <c r="D42" i="11"/>
  <c r="O42" i="11" s="1"/>
  <c r="H10" i="11"/>
  <c r="E47" i="11"/>
  <c r="F49" i="11"/>
  <c r="F47" i="11"/>
  <c r="F50" i="11"/>
  <c r="F43" i="11"/>
  <c r="F51" i="11" s="1"/>
  <c r="F53" i="11" s="1"/>
  <c r="E50" i="11"/>
  <c r="H20" i="11"/>
  <c r="H21" i="11"/>
  <c r="J12" i="11"/>
  <c r="K12" i="11"/>
  <c r="I15" i="11"/>
  <c r="S7" i="11" s="1"/>
  <c r="J14" i="11" s="1"/>
  <c r="E39" i="11"/>
  <c r="O41" i="11" s="1"/>
  <c r="D49" i="11"/>
  <c r="G59" i="11" s="1"/>
  <c r="F42" i="11"/>
  <c r="H9" i="11"/>
  <c r="O43" i="11" l="1"/>
  <c r="T3" i="15"/>
  <c r="H59" i="11"/>
  <c r="D45" i="11"/>
  <c r="F45" i="11"/>
  <c r="G38" i="11"/>
  <c r="G46" i="11" s="1"/>
  <c r="E45" i="11"/>
  <c r="J15" i="11"/>
  <c r="K14" i="11"/>
  <c r="L12" i="11"/>
  <c r="H5" i="9"/>
  <c r="I5" i="9" s="1"/>
  <c r="K5" i="9" s="1"/>
  <c r="L5" i="9" s="1"/>
  <c r="C7" i="9"/>
  <c r="D7" i="9"/>
  <c r="D9" i="9" s="1"/>
  <c r="E7" i="9"/>
  <c r="F7" i="9"/>
  <c r="G7" i="9"/>
  <c r="C9" i="9"/>
  <c r="E9" i="9"/>
  <c r="F9" i="9"/>
  <c r="G9" i="9"/>
  <c r="C14" i="9"/>
  <c r="D14" i="9"/>
  <c r="E14" i="9"/>
  <c r="F14" i="9"/>
  <c r="C15" i="9"/>
  <c r="D15" i="9"/>
  <c r="E15" i="9"/>
  <c r="F15" i="9"/>
  <c r="G15" i="9"/>
  <c r="C16" i="9"/>
  <c r="O5" i="9" s="1"/>
  <c r="D16" i="9"/>
  <c r="E16" i="9"/>
  <c r="F16" i="9"/>
  <c r="G16" i="9"/>
  <c r="C17" i="9"/>
  <c r="D17" i="9"/>
  <c r="E17" i="9"/>
  <c r="F17" i="9"/>
  <c r="G17" i="9"/>
  <c r="T5" i="15" l="1"/>
  <c r="H86" i="17" s="1"/>
  <c r="H84" i="17"/>
  <c r="C84" i="17"/>
  <c r="C78" i="11"/>
  <c r="H78" i="11"/>
  <c r="H88" i="11" s="1"/>
  <c r="H98" i="11" s="1"/>
  <c r="H38" i="11"/>
  <c r="H48" i="11" s="1"/>
  <c r="H50" i="11" s="1"/>
  <c r="H4" i="9"/>
  <c r="J4" i="9" s="1"/>
  <c r="L4" i="9" s="1"/>
  <c r="O6" i="9"/>
  <c r="H8" i="9" s="1"/>
  <c r="G48" i="11"/>
  <c r="G50" i="11" s="1"/>
  <c r="G41" i="11"/>
  <c r="G43" i="11" s="1"/>
  <c r="G45" i="11" s="1"/>
  <c r="M12" i="11"/>
  <c r="K15" i="11"/>
  <c r="L14" i="11"/>
  <c r="H41" i="11"/>
  <c r="H43" i="11" s="1"/>
  <c r="I38" i="11"/>
  <c r="H46" i="11" l="1"/>
  <c r="H7" i="9"/>
  <c r="G51" i="11"/>
  <c r="I23" i="11"/>
  <c r="H51" i="11"/>
  <c r="H45" i="11"/>
  <c r="I41" i="11"/>
  <c r="I43" i="11" s="1"/>
  <c r="I46" i="11"/>
  <c r="J38" i="11"/>
  <c r="I48" i="11"/>
  <c r="I50" i="11" s="1"/>
  <c r="L15" i="11"/>
  <c r="M14" i="11"/>
  <c r="L19" i="15" l="1"/>
  <c r="L19" i="14"/>
  <c r="I8" i="9"/>
  <c r="M15" i="11"/>
  <c r="I51" i="11"/>
  <c r="I45" i="11"/>
  <c r="J46" i="11"/>
  <c r="K38" i="11"/>
  <c r="J48" i="11"/>
  <c r="J50" i="11" s="1"/>
  <c r="J41" i="11"/>
  <c r="J43" i="11" s="1"/>
  <c r="I7" i="9"/>
  <c r="J45" i="11" l="1"/>
  <c r="J51" i="11"/>
  <c r="K48" i="11"/>
  <c r="K50" i="11" s="1"/>
  <c r="K46" i="11"/>
  <c r="K41" i="11"/>
  <c r="K43" i="11" s="1"/>
  <c r="I9" i="9"/>
  <c r="J23" i="11" s="1"/>
  <c r="M19" i="14" l="1"/>
  <c r="M19" i="15"/>
  <c r="K45" i="11"/>
  <c r="K51" i="11"/>
  <c r="J7" i="9"/>
  <c r="J8" i="9"/>
  <c r="J9" i="9" l="1"/>
  <c r="J10" i="9" s="1"/>
  <c r="K23" i="11" s="1"/>
  <c r="K3" i="9"/>
  <c r="N19" i="15" l="1"/>
  <c r="N19" i="14"/>
  <c r="K7" i="9"/>
  <c r="K8" i="9"/>
  <c r="L3" i="9" l="1"/>
  <c r="K9" i="9"/>
  <c r="K10" i="9" s="1"/>
  <c r="L23" i="11" s="1"/>
  <c r="O19" i="15" l="1"/>
  <c r="O19" i="14"/>
  <c r="L8" i="9"/>
  <c r="L7" i="9"/>
  <c r="L9" i="9" l="1"/>
  <c r="L10" i="9" s="1"/>
  <c r="AE22" i="6"/>
  <c r="AE23" i="6"/>
  <c r="AE25" i="6"/>
  <c r="AE9" i="6"/>
  <c r="AE10" i="6"/>
  <c r="AE8" i="6"/>
  <c r="AE5" i="6"/>
  <c r="Y3" i="6"/>
  <c r="AB3" i="6"/>
  <c r="AE3" i="6"/>
  <c r="AB22" i="6"/>
  <c r="AB23" i="6"/>
  <c r="AB25" i="6"/>
  <c r="AB5" i="6"/>
  <c r="AB8" i="6"/>
  <c r="AB9" i="6"/>
  <c r="AB10" i="6"/>
  <c r="Y22" i="6"/>
  <c r="Y23" i="6"/>
  <c r="Y25" i="6"/>
  <c r="Y5" i="6"/>
  <c r="Y8" i="6"/>
  <c r="Y10" i="6"/>
  <c r="W3" i="6"/>
  <c r="Z9" i="6"/>
  <c r="Z18" i="6"/>
  <c r="Z17" i="6"/>
  <c r="Z16" i="6"/>
  <c r="Z15" i="6"/>
  <c r="Z14" i="6"/>
  <c r="Z12" i="6"/>
  <c r="Z10" i="6"/>
  <c r="Z8" i="6"/>
  <c r="Z5" i="6"/>
  <c r="Z3" i="6"/>
  <c r="Z33" i="6"/>
  <c r="Z34" i="6"/>
  <c r="Z27" i="6"/>
  <c r="Z25" i="6"/>
  <c r="Z23" i="6"/>
  <c r="Z22" i="6"/>
  <c r="AC34" i="6"/>
  <c r="AC33" i="6"/>
  <c r="AC27" i="6"/>
  <c r="AC25" i="6"/>
  <c r="AC23" i="6"/>
  <c r="AC22" i="6"/>
  <c r="AC18" i="6"/>
  <c r="AC17" i="6"/>
  <c r="AC16" i="6"/>
  <c r="AC15" i="6"/>
  <c r="AC14" i="6"/>
  <c r="AC13" i="6"/>
  <c r="AC12" i="6"/>
  <c r="AC10" i="6"/>
  <c r="AC8" i="6"/>
  <c r="AC5" i="6"/>
  <c r="AC3" i="6"/>
  <c r="Z35" i="6"/>
  <c r="W34" i="6"/>
  <c r="W33" i="6"/>
  <c r="W25" i="6"/>
  <c r="W23" i="6"/>
  <c r="W22" i="6"/>
  <c r="W18" i="6"/>
  <c r="W16" i="6"/>
  <c r="W15" i="6"/>
  <c r="W19" i="6" s="1"/>
  <c r="W14" i="6"/>
  <c r="W12" i="6"/>
  <c r="W10" i="6"/>
  <c r="W8" i="6"/>
  <c r="W5" i="6"/>
  <c r="E36" i="3"/>
  <c r="E31" i="3"/>
  <c r="E33" i="3"/>
  <c r="Z19" i="6" l="1"/>
  <c r="AC35" i="6"/>
  <c r="AC11" i="6"/>
  <c r="AC19" i="6"/>
  <c r="Z11" i="6"/>
  <c r="Z20" i="6" s="1"/>
  <c r="W35" i="6"/>
  <c r="W11" i="6"/>
  <c r="W20" i="6" s="1"/>
  <c r="AC20" i="6" l="1"/>
  <c r="C10" i="7"/>
  <c r="J11" i="6"/>
  <c r="K32" i="6"/>
  <c r="L32" i="6"/>
  <c r="M32" i="6"/>
  <c r="N32" i="6"/>
  <c r="O32" i="6"/>
  <c r="P32" i="6"/>
  <c r="Q32" i="6"/>
  <c r="R32" i="6"/>
  <c r="S32" i="6"/>
  <c r="K26" i="6"/>
  <c r="K33" i="6" s="1"/>
  <c r="K35" i="6" s="1"/>
  <c r="L26" i="6"/>
  <c r="M26" i="6"/>
  <c r="N26" i="6"/>
  <c r="O26" i="6"/>
  <c r="O33" i="6" s="1"/>
  <c r="O35" i="6" s="1"/>
  <c r="P26" i="6"/>
  <c r="Q26" i="6"/>
  <c r="R26" i="6"/>
  <c r="R33" i="6" s="1"/>
  <c r="R35" i="6" s="1"/>
  <c r="S26" i="6"/>
  <c r="S33" i="6" s="1"/>
  <c r="S35" i="6" s="1"/>
  <c r="K18" i="6"/>
  <c r="L18" i="6"/>
  <c r="M18" i="6"/>
  <c r="N18" i="6"/>
  <c r="O18" i="6"/>
  <c r="O19" i="6" s="1"/>
  <c r="P18" i="6"/>
  <c r="Q18" i="6"/>
  <c r="R18" i="6"/>
  <c r="S18" i="6"/>
  <c r="K11" i="6"/>
  <c r="L11" i="6"/>
  <c r="M11" i="6"/>
  <c r="N11" i="6"/>
  <c r="O11" i="6"/>
  <c r="P11" i="6"/>
  <c r="P19" i="6" s="1"/>
  <c r="Q11" i="6"/>
  <c r="Q19" i="6" s="1"/>
  <c r="R11" i="6"/>
  <c r="R19" i="6" s="1"/>
  <c r="S11" i="6"/>
  <c r="S19" i="6" s="1"/>
  <c r="J32" i="6"/>
  <c r="J26" i="6"/>
  <c r="J33" i="6" s="1"/>
  <c r="J35" i="6" s="1"/>
  <c r="J18" i="6"/>
  <c r="F31" i="3"/>
  <c r="F33" i="3" s="1"/>
  <c r="F41" i="3" s="1"/>
  <c r="D31" i="3"/>
  <c r="D33" i="3" s="1"/>
  <c r="D36" i="3"/>
  <c r="D37" i="3" s="1"/>
  <c r="D38" i="3"/>
  <c r="D39" i="3" s="1"/>
  <c r="F38" i="3"/>
  <c r="F39" i="3" s="1"/>
  <c r="F36" i="3"/>
  <c r="F37" i="3" s="1"/>
  <c r="F29" i="3"/>
  <c r="E38" i="3"/>
  <c r="E32" i="3"/>
  <c r="F32" i="3" l="1"/>
  <c r="P33" i="6"/>
  <c r="P35" i="6" s="1"/>
  <c r="F40" i="3"/>
  <c r="J19" i="6"/>
  <c r="K19" i="6"/>
  <c r="Q33" i="6"/>
  <c r="Q35" i="6" s="1"/>
  <c r="N33" i="6"/>
  <c r="N35" i="6" s="1"/>
  <c r="N19" i="6"/>
  <c r="M33" i="6"/>
  <c r="M35" i="6" s="1"/>
  <c r="M19" i="6"/>
  <c r="L33" i="6"/>
  <c r="L35" i="6" s="1"/>
  <c r="L19" i="6"/>
  <c r="E40" i="3"/>
  <c r="D41" i="3"/>
  <c r="D43" i="3" s="1"/>
  <c r="E41" i="3"/>
  <c r="F43" i="3"/>
  <c r="E29" i="3"/>
  <c r="E43" i="3"/>
  <c r="E35" i="3"/>
  <c r="E39" i="3"/>
  <c r="G48" i="3" s="1"/>
  <c r="E37" i="3"/>
  <c r="G47" i="3" s="1"/>
  <c r="D32" i="3"/>
  <c r="G46" i="3" s="1"/>
  <c r="D35" i="3"/>
  <c r="H5" i="3"/>
  <c r="D6" i="4"/>
  <c r="D8" i="3"/>
  <c r="D18" i="3" s="1"/>
  <c r="D21" i="3" s="1"/>
  <c r="F35" i="3" l="1"/>
  <c r="G36" i="3" l="1"/>
  <c r="G31" i="3"/>
  <c r="G33" i="3" s="1"/>
  <c r="G38" i="3"/>
  <c r="G40" i="3" s="1"/>
  <c r="G41" i="3" l="1"/>
  <c r="G35" i="3"/>
  <c r="H38" i="3"/>
  <c r="H40" i="3" s="1"/>
  <c r="H31" i="3"/>
  <c r="H33" i="3" s="1"/>
  <c r="H36" i="3"/>
  <c r="I38" i="3"/>
  <c r="I31" i="3"/>
  <c r="I33" i="3" s="1"/>
  <c r="I36" i="3"/>
  <c r="I40" i="3" l="1"/>
  <c r="H41" i="3"/>
  <c r="H35" i="3"/>
  <c r="J38" i="3"/>
  <c r="J40" i="3" s="1"/>
  <c r="J36" i="3"/>
  <c r="J31" i="3"/>
  <c r="J33" i="3" s="1"/>
  <c r="I41" i="3"/>
  <c r="I35" i="3"/>
  <c r="J41" i="3" l="1"/>
  <c r="J35" i="3"/>
  <c r="K38" i="3"/>
  <c r="K40" i="3" s="1"/>
  <c r="K36" i="3"/>
  <c r="K31" i="3"/>
  <c r="K33" i="3" s="1"/>
  <c r="K35" i="3" l="1"/>
  <c r="K41" i="3"/>
  <c r="N13" i="3" l="1"/>
  <c r="I16" i="4"/>
  <c r="P6" i="4" s="1"/>
  <c r="L12" i="7" l="1"/>
  <c r="J12" i="7"/>
  <c r="H12" i="7"/>
  <c r="F12" i="7"/>
  <c r="D12" i="7"/>
  <c r="T11" i="7" l="1"/>
  <c r="L7" i="7"/>
  <c r="L8" i="7"/>
  <c r="J7" i="7"/>
  <c r="J8" i="7"/>
  <c r="J9" i="7"/>
  <c r="J5" i="7"/>
  <c r="H7" i="7"/>
  <c r="H8" i="7"/>
  <c r="H9" i="7"/>
  <c r="H5" i="7"/>
  <c r="F7" i="7"/>
  <c r="F8" i="7"/>
  <c r="F9" i="7"/>
  <c r="F5" i="7"/>
  <c r="D7" i="7"/>
  <c r="D8" i="7"/>
  <c r="D9" i="7"/>
  <c r="D5" i="7"/>
  <c r="M13" i="7" l="1"/>
  <c r="T8" i="7"/>
  <c r="E6" i="7" l="1"/>
  <c r="E10" i="7" s="1"/>
  <c r="G6" i="7"/>
  <c r="G10" i="7" s="1"/>
  <c r="I6" i="7"/>
  <c r="I10" i="7" s="1"/>
  <c r="K6" i="7"/>
  <c r="K10" i="7" s="1"/>
  <c r="E13" i="7"/>
  <c r="G13" i="7"/>
  <c r="I13" i="7"/>
  <c r="K13" i="7"/>
  <c r="C13" i="7"/>
  <c r="C14" i="7" s="1"/>
  <c r="E14" i="7" l="1"/>
  <c r="E15" i="7" s="1"/>
  <c r="G14" i="7"/>
  <c r="G15" i="7" s="1"/>
  <c r="I14" i="7"/>
  <c r="K15" i="7" l="1"/>
  <c r="I15" i="7"/>
  <c r="N6" i="3"/>
  <c r="N11" i="3"/>
  <c r="N4" i="3"/>
  <c r="F17" i="3" l="1"/>
  <c r="G17" i="3"/>
  <c r="H17" i="3"/>
  <c r="N17" i="3" s="1"/>
  <c r="E17" i="3"/>
  <c r="H17" i="4"/>
  <c r="E17" i="4"/>
  <c r="F17" i="4"/>
  <c r="G17" i="4"/>
  <c r="D17" i="4"/>
  <c r="E15" i="4"/>
  <c r="F15" i="4"/>
  <c r="G15" i="4"/>
  <c r="H15" i="4"/>
  <c r="D15" i="4"/>
  <c r="E12" i="4"/>
  <c r="F12" i="4"/>
  <c r="G12" i="4"/>
  <c r="H12" i="4"/>
  <c r="D12" i="4"/>
  <c r="E9" i="4"/>
  <c r="F9" i="4"/>
  <c r="P3" i="4" s="1"/>
  <c r="R3" i="4" s="1"/>
  <c r="G9" i="4"/>
  <c r="H9" i="4"/>
  <c r="D9" i="4"/>
  <c r="E6" i="4"/>
  <c r="F6" i="4"/>
  <c r="G6" i="4"/>
  <c r="H6" i="4"/>
  <c r="R10" i="4" s="1"/>
  <c r="P5" i="4" l="1"/>
  <c r="S3" i="4"/>
  <c r="J9" i="4"/>
  <c r="P10" i="4"/>
  <c r="P2" i="4"/>
  <c r="R2" i="4" s="1"/>
  <c r="O10" i="4"/>
  <c r="Q10" i="4"/>
  <c r="P13" i="4" l="1"/>
  <c r="J15" i="4"/>
  <c r="S5" i="4"/>
  <c r="S2" i="4"/>
  <c r="J6" i="4"/>
  <c r="T3" i="4"/>
  <c r="K9" i="4"/>
  <c r="K15" i="4" l="1"/>
  <c r="T5" i="4"/>
  <c r="U3" i="4"/>
  <c r="L9" i="4"/>
  <c r="K6" i="4"/>
  <c r="T2" i="4"/>
  <c r="E14" i="3"/>
  <c r="F14" i="3"/>
  <c r="G14" i="3"/>
  <c r="H14" i="3"/>
  <c r="H15" i="3" s="1"/>
  <c r="N15" i="3" s="1"/>
  <c r="D12" i="3"/>
  <c r="D14" i="3"/>
  <c r="E12" i="3"/>
  <c r="F12" i="3"/>
  <c r="G12" i="3"/>
  <c r="H12" i="3"/>
  <c r="L15" i="4" l="1"/>
  <c r="U5" i="4"/>
  <c r="U2" i="4"/>
  <c r="L6" i="4"/>
  <c r="V3" i="4"/>
  <c r="W3" i="4" s="1"/>
  <c r="X3" i="4" s="1"/>
  <c r="M9" i="4"/>
  <c r="F15" i="3"/>
  <c r="G15" i="3"/>
  <c r="E15" i="3"/>
  <c r="S7" i="3"/>
  <c r="V5" i="4" l="1"/>
  <c r="W5" i="4" s="1"/>
  <c r="X5" i="4" s="1"/>
  <c r="M15" i="4"/>
  <c r="M6" i="4"/>
  <c r="V2" i="4"/>
  <c r="W2" i="4" s="1"/>
  <c r="X2" i="4" s="1"/>
  <c r="T7" i="3"/>
  <c r="J14" i="3" s="1"/>
  <c r="J15" i="3" s="1"/>
  <c r="I17" i="4"/>
  <c r="P7" i="4" s="1"/>
  <c r="J16" i="4" s="1"/>
  <c r="J17" i="4" s="1"/>
  <c r="K12" i="3"/>
  <c r="J12" i="3"/>
  <c r="E7" i="3"/>
  <c r="F7" i="3"/>
  <c r="G7" i="3"/>
  <c r="H7" i="3"/>
  <c r="D7" i="3"/>
  <c r="G36" i="4"/>
  <c r="C37" i="4"/>
  <c r="D37" i="4"/>
  <c r="E37" i="4"/>
  <c r="F37" i="4"/>
  <c r="G32" i="4"/>
  <c r="H32" i="4" s="1"/>
  <c r="C33" i="4"/>
  <c r="D33" i="4"/>
  <c r="E33" i="4"/>
  <c r="F33" i="4"/>
  <c r="G28" i="4"/>
  <c r="C29" i="4"/>
  <c r="D29" i="4"/>
  <c r="E29" i="4"/>
  <c r="F29" i="4"/>
  <c r="G24" i="4"/>
  <c r="C25" i="4"/>
  <c r="D25" i="4"/>
  <c r="E25" i="4"/>
  <c r="F25" i="4"/>
  <c r="H24" i="4" l="1"/>
  <c r="I24" i="4" s="1"/>
  <c r="K16" i="4"/>
  <c r="L16" i="4" s="1"/>
  <c r="M16" i="4" s="1"/>
  <c r="K14" i="3"/>
  <c r="K15" i="3" s="1"/>
  <c r="L12" i="3"/>
  <c r="H36" i="4"/>
  <c r="I36" i="4" s="1"/>
  <c r="I13" i="4" s="1"/>
  <c r="J13" i="4" s="1"/>
  <c r="I32" i="4"/>
  <c r="I10" i="4" s="1"/>
  <c r="H28" i="4"/>
  <c r="I28" i="4" s="1"/>
  <c r="I7" i="4" s="1"/>
  <c r="J7" i="4" s="1"/>
  <c r="K7" i="4" s="1"/>
  <c r="C19" i="4"/>
  <c r="E19" i="4"/>
  <c r="F19" i="4"/>
  <c r="G19" i="4"/>
  <c r="H19" i="4"/>
  <c r="D19" i="4"/>
  <c r="D5" i="3"/>
  <c r="H8" i="3"/>
  <c r="E8" i="3"/>
  <c r="E18" i="3" s="1"/>
  <c r="F8" i="3"/>
  <c r="G8" i="3"/>
  <c r="G18" i="3" s="1"/>
  <c r="C8" i="3"/>
  <c r="F5" i="3"/>
  <c r="G5" i="3"/>
  <c r="E5" i="3"/>
  <c r="I40" i="4" l="1"/>
  <c r="E11" i="4"/>
  <c r="E8" i="4"/>
  <c r="E14" i="4"/>
  <c r="E5" i="4"/>
  <c r="C11" i="4"/>
  <c r="C8" i="4"/>
  <c r="C14" i="4"/>
  <c r="C5" i="4"/>
  <c r="F8" i="4"/>
  <c r="F11" i="4"/>
  <c r="F14" i="4"/>
  <c r="F5" i="4"/>
  <c r="D14" i="4"/>
  <c r="D5" i="4"/>
  <c r="D11" i="4"/>
  <c r="D8" i="4"/>
  <c r="H14" i="4"/>
  <c r="H5" i="4"/>
  <c r="H8" i="4"/>
  <c r="H11" i="4"/>
  <c r="G8" i="4"/>
  <c r="G5" i="4"/>
  <c r="G11" i="4"/>
  <c r="G14" i="4"/>
  <c r="H18" i="3"/>
  <c r="N18" i="3" s="1"/>
  <c r="N8" i="3"/>
  <c r="I4" i="4"/>
  <c r="I9" i="4"/>
  <c r="I12" i="4"/>
  <c r="P4" i="4" s="1"/>
  <c r="R4" i="4" s="1"/>
  <c r="K13" i="4"/>
  <c r="L14" i="3"/>
  <c r="L15" i="3" s="1"/>
  <c r="M12" i="3"/>
  <c r="G20" i="3"/>
  <c r="G21" i="3"/>
  <c r="H20" i="3"/>
  <c r="H21" i="3"/>
  <c r="F10" i="3"/>
  <c r="F18" i="3"/>
  <c r="D20" i="3"/>
  <c r="N21" i="3"/>
  <c r="E20" i="3"/>
  <c r="E21" i="3"/>
  <c r="G9" i="3"/>
  <c r="D9" i="3"/>
  <c r="F9" i="3"/>
  <c r="D10" i="3"/>
  <c r="E9" i="3"/>
  <c r="E10" i="3"/>
  <c r="H9" i="3"/>
  <c r="G10" i="3"/>
  <c r="H10" i="3"/>
  <c r="C15" i="2"/>
  <c r="D15" i="2"/>
  <c r="E15" i="2"/>
  <c r="F15" i="2"/>
  <c r="G15" i="2"/>
  <c r="H15" i="2"/>
  <c r="I15" i="2"/>
  <c r="C14" i="2"/>
  <c r="D14" i="2"/>
  <c r="E14" i="2"/>
  <c r="F14" i="2"/>
  <c r="G14" i="2"/>
  <c r="H14" i="2"/>
  <c r="I14" i="2"/>
  <c r="B15" i="2"/>
  <c r="B14" i="2"/>
  <c r="I11" i="2"/>
  <c r="I7" i="2"/>
  <c r="I9" i="2"/>
  <c r="B11" i="2"/>
  <c r="C11" i="2"/>
  <c r="D11" i="2"/>
  <c r="E11" i="2"/>
  <c r="F11" i="2"/>
  <c r="G11" i="2"/>
  <c r="H11" i="2"/>
  <c r="B9" i="2"/>
  <c r="C9" i="2"/>
  <c r="D9" i="2"/>
  <c r="E9" i="2"/>
  <c r="F9" i="2"/>
  <c r="G9" i="2"/>
  <c r="H9" i="2"/>
  <c r="G7" i="2"/>
  <c r="B7" i="2"/>
  <c r="C7" i="2"/>
  <c r="D7" i="2"/>
  <c r="E7" i="2"/>
  <c r="F7" i="2"/>
  <c r="H7" i="2"/>
  <c r="I6" i="4" l="1"/>
  <c r="J4" i="4"/>
  <c r="I19" i="4"/>
  <c r="I8" i="4" s="1"/>
  <c r="M14" i="3"/>
  <c r="M15" i="3" s="1"/>
  <c r="O15" i="3" s="1"/>
  <c r="L13" i="4"/>
  <c r="F20" i="3"/>
  <c r="S9" i="3" s="1"/>
  <c r="F21" i="3"/>
  <c r="I4" i="11" l="1"/>
  <c r="I11" i="11" s="1"/>
  <c r="M7" i="7"/>
  <c r="I4" i="17"/>
  <c r="I11" i="3"/>
  <c r="I13" i="3"/>
  <c r="M9" i="7"/>
  <c r="M4" i="4"/>
  <c r="K4" i="4"/>
  <c r="L4" i="4" s="1"/>
  <c r="J12" i="4"/>
  <c r="J10" i="4" s="1"/>
  <c r="S4" i="4"/>
  <c r="I11" i="4"/>
  <c r="I14" i="4"/>
  <c r="I5" i="4"/>
  <c r="I5" i="3"/>
  <c r="G35" i="5"/>
  <c r="I13" i="11"/>
  <c r="I5" i="11"/>
  <c r="I6" i="11"/>
  <c r="J19" i="4"/>
  <c r="M13" i="4"/>
  <c r="L7" i="4"/>
  <c r="I5" i="17" l="1"/>
  <c r="I11" i="17"/>
  <c r="I6" i="17"/>
  <c r="I8" i="17" s="1"/>
  <c r="I13" i="17"/>
  <c r="J4" i="11"/>
  <c r="N7" i="7"/>
  <c r="J4" i="17"/>
  <c r="N5" i="7"/>
  <c r="I8" i="11"/>
  <c r="I10" i="11" s="1"/>
  <c r="I6" i="3"/>
  <c r="I8" i="3" s="1"/>
  <c r="T4" i="4"/>
  <c r="K12" i="4"/>
  <c r="K10" i="4" s="1"/>
  <c r="K19" i="4" s="1"/>
  <c r="K8" i="4" s="1"/>
  <c r="J11" i="4"/>
  <c r="J5" i="4"/>
  <c r="J14" i="4"/>
  <c r="M10" i="7"/>
  <c r="M14" i="7" s="1"/>
  <c r="M7" i="4"/>
  <c r="J5" i="17" l="1"/>
  <c r="J6" i="17"/>
  <c r="J8" i="17" s="1"/>
  <c r="J13" i="17"/>
  <c r="J11" i="17"/>
  <c r="I18" i="17"/>
  <c r="I9" i="17"/>
  <c r="I10" i="17"/>
  <c r="R6" i="17"/>
  <c r="I9" i="11"/>
  <c r="R6" i="11"/>
  <c r="I10" i="3"/>
  <c r="I9" i="3"/>
  <c r="I18" i="3"/>
  <c r="M15" i="7"/>
  <c r="J13" i="3"/>
  <c r="K4" i="3"/>
  <c r="K4" i="17" s="1"/>
  <c r="U4" i="4"/>
  <c r="L12" i="4"/>
  <c r="L10" i="4" s="1"/>
  <c r="L19" i="4" s="1"/>
  <c r="N13" i="7"/>
  <c r="J11" i="3"/>
  <c r="J5" i="11"/>
  <c r="J6" i="11"/>
  <c r="J11" i="11"/>
  <c r="J13" i="11"/>
  <c r="H35" i="5"/>
  <c r="J5" i="3"/>
  <c r="K14" i="4"/>
  <c r="K5" i="4"/>
  <c r="K11" i="4"/>
  <c r="K6" i="17" l="1"/>
  <c r="K8" i="17" s="1"/>
  <c r="K5" i="17"/>
  <c r="K11" i="17"/>
  <c r="K13" i="17"/>
  <c r="J18" i="17"/>
  <c r="J10" i="17"/>
  <c r="J9" i="17"/>
  <c r="I21" i="17"/>
  <c r="I24" i="17" s="1"/>
  <c r="I61" i="17" s="1"/>
  <c r="I25" i="11"/>
  <c r="I54" i="11" s="1"/>
  <c r="I30" i="17"/>
  <c r="J8" i="11"/>
  <c r="J10" i="11" s="1"/>
  <c r="J6" i="3"/>
  <c r="L20" i="15"/>
  <c r="L25" i="15" s="1"/>
  <c r="I19" i="3"/>
  <c r="I21" i="3" s="1"/>
  <c r="I35" i="5"/>
  <c r="K4" i="11"/>
  <c r="K11" i="11" s="1"/>
  <c r="K5" i="3"/>
  <c r="O5" i="7"/>
  <c r="M12" i="4"/>
  <c r="M10" i="4" s="1"/>
  <c r="M19" i="4" s="1"/>
  <c r="M4" i="3" s="1"/>
  <c r="V4" i="4"/>
  <c r="W4" i="4" s="1"/>
  <c r="X4" i="4" s="1"/>
  <c r="N10" i="7"/>
  <c r="N14" i="7" s="1"/>
  <c r="L4" i="3"/>
  <c r="O13" i="7"/>
  <c r="O7" i="7"/>
  <c r="K11" i="3"/>
  <c r="K13" i="3"/>
  <c r="L14" i="4"/>
  <c r="L5" i="4"/>
  <c r="L8" i="4"/>
  <c r="L11" i="4"/>
  <c r="S56" i="17" l="1"/>
  <c r="S57" i="17" s="1"/>
  <c r="T48" i="17" s="1"/>
  <c r="I59" i="17"/>
  <c r="K18" i="17"/>
  <c r="K21" i="17" s="1"/>
  <c r="K24" i="17" s="1"/>
  <c r="L20" i="14"/>
  <c r="L25" i="14" s="1"/>
  <c r="M26" i="14" s="1"/>
  <c r="L4" i="11"/>
  <c r="L11" i="11" s="1"/>
  <c r="L5" i="3"/>
  <c r="L4" i="17"/>
  <c r="I64" i="17"/>
  <c r="M4" i="11"/>
  <c r="M11" i="11" s="1"/>
  <c r="M5" i="3"/>
  <c r="M4" i="17"/>
  <c r="I26" i="17"/>
  <c r="J21" i="17"/>
  <c r="J24" i="17" s="1"/>
  <c r="J26" i="17"/>
  <c r="K10" i="17"/>
  <c r="K9" i="17"/>
  <c r="I32" i="17"/>
  <c r="I92" i="11"/>
  <c r="I69" i="11"/>
  <c r="J9" i="11"/>
  <c r="K5" i="11"/>
  <c r="M26" i="15"/>
  <c r="J55" i="11"/>
  <c r="N15" i="7"/>
  <c r="M14" i="4"/>
  <c r="M5" i="4"/>
  <c r="K13" i="11"/>
  <c r="M8" i="4"/>
  <c r="M11" i="4"/>
  <c r="J35" i="5"/>
  <c r="P5" i="7"/>
  <c r="K35" i="5"/>
  <c r="L5" i="11"/>
  <c r="L6" i="11"/>
  <c r="L13" i="11"/>
  <c r="O10" i="7"/>
  <c r="O14" i="7" s="1"/>
  <c r="O4" i="3"/>
  <c r="P13" i="7"/>
  <c r="P7" i="7"/>
  <c r="M13" i="3"/>
  <c r="O13" i="3" s="1"/>
  <c r="M11" i="3"/>
  <c r="O11" i="3" s="1"/>
  <c r="L11" i="3"/>
  <c r="L13" i="3"/>
  <c r="J77" i="17" l="1"/>
  <c r="J78" i="17" s="1"/>
  <c r="J71" i="11"/>
  <c r="J72" i="11" s="1"/>
  <c r="I77" i="17"/>
  <c r="I78" i="17" s="1"/>
  <c r="I71" i="11"/>
  <c r="I72" i="11" s="1"/>
  <c r="K64" i="17"/>
  <c r="M6" i="17"/>
  <c r="M8" i="17" s="1"/>
  <c r="M5" i="17"/>
  <c r="M11" i="17"/>
  <c r="M13" i="17"/>
  <c r="J79" i="17"/>
  <c r="J81" i="17"/>
  <c r="J70" i="17"/>
  <c r="J74" i="17" s="1"/>
  <c r="J65" i="11"/>
  <c r="J66" i="11" s="1"/>
  <c r="L6" i="17"/>
  <c r="L8" i="17" s="1"/>
  <c r="L5" i="17"/>
  <c r="L11" i="17"/>
  <c r="L13" i="17"/>
  <c r="J64" i="17"/>
  <c r="I79" i="17"/>
  <c r="I81" i="17"/>
  <c r="I70" i="17"/>
  <c r="I74" i="17" s="1"/>
  <c r="I65" i="11"/>
  <c r="I66" i="11" s="1"/>
  <c r="K26" i="17"/>
  <c r="K77" i="17" s="1"/>
  <c r="K78" i="17" s="1"/>
  <c r="U6" i="15"/>
  <c r="U18" i="15" s="1"/>
  <c r="J89" i="11"/>
  <c r="I33" i="17"/>
  <c r="J30" i="17"/>
  <c r="J25" i="11"/>
  <c r="J92" i="11" s="1"/>
  <c r="J60" i="17"/>
  <c r="J61" i="17" s="1"/>
  <c r="J69" i="11"/>
  <c r="L8" i="11"/>
  <c r="L10" i="11" s="1"/>
  <c r="L6" i="3"/>
  <c r="L8" i="3" s="1"/>
  <c r="L10" i="3" s="1"/>
  <c r="O15" i="7"/>
  <c r="M5" i="11"/>
  <c r="M13" i="11"/>
  <c r="P10" i="7"/>
  <c r="P14" i="7" s="1"/>
  <c r="J32" i="17" l="1"/>
  <c r="T56" i="17"/>
  <c r="T57" i="17" s="1"/>
  <c r="U48" i="17" s="1"/>
  <c r="L10" i="17"/>
  <c r="L9" i="17"/>
  <c r="L18" i="17"/>
  <c r="W68" i="17"/>
  <c r="I71" i="17"/>
  <c r="M18" i="17"/>
  <c r="M9" i="17"/>
  <c r="M10" i="17"/>
  <c r="J71" i="17"/>
  <c r="X68" i="17"/>
  <c r="K79" i="17"/>
  <c r="K81" i="17"/>
  <c r="K65" i="11"/>
  <c r="K66" i="11" s="1"/>
  <c r="K70" i="17"/>
  <c r="K25" i="11"/>
  <c r="K92" i="11" s="1"/>
  <c r="K30" i="17"/>
  <c r="J59" i="17"/>
  <c r="K60" i="17" s="1"/>
  <c r="K61" i="17" s="1"/>
  <c r="K89" i="11"/>
  <c r="J33" i="17"/>
  <c r="I82" i="11"/>
  <c r="I87" i="17"/>
  <c r="V4" i="15"/>
  <c r="J79" i="11" s="1"/>
  <c r="J99" i="11" s="1"/>
  <c r="M20" i="15"/>
  <c r="M25" i="15" s="1"/>
  <c r="N26" i="15" s="1"/>
  <c r="M20" i="14"/>
  <c r="M25" i="14" s="1"/>
  <c r="N26" i="14" s="1"/>
  <c r="J54" i="11"/>
  <c r="K54" i="11" s="1"/>
  <c r="N20" i="14"/>
  <c r="N20" i="15"/>
  <c r="P15" i="7"/>
  <c r="K32" i="17" l="1"/>
  <c r="H34" i="17" s="1"/>
  <c r="U56" i="17"/>
  <c r="U57" i="17" s="1"/>
  <c r="V48" i="17" s="1"/>
  <c r="V57" i="17" s="1"/>
  <c r="W48" i="17" s="1"/>
  <c r="W57" i="17" s="1"/>
  <c r="J85" i="17"/>
  <c r="L21" i="17"/>
  <c r="L24" i="17" s="1"/>
  <c r="L25" i="11"/>
  <c r="O20" i="15" s="1"/>
  <c r="L30" i="17"/>
  <c r="V56" i="17" s="1"/>
  <c r="Y68" i="17"/>
  <c r="K71" i="17"/>
  <c r="M21" i="17"/>
  <c r="M24" i="17" s="1"/>
  <c r="K33" i="17"/>
  <c r="K59" i="17"/>
  <c r="N25" i="15"/>
  <c r="O26" i="15" s="1"/>
  <c r="N25" i="14"/>
  <c r="O26" i="14" s="1"/>
  <c r="K55" i="11"/>
  <c r="V6" i="15"/>
  <c r="V18" i="15" s="1"/>
  <c r="L89" i="11"/>
  <c r="K69" i="11"/>
  <c r="W6" i="15"/>
  <c r="W18" i="15" s="1"/>
  <c r="L55" i="11"/>
  <c r="L54" i="11"/>
  <c r="J8" i="3"/>
  <c r="L26" i="17" l="1"/>
  <c r="L77" i="17" s="1"/>
  <c r="L78" i="17" s="1"/>
  <c r="L59" i="17"/>
  <c r="M60" i="17" s="1"/>
  <c r="M61" i="17" s="1"/>
  <c r="L92" i="11"/>
  <c r="M89" i="11" s="1"/>
  <c r="O20" i="14"/>
  <c r="M32" i="17"/>
  <c r="M64" i="17"/>
  <c r="L79" i="17"/>
  <c r="L81" i="17"/>
  <c r="L70" i="17"/>
  <c r="L65" i="11"/>
  <c r="L66" i="11" s="1"/>
  <c r="L60" i="17"/>
  <c r="L61" i="17" s="1"/>
  <c r="M26" i="17"/>
  <c r="M77" i="17" s="1"/>
  <c r="M78" i="17" s="1"/>
  <c r="L64" i="17"/>
  <c r="L32" i="17"/>
  <c r="O25" i="15"/>
  <c r="P25" i="15" s="1"/>
  <c r="O25" i="14"/>
  <c r="P26" i="14" s="1"/>
  <c r="W4" i="15"/>
  <c r="J87" i="17"/>
  <c r="J82" i="11"/>
  <c r="M59" i="17"/>
  <c r="K82" i="11"/>
  <c r="X4" i="15"/>
  <c r="L85" i="17" s="1"/>
  <c r="K87" i="17"/>
  <c r="L69" i="11"/>
  <c r="X6" i="15"/>
  <c r="X18" i="15" s="1"/>
  <c r="M54" i="11"/>
  <c r="M55" i="11"/>
  <c r="J10" i="3"/>
  <c r="S6" i="3"/>
  <c r="J9" i="3"/>
  <c r="M92" i="11" l="1"/>
  <c r="H62" i="17"/>
  <c r="H63" i="17" s="1"/>
  <c r="L79" i="11"/>
  <c r="L99" i="11" s="1"/>
  <c r="P26" i="15"/>
  <c r="M81" i="17"/>
  <c r="M70" i="17"/>
  <c r="M79" i="17"/>
  <c r="M65" i="11"/>
  <c r="M66" i="11" s="1"/>
  <c r="K34" i="17"/>
  <c r="M33" i="17"/>
  <c r="M34" i="17"/>
  <c r="L34" i="17"/>
  <c r="L33" i="17"/>
  <c r="H35" i="17"/>
  <c r="H37" i="17" s="1"/>
  <c r="I34" i="17"/>
  <c r="J34" i="17"/>
  <c r="P25" i="14"/>
  <c r="L71" i="17"/>
  <c r="Z68" i="17"/>
  <c r="K62" i="17"/>
  <c r="K63" i="17" s="1"/>
  <c r="L62" i="17"/>
  <c r="L63" i="17" s="1"/>
  <c r="M62" i="17"/>
  <c r="M63" i="17" s="1"/>
  <c r="K85" i="17"/>
  <c r="K79" i="11"/>
  <c r="K99" i="11" s="1"/>
  <c r="I62" i="17"/>
  <c r="I63" i="17" s="1"/>
  <c r="J62" i="17"/>
  <c r="J63" i="17" s="1"/>
  <c r="L82" i="11"/>
  <c r="L87" i="17"/>
  <c r="Y6" i="15"/>
  <c r="Y18" i="15" s="1"/>
  <c r="Y4" i="15"/>
  <c r="M7" i="11"/>
  <c r="M6" i="11" s="1"/>
  <c r="AA68" i="17" l="1"/>
  <c r="M71" i="17"/>
  <c r="M82" i="11"/>
  <c r="M87" i="17"/>
  <c r="M79" i="11"/>
  <c r="M99" i="11" s="1"/>
  <c r="M85" i="17"/>
  <c r="M69" i="11"/>
  <c r="M6" i="3"/>
  <c r="M8" i="11"/>
  <c r="M9" i="11" l="1"/>
  <c r="M10" i="11"/>
  <c r="O6" i="3"/>
  <c r="M8" i="3"/>
  <c r="M10" i="3" l="1"/>
  <c r="M9" i="3"/>
  <c r="O8" i="3"/>
  <c r="K7" i="11" l="1"/>
  <c r="K6" i="11" s="1"/>
  <c r="K8" i="11" l="1"/>
  <c r="K6" i="3"/>
  <c r="K8" i="3" s="1"/>
  <c r="L9" i="3" l="1"/>
  <c r="K9" i="3"/>
  <c r="K10" i="3"/>
  <c r="K18" i="3"/>
  <c r="K18" i="11"/>
  <c r="K10" i="11"/>
  <c r="K9" i="11"/>
  <c r="L9" i="11"/>
  <c r="K19" i="3" l="1"/>
  <c r="K21" i="3" s="1"/>
  <c r="K19" i="11"/>
  <c r="K21" i="11" s="1"/>
  <c r="K56" i="11" l="1"/>
  <c r="W3" i="15"/>
  <c r="N17" i="14"/>
  <c r="N17" i="15"/>
  <c r="K27" i="11"/>
  <c r="K59" i="11"/>
  <c r="K75" i="11" l="1"/>
  <c r="K64" i="11"/>
  <c r="K73" i="11"/>
  <c r="K84" i="17"/>
  <c r="F84" i="17"/>
  <c r="F78" i="11"/>
  <c r="K78" i="11"/>
  <c r="K88" i="11" s="1"/>
  <c r="N22" i="14"/>
  <c r="N27" i="14"/>
  <c r="N22" i="15"/>
  <c r="N27" i="15"/>
  <c r="W5" i="15"/>
  <c r="K28" i="11"/>
  <c r="J16" i="3"/>
  <c r="J16" i="11" s="1"/>
  <c r="S8" i="3"/>
  <c r="L16" i="3"/>
  <c r="L17" i="3" s="1"/>
  <c r="M16" i="3"/>
  <c r="M18" i="3" s="1"/>
  <c r="M17" i="3"/>
  <c r="O17" i="3" s="1"/>
  <c r="I16" i="11"/>
  <c r="I17" i="11" s="1"/>
  <c r="K90" i="11" l="1"/>
  <c r="K98" i="11"/>
  <c r="K80" i="11"/>
  <c r="K86" i="17"/>
  <c r="I18" i="11"/>
  <c r="I19" i="11" s="1"/>
  <c r="I21" i="11" s="1"/>
  <c r="R8" i="11"/>
  <c r="K17" i="3"/>
  <c r="J18" i="11"/>
  <c r="J17" i="11"/>
  <c r="K17" i="11"/>
  <c r="M19" i="3"/>
  <c r="M21" i="3" s="1"/>
  <c r="O21" i="3" s="1"/>
  <c r="O18" i="3"/>
  <c r="L18" i="3"/>
  <c r="L16" i="11"/>
  <c r="M16" i="11"/>
  <c r="J18" i="3"/>
  <c r="J17" i="3"/>
  <c r="I56" i="11" l="1"/>
  <c r="U3" i="15"/>
  <c r="L17" i="15"/>
  <c r="L17" i="14"/>
  <c r="I27" i="11"/>
  <c r="I28" i="11" s="1"/>
  <c r="I59" i="11"/>
  <c r="J19" i="3"/>
  <c r="J21" i="3" s="1"/>
  <c r="M17" i="11"/>
  <c r="M18" i="11"/>
  <c r="L17" i="11"/>
  <c r="L18" i="11"/>
  <c r="L19" i="3"/>
  <c r="L21" i="3" s="1"/>
  <c r="J19" i="11"/>
  <c r="J21" i="11" s="1"/>
  <c r="I84" i="17" l="1"/>
  <c r="U5" i="15"/>
  <c r="I80" i="11" s="1"/>
  <c r="J56" i="11"/>
  <c r="I75" i="11"/>
  <c r="I64" i="11"/>
  <c r="I73" i="11"/>
  <c r="I86" i="17"/>
  <c r="D84" i="17"/>
  <c r="D78" i="11"/>
  <c r="I78" i="11"/>
  <c r="I88" i="11" s="1"/>
  <c r="L22" i="15"/>
  <c r="L27" i="15"/>
  <c r="V3" i="15"/>
  <c r="M17" i="14"/>
  <c r="M17" i="15"/>
  <c r="J27" i="11"/>
  <c r="L22" i="14"/>
  <c r="L27" i="14"/>
  <c r="J59" i="11"/>
  <c r="M19" i="11"/>
  <c r="M21" i="11" s="1"/>
  <c r="L19" i="11"/>
  <c r="L21" i="11" s="1"/>
  <c r="L56" i="11" l="1"/>
  <c r="M56" i="11"/>
  <c r="J75" i="11"/>
  <c r="J64" i="11"/>
  <c r="J73" i="11"/>
  <c r="I90" i="11"/>
  <c r="I98" i="11"/>
  <c r="J84" i="17"/>
  <c r="E84" i="17"/>
  <c r="E78" i="11"/>
  <c r="J78" i="11"/>
  <c r="J88" i="11" s="1"/>
  <c r="X3" i="15"/>
  <c r="O17" i="15"/>
  <c r="O17" i="14"/>
  <c r="L27" i="11"/>
  <c r="L28" i="11" s="1"/>
  <c r="Y3" i="15"/>
  <c r="P17" i="15"/>
  <c r="P17" i="14"/>
  <c r="V5" i="15"/>
  <c r="M22" i="15"/>
  <c r="M27" i="15"/>
  <c r="M22" i="14"/>
  <c r="M27" i="14"/>
  <c r="M59" i="11"/>
  <c r="M27" i="11"/>
  <c r="J28" i="11"/>
  <c r="L59" i="11"/>
  <c r="J80" i="11" l="1"/>
  <c r="M75" i="11"/>
  <c r="M64" i="11"/>
  <c r="M73" i="11"/>
  <c r="L75" i="11"/>
  <c r="L64" i="11"/>
  <c r="L73" i="11"/>
  <c r="J90" i="11"/>
  <c r="J98" i="11"/>
  <c r="M78" i="11"/>
  <c r="M88" i="11" s="1"/>
  <c r="M84" i="17"/>
  <c r="L78" i="11"/>
  <c r="L88" i="11" s="1"/>
  <c r="L84" i="17"/>
  <c r="J86" i="17"/>
  <c r="M57" i="11"/>
  <c r="M58" i="11" s="1"/>
  <c r="L57" i="11"/>
  <c r="L58" i="11" s="1"/>
  <c r="P22" i="14"/>
  <c r="P27" i="14"/>
  <c r="O22" i="14"/>
  <c r="O27" i="14"/>
  <c r="P22" i="15"/>
  <c r="P27" i="15"/>
  <c r="O22" i="15"/>
  <c r="O27" i="15"/>
  <c r="Y5" i="15"/>
  <c r="X5" i="15"/>
  <c r="T7" i="15" s="1"/>
  <c r="H57" i="11"/>
  <c r="H58" i="11" s="1"/>
  <c r="K57" i="11"/>
  <c r="K58" i="11" s="1"/>
  <c r="J57" i="11"/>
  <c r="J58" i="11" s="1"/>
  <c r="I29" i="11"/>
  <c r="H29" i="11"/>
  <c r="H30" i="11" s="1"/>
  <c r="H32" i="11" s="1"/>
  <c r="K29" i="11"/>
  <c r="M29" i="11"/>
  <c r="J29" i="11"/>
  <c r="L29" i="11"/>
  <c r="I57" i="11"/>
  <c r="I58" i="11" s="1"/>
  <c r="M28" i="11"/>
  <c r="T17" i="15" l="1"/>
  <c r="T9" i="15"/>
  <c r="T19" i="15" s="1"/>
  <c r="H83" i="11"/>
  <c r="M90" i="11"/>
  <c r="M93" i="11" s="1"/>
  <c r="M91" i="11" s="1"/>
  <c r="M98" i="11"/>
  <c r="L90" i="11"/>
  <c r="L98" i="11"/>
  <c r="L80" i="11"/>
  <c r="I109" i="11" s="1"/>
  <c r="L86" i="17"/>
  <c r="M80" i="11"/>
  <c r="M86" i="17"/>
  <c r="K23" i="14"/>
  <c r="L23" i="15"/>
  <c r="L23" i="14"/>
  <c r="K28" i="15"/>
  <c r="K29" i="15" s="1"/>
  <c r="K28" i="14"/>
  <c r="K29" i="14" s="1"/>
  <c r="P23" i="15"/>
  <c r="O23" i="15"/>
  <c r="M23" i="14"/>
  <c r="P23" i="14"/>
  <c r="O23" i="14"/>
  <c r="W7" i="15"/>
  <c r="W17" i="15" s="1"/>
  <c r="V7" i="15"/>
  <c r="V17" i="15" s="1"/>
  <c r="U7" i="15"/>
  <c r="Y7" i="15"/>
  <c r="X7" i="15"/>
  <c r="X17" i="15" s="1"/>
  <c r="N23" i="15"/>
  <c r="M23" i="15"/>
  <c r="K23" i="15"/>
  <c r="N23" i="14"/>
  <c r="H109" i="11" l="1"/>
  <c r="I100" i="11" s="1"/>
  <c r="L93" i="11"/>
  <c r="L91" i="11" s="1"/>
  <c r="J93" i="11"/>
  <c r="J91" i="11" s="1"/>
  <c r="M83" i="11"/>
  <c r="Y17" i="15"/>
  <c r="I83" i="11"/>
  <c r="U17" i="15"/>
  <c r="M109" i="11"/>
  <c r="M103" i="11" s="1"/>
  <c r="M104" i="11" s="1"/>
  <c r="L109" i="11"/>
  <c r="L103" i="11" s="1"/>
  <c r="L104" i="11" s="1"/>
  <c r="K109" i="11"/>
  <c r="K103" i="11" s="1"/>
  <c r="K104" i="11" s="1"/>
  <c r="J109" i="11"/>
  <c r="J103" i="11" s="1"/>
  <c r="J104" i="11" s="1"/>
  <c r="H93" i="11"/>
  <c r="H91" i="11" s="1"/>
  <c r="I103" i="11"/>
  <c r="I104" i="11" s="1"/>
  <c r="I101" i="11"/>
  <c r="K93" i="11"/>
  <c r="K91" i="11" s="1"/>
  <c r="I93" i="11"/>
  <c r="I91" i="11" s="1"/>
  <c r="J83" i="11"/>
  <c r="J88" i="17"/>
  <c r="L83" i="11"/>
  <c r="L88" i="17"/>
  <c r="K83" i="11"/>
  <c r="K88" i="17"/>
  <c r="M88" i="17"/>
  <c r="I88" i="17"/>
  <c r="H88" i="17"/>
  <c r="X9" i="15"/>
  <c r="X19" i="15" s="1"/>
  <c r="Y9" i="15"/>
  <c r="Y19" i="15" s="1"/>
  <c r="V9" i="15"/>
  <c r="V19" i="15" s="1"/>
  <c r="W9" i="15"/>
  <c r="W19" i="15" s="1"/>
  <c r="U9" i="15"/>
  <c r="I81" i="11" l="1"/>
  <c r="U19" i="15"/>
  <c r="M101" i="11"/>
  <c r="J100" i="11"/>
  <c r="H103" i="11"/>
  <c r="H104" i="11" s="1"/>
  <c r="J101" i="11"/>
  <c r="L101" i="11"/>
  <c r="K101" i="11"/>
  <c r="H81" i="11"/>
  <c r="L81" i="11"/>
  <c r="L90" i="17"/>
  <c r="K81" i="11"/>
  <c r="K90" i="17"/>
  <c r="J81" i="11"/>
  <c r="J90" i="17"/>
  <c r="M81" i="11"/>
  <c r="M90" i="17"/>
  <c r="H90" i="17"/>
  <c r="I90" i="17"/>
  <c r="L100" i="11" l="1"/>
  <c r="K100" i="11"/>
  <c r="M100" i="11"/>
</calcChain>
</file>

<file path=xl/sharedStrings.xml><?xml version="1.0" encoding="utf-8"?>
<sst xmlns="http://schemas.openxmlformats.org/spreadsheetml/2006/main" count="1518" uniqueCount="694">
  <si>
    <t>Date</t>
  </si>
  <si>
    <t>Price</t>
  </si>
  <si>
    <t>Revenue</t>
  </si>
  <si>
    <t>Gross Profit</t>
  </si>
  <si>
    <t>Net Profit</t>
  </si>
  <si>
    <t>% Change in Revenue</t>
  </si>
  <si>
    <t>% Change in Net Profit</t>
  </si>
  <si>
    <t>% Change in Gross Profit</t>
  </si>
  <si>
    <t>Profit Margins</t>
  </si>
  <si>
    <t>Gross Profit Margin</t>
  </si>
  <si>
    <t>Net Profit Margin</t>
  </si>
  <si>
    <t>HALF YEARLY REPORT</t>
  </si>
  <si>
    <t>Period End Date</t>
  </si>
  <si>
    <t>30-Sep-2015 </t>
  </si>
  <si>
    <t>Cost of Goods Sold</t>
  </si>
  <si>
    <t>% change in GP</t>
  </si>
  <si>
    <t>GP Margin</t>
  </si>
  <si>
    <t>Revenue by Segment</t>
  </si>
  <si>
    <t>Automotive</t>
  </si>
  <si>
    <t>Industrial Power Control</t>
  </si>
  <si>
    <t>Power Management and Multi Market</t>
  </si>
  <si>
    <t>Digital Security Solution</t>
  </si>
  <si>
    <t>Other Operating Segment</t>
  </si>
  <si>
    <t>Corporate and Eliminations</t>
  </si>
  <si>
    <t>Q2 FY 19</t>
  </si>
  <si>
    <t>Q3 FY 19</t>
  </si>
  <si>
    <t>Q4 FY 19</t>
  </si>
  <si>
    <t>Q1 FY 20</t>
  </si>
  <si>
    <t>Q2 FY 20</t>
  </si>
  <si>
    <t>Q3 FY 2020(E)</t>
  </si>
  <si>
    <t>Q4 FY 2020(E)</t>
  </si>
  <si>
    <t>Power and Sensor System</t>
  </si>
  <si>
    <t>FY 2020</t>
  </si>
  <si>
    <t>COGS</t>
  </si>
  <si>
    <t>% of Revenue</t>
  </si>
  <si>
    <t>Yearly growth</t>
  </si>
  <si>
    <t>YoY % change in Revenue</t>
  </si>
  <si>
    <t>R &amp; D Expenses</t>
  </si>
  <si>
    <t>Selling, G &amp; A Expenses</t>
  </si>
  <si>
    <t>Other Operating income &amp; expenses, net</t>
  </si>
  <si>
    <t>EBIT=OP</t>
  </si>
  <si>
    <t>30-09-2020E</t>
  </si>
  <si>
    <t>30-09-2021E</t>
  </si>
  <si>
    <t>30-09-2022E</t>
  </si>
  <si>
    <t>30-09-2023E</t>
  </si>
  <si>
    <t>30-09-2024E</t>
  </si>
  <si>
    <t>2020E</t>
  </si>
  <si>
    <t>2021E</t>
  </si>
  <si>
    <t>2022E</t>
  </si>
  <si>
    <t>2023E</t>
  </si>
  <si>
    <t>Tax</t>
  </si>
  <si>
    <t>NOPAT</t>
  </si>
  <si>
    <t>YoY Tax %</t>
  </si>
  <si>
    <t>Current Tax Expenses</t>
  </si>
  <si>
    <t>Deffered Tax Benefits</t>
  </si>
  <si>
    <t>Income Tax</t>
  </si>
  <si>
    <t>2024E</t>
  </si>
  <si>
    <t>Total Growth</t>
  </si>
  <si>
    <t>YoY change in %</t>
  </si>
  <si>
    <t>% change in COGS</t>
  </si>
  <si>
    <t>R&amp;D</t>
  </si>
  <si>
    <t>YoY trend in %</t>
  </si>
  <si>
    <t>Other income &amp; Expense</t>
  </si>
  <si>
    <t xml:space="preserve">% Change </t>
  </si>
  <si>
    <t xml:space="preserve"> </t>
  </si>
  <si>
    <t>CAGR(2015-2019)</t>
  </si>
  <si>
    <t>CAGR(2020-2024)</t>
  </si>
  <si>
    <t>Trend(2015-2019)</t>
  </si>
  <si>
    <t>Cash Flow-Operating Activities (€ Millions)</t>
  </si>
  <si>
    <t>Net Income</t>
  </si>
  <si>
    <t>Net interest result</t>
  </si>
  <si>
    <t>Income tax</t>
  </si>
  <si>
    <t>Net cash provided by (used in) operating</t>
  </si>
  <si>
    <t>P/L from Discontinued Operations to Rec</t>
  </si>
  <si>
    <t>Other non-cash result</t>
  </si>
  <si>
    <t>Loss (gain) from sale of RF power busine</t>
  </si>
  <si>
    <t>--</t>
  </si>
  <si>
    <t>Realized G/L on Fixed Assets</t>
  </si>
  <si>
    <t>Impairment charges (reversal of impairme</t>
  </si>
  <si>
    <t>Change in trade receivables</t>
  </si>
  <si>
    <t>Change in inventories</t>
  </si>
  <si>
    <t>Change in trade payables</t>
  </si>
  <si>
    <t>Change in provisions</t>
  </si>
  <si>
    <t>Dividends received from joint ventures</t>
  </si>
  <si>
    <t>Change in other assets and liabilities</t>
  </si>
  <si>
    <t>Interest Received</t>
  </si>
  <si>
    <t>Interest Paid</t>
  </si>
  <si>
    <t>Income tax paid</t>
  </si>
  <si>
    <t>Cash from Operating Activities</t>
  </si>
  <si>
    <t>Cash Flow-Investing Activities (€ Millions)</t>
  </si>
  <si>
    <t>Purchase of Invest Sec. - Unclassified</t>
  </si>
  <si>
    <t>Purchases of other equity investments</t>
  </si>
  <si>
    <t>Purchases of financial investments</t>
  </si>
  <si>
    <t>Proceeds from sales of financial investm</t>
  </si>
  <si>
    <t>Sale of Business</t>
  </si>
  <si>
    <t>Acquisition of Business</t>
  </si>
  <si>
    <t>Purchases of intangible assets and other</t>
  </si>
  <si>
    <t>Purchase of Fixed Assets</t>
  </si>
  <si>
    <t>Sale of Fixed Assets</t>
  </si>
  <si>
    <t>Net cash used in investing activities fr</t>
  </si>
  <si>
    <t>Cash from Investing Activities</t>
  </si>
  <si>
    <t>Cash Flow-Financing Activities (€ Millions)</t>
  </si>
  <si>
    <t>Net change in short-term debt</t>
  </si>
  <si>
    <t>Deposits from finance relate derivatives</t>
  </si>
  <si>
    <t>Other Financing Cash Flow</t>
  </si>
  <si>
    <t>Cash outflows due to changes of non-cont</t>
  </si>
  <si>
    <t>Net change in related party financial re</t>
  </si>
  <si>
    <t>Repurchase of subordinated convertible b</t>
  </si>
  <si>
    <t>Proceeds from issuance of long-term debt</t>
  </si>
  <si>
    <t>Repayments of long-term debt</t>
  </si>
  <si>
    <t>Proceeds from the issuance of put option</t>
  </si>
  <si>
    <t>Change in cash deposited as collateral</t>
  </si>
  <si>
    <t>Proceeds from issuance of shares</t>
  </si>
  <si>
    <t>Dividend payments</t>
  </si>
  <si>
    <t>Discontinued Operations - Financing</t>
  </si>
  <si>
    <t>Cash from Financing Activities</t>
  </si>
  <si>
    <t>Foreign Exchange Effects</t>
  </si>
  <si>
    <t>Net Change in Cash</t>
  </si>
  <si>
    <t>Net Cash - Beginning Balance</t>
  </si>
  <si>
    <t>Net Cash - Ending Balance</t>
  </si>
  <si>
    <t>Cash Interest Paid</t>
  </si>
  <si>
    <t>Cash Taxes Paid</t>
  </si>
  <si>
    <t>Free Cash Flow</t>
  </si>
  <si>
    <t>Assets (€ Millions)</t>
  </si>
  <si>
    <t>Cash and cash equivalents</t>
  </si>
  <si>
    <t>Restricted Cash</t>
  </si>
  <si>
    <t>Financial investments</t>
  </si>
  <si>
    <t>Gross Receivables</t>
  </si>
  <si>
    <t>Doubtful Accounts</t>
  </si>
  <si>
    <t>Other Current Assets - Balancing value</t>
  </si>
  <si>
    <t>Raw Materials</t>
  </si>
  <si>
    <t>Work In Process</t>
  </si>
  <si>
    <t>Finished Goods</t>
  </si>
  <si>
    <t>Income tax receivable</t>
  </si>
  <si>
    <t>Income Tax Receivables, Net/Gross</t>
  </si>
  <si>
    <t>Prepayments</t>
  </si>
  <si>
    <t>Other Current Assets</t>
  </si>
  <si>
    <t>Cur.Derivative Fin. Instrument-Hedging</t>
  </si>
  <si>
    <t>Assets classified as held for sale</t>
  </si>
  <si>
    <t>Contract Assets</t>
  </si>
  <si>
    <t>Total Current Assets</t>
  </si>
  <si>
    <t>Research &amp; Development Costs, Gross</t>
  </si>
  <si>
    <t>Customer relationships, Gross</t>
  </si>
  <si>
    <t>Technologies, Gross</t>
  </si>
  <si>
    <t>Licen.Franc.Right,Contr. Mod.Design,G</t>
  </si>
  <si>
    <t>Other Intangibles, Gross</t>
  </si>
  <si>
    <t>Acc Amort Research &amp; Development Costs</t>
  </si>
  <si>
    <t>Acc Amort/Imp Customer relationships</t>
  </si>
  <si>
    <t>Acc Amort/ImpTechnologies</t>
  </si>
  <si>
    <t>AccAmortLicen.Franc.RightContr.Mod.Desig</t>
  </si>
  <si>
    <t>Acc Amort/Imp Other Intangibles</t>
  </si>
  <si>
    <t>Land, land rights and buildings</t>
  </si>
  <si>
    <t>Technical equipment/Machinery</t>
  </si>
  <si>
    <t>Other Plan/Equipment</t>
  </si>
  <si>
    <t>Construction in progress</t>
  </si>
  <si>
    <t>Acc DeprLand, land rights and buildings</t>
  </si>
  <si>
    <t>Acc Depr. Plant/machinery</t>
  </si>
  <si>
    <t>Acc Depr/Imp Other Plan/Equipment</t>
  </si>
  <si>
    <t>Acc Depr/Imp Construction in Progress</t>
  </si>
  <si>
    <t>Investments accounted for using the equi</t>
  </si>
  <si>
    <t>Investments in other equity investments</t>
  </si>
  <si>
    <t>Securities</t>
  </si>
  <si>
    <t>LT Restricted Cash</t>
  </si>
  <si>
    <t>Deferred tax assets</t>
  </si>
  <si>
    <t>Other Assets</t>
  </si>
  <si>
    <t>Other non-current assets</t>
  </si>
  <si>
    <t>Acc Amort/Imp Goodwill</t>
  </si>
  <si>
    <t>Goodwill, Gross</t>
  </si>
  <si>
    <t>Prepaid Expenses</t>
  </si>
  <si>
    <t>Non-current income tax receivable</t>
  </si>
  <si>
    <t>Long-term receivables</t>
  </si>
  <si>
    <t>Total Assets</t>
  </si>
  <si>
    <t>Liabilities (€ Millions)</t>
  </si>
  <si>
    <t>Cur Portion LT Debt excl Capital Lease</t>
  </si>
  <si>
    <t>Short-term debt and current maturities o</t>
  </si>
  <si>
    <t>Trade payables</t>
  </si>
  <si>
    <t>Other Current Liabilities - rest</t>
  </si>
  <si>
    <t>Derivative financial instruments with</t>
  </si>
  <si>
    <t>Other Current Liabilities</t>
  </si>
  <si>
    <t>Short-term provisions</t>
  </si>
  <si>
    <t>Income Tax Payable</t>
  </si>
  <si>
    <t>VAT and other taxes payable</t>
  </si>
  <si>
    <t>Payroll obligations to employees</t>
  </si>
  <si>
    <t>Advance payments</t>
  </si>
  <si>
    <t>Deferred Income ST</t>
  </si>
  <si>
    <t>Other current liabilities</t>
  </si>
  <si>
    <t>Total Current Liabilities</t>
  </si>
  <si>
    <t>Long-term debt</t>
  </si>
  <si>
    <t>Total Long Term Debt</t>
  </si>
  <si>
    <t>Pension plans and similar commitments</t>
  </si>
  <si>
    <t>Other non-current liabilities - Balancin</t>
  </si>
  <si>
    <t>Deferred Income</t>
  </si>
  <si>
    <t>Deferred tax liabilities</t>
  </si>
  <si>
    <t>Long-term provisions</t>
  </si>
  <si>
    <t>Other non-current liabilities</t>
  </si>
  <si>
    <t>Non-controlling interests</t>
  </si>
  <si>
    <t>Total Liabilities</t>
  </si>
  <si>
    <t>Shareholders Equity (€ Millions)</t>
  </si>
  <si>
    <t>Cost of hedges</t>
  </si>
  <si>
    <t>Hedges</t>
  </si>
  <si>
    <t>Ordinary share capital</t>
  </si>
  <si>
    <t>Additional paid-in capital</t>
  </si>
  <si>
    <t>Retained earnings (accumulated deficit)</t>
  </si>
  <si>
    <t>Foreign currency translation adjustment</t>
  </si>
  <si>
    <t>Unrealized Gain/Loss on Investments</t>
  </si>
  <si>
    <t>Own shares at cost</t>
  </si>
  <si>
    <t>Put options on own shares</t>
  </si>
  <si>
    <t>Total Equity</t>
  </si>
  <si>
    <t>Total Liabilities &amp; Shareholders' Equity</t>
  </si>
  <si>
    <t>Net Working Capital = Current Asset - Current Liability</t>
  </si>
  <si>
    <t>Current Liabilities (€ Millions):</t>
  </si>
  <si>
    <t>Current Assets (€ Millions):</t>
  </si>
  <si>
    <t>Net Operating Working Capital</t>
  </si>
  <si>
    <t>Delta Net Operating Working Capital</t>
  </si>
  <si>
    <t>YoY % Change</t>
  </si>
  <si>
    <t>% of Sales</t>
  </si>
  <si>
    <t>Avg Change(Based on Revenue)</t>
  </si>
  <si>
    <t>Operating Current Assets</t>
  </si>
  <si>
    <t>Operating Current Liabilities</t>
  </si>
  <si>
    <t xml:space="preserve">Other Current Liabilities </t>
  </si>
  <si>
    <t>HISTORICAL FIGURES</t>
  </si>
  <si>
    <t>FORECAST</t>
  </si>
  <si>
    <t>Trend analysis (2015-2019)</t>
  </si>
  <si>
    <t>USD to Euro</t>
  </si>
  <si>
    <t>Exchange Rate(Avg)</t>
  </si>
  <si>
    <t>Avg R&amp;D</t>
  </si>
  <si>
    <t>Selling, G &amp; A Expense</t>
  </si>
  <si>
    <t>(in mn)</t>
  </si>
  <si>
    <t>Revenue grth rate</t>
  </si>
  <si>
    <t>COGS  % of Revenue</t>
  </si>
  <si>
    <t>CYPRESS(in thousands Euro )</t>
  </si>
  <si>
    <t>Assets:</t>
  </si>
  <si>
    <t>Trade Receivables</t>
  </si>
  <si>
    <t>Total CA</t>
  </si>
  <si>
    <t>Inventories</t>
  </si>
  <si>
    <t>PP &amp; E</t>
  </si>
  <si>
    <t>Goodwill and Other intangible Assets</t>
  </si>
  <si>
    <t>Non current Income tax recievables</t>
  </si>
  <si>
    <t>Deffered tax assets</t>
  </si>
  <si>
    <t>Other non Current Assets</t>
  </si>
  <si>
    <t>Total non Current Assets</t>
  </si>
  <si>
    <t>Invtmts aconted for using equity mtd</t>
  </si>
  <si>
    <t>Liabilities and Equity:</t>
  </si>
  <si>
    <t xml:space="preserve">Short term debt </t>
  </si>
  <si>
    <t>Trade Payables</t>
  </si>
  <si>
    <t>Total CL</t>
  </si>
  <si>
    <t>Long Term Debt</t>
  </si>
  <si>
    <t>Pension plan and similar commitments</t>
  </si>
  <si>
    <t>Deffered tax liabilities</t>
  </si>
  <si>
    <t>Long term Provisions</t>
  </si>
  <si>
    <t>Other non current liabilities</t>
  </si>
  <si>
    <t>Total non current labilities</t>
  </si>
  <si>
    <t>Income tax payables</t>
  </si>
  <si>
    <t>Short term Provisions</t>
  </si>
  <si>
    <t>Other CL</t>
  </si>
  <si>
    <t>Total Liabilities and Equity</t>
  </si>
  <si>
    <t xml:space="preserve">Inventories </t>
  </si>
  <si>
    <t>Assets held for sale</t>
  </si>
  <si>
    <t>Cypress</t>
  </si>
  <si>
    <t>Operating lease risght of use assets</t>
  </si>
  <si>
    <t>Intangible assets</t>
  </si>
  <si>
    <t>Equity Method investments</t>
  </si>
  <si>
    <t>Accrued Compensation</t>
  </si>
  <si>
    <t>2017(in mn)</t>
  </si>
  <si>
    <t>2017(in thsnds)</t>
  </si>
  <si>
    <t>2018(in mn)</t>
  </si>
  <si>
    <t>2019(in mn)</t>
  </si>
  <si>
    <t>Forecasting Operating Current Assets:</t>
  </si>
  <si>
    <t>Forecasting Operating Current Liabilities:</t>
  </si>
  <si>
    <t>Other Current Assets -</t>
  </si>
  <si>
    <t>Depreciation and Amortization</t>
  </si>
  <si>
    <t>Plus: loss from discounted Operations</t>
  </si>
  <si>
    <t>Property Plant &amp; Equipment(Beginning)</t>
  </si>
  <si>
    <t>Disposals</t>
  </si>
  <si>
    <t>Sum</t>
  </si>
  <si>
    <t>Depreciation &amp; Imparement</t>
  </si>
  <si>
    <t>Forex Effect</t>
  </si>
  <si>
    <t>Property Plant &amp; Equipment(End)</t>
  </si>
  <si>
    <t>Acquisitions(Avg % of PPE)</t>
  </si>
  <si>
    <t>Disposals(Average % of PPE)</t>
  </si>
  <si>
    <t>in %</t>
  </si>
  <si>
    <t xml:space="preserve">Average </t>
  </si>
  <si>
    <t>(+) Depreciation</t>
  </si>
  <si>
    <t>(-) Capex</t>
  </si>
  <si>
    <t>Delta NWC</t>
  </si>
  <si>
    <t>Purchase of Fixed Assets(% of Revenue)</t>
  </si>
  <si>
    <t>Average (in % of Revenue)</t>
  </si>
  <si>
    <t>Capex</t>
  </si>
  <si>
    <t>Dep</t>
  </si>
  <si>
    <t>% of Depreciation</t>
  </si>
  <si>
    <t>WACC</t>
  </si>
  <si>
    <t>ß</t>
  </si>
  <si>
    <t>debt interest ratio</t>
  </si>
  <si>
    <t>equity interest rate</t>
  </si>
  <si>
    <t>risk free rate</t>
  </si>
  <si>
    <t>market interest rate</t>
  </si>
  <si>
    <t>market risk premium</t>
  </si>
  <si>
    <t>tax rate</t>
  </si>
  <si>
    <t>debt ratio</t>
  </si>
  <si>
    <t>equity ratio (market value)</t>
  </si>
  <si>
    <t>Debt</t>
  </si>
  <si>
    <t>Equity</t>
  </si>
  <si>
    <t>Shares Outstanding(in mn)</t>
  </si>
  <si>
    <t>Share Price</t>
  </si>
  <si>
    <t>Dec 30, 2019</t>
  </si>
  <si>
    <t>Dec 27,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</si>
  <si>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</si>
  <si>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</si>
  <si>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</si>
  <si>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</si>
  <si>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</si>
  <si>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</si>
  <si>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</si>
  <si>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</si>
  <si>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</si>
  <si>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</si>
  <si>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</si>
  <si>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</si>
  <si>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</si>
  <si>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</si>
  <si>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</si>
  <si>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</si>
  <si>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</si>
  <si>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28,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</si>
  <si>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</si>
  <si>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</si>
  <si>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</si>
  <si>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</si>
  <si>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</si>
  <si>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</si>
  <si>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</si>
  <si>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</si>
  <si>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</si>
  <si>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</si>
  <si>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</si>
  <si>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</si>
  <si>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</si>
  <si>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</si>
  <si>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</si>
  <si>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</si>
  <si>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</si>
  <si>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</si>
  <si>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</si>
  <si>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</si>
  <si>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</si>
  <si>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</si>
  <si>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</si>
  <si>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</si>
  <si>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</si>
  <si>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</si>
  <si>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</si>
  <si>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</si>
  <si>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</si>
  <si>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</si>
  <si>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</si>
  <si>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</si>
  <si>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</si>
  <si>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</si>
  <si>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</si>
  <si>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</si>
  <si>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</si>
  <si>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</si>
  <si>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</si>
  <si>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</si>
  <si>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</si>
  <si>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</si>
  <si>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</si>
  <si>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</si>
  <si>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</si>
  <si>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</si>
  <si>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</si>
  <si>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</si>
  <si>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</si>
  <si>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</si>
  <si>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</si>
  <si>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</si>
  <si>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</si>
  <si>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</si>
  <si>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</si>
  <si>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</si>
  <si>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</si>
  <si>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</si>
  <si>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</si>
  <si>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</si>
  <si>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</si>
  <si>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Sep 02,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</si>
  <si>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</si>
  <si>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</si>
  <si>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</si>
  <si>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</si>
  <si>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</si>
  <si>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</si>
  <si>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</si>
  <si>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</si>
  <si>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</si>
  <si>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</si>
  <si>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</si>
  <si>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</si>
  <si>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</si>
  <si>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</si>
  <si>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</si>
  <si>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</si>
  <si>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</si>
  <si>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</si>
  <si>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</si>
  <si>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</si>
  <si>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</si>
  <si>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</si>
  <si>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</si>
  <si>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</si>
  <si>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</si>
  <si>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</si>
  <si>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</si>
  <si>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</si>
  <si>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</si>
  <si>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</si>
  <si>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</si>
  <si>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</si>
  <si>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</si>
  <si>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</si>
  <si>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</si>
  <si>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</si>
  <si>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</si>
  <si>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</si>
  <si>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</si>
  <si>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</si>
  <si>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</si>
  <si>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</si>
  <si>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</si>
  <si>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</si>
  <si>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</si>
  <si>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Change %</t>
  </si>
  <si>
    <t>Infineon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</si>
  <si>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</si>
  <si>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</si>
  <si>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</si>
  <si>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</si>
  <si>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</si>
  <si>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</si>
  <si>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</si>
  <si>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</si>
  <si>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</si>
  <si>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</si>
  <si>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</si>
  <si>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</si>
  <si>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</si>
  <si>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</si>
  <si>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</si>
  <si>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</si>
  <si>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</si>
  <si>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</si>
  <si>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</si>
  <si>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</si>
  <si>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</si>
  <si>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</si>
  <si>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</si>
  <si>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</si>
  <si>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</si>
  <si>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</si>
  <si>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</si>
  <si>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</si>
  <si>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</si>
  <si>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</si>
  <si>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</si>
  <si>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</si>
  <si>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</si>
  <si>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</si>
  <si>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</si>
  <si>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</si>
  <si>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</si>
  <si>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</si>
  <si>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</si>
  <si>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</si>
  <si>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</si>
  <si>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Apr 30, 2019</t>
  </si>
  <si>
    <t>Apr 29, 2019</t>
  </si>
  <si>
    <t>Apr 26, 2019</t>
  </si>
  <si>
    <t>Apr 25, 2019</t>
  </si>
  <si>
    <t>Apr 24, 2019</t>
  </si>
  <si>
    <t>Apr 23,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</si>
  <si>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</si>
  <si>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</si>
  <si>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</si>
  <si>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</si>
  <si>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</si>
  <si>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</si>
  <si>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</si>
  <si>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</si>
  <si>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</si>
  <si>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</si>
  <si>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</si>
  <si>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</si>
  <si>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</si>
  <si>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</si>
  <si>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</si>
  <si>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</si>
  <si>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</si>
  <si>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</si>
  <si>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</si>
  <si>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</si>
  <si>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</si>
  <si>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</si>
  <si>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</si>
  <si>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</si>
  <si>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</si>
  <si>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</si>
  <si>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</si>
  <si>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</si>
  <si>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</si>
  <si>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</si>
  <si>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</si>
  <si>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</si>
  <si>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</si>
  <si>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</si>
  <si>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</si>
  <si>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</si>
  <si>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</si>
  <si>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</si>
  <si>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</si>
  <si>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</si>
  <si>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</si>
  <si>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</si>
  <si>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</si>
  <si>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</si>
  <si>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</si>
  <si>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</si>
  <si>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</si>
  <si>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</si>
  <si>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</si>
  <si>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</si>
  <si>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</si>
  <si>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</si>
  <si>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</si>
  <si>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</si>
  <si>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</si>
  <si>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</si>
  <si>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</si>
  <si>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</si>
  <si>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</si>
  <si>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</si>
  <si>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</si>
  <si>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</si>
  <si>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</si>
  <si>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</si>
  <si>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</si>
  <si>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</si>
  <si>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</si>
  <si>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</si>
  <si>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</si>
  <si>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</si>
  <si>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</si>
  <si>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</si>
  <si>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</si>
  <si>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</si>
  <si>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Standard deviation</t>
  </si>
  <si>
    <t>Covariance</t>
  </si>
  <si>
    <t>Variance</t>
  </si>
  <si>
    <t>Beta</t>
  </si>
  <si>
    <t>DSS</t>
  </si>
  <si>
    <t>PSS</t>
  </si>
  <si>
    <t>ATV</t>
  </si>
  <si>
    <t>IPC</t>
  </si>
  <si>
    <t>Asia</t>
  </si>
  <si>
    <t>North America</t>
  </si>
  <si>
    <t>UK</t>
  </si>
  <si>
    <t>ROW</t>
  </si>
  <si>
    <t>Germany</t>
  </si>
  <si>
    <t>Europe</t>
  </si>
  <si>
    <t xml:space="preserve">Revenue </t>
  </si>
  <si>
    <t>Greater China</t>
  </si>
  <si>
    <t>APAC</t>
  </si>
  <si>
    <t>Japan</t>
  </si>
  <si>
    <t>America</t>
  </si>
  <si>
    <t>EMEA</t>
  </si>
  <si>
    <t>Book Value of Equity</t>
  </si>
  <si>
    <t>Market Value of Equity</t>
  </si>
  <si>
    <t>Year</t>
  </si>
  <si>
    <t>Smart Card and Security Ics</t>
  </si>
  <si>
    <t>NXP</t>
  </si>
  <si>
    <t>Infineon Technologies</t>
  </si>
  <si>
    <t>Samsung</t>
  </si>
  <si>
    <t>STMicro electronics</t>
  </si>
  <si>
    <t>CEC Honda</t>
  </si>
  <si>
    <t>OM Semi conductors</t>
  </si>
  <si>
    <t>Toshiba</t>
  </si>
  <si>
    <t>Renesas</t>
  </si>
  <si>
    <t>IPM</t>
  </si>
  <si>
    <t>Texas Instruments</t>
  </si>
  <si>
    <t>Automotive Semiconductor</t>
  </si>
  <si>
    <t>Power MOFSET (Market Share 2018)</t>
  </si>
  <si>
    <t>Mitsbushi</t>
  </si>
  <si>
    <t>ON Semi conductors</t>
  </si>
  <si>
    <t>Fuji Electronics</t>
  </si>
  <si>
    <t>Semikron</t>
  </si>
  <si>
    <t>DPS</t>
  </si>
  <si>
    <t xml:space="preserve"> Revenue</t>
  </si>
  <si>
    <t xml:space="preserve"> YoY % change in Revenue</t>
  </si>
  <si>
    <t xml:space="preserve"> Cost of Goods Sold</t>
  </si>
  <si>
    <t xml:space="preserve"> % of Revenue</t>
  </si>
  <si>
    <t xml:space="preserve"> Gross Profit</t>
  </si>
  <si>
    <t xml:space="preserve"> % change in GP</t>
  </si>
  <si>
    <t xml:space="preserve"> GP Margin</t>
  </si>
  <si>
    <t xml:space="preserve"> R &amp; D Expenses</t>
  </si>
  <si>
    <t xml:space="preserve"> Selling, G &amp; A Expenses</t>
  </si>
  <si>
    <t xml:space="preserve"> Other Operating income &amp; expenses, net</t>
  </si>
  <si>
    <t xml:space="preserve"> EBIT=OP</t>
  </si>
  <si>
    <t xml:space="preserve"> Tax</t>
  </si>
  <si>
    <t xml:space="preserve"> YoY Tax %</t>
  </si>
  <si>
    <t xml:space="preserve"> NOPAT</t>
  </si>
  <si>
    <t>Additions</t>
  </si>
  <si>
    <t>Enterprise value</t>
  </si>
  <si>
    <t>Depreciation</t>
  </si>
  <si>
    <t>Debt Ratio</t>
  </si>
  <si>
    <t>Equity Value</t>
  </si>
  <si>
    <t>Discounted to t0</t>
  </si>
  <si>
    <t>TEC DAX</t>
  </si>
  <si>
    <t>BIC</t>
  </si>
  <si>
    <t>Cost of Capital</t>
  </si>
  <si>
    <t>EVA</t>
  </si>
  <si>
    <t>MVA</t>
  </si>
  <si>
    <t>EBIT Margin</t>
  </si>
  <si>
    <t>EV</t>
  </si>
  <si>
    <t>PRESENT</t>
  </si>
  <si>
    <t>Share Price*Shares O/S</t>
  </si>
  <si>
    <t>Total (Debt+Equity)</t>
  </si>
  <si>
    <t>Cost of Equity</t>
  </si>
  <si>
    <t>Cost of Debt</t>
  </si>
  <si>
    <t>Off Balancesheet Debt</t>
  </si>
  <si>
    <t>DEP</t>
  </si>
  <si>
    <t>INVST</t>
  </si>
  <si>
    <t>NWC</t>
  </si>
  <si>
    <t>COC</t>
  </si>
  <si>
    <t>DELTA NWC</t>
  </si>
  <si>
    <t>FCF</t>
  </si>
  <si>
    <t>CoC</t>
  </si>
  <si>
    <t>eva</t>
  </si>
  <si>
    <t>mva</t>
  </si>
  <si>
    <t>CAPEX</t>
  </si>
  <si>
    <t>DEL NWC</t>
  </si>
  <si>
    <t>No</t>
  </si>
  <si>
    <t>fcf</t>
  </si>
  <si>
    <t>ev</t>
  </si>
  <si>
    <t>k*BIC</t>
  </si>
  <si>
    <t>BIK</t>
  </si>
  <si>
    <t>TEV</t>
  </si>
  <si>
    <t>K</t>
  </si>
  <si>
    <t>K*BIC</t>
  </si>
  <si>
    <t>RP</t>
  </si>
  <si>
    <t>NPV OF RP</t>
  </si>
  <si>
    <t>EVA(RP)</t>
  </si>
  <si>
    <t>Future Potential</t>
  </si>
  <si>
    <t>PV (without g)</t>
  </si>
  <si>
    <t xml:space="preserve">FP </t>
  </si>
  <si>
    <t>MV</t>
  </si>
  <si>
    <t xml:space="preserve">BV </t>
  </si>
  <si>
    <t>PBV</t>
  </si>
  <si>
    <t>P/E</t>
  </si>
  <si>
    <t>NOPAT new</t>
  </si>
  <si>
    <r>
      <t>ROE</t>
    </r>
    <r>
      <rPr>
        <sz val="9"/>
        <color theme="1"/>
        <rFont val="Calibri"/>
        <family val="2"/>
        <scheme val="minor"/>
      </rPr>
      <t>MW</t>
    </r>
  </si>
  <si>
    <r>
      <t>ROE</t>
    </r>
    <r>
      <rPr>
        <sz val="9"/>
        <color theme="1"/>
        <rFont val="Calibri"/>
        <family val="2"/>
        <scheme val="minor"/>
      </rPr>
      <t>L</t>
    </r>
  </si>
  <si>
    <t>Financial Income</t>
  </si>
  <si>
    <t>Financial Expense</t>
  </si>
  <si>
    <t>Loss from Discontinued Operations</t>
  </si>
  <si>
    <t>PV</t>
  </si>
  <si>
    <t>O/S Shares</t>
  </si>
  <si>
    <t>BV APPROACH</t>
  </si>
  <si>
    <t>Market values as a reference base: Acquisition’s fiction</t>
  </si>
  <si>
    <r>
      <t>BIC + MVA</t>
    </r>
    <r>
      <rPr>
        <sz val="8"/>
        <color theme="1"/>
        <rFont val="Calibri"/>
        <family val="2"/>
        <scheme val="minor"/>
      </rPr>
      <t>0</t>
    </r>
  </si>
  <si>
    <r>
      <t>K*MVA</t>
    </r>
    <r>
      <rPr>
        <sz val="8"/>
        <color theme="1"/>
        <rFont val="Calibri"/>
        <family val="2"/>
        <scheme val="minor"/>
      </rPr>
      <t>0</t>
    </r>
  </si>
  <si>
    <t>MVA0</t>
  </si>
  <si>
    <t>CHANGE(increase) IN BV APPROACH</t>
  </si>
  <si>
    <t>K*BIK</t>
  </si>
  <si>
    <t>K*MVA^0</t>
  </si>
  <si>
    <t>NPV RP</t>
  </si>
  <si>
    <r>
      <t>ROE</t>
    </r>
    <r>
      <rPr>
        <sz val="9"/>
        <color theme="1"/>
        <rFont val="Calibri"/>
        <family val="2"/>
        <scheme val="minor"/>
      </rPr>
      <t>BV</t>
    </r>
    <r>
      <rPr>
        <sz val="11"/>
        <color theme="1"/>
        <rFont val="Calibri"/>
        <family val="2"/>
        <scheme val="minor"/>
      </rPr>
      <t xml:space="preserve"> = ROE</t>
    </r>
  </si>
  <si>
    <t>BV(w/o goodwill)</t>
  </si>
  <si>
    <t>BV(with goodwill)</t>
  </si>
  <si>
    <t>NI new</t>
  </si>
  <si>
    <t xml:space="preserve">NI </t>
  </si>
  <si>
    <t>MV/BV</t>
  </si>
  <si>
    <t>MV/PV</t>
  </si>
  <si>
    <t xml:space="preserve">PV </t>
  </si>
  <si>
    <t>Gross Profit margin</t>
  </si>
  <si>
    <t>Net Income Margin</t>
  </si>
  <si>
    <t>Goodwill &amp; other intangible assets</t>
  </si>
  <si>
    <t>ROE</t>
  </si>
  <si>
    <t>ROCE</t>
  </si>
  <si>
    <t>Market capitalization in mn euros</t>
  </si>
  <si>
    <t>Share holders equity</t>
  </si>
  <si>
    <t>Infienon Employees(as of 30 Sep)</t>
  </si>
  <si>
    <t>BVPS</t>
  </si>
  <si>
    <t>NI</t>
  </si>
  <si>
    <t>ROEBV</t>
  </si>
  <si>
    <t>Debt includes long term debt in the balancesheet and off balancesheet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</si>
</sst>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₹&quot;\ #,##0.00_);[Red]\(&quot;₹&quot;\ #,##0.00\)"/>
    <numFmt numFmtId="43" formatCode="_(* #,##0.00_);_(* \(#,##0.00\);_(* &quot;-&quot;??_);_(@_)"/>
    <numFmt numFmtId="164" formatCode="_ * #,##0.00_ ;_ * \-#,##0.00_ ;_ * &quot;-&quot;??_ ;_ @_ "/>
    <numFmt numFmtId="165" formatCode="#,##0.0_);[Red]\(#,##0.0\)"/>
    <numFmt numFmtId="166" formatCode="_ * #,##0_ ;_ * \-#,##0_ ;_ * &quot;-&quot;??_ ;_ @_ "/>
    <numFmt numFmtId="167" formatCode="0.0%"/>
    <numFmt numFmtId="168" formatCode="0.0"/>
    <numFmt numFmtId="169" formatCode="0.0000"/>
    <numFmt numFmtId="170" formatCode="0.00000000000000"/>
    <numFmt numFmtId="171" formatCode="#,##0.0000000000_);[Red]\(#,##0.0000000000\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252525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ABC4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rgb="FFE5EBF4"/>
      </top>
      <bottom/>
      <diagonal/>
    </border>
    <border>
      <left style="medium">
        <color rgb="FFCCCCCC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5EBF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E5EBF4"/>
      </top>
      <bottom/>
      <diagonal/>
    </border>
    <border>
      <left/>
      <right style="medium">
        <color indexed="64"/>
      </right>
      <top style="medium">
        <color rgb="FFE5EBF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E5EBF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E5EBF4"/>
      </bottom>
      <diagonal/>
    </border>
    <border>
      <left/>
      <right style="medium">
        <color rgb="FFCCCCCC"/>
      </right>
      <top style="thin">
        <color indexed="64"/>
      </top>
      <bottom style="medium">
        <color rgb="FFE5EBF4"/>
      </bottom>
      <diagonal/>
    </border>
    <border>
      <left/>
      <right style="medium">
        <color rgb="FFCCCCCC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E5EBF4"/>
      </top>
      <bottom/>
      <diagonal/>
    </border>
    <border>
      <left style="medium">
        <color rgb="FFFFFFFF"/>
      </left>
      <right/>
      <top style="medium">
        <color indexed="64"/>
      </top>
      <bottom style="medium">
        <color rgb="FFFFFFFF"/>
      </bottom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CCCCCC"/>
      </right>
      <top style="thin">
        <color indexed="64"/>
      </top>
      <bottom style="medium">
        <color rgb="FFE5EBF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850">
    <xf numFmtId="0" fontId="0" fillId="0" borderId="0" xfId="0"/>
    <xf numFmtId="0" fontId="0" fillId="0" borderId="0" xfId="0"/>
    <xf numFmtId="0" fontId="0" fillId="33" borderId="0" xfId="0" applyFill="1"/>
    <xf numFmtId="0" fontId="16" fillId="34" borderId="0" xfId="0" applyFont="1" applyFill="1"/>
    <xf numFmtId="0" fontId="0" fillId="33" borderId="10" xfId="0" applyFill="1" applyBorder="1" applyAlignment="1"/>
    <xf numFmtId="10" fontId="0" fillId="33" borderId="0" xfId="0" applyNumberFormat="1" applyFill="1"/>
    <xf numFmtId="0" fontId="0" fillId="0" borderId="0" xfId="0" applyFill="1"/>
    <xf numFmtId="1" fontId="0" fillId="0" borderId="11" xfId="0" applyNumberFormat="1" applyFill="1" applyBorder="1"/>
    <xf numFmtId="0" fontId="0" fillId="0" borderId="11" xfId="0" applyFill="1" applyBorder="1"/>
    <xf numFmtId="1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9" fontId="0" fillId="0" borderId="11" xfId="42" applyFont="1" applyFill="1" applyBorder="1" applyAlignment="1">
      <alignment horizontal="center"/>
    </xf>
    <xf numFmtId="166" fontId="0" fillId="0" borderId="11" xfId="43" applyNumberFormat="1" applyFont="1" applyFill="1" applyBorder="1" applyAlignment="1">
      <alignment horizontal="center"/>
    </xf>
    <xf numFmtId="0" fontId="14" fillId="34" borderId="11" xfId="0" applyFont="1" applyFill="1" applyBorder="1"/>
    <xf numFmtId="0" fontId="14" fillId="34" borderId="11" xfId="0" applyFont="1" applyFill="1" applyBorder="1" applyAlignment="1">
      <alignment horizontal="center"/>
    </xf>
    <xf numFmtId="0" fontId="18" fillId="0" borderId="21" xfId="0" applyFont="1" applyFill="1" applyBorder="1" applyAlignment="1"/>
    <xf numFmtId="0" fontId="0" fillId="0" borderId="22" xfId="0" applyFill="1" applyBorder="1"/>
    <xf numFmtId="0" fontId="0" fillId="0" borderId="23" xfId="0" applyFill="1" applyBorder="1"/>
    <xf numFmtId="0" fontId="20" fillId="34" borderId="24" xfId="0" applyFont="1" applyFill="1" applyBorder="1" applyAlignment="1"/>
    <xf numFmtId="0" fontId="0" fillId="34" borderId="0" xfId="0" applyFill="1" applyBorder="1"/>
    <xf numFmtId="0" fontId="14" fillId="34" borderId="0" xfId="0" applyFont="1" applyFill="1" applyBorder="1"/>
    <xf numFmtId="0" fontId="0" fillId="0" borderId="24" xfId="0" applyFill="1" applyBorder="1"/>
    <xf numFmtId="0" fontId="0" fillId="0" borderId="0" xfId="0" applyFill="1" applyBorder="1"/>
    <xf numFmtId="1" fontId="0" fillId="0" borderId="0" xfId="0" applyNumberFormat="1" applyFill="1" applyBorder="1"/>
    <xf numFmtId="1" fontId="16" fillId="0" borderId="25" xfId="0" applyNumberFormat="1" applyFont="1" applyFill="1" applyBorder="1" applyAlignment="1">
      <alignment horizontal="center"/>
    </xf>
    <xf numFmtId="9" fontId="0" fillId="0" borderId="0" xfId="42" applyNumberFormat="1" applyFont="1" applyFill="1" applyBorder="1"/>
    <xf numFmtId="0" fontId="18" fillId="0" borderId="24" xfId="0" applyFont="1" applyFill="1" applyBorder="1" applyAlignment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9" fontId="0" fillId="0" borderId="0" xfId="42" applyFont="1" applyFill="1" applyBorder="1" applyAlignment="1">
      <alignment horizontal="center"/>
    </xf>
    <xf numFmtId="0" fontId="16" fillId="0" borderId="24" xfId="0" applyFont="1" applyFill="1" applyBorder="1"/>
    <xf numFmtId="0" fontId="0" fillId="34" borderId="0" xfId="0" applyFill="1" applyBorder="1" applyAlignment="1">
      <alignment horizontal="center"/>
    </xf>
    <xf numFmtId="0" fontId="14" fillId="34" borderId="0" xfId="0" applyFont="1" applyFill="1" applyBorder="1" applyAlignment="1">
      <alignment horizontal="center"/>
    </xf>
    <xf numFmtId="166" fontId="0" fillId="0" borderId="0" xfId="43" applyNumberFormat="1" applyFont="1" applyFill="1" applyBorder="1" applyAlignment="1">
      <alignment horizontal="center"/>
    </xf>
    <xf numFmtId="9" fontId="0" fillId="0" borderId="24" xfId="42" applyFont="1" applyFill="1" applyBorder="1"/>
    <xf numFmtId="0" fontId="16" fillId="0" borderId="25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/>
    <xf numFmtId="0" fontId="0" fillId="0" borderId="27" xfId="0" applyFill="1" applyBorder="1" applyAlignment="1">
      <alignment horizontal="center"/>
    </xf>
    <xf numFmtId="0" fontId="0" fillId="38" borderId="0" xfId="0" applyFill="1"/>
    <xf numFmtId="15" fontId="0" fillId="40" borderId="10" xfId="0" applyNumberForma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9" fontId="0" fillId="33" borderId="0" xfId="0" applyNumberFormat="1" applyFill="1"/>
    <xf numFmtId="9" fontId="0" fillId="33" borderId="0" xfId="42" applyFont="1" applyFill="1"/>
    <xf numFmtId="1" fontId="0" fillId="33" borderId="0" xfId="0" applyNumberFormat="1" applyFill="1"/>
    <xf numFmtId="10" fontId="0" fillId="39" borderId="0" xfId="42" applyNumberFormat="1" applyFont="1" applyFill="1" applyAlignment="1">
      <alignment horizontal="center" vertical="center"/>
    </xf>
    <xf numFmtId="9" fontId="0" fillId="39" borderId="0" xfId="42" applyFont="1" applyFill="1" applyAlignment="1">
      <alignment horizontal="center" vertical="center"/>
    </xf>
    <xf numFmtId="0" fontId="18" fillId="43" borderId="0" xfId="0" applyFont="1" applyFill="1" applyBorder="1" applyAlignment="1">
      <alignment horizontal="center"/>
    </xf>
    <xf numFmtId="165" fontId="18" fillId="43" borderId="0" xfId="0" applyNumberFormat="1" applyFont="1" applyFill="1" applyBorder="1" applyAlignment="1">
      <alignment horizontal="center" wrapText="1"/>
    </xf>
    <xf numFmtId="1" fontId="16" fillId="43" borderId="0" xfId="0" applyNumberFormat="1" applyFont="1" applyFill="1" applyAlignment="1">
      <alignment horizontal="center"/>
    </xf>
    <xf numFmtId="0" fontId="20" fillId="44" borderId="18" xfId="0" applyFont="1" applyFill="1" applyBorder="1" applyAlignment="1">
      <alignment horizontal="center"/>
    </xf>
    <xf numFmtId="10" fontId="20" fillId="44" borderId="18" xfId="42" applyNumberFormat="1" applyFont="1" applyFill="1" applyBorder="1" applyAlignment="1">
      <alignment horizontal="center" wrapText="1"/>
    </xf>
    <xf numFmtId="0" fontId="20" fillId="43" borderId="18" xfId="0" applyFont="1" applyFill="1" applyBorder="1" applyAlignment="1">
      <alignment horizontal="center"/>
    </xf>
    <xf numFmtId="165" fontId="20" fillId="43" borderId="18" xfId="0" applyNumberFormat="1" applyFont="1" applyFill="1" applyBorder="1" applyAlignment="1">
      <alignment horizontal="center" wrapText="1"/>
    </xf>
    <xf numFmtId="165" fontId="20" fillId="43" borderId="0" xfId="0" applyNumberFormat="1" applyFont="1" applyFill="1" applyBorder="1" applyAlignment="1">
      <alignment horizontal="center" wrapText="1"/>
    </xf>
    <xf numFmtId="165" fontId="18" fillId="43" borderId="19" xfId="0" applyNumberFormat="1" applyFont="1" applyFill="1" applyBorder="1" applyAlignment="1">
      <alignment horizontal="center" wrapText="1"/>
    </xf>
    <xf numFmtId="0" fontId="20" fillId="43" borderId="20" xfId="0" applyFont="1" applyFill="1" applyBorder="1" applyAlignment="1">
      <alignment horizontal="center"/>
    </xf>
    <xf numFmtId="10" fontId="0" fillId="43" borderId="20" xfId="42" applyNumberFormat="1" applyFont="1" applyFill="1" applyBorder="1" applyAlignment="1">
      <alignment horizontal="center"/>
    </xf>
    <xf numFmtId="0" fontId="0" fillId="43" borderId="0" xfId="0" applyFill="1"/>
    <xf numFmtId="0" fontId="0" fillId="43" borderId="14" xfId="0" applyFill="1" applyBorder="1"/>
    <xf numFmtId="165" fontId="16" fillId="43" borderId="14" xfId="0" applyNumberFormat="1" applyFont="1" applyFill="1" applyBorder="1" applyAlignment="1">
      <alignment horizontal="center" vertical="center"/>
    </xf>
    <xf numFmtId="9" fontId="0" fillId="43" borderId="0" xfId="42" applyFont="1" applyFill="1" applyAlignment="1">
      <alignment horizontal="center"/>
    </xf>
    <xf numFmtId="0" fontId="20" fillId="44" borderId="0" xfId="0" applyFont="1" applyFill="1" applyBorder="1" applyAlignment="1">
      <alignment horizontal="center"/>
    </xf>
    <xf numFmtId="10" fontId="20" fillId="44" borderId="0" xfId="42" applyNumberFormat="1" applyFont="1" applyFill="1" applyBorder="1" applyAlignment="1">
      <alignment horizontal="center" wrapText="1"/>
    </xf>
    <xf numFmtId="10" fontId="0" fillId="44" borderId="0" xfId="42" applyNumberFormat="1" applyFont="1" applyFill="1" applyAlignment="1">
      <alignment horizontal="center"/>
    </xf>
    <xf numFmtId="0" fontId="16" fillId="44" borderId="0" xfId="0" applyFont="1" applyFill="1"/>
    <xf numFmtId="165" fontId="16" fillId="44" borderId="0" xfId="0" applyNumberFormat="1" applyFont="1" applyFill="1" applyAlignment="1">
      <alignment horizontal="center"/>
    </xf>
    <xf numFmtId="1" fontId="16" fillId="43" borderId="24" xfId="0" applyNumberFormat="1" applyFont="1" applyFill="1" applyBorder="1" applyAlignment="1">
      <alignment horizontal="center"/>
    </xf>
    <xf numFmtId="1" fontId="16" fillId="43" borderId="0" xfId="0" applyNumberFormat="1" applyFont="1" applyFill="1" applyBorder="1" applyAlignment="1">
      <alignment horizontal="center"/>
    </xf>
    <xf numFmtId="1" fontId="16" fillId="43" borderId="25" xfId="0" applyNumberFormat="1" applyFont="1" applyFill="1" applyBorder="1" applyAlignment="1">
      <alignment horizontal="center"/>
    </xf>
    <xf numFmtId="10" fontId="20" fillId="44" borderId="33" xfId="42" applyNumberFormat="1" applyFont="1" applyFill="1" applyBorder="1" applyAlignment="1">
      <alignment horizontal="center" wrapText="1"/>
    </xf>
    <xf numFmtId="165" fontId="18" fillId="43" borderId="35" xfId="0" applyNumberFormat="1" applyFont="1" applyFill="1" applyBorder="1" applyAlignment="1">
      <alignment horizontal="center" wrapText="1"/>
    </xf>
    <xf numFmtId="10" fontId="0" fillId="44" borderId="24" xfId="42" applyNumberFormat="1" applyFont="1" applyFill="1" applyBorder="1" applyAlignment="1">
      <alignment horizontal="center"/>
    </xf>
    <xf numFmtId="10" fontId="0" fillId="44" borderId="0" xfId="42" applyNumberFormat="1" applyFont="1" applyFill="1" applyBorder="1" applyAlignment="1">
      <alignment horizontal="center"/>
    </xf>
    <xf numFmtId="10" fontId="0" fillId="44" borderId="25" xfId="42" applyNumberFormat="1" applyFont="1" applyFill="1" applyBorder="1" applyAlignment="1">
      <alignment horizontal="center"/>
    </xf>
    <xf numFmtId="10" fontId="0" fillId="43" borderId="37" xfId="42" applyNumberFormat="1" applyFont="1" applyFill="1" applyBorder="1" applyAlignment="1">
      <alignment horizontal="center"/>
    </xf>
    <xf numFmtId="10" fontId="0" fillId="43" borderId="38" xfId="42" applyNumberFormat="1" applyFont="1" applyFill="1" applyBorder="1" applyAlignment="1">
      <alignment horizontal="center"/>
    </xf>
    <xf numFmtId="10" fontId="0" fillId="41" borderId="24" xfId="42" applyNumberFormat="1" applyFont="1" applyFill="1" applyBorder="1" applyAlignment="1">
      <alignment horizontal="center" vertical="center"/>
    </xf>
    <xf numFmtId="10" fontId="0" fillId="41" borderId="0" xfId="42" applyNumberFormat="1" applyFont="1" applyFill="1" applyBorder="1" applyAlignment="1">
      <alignment horizontal="center" vertical="center"/>
    </xf>
    <xf numFmtId="10" fontId="0" fillId="41" borderId="25" xfId="42" applyNumberFormat="1" applyFont="1" applyFill="1" applyBorder="1" applyAlignment="1">
      <alignment horizontal="center" vertical="center"/>
    </xf>
    <xf numFmtId="9" fontId="0" fillId="41" borderId="24" xfId="42" applyFont="1" applyFill="1" applyBorder="1" applyAlignment="1">
      <alignment horizontal="center" vertical="center"/>
    </xf>
    <xf numFmtId="9" fontId="0" fillId="41" borderId="0" xfId="42" applyFont="1" applyFill="1" applyBorder="1" applyAlignment="1">
      <alignment horizontal="center" vertical="center"/>
    </xf>
    <xf numFmtId="9" fontId="0" fillId="41" borderId="25" xfId="42" applyFont="1" applyFill="1" applyBorder="1" applyAlignment="1">
      <alignment horizontal="center" vertical="center"/>
    </xf>
    <xf numFmtId="165" fontId="16" fillId="43" borderId="35" xfId="0" applyNumberFormat="1" applyFont="1" applyFill="1" applyBorder="1" applyAlignment="1">
      <alignment horizontal="center" vertical="center"/>
    </xf>
    <xf numFmtId="165" fontId="16" fillId="43" borderId="39" xfId="0" applyNumberFormat="1" applyFont="1" applyFill="1" applyBorder="1" applyAlignment="1">
      <alignment horizontal="center" vertical="center"/>
    </xf>
    <xf numFmtId="9" fontId="0" fillId="43" borderId="24" xfId="42" applyFont="1" applyFill="1" applyBorder="1" applyAlignment="1">
      <alignment horizontal="center"/>
    </xf>
    <xf numFmtId="9" fontId="0" fillId="43" borderId="0" xfId="42" applyFont="1" applyFill="1" applyBorder="1" applyAlignment="1">
      <alignment horizontal="center"/>
    </xf>
    <xf numFmtId="9" fontId="0" fillId="43" borderId="25" xfId="42" applyFont="1" applyFill="1" applyBorder="1" applyAlignment="1">
      <alignment horizontal="center"/>
    </xf>
    <xf numFmtId="165" fontId="16" fillId="44" borderId="26" xfId="0" applyNumberFormat="1" applyFont="1" applyFill="1" applyBorder="1" applyAlignment="1">
      <alignment horizontal="center"/>
    </xf>
    <xf numFmtId="165" fontId="16" fillId="44" borderId="27" xfId="0" applyNumberFormat="1" applyFont="1" applyFill="1" applyBorder="1" applyAlignment="1">
      <alignment horizontal="center"/>
    </xf>
    <xf numFmtId="165" fontId="16" fillId="44" borderId="28" xfId="0" applyNumberFormat="1" applyFont="1" applyFill="1" applyBorder="1" applyAlignment="1">
      <alignment horizontal="center"/>
    </xf>
    <xf numFmtId="0" fontId="18" fillId="43" borderId="14" xfId="0" applyFont="1" applyFill="1" applyBorder="1" applyAlignment="1">
      <alignment horizontal="center"/>
    </xf>
    <xf numFmtId="14" fontId="20" fillId="37" borderId="30" xfId="0" applyNumberFormat="1" applyFont="1" applyFill="1" applyBorder="1" applyAlignment="1">
      <alignment horizontal="center"/>
    </xf>
    <xf numFmtId="15" fontId="0" fillId="37" borderId="31" xfId="0" applyNumberFormat="1" applyFill="1" applyBorder="1" applyAlignment="1">
      <alignment horizontal="center"/>
    </xf>
    <xf numFmtId="165" fontId="18" fillId="43" borderId="24" xfId="0" applyNumberFormat="1" applyFont="1" applyFill="1" applyBorder="1" applyAlignment="1">
      <alignment horizontal="center" wrapText="1"/>
    </xf>
    <xf numFmtId="165" fontId="20" fillId="43" borderId="33" xfId="0" applyNumberFormat="1" applyFont="1" applyFill="1" applyBorder="1" applyAlignment="1">
      <alignment horizontal="center" wrapText="1"/>
    </xf>
    <xf numFmtId="10" fontId="20" fillId="44" borderId="24" xfId="42" applyNumberFormat="1" applyFont="1" applyFill="1" applyBorder="1" applyAlignment="1">
      <alignment horizontal="center" wrapText="1"/>
    </xf>
    <xf numFmtId="0" fontId="0" fillId="44" borderId="24" xfId="0" applyFill="1" applyBorder="1" applyAlignment="1">
      <alignment horizontal="center" vertical="center"/>
    </xf>
    <xf numFmtId="0" fontId="0" fillId="44" borderId="0" xfId="0" applyFill="1" applyBorder="1" applyAlignment="1">
      <alignment horizontal="center" vertical="center"/>
    </xf>
    <xf numFmtId="10" fontId="0" fillId="43" borderId="24" xfId="42" applyNumberFormat="1" applyFont="1" applyFill="1" applyBorder="1" applyAlignment="1">
      <alignment horizontal="center" vertical="center"/>
    </xf>
    <xf numFmtId="10" fontId="0" fillId="43" borderId="0" xfId="42" applyNumberFormat="1" applyFont="1" applyFill="1" applyBorder="1" applyAlignment="1">
      <alignment horizontal="center" vertical="center"/>
    </xf>
    <xf numFmtId="10" fontId="0" fillId="43" borderId="25" xfId="42" applyNumberFormat="1" applyFont="1" applyFill="1" applyBorder="1" applyAlignment="1">
      <alignment horizontal="center" vertical="center"/>
    </xf>
    <xf numFmtId="10" fontId="0" fillId="42" borderId="24" xfId="42" applyNumberFormat="1" applyFont="1" applyFill="1" applyBorder="1" applyAlignment="1">
      <alignment horizontal="center" vertical="center"/>
    </xf>
    <xf numFmtId="10" fontId="0" fillId="42" borderId="0" xfId="42" applyNumberFormat="1" applyFont="1" applyFill="1" applyBorder="1" applyAlignment="1">
      <alignment horizontal="center" vertical="center"/>
    </xf>
    <xf numFmtId="10" fontId="0" fillId="42" borderId="25" xfId="42" applyNumberFormat="1" applyFont="1" applyFill="1" applyBorder="1" applyAlignment="1">
      <alignment horizontal="center" vertical="center"/>
    </xf>
    <xf numFmtId="0" fontId="0" fillId="42" borderId="24" xfId="0" applyFill="1" applyBorder="1" applyAlignment="1">
      <alignment horizontal="center" vertical="center"/>
    </xf>
    <xf numFmtId="9" fontId="0" fillId="42" borderId="0" xfId="42" applyFont="1" applyFill="1" applyBorder="1" applyAlignment="1">
      <alignment horizontal="center" vertical="center"/>
    </xf>
    <xf numFmtId="9" fontId="0" fillId="42" borderId="25" xfId="42" applyFont="1" applyFill="1" applyBorder="1" applyAlignment="1">
      <alignment horizontal="center" vertical="center"/>
    </xf>
    <xf numFmtId="0" fontId="0" fillId="44" borderId="24" xfId="0" applyFill="1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36" borderId="0" xfId="0" applyFill="1" applyAlignment="1">
      <alignment horizontal="center"/>
    </xf>
    <xf numFmtId="9" fontId="0" fillId="35" borderId="0" xfId="42" applyFont="1" applyFill="1" applyBorder="1" applyAlignment="1">
      <alignment horizontal="center"/>
    </xf>
    <xf numFmtId="0" fontId="20" fillId="33" borderId="0" xfId="0" applyFont="1" applyFill="1" applyBorder="1" applyAlignment="1"/>
    <xf numFmtId="9" fontId="0" fillId="35" borderId="25" xfId="42" applyFont="1" applyFill="1" applyBorder="1" applyAlignment="1">
      <alignment horizontal="center"/>
    </xf>
    <xf numFmtId="0" fontId="18" fillId="0" borderId="42" xfId="0" applyFont="1" applyFill="1" applyBorder="1" applyAlignment="1"/>
    <xf numFmtId="0" fontId="16" fillId="0" borderId="40" xfId="0" applyFont="1" applyBorder="1" applyAlignment="1">
      <alignment horizontal="center"/>
    </xf>
    <xf numFmtId="1" fontId="16" fillId="0" borderId="40" xfId="0" applyNumberFormat="1" applyFont="1" applyBorder="1" applyAlignment="1">
      <alignment horizontal="center"/>
    </xf>
    <xf numFmtId="1" fontId="16" fillId="0" borderId="41" xfId="0" applyNumberFormat="1" applyFont="1" applyBorder="1" applyAlignment="1">
      <alignment horizontal="center"/>
    </xf>
    <xf numFmtId="0" fontId="0" fillId="43" borderId="22" xfId="0" applyFill="1" applyBorder="1"/>
    <xf numFmtId="0" fontId="0" fillId="43" borderId="0" xfId="0" applyFill="1" applyBorder="1"/>
    <xf numFmtId="0" fontId="20" fillId="44" borderId="24" xfId="0" applyFont="1" applyFill="1" applyBorder="1" applyAlignment="1"/>
    <xf numFmtId="0" fontId="0" fillId="44" borderId="0" xfId="0" applyFill="1" applyBorder="1"/>
    <xf numFmtId="0" fontId="0" fillId="43" borderId="27" xfId="0" applyFill="1" applyBorder="1"/>
    <xf numFmtId="0" fontId="0" fillId="33" borderId="0" xfId="0" applyFill="1" applyBorder="1"/>
    <xf numFmtId="0" fontId="0" fillId="33" borderId="0" xfId="0" applyFill="1" applyAlignment="1">
      <alignment horizontal="center"/>
    </xf>
    <xf numFmtId="0" fontId="20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center"/>
    </xf>
    <xf numFmtId="0" fontId="22" fillId="33" borderId="0" xfId="0" applyFont="1" applyFill="1" applyBorder="1" applyAlignment="1">
      <alignment horizontal="left"/>
    </xf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9" fontId="0" fillId="35" borderId="43" xfId="42" applyFont="1" applyFill="1" applyBorder="1" applyAlignment="1">
      <alignment horizontal="center"/>
    </xf>
    <xf numFmtId="10" fontId="16" fillId="43" borderId="0" xfId="42" applyNumberFormat="1" applyFont="1" applyFill="1" applyBorder="1" applyAlignment="1">
      <alignment horizontal="center"/>
    </xf>
    <xf numFmtId="10" fontId="16" fillId="44" borderId="0" xfId="42" applyNumberFormat="1" applyFont="1" applyFill="1" applyBorder="1" applyAlignment="1">
      <alignment horizontal="center"/>
    </xf>
    <xf numFmtId="43" fontId="0" fillId="0" borderId="27" xfId="0" applyNumberFormat="1" applyFill="1" applyBorder="1" applyAlignment="1">
      <alignment horizontal="center"/>
    </xf>
    <xf numFmtId="0" fontId="0" fillId="44" borderId="12" xfId="0" applyFill="1" applyBorder="1"/>
    <xf numFmtId="17" fontId="16" fillId="44" borderId="14" xfId="0" applyNumberFormat="1" applyFont="1" applyFill="1" applyBorder="1" applyAlignment="1">
      <alignment horizontal="center"/>
    </xf>
    <xf numFmtId="17" fontId="16" fillId="44" borderId="15" xfId="0" applyNumberFormat="1" applyFont="1" applyFill="1" applyBorder="1" applyAlignment="1">
      <alignment horizontal="center"/>
    </xf>
    <xf numFmtId="0" fontId="16" fillId="44" borderId="16" xfId="0" applyFont="1" applyFill="1" applyBorder="1"/>
    <xf numFmtId="0" fontId="0" fillId="44" borderId="11" xfId="0" applyFill="1" applyBorder="1" applyAlignment="1">
      <alignment horizontal="center" vertical="center"/>
    </xf>
    <xf numFmtId="0" fontId="16" fillId="44" borderId="17" xfId="0" applyFont="1" applyFill="1" applyBorder="1"/>
    <xf numFmtId="10" fontId="0" fillId="44" borderId="10" xfId="42" applyNumberFormat="1" applyFont="1" applyFill="1" applyBorder="1" applyAlignment="1">
      <alignment horizontal="center"/>
    </xf>
    <xf numFmtId="0" fontId="0" fillId="44" borderId="13" xfId="0" applyFill="1" applyBorder="1" applyAlignment="1">
      <alignment horizontal="center" vertical="center"/>
    </xf>
    <xf numFmtId="0" fontId="16" fillId="44" borderId="12" xfId="0" applyFont="1" applyFill="1" applyBorder="1"/>
    <xf numFmtId="10" fontId="0" fillId="44" borderId="14" xfId="42" applyNumberFormat="1" applyFont="1" applyFill="1" applyBorder="1"/>
    <xf numFmtId="0" fontId="0" fillId="44" borderId="15" xfId="0" applyFill="1" applyBorder="1"/>
    <xf numFmtId="0" fontId="16" fillId="43" borderId="16" xfId="0" applyFont="1" applyFill="1" applyBorder="1"/>
    <xf numFmtId="0" fontId="0" fillId="43" borderId="0" xfId="0" applyFill="1" applyBorder="1" applyAlignment="1">
      <alignment horizontal="center"/>
    </xf>
    <xf numFmtId="0" fontId="0" fillId="43" borderId="11" xfId="0" applyFill="1" applyBorder="1" applyAlignment="1">
      <alignment horizontal="center" vertical="center"/>
    </xf>
    <xf numFmtId="0" fontId="16" fillId="43" borderId="17" xfId="0" applyFont="1" applyFill="1" applyBorder="1"/>
    <xf numFmtId="10" fontId="0" fillId="43" borderId="10" xfId="42" applyNumberFormat="1" applyFont="1" applyFill="1" applyBorder="1"/>
    <xf numFmtId="0" fontId="0" fillId="43" borderId="13" xfId="0" applyFill="1" applyBorder="1"/>
    <xf numFmtId="0" fontId="20" fillId="46" borderId="0" xfId="0" applyFont="1" applyFill="1" applyAlignment="1">
      <alignment horizontal="left"/>
    </xf>
    <xf numFmtId="0" fontId="20" fillId="0" borderId="45" xfId="0" applyFont="1" applyBorder="1" applyAlignment="1">
      <alignment horizontal="left"/>
    </xf>
    <xf numFmtId="165" fontId="20" fillId="0" borderId="18" xfId="0" applyNumberFormat="1" applyFont="1" applyBorder="1" applyAlignment="1">
      <alignment horizontal="right" wrapText="1"/>
    </xf>
    <xf numFmtId="0" fontId="20" fillId="0" borderId="18" xfId="0" applyFont="1" applyBorder="1" applyAlignment="1">
      <alignment horizontal="left" wrapText="1"/>
    </xf>
    <xf numFmtId="0" fontId="18" fillId="47" borderId="46" xfId="0" applyFont="1" applyFill="1" applyBorder="1" applyAlignment="1">
      <alignment horizontal="right"/>
    </xf>
    <xf numFmtId="0" fontId="18" fillId="0" borderId="46" xfId="0" applyFont="1" applyFill="1" applyBorder="1" applyAlignment="1">
      <alignment horizontal="right"/>
    </xf>
    <xf numFmtId="0" fontId="18" fillId="0" borderId="48" xfId="0" applyFont="1" applyBorder="1" applyAlignment="1">
      <alignment horizontal="left"/>
    </xf>
    <xf numFmtId="165" fontId="18" fillId="0" borderId="47" xfId="0" applyNumberFormat="1" applyFont="1" applyBorder="1" applyAlignment="1">
      <alignment horizontal="right" wrapText="1"/>
    </xf>
    <xf numFmtId="38" fontId="20" fillId="0" borderId="18" xfId="0" applyNumberFormat="1" applyFont="1" applyBorder="1" applyAlignment="1">
      <alignment horizontal="right" wrapText="1"/>
    </xf>
    <xf numFmtId="38" fontId="18" fillId="0" borderId="47" xfId="0" applyNumberFormat="1" applyFont="1" applyBorder="1" applyAlignment="1">
      <alignment horizontal="right" wrapText="1"/>
    </xf>
    <xf numFmtId="0" fontId="18" fillId="0" borderId="49" xfId="0" applyFont="1" applyBorder="1" applyAlignment="1">
      <alignment horizontal="left"/>
    </xf>
    <xf numFmtId="38" fontId="18" fillId="0" borderId="14" xfId="0" applyNumberFormat="1" applyFont="1" applyBorder="1" applyAlignment="1">
      <alignment horizontal="right" wrapText="1"/>
    </xf>
    <xf numFmtId="0" fontId="18" fillId="49" borderId="23" xfId="0" applyFont="1" applyFill="1" applyBorder="1" applyAlignment="1">
      <alignment horizontal="right"/>
    </xf>
    <xf numFmtId="0" fontId="20" fillId="49" borderId="52" xfId="0" applyFont="1" applyFill="1" applyBorder="1" applyAlignment="1">
      <alignment horizontal="left"/>
    </xf>
    <xf numFmtId="10" fontId="0" fillId="49" borderId="25" xfId="0" applyNumberFormat="1" applyFill="1" applyBorder="1"/>
    <xf numFmtId="10" fontId="0" fillId="49" borderId="25" xfId="42" applyNumberFormat="1" applyFont="1" applyFill="1" applyBorder="1"/>
    <xf numFmtId="9" fontId="0" fillId="49" borderId="25" xfId="42" applyFont="1" applyFill="1" applyBorder="1"/>
    <xf numFmtId="9" fontId="0" fillId="49" borderId="25" xfId="0" applyNumberFormat="1" applyFill="1" applyBorder="1"/>
    <xf numFmtId="0" fontId="20" fillId="49" borderId="42" xfId="0" applyFont="1" applyFill="1" applyBorder="1" applyAlignment="1">
      <alignment horizontal="left"/>
    </xf>
    <xf numFmtId="9" fontId="0" fillId="49" borderId="28" xfId="42" applyFont="1" applyFill="1" applyBorder="1"/>
    <xf numFmtId="10" fontId="0" fillId="49" borderId="28" xfId="42" applyNumberFormat="1" applyFont="1" applyFill="1" applyBorder="1"/>
    <xf numFmtId="0" fontId="16" fillId="49" borderId="21" xfId="0" applyFont="1" applyFill="1" applyBorder="1"/>
    <xf numFmtId="0" fontId="18" fillId="49" borderId="21" xfId="0" applyFont="1" applyFill="1" applyBorder="1" applyAlignment="1">
      <alignment horizontal="left"/>
    </xf>
    <xf numFmtId="10" fontId="0" fillId="33" borderId="0" xfId="42" applyNumberFormat="1" applyFont="1" applyFill="1"/>
    <xf numFmtId="0" fontId="0" fillId="0" borderId="21" xfId="0" applyBorder="1"/>
    <xf numFmtId="0" fontId="0" fillId="51" borderId="24" xfId="0" applyFill="1" applyBorder="1"/>
    <xf numFmtId="0" fontId="20" fillId="44" borderId="52" xfId="0" applyFont="1" applyFill="1" applyBorder="1" applyAlignment="1">
      <alignment horizontal="left"/>
    </xf>
    <xf numFmtId="1" fontId="0" fillId="44" borderId="0" xfId="0" applyNumberFormat="1" applyFill="1" applyBorder="1"/>
    <xf numFmtId="1" fontId="0" fillId="44" borderId="25" xfId="0" applyNumberFormat="1" applyFill="1" applyBorder="1"/>
    <xf numFmtId="0" fontId="20" fillId="36" borderId="52" xfId="0" applyFont="1" applyFill="1" applyBorder="1" applyAlignment="1">
      <alignment horizontal="left"/>
    </xf>
    <xf numFmtId="0" fontId="20" fillId="51" borderId="52" xfId="0" applyFont="1" applyFill="1" applyBorder="1" applyAlignment="1">
      <alignment horizontal="left"/>
    </xf>
    <xf numFmtId="0" fontId="20" fillId="0" borderId="52" xfId="0" applyFont="1" applyBorder="1" applyAlignment="1">
      <alignment horizontal="left"/>
    </xf>
    <xf numFmtId="0" fontId="20" fillId="52" borderId="55" xfId="0" applyFont="1" applyFill="1" applyBorder="1" applyAlignment="1">
      <alignment horizontal="left"/>
    </xf>
    <xf numFmtId="0" fontId="20" fillId="53" borderId="24" xfId="0" applyFont="1" applyFill="1" applyBorder="1" applyAlignment="1">
      <alignment horizontal="left"/>
    </xf>
    <xf numFmtId="0" fontId="0" fillId="53" borderId="25" xfId="0" applyFill="1" applyBorder="1"/>
    <xf numFmtId="0" fontId="20" fillId="44" borderId="55" xfId="0" applyFont="1" applyFill="1" applyBorder="1" applyAlignment="1">
      <alignment horizontal="left"/>
    </xf>
    <xf numFmtId="0" fontId="18" fillId="51" borderId="24" xfId="0" applyFont="1" applyFill="1" applyBorder="1" applyAlignment="1">
      <alignment horizontal="left"/>
    </xf>
    <xf numFmtId="15" fontId="0" fillId="40" borderId="60" xfId="0" applyNumberFormat="1" applyFill="1" applyBorder="1" applyAlignment="1">
      <alignment horizontal="center"/>
    </xf>
    <xf numFmtId="10" fontId="16" fillId="43" borderId="58" xfId="0" applyNumberFormat="1" applyFont="1" applyFill="1" applyBorder="1" applyAlignment="1">
      <alignment horizontal="center"/>
    </xf>
    <xf numFmtId="10" fontId="16" fillId="44" borderId="58" xfId="0" applyNumberFormat="1" applyFont="1" applyFill="1" applyBorder="1" applyAlignment="1">
      <alignment horizontal="center"/>
    </xf>
    <xf numFmtId="15" fontId="0" fillId="40" borderId="61" xfId="0" applyNumberFormat="1" applyFill="1" applyBorder="1" applyAlignment="1">
      <alignment horizontal="center"/>
    </xf>
    <xf numFmtId="10" fontId="16" fillId="43" borderId="43" xfId="42" applyNumberFormat="1" applyFont="1" applyFill="1" applyBorder="1" applyAlignment="1">
      <alignment horizontal="center"/>
    </xf>
    <xf numFmtId="10" fontId="16" fillId="44" borderId="43" xfId="42" applyNumberFormat="1" applyFont="1" applyFill="1" applyBorder="1" applyAlignment="1">
      <alignment horizontal="center"/>
    </xf>
    <xf numFmtId="38" fontId="0" fillId="33" borderId="0" xfId="0" applyNumberFormat="1" applyFill="1"/>
    <xf numFmtId="0" fontId="20" fillId="0" borderId="0" xfId="0" applyFont="1" applyFill="1" applyBorder="1" applyAlignment="1"/>
    <xf numFmtId="0" fontId="0" fillId="53" borderId="21" xfId="0" applyFill="1" applyBorder="1"/>
    <xf numFmtId="0" fontId="0" fillId="53" borderId="23" xfId="0" applyFill="1" applyBorder="1"/>
    <xf numFmtId="0" fontId="0" fillId="53" borderId="24" xfId="0" applyFill="1" applyBorder="1"/>
    <xf numFmtId="0" fontId="0" fillId="53" borderId="26" xfId="0" applyFill="1" applyBorder="1"/>
    <xf numFmtId="0" fontId="0" fillId="53" borderId="28" xfId="0" applyFill="1" applyBorder="1"/>
    <xf numFmtId="3" fontId="0" fillId="44" borderId="14" xfId="0" applyNumberFormat="1" applyFill="1" applyBorder="1"/>
    <xf numFmtId="0" fontId="0" fillId="37" borderId="21" xfId="0" applyFill="1" applyBorder="1"/>
    <xf numFmtId="0" fontId="0" fillId="37" borderId="22" xfId="0" applyFill="1" applyBorder="1"/>
    <xf numFmtId="0" fontId="0" fillId="50" borderId="22" xfId="0" applyFill="1" applyBorder="1"/>
    <xf numFmtId="0" fontId="0" fillId="50" borderId="23" xfId="0" applyFill="1" applyBorder="1"/>
    <xf numFmtId="0" fontId="18" fillId="43" borderId="58" xfId="0" applyFont="1" applyFill="1" applyBorder="1" applyAlignment="1"/>
    <xf numFmtId="3" fontId="16" fillId="43" borderId="0" xfId="0" applyNumberFormat="1" applyFont="1" applyFill="1" applyBorder="1"/>
    <xf numFmtId="1" fontId="16" fillId="43" borderId="0" xfId="0" applyNumberFormat="1" applyFont="1" applyFill="1" applyBorder="1"/>
    <xf numFmtId="1" fontId="16" fillId="43" borderId="25" xfId="0" applyNumberFormat="1" applyFont="1" applyFill="1" applyBorder="1"/>
    <xf numFmtId="0" fontId="20" fillId="44" borderId="58" xfId="0" applyFont="1" applyFill="1" applyBorder="1" applyAlignment="1"/>
    <xf numFmtId="9" fontId="0" fillId="33" borderId="0" xfId="42" applyFont="1" applyFill="1" applyBorder="1"/>
    <xf numFmtId="0" fontId="0" fillId="33" borderId="25" xfId="0" applyFill="1" applyBorder="1"/>
    <xf numFmtId="1" fontId="0" fillId="44" borderId="0" xfId="42" applyNumberFormat="1" applyFont="1" applyFill="1" applyBorder="1"/>
    <xf numFmtId="0" fontId="20" fillId="43" borderId="58" xfId="0" applyFont="1" applyFill="1" applyBorder="1" applyAlignment="1"/>
    <xf numFmtId="3" fontId="0" fillId="43" borderId="0" xfId="0" applyNumberFormat="1" applyFill="1" applyBorder="1"/>
    <xf numFmtId="1" fontId="0" fillId="43" borderId="0" xfId="0" applyNumberFormat="1" applyFill="1" applyBorder="1"/>
    <xf numFmtId="1" fontId="0" fillId="43" borderId="25" xfId="0" applyNumberFormat="1" applyFill="1" applyBorder="1"/>
    <xf numFmtId="9" fontId="0" fillId="33" borderId="25" xfId="42" applyFont="1" applyFill="1" applyBorder="1"/>
    <xf numFmtId="0" fontId="18" fillId="44" borderId="58" xfId="0" applyFont="1" applyFill="1" applyBorder="1" applyAlignment="1"/>
    <xf numFmtId="3" fontId="0" fillId="44" borderId="39" xfId="0" applyNumberFormat="1" applyFill="1" applyBorder="1"/>
    <xf numFmtId="10" fontId="0" fillId="33" borderId="0" xfId="42" applyNumberFormat="1" applyFont="1" applyFill="1" applyBorder="1"/>
    <xf numFmtId="3" fontId="0" fillId="44" borderId="0" xfId="0" applyNumberFormat="1" applyFill="1" applyBorder="1"/>
    <xf numFmtId="0" fontId="18" fillId="43" borderId="62" xfId="0" applyFont="1" applyFill="1" applyBorder="1" applyAlignment="1"/>
    <xf numFmtId="3" fontId="16" fillId="43" borderId="40" xfId="0" applyNumberFormat="1" applyFont="1" applyFill="1" applyBorder="1"/>
    <xf numFmtId="3" fontId="16" fillId="43" borderId="41" xfId="0" applyNumberFormat="1" applyFont="1" applyFill="1" applyBorder="1"/>
    <xf numFmtId="0" fontId="0" fillId="33" borderId="22" xfId="0" applyFill="1" applyBorder="1"/>
    <xf numFmtId="0" fontId="20" fillId="43" borderId="21" xfId="0" applyFont="1" applyFill="1" applyBorder="1" applyAlignment="1"/>
    <xf numFmtId="0" fontId="0" fillId="43" borderId="23" xfId="0" applyFill="1" applyBorder="1"/>
    <xf numFmtId="0" fontId="0" fillId="44" borderId="25" xfId="0" applyFill="1" applyBorder="1"/>
    <xf numFmtId="0" fontId="18" fillId="43" borderId="56" xfId="0" applyFont="1" applyFill="1" applyBorder="1" applyAlignment="1"/>
    <xf numFmtId="0" fontId="16" fillId="43" borderId="40" xfId="0" applyFont="1" applyFill="1" applyBorder="1"/>
    <xf numFmtId="0" fontId="16" fillId="43" borderId="41" xfId="0" applyFont="1" applyFill="1" applyBorder="1"/>
    <xf numFmtId="0" fontId="0" fillId="49" borderId="24" xfId="0" applyFill="1" applyBorder="1" applyAlignment="1">
      <alignment horizontal="left"/>
    </xf>
    <xf numFmtId="10" fontId="0" fillId="49" borderId="25" xfId="42" applyNumberFormat="1" applyFont="1" applyFill="1" applyBorder="1" applyAlignment="1">
      <alignment horizontal="center"/>
    </xf>
    <xf numFmtId="10" fontId="0" fillId="49" borderId="25" xfId="0" applyNumberFormat="1" applyFill="1" applyBorder="1" applyAlignment="1">
      <alignment horizontal="center"/>
    </xf>
    <xf numFmtId="0" fontId="0" fillId="49" borderId="26" xfId="0" applyFill="1" applyBorder="1" applyAlignment="1">
      <alignment horizontal="left"/>
    </xf>
    <xf numFmtId="0" fontId="0" fillId="49" borderId="28" xfId="0" applyFill="1" applyBorder="1" applyAlignment="1">
      <alignment horizontal="center"/>
    </xf>
    <xf numFmtId="0" fontId="0" fillId="40" borderId="0" xfId="0" applyFill="1" applyAlignment="1">
      <alignment horizontal="right"/>
    </xf>
    <xf numFmtId="0" fontId="0" fillId="50" borderId="0" xfId="0" applyFill="1" applyAlignment="1">
      <alignment horizontal="right"/>
    </xf>
    <xf numFmtId="0" fontId="0" fillId="43" borderId="0" xfId="0" applyFill="1" applyAlignment="1">
      <alignment horizontal="right"/>
    </xf>
    <xf numFmtId="0" fontId="0" fillId="33" borderId="63" xfId="0" applyFill="1" applyBorder="1"/>
    <xf numFmtId="0" fontId="0" fillId="33" borderId="20" xfId="0" applyFill="1" applyBorder="1"/>
    <xf numFmtId="0" fontId="0" fillId="33" borderId="20" xfId="0" applyFont="1" applyFill="1" applyBorder="1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33" borderId="24" xfId="0" applyFill="1" applyBorder="1"/>
    <xf numFmtId="9" fontId="0" fillId="33" borderId="43" xfId="42" applyFont="1" applyFill="1" applyBorder="1"/>
    <xf numFmtId="0" fontId="0" fillId="33" borderId="43" xfId="0" applyFill="1" applyBorder="1"/>
    <xf numFmtId="0" fontId="0" fillId="33" borderId="61" xfId="0" applyFill="1" applyBorder="1"/>
    <xf numFmtId="0" fontId="16" fillId="44" borderId="43" xfId="0" applyFont="1" applyFill="1" applyBorder="1"/>
    <xf numFmtId="1" fontId="0" fillId="33" borderId="20" xfId="0" applyNumberFormat="1" applyFill="1" applyBorder="1"/>
    <xf numFmtId="1" fontId="0" fillId="33" borderId="43" xfId="0" applyNumberFormat="1" applyFill="1" applyBorder="1"/>
    <xf numFmtId="1" fontId="0" fillId="33" borderId="61" xfId="0" applyNumberFormat="1" applyFill="1" applyBorder="1"/>
    <xf numFmtId="1" fontId="16" fillId="44" borderId="43" xfId="0" applyNumberFormat="1" applyFont="1" applyFill="1" applyBorder="1"/>
    <xf numFmtId="1" fontId="0" fillId="33" borderId="0" xfId="0" applyNumberFormat="1" applyFill="1" applyBorder="1"/>
    <xf numFmtId="1" fontId="16" fillId="44" borderId="0" xfId="0" applyNumberFormat="1" applyFont="1" applyFill="1" applyBorder="1"/>
    <xf numFmtId="9" fontId="0" fillId="33" borderId="61" xfId="42" applyFont="1" applyFill="1" applyBorder="1"/>
    <xf numFmtId="0" fontId="0" fillId="43" borderId="21" xfId="0" applyFill="1" applyBorder="1" applyAlignment="1">
      <alignment horizontal="right"/>
    </xf>
    <xf numFmtId="0" fontId="0" fillId="40" borderId="22" xfId="0" applyFill="1" applyBorder="1" applyAlignment="1">
      <alignment horizontal="right"/>
    </xf>
    <xf numFmtId="0" fontId="0" fillId="40" borderId="59" xfId="0" applyFill="1" applyBorder="1" applyAlignment="1">
      <alignment horizontal="right"/>
    </xf>
    <xf numFmtId="0" fontId="0" fillId="40" borderId="23" xfId="0" applyFill="1" applyBorder="1" applyAlignment="1">
      <alignment horizontal="right"/>
    </xf>
    <xf numFmtId="0" fontId="20" fillId="33" borderId="24" xfId="0" applyFont="1" applyFill="1" applyBorder="1" applyAlignment="1">
      <alignment horizontal="left"/>
    </xf>
    <xf numFmtId="1" fontId="0" fillId="33" borderId="25" xfId="0" applyNumberFormat="1" applyFill="1" applyBorder="1"/>
    <xf numFmtId="0" fontId="0" fillId="33" borderId="37" xfId="0" applyFill="1" applyBorder="1"/>
    <xf numFmtId="1" fontId="0" fillId="33" borderId="64" xfId="0" applyNumberFormat="1" applyFill="1" applyBorder="1"/>
    <xf numFmtId="0" fontId="16" fillId="44" borderId="24" xfId="0" applyFont="1" applyFill="1" applyBorder="1"/>
    <xf numFmtId="1" fontId="16" fillId="44" borderId="25" xfId="0" applyNumberFormat="1" applyFont="1" applyFill="1" applyBorder="1"/>
    <xf numFmtId="0" fontId="0" fillId="43" borderId="24" xfId="0" applyFill="1" applyBorder="1"/>
    <xf numFmtId="0" fontId="16" fillId="33" borderId="24" xfId="0" applyFont="1" applyFill="1" applyBorder="1"/>
    <xf numFmtId="0" fontId="16" fillId="44" borderId="26" xfId="0" applyFont="1" applyFill="1" applyBorder="1"/>
    <xf numFmtId="1" fontId="16" fillId="44" borderId="27" xfId="0" applyNumberFormat="1" applyFont="1" applyFill="1" applyBorder="1"/>
    <xf numFmtId="0" fontId="16" fillId="44" borderId="65" xfId="0" applyFont="1" applyFill="1" applyBorder="1"/>
    <xf numFmtId="1" fontId="16" fillId="44" borderId="65" xfId="0" applyNumberFormat="1" applyFont="1" applyFill="1" applyBorder="1"/>
    <xf numFmtId="1" fontId="16" fillId="44" borderId="28" xfId="0" applyNumberFormat="1" applyFont="1" applyFill="1" applyBorder="1"/>
    <xf numFmtId="0" fontId="16" fillId="53" borderId="21" xfId="0" applyFont="1" applyFill="1" applyBorder="1" applyAlignment="1">
      <alignment vertical="center"/>
    </xf>
    <xf numFmtId="0" fontId="16" fillId="53" borderId="23" xfId="0" applyFont="1" applyFill="1" applyBorder="1" applyAlignment="1">
      <alignment vertical="center"/>
    </xf>
    <xf numFmtId="0" fontId="0" fillId="40" borderId="50" xfId="0" applyFill="1" applyBorder="1" applyAlignment="1">
      <alignment horizontal="right"/>
    </xf>
    <xf numFmtId="9" fontId="0" fillId="33" borderId="51" xfId="42" applyFont="1" applyFill="1" applyBorder="1"/>
    <xf numFmtId="1" fontId="0" fillId="33" borderId="51" xfId="0" applyNumberFormat="1" applyFill="1" applyBorder="1"/>
    <xf numFmtId="1" fontId="16" fillId="44" borderId="66" xfId="0" applyNumberFormat="1" applyFont="1" applyFill="1" applyBorder="1"/>
    <xf numFmtId="165" fontId="20" fillId="33" borderId="0" xfId="0" applyNumberFormat="1" applyFont="1" applyFill="1" applyBorder="1" applyAlignment="1">
      <alignment horizontal="right" wrapText="1"/>
    </xf>
    <xf numFmtId="0" fontId="0" fillId="33" borderId="14" xfId="0" applyFill="1" applyBorder="1"/>
    <xf numFmtId="1" fontId="0" fillId="33" borderId="14" xfId="0" applyNumberFormat="1" applyFill="1" applyBorder="1"/>
    <xf numFmtId="0" fontId="0" fillId="33" borderId="21" xfId="0" applyFill="1" applyBorder="1"/>
    <xf numFmtId="0" fontId="0" fillId="34" borderId="22" xfId="0" applyFill="1" applyBorder="1"/>
    <xf numFmtId="0" fontId="0" fillId="41" borderId="22" xfId="0" applyFill="1" applyBorder="1"/>
    <xf numFmtId="0" fontId="0" fillId="41" borderId="23" xfId="0" applyFill="1" applyBorder="1"/>
    <xf numFmtId="0" fontId="0" fillId="33" borderId="35" xfId="0" applyFill="1" applyBorder="1"/>
    <xf numFmtId="1" fontId="0" fillId="33" borderId="39" xfId="0" applyNumberFormat="1" applyFill="1" applyBorder="1"/>
    <xf numFmtId="0" fontId="16" fillId="33" borderId="26" xfId="0" applyFont="1" applyFill="1" applyBorder="1"/>
    <xf numFmtId="0" fontId="16" fillId="33" borderId="27" xfId="0" applyFont="1" applyFill="1" applyBorder="1"/>
    <xf numFmtId="1" fontId="16" fillId="33" borderId="27" xfId="0" applyNumberFormat="1" applyFont="1" applyFill="1" applyBorder="1"/>
    <xf numFmtId="1" fontId="16" fillId="33" borderId="28" xfId="0" applyNumberFormat="1" applyFont="1" applyFill="1" applyBorder="1"/>
    <xf numFmtId="0" fontId="16" fillId="33" borderId="0" xfId="0" applyFont="1" applyFill="1" applyBorder="1"/>
    <xf numFmtId="1" fontId="16" fillId="33" borderId="0" xfId="0" applyNumberFormat="1" applyFont="1" applyFill="1" applyBorder="1"/>
    <xf numFmtId="1" fontId="16" fillId="33" borderId="25" xfId="0" applyNumberFormat="1" applyFont="1" applyFill="1" applyBorder="1"/>
    <xf numFmtId="0" fontId="0" fillId="34" borderId="57" xfId="0" applyFill="1" applyBorder="1"/>
    <xf numFmtId="0" fontId="0" fillId="34" borderId="23" xfId="0" applyFill="1" applyBorder="1"/>
    <xf numFmtId="0" fontId="0" fillId="54" borderId="58" xfId="0" applyFill="1" applyBorder="1"/>
    <xf numFmtId="9" fontId="0" fillId="54" borderId="25" xfId="0" applyNumberFormat="1" applyFill="1" applyBorder="1"/>
    <xf numFmtId="0" fontId="0" fillId="54" borderId="62" xfId="0" applyFill="1" applyBorder="1"/>
    <xf numFmtId="9" fontId="0" fillId="54" borderId="28" xfId="0" applyNumberFormat="1" applyFill="1" applyBorder="1"/>
    <xf numFmtId="165" fontId="16" fillId="44" borderId="0" xfId="0" applyNumberFormat="1" applyFont="1" applyFill="1" applyBorder="1" applyAlignment="1">
      <alignment horizontal="center"/>
    </xf>
    <xf numFmtId="165" fontId="16" fillId="43" borderId="0" xfId="0" applyNumberFormat="1" applyFont="1" applyFill="1" applyBorder="1" applyAlignment="1">
      <alignment horizontal="center"/>
    </xf>
    <xf numFmtId="38" fontId="16" fillId="43" borderId="0" xfId="0" applyNumberFormat="1" applyFont="1" applyFill="1" applyBorder="1" applyAlignment="1">
      <alignment horizontal="center"/>
    </xf>
    <xf numFmtId="9" fontId="20" fillId="0" borderId="18" xfId="42" applyFont="1" applyBorder="1" applyAlignment="1">
      <alignment horizontal="right" wrapText="1"/>
    </xf>
    <xf numFmtId="165" fontId="20" fillId="43" borderId="18" xfId="0" applyNumberFormat="1" applyFont="1" applyFill="1" applyBorder="1" applyAlignment="1">
      <alignment horizontal="right" wrapText="1"/>
    </xf>
    <xf numFmtId="9" fontId="20" fillId="54" borderId="18" xfId="42" applyFont="1" applyFill="1" applyBorder="1" applyAlignment="1">
      <alignment horizontal="right" wrapText="1"/>
    </xf>
    <xf numFmtId="38" fontId="20" fillId="0" borderId="0" xfId="0" applyNumberFormat="1" applyFont="1" applyFill="1" applyBorder="1" applyAlignment="1">
      <alignment horizontal="right" wrapText="1"/>
    </xf>
    <xf numFmtId="1" fontId="0" fillId="0" borderId="0" xfId="42" applyNumberFormat="1" applyFont="1"/>
    <xf numFmtId="0" fontId="0" fillId="0" borderId="0" xfId="0" applyBorder="1"/>
    <xf numFmtId="0" fontId="23" fillId="0" borderId="0" xfId="0" applyFont="1" applyBorder="1"/>
    <xf numFmtId="0" fontId="24" fillId="36" borderId="0" xfId="0" applyFont="1" applyFill="1" applyBorder="1"/>
    <xf numFmtId="9" fontId="0" fillId="0" borderId="0" xfId="42" applyFont="1"/>
    <xf numFmtId="167" fontId="0" fillId="0" borderId="0" xfId="42" applyNumberFormat="1" applyFont="1"/>
    <xf numFmtId="10" fontId="0" fillId="0" borderId="0" xfId="0" applyNumberFormat="1"/>
    <xf numFmtId="4" fontId="0" fillId="0" borderId="0" xfId="0" applyNumberFormat="1"/>
    <xf numFmtId="0" fontId="0" fillId="33" borderId="0" xfId="0" applyFill="1" applyAlignment="1"/>
    <xf numFmtId="0" fontId="0" fillId="49" borderId="21" xfId="0" applyFont="1" applyFill="1" applyBorder="1"/>
    <xf numFmtId="0" fontId="20" fillId="49" borderId="23" xfId="0" applyFont="1" applyFill="1" applyBorder="1" applyAlignment="1">
      <alignment horizontal="right"/>
    </xf>
    <xf numFmtId="10" fontId="0" fillId="49" borderId="25" xfId="0" applyNumberFormat="1" applyFont="1" applyFill="1" applyBorder="1"/>
    <xf numFmtId="10" fontId="1" fillId="49" borderId="25" xfId="42" applyNumberFormat="1" applyFont="1" applyFill="1" applyBorder="1"/>
    <xf numFmtId="9" fontId="1" fillId="49" borderId="25" xfId="42" applyFont="1" applyFill="1" applyBorder="1"/>
    <xf numFmtId="9" fontId="0" fillId="49" borderId="25" xfId="0" applyNumberFormat="1" applyFont="1" applyFill="1" applyBorder="1"/>
    <xf numFmtId="0" fontId="20" fillId="49" borderId="21" xfId="0" applyFont="1" applyFill="1" applyBorder="1" applyAlignment="1">
      <alignment horizontal="left"/>
    </xf>
    <xf numFmtId="10" fontId="1" fillId="49" borderId="28" xfId="42" applyNumberFormat="1" applyFont="1" applyFill="1" applyBorder="1"/>
    <xf numFmtId="38" fontId="16" fillId="44" borderId="0" xfId="0" applyNumberFormat="1" applyFont="1" applyFill="1" applyBorder="1" applyAlignment="1">
      <alignment horizontal="center"/>
    </xf>
    <xf numFmtId="0" fontId="0" fillId="33" borderId="0" xfId="0" applyFill="1" applyAlignment="1">
      <alignment horizontal="left"/>
    </xf>
    <xf numFmtId="9" fontId="0" fillId="33" borderId="0" xfId="0" applyNumberFormat="1" applyFill="1" applyAlignment="1">
      <alignment horizontal="center"/>
    </xf>
    <xf numFmtId="1" fontId="0" fillId="0" borderId="0" xfId="0" applyNumberFormat="1"/>
    <xf numFmtId="167" fontId="0" fillId="0" borderId="0" xfId="0" applyNumberFormat="1"/>
    <xf numFmtId="0" fontId="16" fillId="45" borderId="11" xfId="0" applyFont="1" applyFill="1" applyBorder="1" applyAlignment="1">
      <alignment horizontal="center"/>
    </xf>
    <xf numFmtId="15" fontId="0" fillId="37" borderId="29" xfId="0" applyNumberFormat="1" applyFont="1" applyFill="1" applyBorder="1" applyAlignment="1">
      <alignment horizontal="center"/>
    </xf>
    <xf numFmtId="14" fontId="0" fillId="37" borderId="30" xfId="0" applyNumberFormat="1" applyFont="1" applyFill="1" applyBorder="1" applyAlignment="1">
      <alignment horizontal="center"/>
    </xf>
    <xf numFmtId="15" fontId="0" fillId="37" borderId="31" xfId="0" applyNumberFormat="1" applyFont="1" applyFill="1" applyBorder="1" applyAlignment="1">
      <alignment horizontal="center"/>
    </xf>
    <xf numFmtId="15" fontId="0" fillId="37" borderId="32" xfId="0" applyNumberFormat="1" applyFont="1" applyFill="1" applyBorder="1" applyAlignment="1">
      <alignment horizontal="center"/>
    </xf>
    <xf numFmtId="15" fontId="0" fillId="40" borderId="10" xfId="0" applyNumberFormat="1" applyFont="1" applyFill="1" applyBorder="1" applyAlignment="1">
      <alignment horizontal="center"/>
    </xf>
    <xf numFmtId="15" fontId="0" fillId="40" borderId="30" xfId="0" applyNumberFormat="1" applyFont="1" applyFill="1" applyBorder="1" applyAlignment="1">
      <alignment horizontal="center"/>
    </xf>
    <xf numFmtId="15" fontId="0" fillId="40" borderId="31" xfId="0" applyNumberFormat="1" applyFont="1" applyFill="1" applyBorder="1" applyAlignment="1">
      <alignment horizontal="center"/>
    </xf>
    <xf numFmtId="15" fontId="0" fillId="40" borderId="32" xfId="0" applyNumberFormat="1" applyFont="1" applyFill="1" applyBorder="1" applyAlignment="1">
      <alignment horizontal="center"/>
    </xf>
    <xf numFmtId="0" fontId="16" fillId="43" borderId="11" xfId="0" applyFont="1" applyFill="1" applyBorder="1" applyAlignment="1"/>
    <xf numFmtId="0" fontId="16" fillId="43" borderId="0" xfId="0" applyFont="1" applyFill="1" applyBorder="1" applyAlignment="1">
      <alignment horizontal="center"/>
    </xf>
    <xf numFmtId="165" fontId="16" fillId="43" borderId="24" xfId="0" applyNumberFormat="1" applyFont="1" applyFill="1" applyBorder="1" applyAlignment="1">
      <alignment horizontal="center" wrapText="1"/>
    </xf>
    <xf numFmtId="165" fontId="16" fillId="43" borderId="0" xfId="0" applyNumberFormat="1" applyFont="1" applyFill="1" applyBorder="1" applyAlignment="1">
      <alignment horizontal="center" wrapText="1"/>
    </xf>
    <xf numFmtId="165" fontId="16" fillId="43" borderId="25" xfId="0" applyNumberFormat="1" applyFont="1" applyFill="1" applyBorder="1" applyAlignment="1">
      <alignment horizontal="center" wrapText="1"/>
    </xf>
    <xf numFmtId="0" fontId="0" fillId="44" borderId="11" xfId="0" applyFont="1" applyFill="1" applyBorder="1" applyAlignment="1"/>
    <xf numFmtId="0" fontId="0" fillId="44" borderId="18" xfId="0" applyFont="1" applyFill="1" applyBorder="1" applyAlignment="1">
      <alignment horizontal="center"/>
    </xf>
    <xf numFmtId="10" fontId="0" fillId="44" borderId="33" xfId="42" applyNumberFormat="1" applyFont="1" applyFill="1" applyBorder="1" applyAlignment="1">
      <alignment horizontal="center" wrapText="1"/>
    </xf>
    <xf numFmtId="10" fontId="0" fillId="44" borderId="18" xfId="42" applyNumberFormat="1" applyFont="1" applyFill="1" applyBorder="1" applyAlignment="1">
      <alignment horizontal="center" wrapText="1"/>
    </xf>
    <xf numFmtId="10" fontId="0" fillId="44" borderId="34" xfId="42" applyNumberFormat="1" applyFont="1" applyFill="1" applyBorder="1" applyAlignment="1">
      <alignment horizontal="center" wrapText="1"/>
    </xf>
    <xf numFmtId="0" fontId="0" fillId="43" borderId="11" xfId="0" applyFont="1" applyFill="1" applyBorder="1" applyAlignment="1"/>
    <xf numFmtId="0" fontId="0" fillId="43" borderId="18" xfId="0" applyFont="1" applyFill="1" applyBorder="1" applyAlignment="1">
      <alignment horizontal="center"/>
    </xf>
    <xf numFmtId="165" fontId="0" fillId="43" borderId="33" xfId="0" applyNumberFormat="1" applyFont="1" applyFill="1" applyBorder="1" applyAlignment="1">
      <alignment horizontal="center" wrapText="1"/>
    </xf>
    <xf numFmtId="165" fontId="0" fillId="43" borderId="18" xfId="0" applyNumberFormat="1" applyFont="1" applyFill="1" applyBorder="1" applyAlignment="1">
      <alignment horizontal="center" wrapText="1"/>
    </xf>
    <xf numFmtId="165" fontId="0" fillId="43" borderId="34" xfId="0" applyNumberFormat="1" applyFont="1" applyFill="1" applyBorder="1" applyAlignment="1">
      <alignment horizontal="center" wrapText="1"/>
    </xf>
    <xf numFmtId="165" fontId="0" fillId="43" borderId="0" xfId="0" applyNumberFormat="1" applyFont="1" applyFill="1" applyBorder="1" applyAlignment="1">
      <alignment horizontal="center" wrapText="1"/>
    </xf>
    <xf numFmtId="0" fontId="0" fillId="44" borderId="0" xfId="0" applyFont="1" applyFill="1" applyBorder="1" applyAlignment="1">
      <alignment horizontal="center"/>
    </xf>
    <xf numFmtId="10" fontId="0" fillId="44" borderId="24" xfId="42" applyNumberFormat="1" applyFont="1" applyFill="1" applyBorder="1" applyAlignment="1">
      <alignment horizontal="center" wrapText="1"/>
    </xf>
    <xf numFmtId="10" fontId="0" fillId="44" borderId="0" xfId="42" applyNumberFormat="1" applyFont="1" applyFill="1" applyBorder="1" applyAlignment="1">
      <alignment horizontal="center" wrapText="1"/>
    </xf>
    <xf numFmtId="10" fontId="0" fillId="44" borderId="25" xfId="42" applyNumberFormat="1" applyFont="1" applyFill="1" applyBorder="1" applyAlignment="1">
      <alignment horizontal="center" wrapText="1"/>
    </xf>
    <xf numFmtId="0" fontId="16" fillId="43" borderId="14" xfId="0" applyFont="1" applyFill="1" applyBorder="1" applyAlignment="1">
      <alignment horizontal="center"/>
    </xf>
    <xf numFmtId="165" fontId="16" fillId="43" borderId="35" xfId="0" applyNumberFormat="1" applyFont="1" applyFill="1" applyBorder="1" applyAlignment="1">
      <alignment horizontal="center" wrapText="1"/>
    </xf>
    <xf numFmtId="165" fontId="16" fillId="43" borderId="19" xfId="0" applyNumberFormat="1" applyFont="1" applyFill="1" applyBorder="1" applyAlignment="1">
      <alignment horizontal="center" wrapText="1"/>
    </xf>
    <xf numFmtId="165" fontId="16" fillId="43" borderId="36" xfId="0" applyNumberFormat="1" applyFont="1" applyFill="1" applyBorder="1" applyAlignment="1">
      <alignment horizontal="center" wrapText="1"/>
    </xf>
    <xf numFmtId="165" fontId="16" fillId="43" borderId="14" xfId="0" applyNumberFormat="1" applyFont="1" applyFill="1" applyBorder="1" applyAlignment="1">
      <alignment horizontal="center" wrapText="1"/>
    </xf>
    <xf numFmtId="0" fontId="0" fillId="43" borderId="20" xfId="0" applyFont="1" applyFill="1" applyBorder="1" applyAlignment="1">
      <alignment horizontal="center"/>
    </xf>
    <xf numFmtId="0" fontId="0" fillId="44" borderId="0" xfId="0" applyFont="1" applyFill="1" applyAlignment="1">
      <alignment horizontal="center"/>
    </xf>
    <xf numFmtId="0" fontId="0" fillId="44" borderId="24" xfId="0" applyFont="1" applyFill="1" applyBorder="1" applyAlignment="1">
      <alignment horizontal="center" vertical="center"/>
    </xf>
    <xf numFmtId="0" fontId="0" fillId="44" borderId="0" xfId="0" applyFont="1" applyFill="1" applyBorder="1" applyAlignment="1">
      <alignment horizontal="center" vertical="center"/>
    </xf>
    <xf numFmtId="0" fontId="0" fillId="44" borderId="25" xfId="0" applyFont="1" applyFill="1" applyBorder="1" applyAlignment="1">
      <alignment horizontal="center" vertical="center"/>
    </xf>
    <xf numFmtId="1" fontId="0" fillId="44" borderId="0" xfId="0" applyNumberFormat="1" applyFont="1" applyFill="1" applyAlignment="1">
      <alignment horizontal="center"/>
    </xf>
    <xf numFmtId="1" fontId="0" fillId="44" borderId="24" xfId="0" applyNumberFormat="1" applyFont="1" applyFill="1" applyBorder="1" applyAlignment="1">
      <alignment horizontal="center"/>
    </xf>
    <xf numFmtId="1" fontId="0" fillId="44" borderId="0" xfId="0" applyNumberFormat="1" applyFont="1" applyFill="1" applyBorder="1" applyAlignment="1">
      <alignment horizontal="center"/>
    </xf>
    <xf numFmtId="1" fontId="0" fillId="44" borderId="25" xfId="0" applyNumberFormat="1" applyFont="1" applyFill="1" applyBorder="1" applyAlignment="1">
      <alignment horizontal="center"/>
    </xf>
    <xf numFmtId="0" fontId="0" fillId="43" borderId="0" xfId="0" applyFont="1" applyFill="1" applyAlignment="1">
      <alignment horizontal="center"/>
    </xf>
    <xf numFmtId="10" fontId="0" fillId="43" borderId="0" xfId="0" applyNumberFormat="1" applyFont="1" applyFill="1" applyAlignment="1">
      <alignment horizontal="center"/>
    </xf>
    <xf numFmtId="10" fontId="0" fillId="43" borderId="24" xfId="0" applyNumberFormat="1" applyFont="1" applyFill="1" applyBorder="1" applyAlignment="1">
      <alignment horizontal="center"/>
    </xf>
    <xf numFmtId="10" fontId="0" fillId="43" borderId="0" xfId="0" applyNumberFormat="1" applyFont="1" applyFill="1" applyBorder="1" applyAlignment="1">
      <alignment horizontal="center"/>
    </xf>
    <xf numFmtId="10" fontId="0" fillId="43" borderId="25" xfId="0" applyNumberFormat="1" applyFont="1" applyFill="1" applyBorder="1" applyAlignment="1">
      <alignment horizontal="center"/>
    </xf>
    <xf numFmtId="0" fontId="0" fillId="44" borderId="0" xfId="0" applyFont="1" applyFill="1"/>
    <xf numFmtId="0" fontId="0" fillId="43" borderId="0" xfId="0" applyFont="1" applyFill="1"/>
    <xf numFmtId="0" fontId="0" fillId="0" borderId="11" xfId="0" applyFont="1" applyFill="1" applyBorder="1" applyAlignment="1"/>
    <xf numFmtId="0" fontId="0" fillId="42" borderId="0" xfId="0" applyFont="1" applyFill="1"/>
    <xf numFmtId="0" fontId="0" fillId="44" borderId="0" xfId="0" applyFont="1" applyFill="1" applyAlignment="1">
      <alignment horizontal="center" vertical="center"/>
    </xf>
    <xf numFmtId="0" fontId="0" fillId="42" borderId="24" xfId="0" applyFont="1" applyFill="1" applyBorder="1" applyAlignment="1">
      <alignment horizontal="center" vertical="center"/>
    </xf>
    <xf numFmtId="0" fontId="0" fillId="43" borderId="14" xfId="0" applyFont="1" applyFill="1" applyBorder="1"/>
    <xf numFmtId="0" fontId="0" fillId="44" borderId="24" xfId="0" applyFont="1" applyFill="1" applyBorder="1" applyAlignment="1">
      <alignment horizontal="center"/>
    </xf>
    <xf numFmtId="0" fontId="0" fillId="44" borderId="25" xfId="0" applyFont="1" applyFill="1" applyBorder="1" applyAlignment="1">
      <alignment horizontal="center"/>
    </xf>
    <xf numFmtId="0" fontId="16" fillId="44" borderId="11" xfId="0" applyFont="1" applyFill="1" applyBorder="1" applyAlignment="1"/>
    <xf numFmtId="0" fontId="16" fillId="0" borderId="21" xfId="0" applyFont="1" applyFill="1" applyBorder="1" applyAlignment="1"/>
    <xf numFmtId="0" fontId="16" fillId="0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36" borderId="24" xfId="0" applyFont="1" applyFill="1" applyBorder="1" applyAlignment="1"/>
    <xf numFmtId="0" fontId="0" fillId="36" borderId="0" xfId="0" applyFont="1" applyFill="1" applyBorder="1" applyAlignment="1">
      <alignment horizontal="center"/>
    </xf>
    <xf numFmtId="1" fontId="0" fillId="36" borderId="43" xfId="0" applyNumberFormat="1" applyFont="1" applyFill="1" applyBorder="1" applyAlignment="1">
      <alignment horizontal="center"/>
    </xf>
    <xf numFmtId="1" fontId="0" fillId="36" borderId="0" xfId="0" applyNumberFormat="1" applyFont="1" applyFill="1" applyBorder="1" applyAlignment="1">
      <alignment horizontal="center"/>
    </xf>
    <xf numFmtId="1" fontId="0" fillId="36" borderId="25" xfId="0" applyNumberFormat="1" applyFont="1" applyFill="1" applyBorder="1" applyAlignment="1">
      <alignment horizontal="center"/>
    </xf>
    <xf numFmtId="0" fontId="0" fillId="0" borderId="24" xfId="0" applyFont="1" applyFill="1" applyBorder="1" applyAlignment="1"/>
    <xf numFmtId="10" fontId="0" fillId="35" borderId="0" xfId="0" applyNumberFormat="1" applyFont="1" applyFill="1" applyBorder="1" applyAlignment="1">
      <alignment horizontal="center"/>
    </xf>
    <xf numFmtId="10" fontId="0" fillId="35" borderId="25" xfId="0" applyNumberFormat="1" applyFont="1" applyFill="1" applyBorder="1" applyAlignment="1">
      <alignment horizontal="center"/>
    </xf>
    <xf numFmtId="0" fontId="0" fillId="36" borderId="43" xfId="0" applyFont="1" applyFill="1" applyBorder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0" fillId="36" borderId="44" xfId="0" applyFont="1" applyFill="1" applyBorder="1" applyAlignment="1">
      <alignment horizontal="center"/>
    </xf>
    <xf numFmtId="0" fontId="0" fillId="36" borderId="25" xfId="0" applyFont="1" applyFill="1" applyBorder="1" applyAlignment="1">
      <alignment horizontal="center"/>
    </xf>
    <xf numFmtId="0" fontId="20" fillId="48" borderId="0" xfId="0" applyNumberFormat="1" applyFont="1" applyFill="1" applyBorder="1" applyAlignment="1">
      <alignment horizontal="right" wrapText="1"/>
    </xf>
    <xf numFmtId="0" fontId="20" fillId="48" borderId="18" xfId="0" applyNumberFormat="1" applyFont="1" applyFill="1" applyBorder="1" applyAlignment="1">
      <alignment horizontal="right" wrapText="1"/>
    </xf>
    <xf numFmtId="0" fontId="26" fillId="0" borderId="0" xfId="44"/>
    <xf numFmtId="0" fontId="0" fillId="55" borderId="0" xfId="0" applyFill="1"/>
    <xf numFmtId="167" fontId="0" fillId="33" borderId="0" xfId="42" applyNumberFormat="1" applyFont="1" applyFill="1"/>
    <xf numFmtId="167" fontId="0" fillId="33" borderId="0" xfId="0" applyNumberFormat="1" applyFill="1"/>
    <xf numFmtId="0" fontId="18" fillId="33" borderId="0" xfId="0" applyFont="1" applyFill="1" applyBorder="1" applyAlignment="1"/>
    <xf numFmtId="3" fontId="16" fillId="33" borderId="0" xfId="0" applyNumberFormat="1" applyFont="1" applyFill="1" applyBorder="1"/>
    <xf numFmtId="0" fontId="16" fillId="33" borderId="25" xfId="0" applyFont="1" applyFill="1" applyBorder="1" applyAlignment="1">
      <alignment horizontal="center"/>
    </xf>
    <xf numFmtId="0" fontId="21" fillId="44" borderId="25" xfId="0" applyFont="1" applyFill="1" applyBorder="1" applyAlignment="1">
      <alignment horizontal="center"/>
    </xf>
    <xf numFmtId="1" fontId="16" fillId="0" borderId="68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9" fontId="0" fillId="0" borderId="11" xfId="0" applyNumberFormat="1" applyFill="1" applyBorder="1"/>
    <xf numFmtId="9" fontId="0" fillId="0" borderId="0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0" fontId="0" fillId="0" borderId="59" xfId="0" applyFont="1" applyBorder="1" applyAlignment="1">
      <alignment horizontal="center"/>
    </xf>
    <xf numFmtId="1" fontId="16" fillId="0" borderId="65" xfId="0" applyNumberFormat="1" applyFont="1" applyBorder="1" applyAlignment="1">
      <alignment horizontal="center"/>
    </xf>
    <xf numFmtId="0" fontId="0" fillId="56" borderId="50" xfId="0" applyFill="1" applyBorder="1"/>
    <xf numFmtId="0" fontId="25" fillId="44" borderId="51" xfId="0" applyFont="1" applyFill="1" applyBorder="1"/>
    <xf numFmtId="0" fontId="0" fillId="44" borderId="51" xfId="0" applyFill="1" applyBorder="1"/>
    <xf numFmtId="0" fontId="25" fillId="44" borderId="66" xfId="0" applyFont="1" applyFill="1" applyBorder="1"/>
    <xf numFmtId="0" fontId="0" fillId="56" borderId="50" xfId="0" applyFill="1" applyBorder="1" applyAlignment="1">
      <alignment horizontal="center"/>
    </xf>
    <xf numFmtId="0" fontId="0" fillId="44" borderId="51" xfId="0" applyFill="1" applyBorder="1" applyAlignment="1">
      <alignment horizontal="center"/>
    </xf>
    <xf numFmtId="0" fontId="0" fillId="44" borderId="66" xfId="0" applyFill="1" applyBorder="1" applyAlignment="1">
      <alignment horizontal="center"/>
    </xf>
    <xf numFmtId="0" fontId="0" fillId="44" borderId="21" xfId="0" applyFill="1" applyBorder="1"/>
    <xf numFmtId="0" fontId="0" fillId="44" borderId="24" xfId="0" applyFill="1" applyBorder="1"/>
    <xf numFmtId="168" fontId="0" fillId="44" borderId="25" xfId="0" applyNumberFormat="1" applyFill="1" applyBorder="1"/>
    <xf numFmtId="0" fontId="27" fillId="44" borderId="24" xfId="0" applyFont="1" applyFill="1" applyBorder="1"/>
    <xf numFmtId="167" fontId="0" fillId="44" borderId="25" xfId="42" applyNumberFormat="1" applyFont="1" applyFill="1" applyBorder="1"/>
    <xf numFmtId="9" fontId="0" fillId="44" borderId="25" xfId="42" applyFont="1" applyFill="1" applyBorder="1"/>
    <xf numFmtId="0" fontId="27" fillId="44" borderId="26" xfId="0" applyFont="1" applyFill="1" applyBorder="1"/>
    <xf numFmtId="9" fontId="0" fillId="44" borderId="28" xfId="42" applyFont="1" applyFill="1" applyBorder="1"/>
    <xf numFmtId="0" fontId="0" fillId="35" borderId="23" xfId="0" applyFill="1" applyBorder="1"/>
    <xf numFmtId="0" fontId="0" fillId="35" borderId="25" xfId="0" applyFill="1" applyBorder="1"/>
    <xf numFmtId="0" fontId="0" fillId="35" borderId="24" xfId="0" applyFill="1" applyBorder="1"/>
    <xf numFmtId="0" fontId="0" fillId="35" borderId="56" xfId="0" applyFill="1" applyBorder="1"/>
    <xf numFmtId="0" fontId="0" fillId="35" borderId="41" xfId="0" applyFill="1" applyBorder="1"/>
    <xf numFmtId="0" fontId="0" fillId="43" borderId="21" xfId="0" applyFill="1" applyBorder="1"/>
    <xf numFmtId="0" fontId="0" fillId="43" borderId="26" xfId="0" applyFill="1" applyBorder="1"/>
    <xf numFmtId="0" fontId="0" fillId="33" borderId="0" xfId="0" applyFill="1" applyBorder="1" applyAlignment="1">
      <alignment horizontal="right"/>
    </xf>
    <xf numFmtId="0" fontId="28" fillId="51" borderId="0" xfId="0" applyFont="1" applyFill="1" applyBorder="1" applyAlignment="1">
      <alignment horizontal="center"/>
    </xf>
    <xf numFmtId="0" fontId="28" fillId="51" borderId="51" xfId="0" applyFont="1" applyFill="1" applyBorder="1" applyAlignment="1">
      <alignment horizontal="center"/>
    </xf>
    <xf numFmtId="38" fontId="28" fillId="44" borderId="18" xfId="0" applyNumberFormat="1" applyFont="1" applyFill="1" applyBorder="1" applyAlignment="1">
      <alignment horizontal="center" wrapText="1"/>
    </xf>
    <xf numFmtId="9" fontId="28" fillId="44" borderId="51" xfId="42" applyFont="1" applyFill="1" applyBorder="1" applyAlignment="1">
      <alignment horizontal="center" wrapText="1"/>
    </xf>
    <xf numFmtId="1" fontId="28" fillId="44" borderId="25" xfId="0" applyNumberFormat="1" applyFont="1" applyFill="1" applyBorder="1" applyAlignment="1">
      <alignment horizontal="center"/>
    </xf>
    <xf numFmtId="9" fontId="28" fillId="36" borderId="18" xfId="42" applyFont="1" applyFill="1" applyBorder="1" applyAlignment="1">
      <alignment horizontal="center" wrapText="1"/>
    </xf>
    <xf numFmtId="9" fontId="28" fillId="36" borderId="51" xfId="42" applyFont="1" applyFill="1" applyBorder="1" applyAlignment="1">
      <alignment horizontal="center" wrapText="1"/>
    </xf>
    <xf numFmtId="38" fontId="28" fillId="51" borderId="18" xfId="0" applyNumberFormat="1" applyFont="1" applyFill="1" applyBorder="1" applyAlignment="1">
      <alignment horizontal="center" wrapText="1"/>
    </xf>
    <xf numFmtId="9" fontId="28" fillId="51" borderId="51" xfId="42" applyFont="1" applyFill="1" applyBorder="1" applyAlignment="1">
      <alignment horizontal="center" wrapText="1"/>
    </xf>
    <xf numFmtId="38" fontId="28" fillId="0" borderId="18" xfId="0" applyNumberFormat="1" applyFont="1" applyBorder="1" applyAlignment="1">
      <alignment horizontal="center" wrapText="1"/>
    </xf>
    <xf numFmtId="9" fontId="28" fillId="0" borderId="51" xfId="42" applyFont="1" applyFill="1" applyBorder="1" applyAlignment="1">
      <alignment horizontal="center" wrapText="1"/>
    </xf>
    <xf numFmtId="9" fontId="28" fillId="0" borderId="51" xfId="42" applyFont="1" applyBorder="1" applyAlignment="1">
      <alignment horizontal="center" wrapText="1"/>
    </xf>
    <xf numFmtId="38" fontId="28" fillId="52" borderId="47" xfId="0" applyNumberFormat="1" applyFont="1" applyFill="1" applyBorder="1" applyAlignment="1">
      <alignment horizontal="center" wrapText="1"/>
    </xf>
    <xf numFmtId="38" fontId="28" fillId="52" borderId="51" xfId="0" applyNumberFormat="1" applyFont="1" applyFill="1" applyBorder="1" applyAlignment="1">
      <alignment horizontal="center" wrapText="1"/>
    </xf>
    <xf numFmtId="0" fontId="28" fillId="53" borderId="0" xfId="0" applyFont="1" applyFill="1" applyBorder="1" applyAlignment="1">
      <alignment horizontal="center"/>
    </xf>
    <xf numFmtId="0" fontId="28" fillId="53" borderId="51" xfId="0" applyFont="1" applyFill="1" applyBorder="1" applyAlignment="1">
      <alignment horizontal="center"/>
    </xf>
    <xf numFmtId="38" fontId="28" fillId="44" borderId="47" xfId="0" applyNumberFormat="1" applyFont="1" applyFill="1" applyBorder="1" applyAlignment="1">
      <alignment horizontal="center" wrapText="1"/>
    </xf>
    <xf numFmtId="38" fontId="28" fillId="44" borderId="51" xfId="0" applyNumberFormat="1" applyFont="1" applyFill="1" applyBorder="1" applyAlignment="1">
      <alignment horizontal="center" wrapText="1"/>
    </xf>
    <xf numFmtId="38" fontId="29" fillId="51" borderId="0" xfId="0" applyNumberFormat="1" applyFont="1" applyFill="1" applyBorder="1" applyAlignment="1">
      <alignment horizontal="center"/>
    </xf>
    <xf numFmtId="38" fontId="29" fillId="51" borderId="51" xfId="0" applyNumberFormat="1" applyFont="1" applyFill="1" applyBorder="1" applyAlignment="1">
      <alignment horizontal="center"/>
    </xf>
    <xf numFmtId="1" fontId="28" fillId="44" borderId="51" xfId="0" applyNumberFormat="1" applyFont="1" applyFill="1" applyBorder="1" applyAlignment="1">
      <alignment horizontal="center"/>
    </xf>
    <xf numFmtId="1" fontId="28" fillId="44" borderId="67" xfId="0" applyNumberFormat="1" applyFont="1" applyFill="1" applyBorder="1" applyAlignment="1">
      <alignment horizontal="center"/>
    </xf>
    <xf numFmtId="0" fontId="18" fillId="44" borderId="56" xfId="0" applyFont="1" applyFill="1" applyBorder="1" applyAlignment="1">
      <alignment horizontal="left"/>
    </xf>
    <xf numFmtId="0" fontId="29" fillId="44" borderId="40" xfId="0" applyFont="1" applyFill="1" applyBorder="1" applyAlignment="1">
      <alignment horizontal="center"/>
    </xf>
    <xf numFmtId="0" fontId="29" fillId="44" borderId="69" xfId="0" applyFont="1" applyFill="1" applyBorder="1" applyAlignment="1">
      <alignment horizontal="center"/>
    </xf>
    <xf numFmtId="38" fontId="29" fillId="44" borderId="40" xfId="0" applyNumberFormat="1" applyFont="1" applyFill="1" applyBorder="1" applyAlignment="1">
      <alignment horizontal="center"/>
    </xf>
    <xf numFmtId="38" fontId="29" fillId="44" borderId="69" xfId="0" applyNumberFormat="1" applyFont="1" applyFill="1" applyBorder="1" applyAlignment="1">
      <alignment horizontal="center"/>
    </xf>
    <xf numFmtId="0" fontId="28" fillId="0" borderId="51" xfId="0" applyFont="1" applyBorder="1" applyAlignment="1">
      <alignment horizontal="center"/>
    </xf>
    <xf numFmtId="1" fontId="28" fillId="51" borderId="51" xfId="0" applyNumberFormat="1" applyFont="1" applyFill="1" applyBorder="1" applyAlignment="1">
      <alignment horizontal="center"/>
    </xf>
    <xf numFmtId="1" fontId="28" fillId="52" borderId="67" xfId="0" applyNumberFormat="1" applyFont="1" applyFill="1" applyBorder="1" applyAlignment="1">
      <alignment horizontal="center"/>
    </xf>
    <xf numFmtId="1" fontId="29" fillId="51" borderId="51" xfId="0" applyNumberFormat="1" applyFont="1" applyFill="1" applyBorder="1" applyAlignment="1">
      <alignment horizontal="center"/>
    </xf>
    <xf numFmtId="1" fontId="29" fillId="44" borderId="69" xfId="0" applyNumberFormat="1" applyFont="1" applyFill="1" applyBorder="1" applyAlignment="1">
      <alignment horizontal="center"/>
    </xf>
    <xf numFmtId="0" fontId="20" fillId="47" borderId="53" xfId="0" applyFont="1" applyFill="1" applyBorder="1" applyAlignment="1">
      <alignment horizontal="center"/>
    </xf>
    <xf numFmtId="0" fontId="20" fillId="36" borderId="50" xfId="0" applyFont="1" applyFill="1" applyBorder="1" applyAlignment="1">
      <alignment horizontal="center"/>
    </xf>
    <xf numFmtId="0" fontId="20" fillId="47" borderId="54" xfId="0" applyFont="1" applyFill="1" applyBorder="1" applyAlignment="1">
      <alignment horizontal="center"/>
    </xf>
    <xf numFmtId="0" fontId="20" fillId="47" borderId="50" xfId="0" applyFont="1" applyFill="1" applyBorder="1" applyAlignment="1">
      <alignment horizontal="center"/>
    </xf>
    <xf numFmtId="0" fontId="20" fillId="50" borderId="50" xfId="0" applyFont="1" applyFill="1" applyBorder="1" applyAlignment="1">
      <alignment horizontal="center"/>
    </xf>
    <xf numFmtId="1" fontId="0" fillId="33" borderId="22" xfId="0" applyNumberFormat="1" applyFill="1" applyBorder="1"/>
    <xf numFmtId="0" fontId="0" fillId="43" borderId="58" xfId="0" applyFill="1" applyBorder="1"/>
    <xf numFmtId="0" fontId="0" fillId="44" borderId="58" xfId="0" applyFill="1" applyBorder="1"/>
    <xf numFmtId="9" fontId="0" fillId="43" borderId="0" xfId="0" applyNumberFormat="1" applyFill="1" applyBorder="1"/>
    <xf numFmtId="0" fontId="23" fillId="44" borderId="58" xfId="0" applyFont="1" applyFill="1" applyBorder="1"/>
    <xf numFmtId="9" fontId="0" fillId="44" borderId="0" xfId="0" applyNumberFormat="1" applyFill="1" applyBorder="1"/>
    <xf numFmtId="9" fontId="0" fillId="43" borderId="27" xfId="0" applyNumberFormat="1" applyFill="1" applyBorder="1"/>
    <xf numFmtId="0" fontId="20" fillId="34" borderId="57" xfId="0" applyFont="1" applyFill="1" applyBorder="1" applyAlignment="1"/>
    <xf numFmtId="0" fontId="0" fillId="43" borderId="62" xfId="0" applyFill="1" applyBorder="1"/>
    <xf numFmtId="15" fontId="28" fillId="37" borderId="70" xfId="0" applyNumberFormat="1" applyFont="1" applyFill="1" applyBorder="1" applyAlignment="1">
      <alignment horizontal="center" vertical="center"/>
    </xf>
    <xf numFmtId="15" fontId="28" fillId="40" borderId="31" xfId="0" applyNumberFormat="1" applyFont="1" applyFill="1" applyBorder="1" applyAlignment="1">
      <alignment horizontal="center" vertical="center"/>
    </xf>
    <xf numFmtId="15" fontId="28" fillId="40" borderId="32" xfId="0" applyNumberFormat="1" applyFont="1" applyFill="1" applyBorder="1" applyAlignment="1">
      <alignment horizontal="center" vertical="center"/>
    </xf>
    <xf numFmtId="2" fontId="28" fillId="43" borderId="0" xfId="0" applyNumberFormat="1" applyFont="1" applyFill="1" applyBorder="1" applyAlignment="1">
      <alignment horizontal="center" vertical="center"/>
    </xf>
    <xf numFmtId="2" fontId="28" fillId="43" borderId="25" xfId="0" applyNumberFormat="1" applyFont="1" applyFill="1" applyBorder="1" applyAlignment="1">
      <alignment horizontal="center" vertical="center"/>
    </xf>
    <xf numFmtId="2" fontId="28" fillId="44" borderId="0" xfId="0" applyNumberFormat="1" applyFont="1" applyFill="1" applyBorder="1" applyAlignment="1">
      <alignment horizontal="center" vertical="center"/>
    </xf>
    <xf numFmtId="0" fontId="28" fillId="44" borderId="0" xfId="0" applyFont="1" applyFill="1" applyBorder="1" applyAlignment="1">
      <alignment horizontal="center" vertical="center"/>
    </xf>
    <xf numFmtId="165" fontId="28" fillId="43" borderId="0" xfId="0" applyNumberFormat="1" applyFont="1" applyFill="1" applyBorder="1" applyAlignment="1">
      <alignment horizontal="center" vertical="center"/>
    </xf>
    <xf numFmtId="165" fontId="28" fillId="43" borderId="25" xfId="0" applyNumberFormat="1" applyFont="1" applyFill="1" applyBorder="1" applyAlignment="1">
      <alignment horizontal="center" vertical="center"/>
    </xf>
    <xf numFmtId="165" fontId="28" fillId="43" borderId="27" xfId="0" applyNumberFormat="1" applyFont="1" applyFill="1" applyBorder="1" applyAlignment="1">
      <alignment horizontal="center" vertical="center"/>
    </xf>
    <xf numFmtId="165" fontId="28" fillId="43" borderId="28" xfId="0" applyNumberFormat="1" applyFont="1" applyFill="1" applyBorder="1" applyAlignment="1">
      <alignment horizontal="center" vertical="center"/>
    </xf>
    <xf numFmtId="2" fontId="28" fillId="44" borderId="25" xfId="0" applyNumberFormat="1" applyFont="1" applyFill="1" applyBorder="1" applyAlignment="1">
      <alignment horizontal="center" vertical="center"/>
    </xf>
    <xf numFmtId="10" fontId="16" fillId="33" borderId="0" xfId="0" applyNumberFormat="1" applyFont="1" applyFill="1" applyBorder="1" applyAlignment="1">
      <alignment horizontal="center"/>
    </xf>
    <xf numFmtId="10" fontId="16" fillId="33" borderId="0" xfId="42" applyNumberFormat="1" applyFon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/>
    </xf>
    <xf numFmtId="15" fontId="0" fillId="33" borderId="0" xfId="0" applyNumberFormat="1" applyFill="1" applyBorder="1" applyAlignment="1">
      <alignment horizontal="center"/>
    </xf>
    <xf numFmtId="0" fontId="0" fillId="55" borderId="0" xfId="0" applyFill="1" applyBorder="1"/>
    <xf numFmtId="0" fontId="18" fillId="45" borderId="57" xfId="0" applyFont="1" applyFill="1" applyBorder="1" applyAlignment="1">
      <alignment horizontal="center"/>
    </xf>
    <xf numFmtId="15" fontId="20" fillId="37" borderId="31" xfId="0" applyNumberFormat="1" applyFont="1" applyFill="1" applyBorder="1" applyAlignment="1">
      <alignment horizontal="center"/>
    </xf>
    <xf numFmtId="0" fontId="20" fillId="0" borderId="58" xfId="0" applyFont="1" applyFill="1" applyBorder="1" applyAlignment="1"/>
    <xf numFmtId="0" fontId="0" fillId="42" borderId="0" xfId="0" applyFill="1" applyBorder="1"/>
    <xf numFmtId="0" fontId="16" fillId="44" borderId="0" xfId="0" applyFont="1" applyFill="1" applyBorder="1"/>
    <xf numFmtId="0" fontId="16" fillId="43" borderId="0" xfId="0" applyFont="1" applyFill="1" applyBorder="1"/>
    <xf numFmtId="10" fontId="0" fillId="43" borderId="0" xfId="42" applyNumberFormat="1" applyFont="1" applyFill="1" applyBorder="1" applyAlignment="1">
      <alignment horizontal="center"/>
    </xf>
    <xf numFmtId="165" fontId="16" fillId="43" borderId="0" xfId="0" applyNumberFormat="1" applyFont="1" applyFill="1" applyBorder="1" applyAlignment="1">
      <alignment horizontal="center" vertical="center"/>
    </xf>
    <xf numFmtId="15" fontId="0" fillId="37" borderId="22" xfId="0" applyNumberFormat="1" applyFill="1" applyBorder="1" applyAlignment="1">
      <alignment horizontal="center"/>
    </xf>
    <xf numFmtId="15" fontId="28" fillId="37" borderId="22" xfId="0" applyNumberFormat="1" applyFont="1" applyFill="1" applyBorder="1" applyAlignment="1">
      <alignment horizontal="center"/>
    </xf>
    <xf numFmtId="15" fontId="28" fillId="40" borderId="22" xfId="0" applyNumberFormat="1" applyFont="1" applyFill="1" applyBorder="1" applyAlignment="1">
      <alignment horizontal="center"/>
    </xf>
    <xf numFmtId="15" fontId="28" fillId="40" borderId="23" xfId="0" applyNumberFormat="1" applyFont="1" applyFill="1" applyBorder="1" applyAlignment="1">
      <alignment horizontal="center"/>
    </xf>
    <xf numFmtId="165" fontId="29" fillId="43" borderId="0" xfId="0" applyNumberFormat="1" applyFont="1" applyFill="1" applyBorder="1" applyAlignment="1">
      <alignment horizontal="center" wrapText="1"/>
    </xf>
    <xf numFmtId="1" fontId="29" fillId="43" borderId="0" xfId="0" applyNumberFormat="1" applyFont="1" applyFill="1" applyBorder="1" applyAlignment="1">
      <alignment horizontal="center"/>
    </xf>
    <xf numFmtId="1" fontId="29" fillId="43" borderId="25" xfId="0" applyNumberFormat="1" applyFont="1" applyFill="1" applyBorder="1" applyAlignment="1">
      <alignment horizontal="center"/>
    </xf>
    <xf numFmtId="10" fontId="28" fillId="44" borderId="0" xfId="42" applyNumberFormat="1" applyFont="1" applyFill="1" applyBorder="1" applyAlignment="1">
      <alignment horizontal="center" wrapText="1"/>
    </xf>
    <xf numFmtId="10" fontId="28" fillId="44" borderId="25" xfId="42" applyNumberFormat="1" applyFont="1" applyFill="1" applyBorder="1" applyAlignment="1">
      <alignment horizontal="center" wrapText="1"/>
    </xf>
    <xf numFmtId="165" fontId="28" fillId="43" borderId="0" xfId="0" applyNumberFormat="1" applyFont="1" applyFill="1" applyBorder="1" applyAlignment="1">
      <alignment horizontal="center" wrapText="1"/>
    </xf>
    <xf numFmtId="1" fontId="28" fillId="43" borderId="0" xfId="0" applyNumberFormat="1" applyFont="1" applyFill="1" applyBorder="1" applyAlignment="1">
      <alignment horizontal="center"/>
    </xf>
    <xf numFmtId="1" fontId="28" fillId="43" borderId="25" xfId="0" applyNumberFormat="1" applyFont="1" applyFill="1" applyBorder="1" applyAlignment="1">
      <alignment horizontal="center"/>
    </xf>
    <xf numFmtId="10" fontId="28" fillId="44" borderId="0" xfId="42" applyNumberFormat="1" applyFont="1" applyFill="1" applyBorder="1" applyAlignment="1">
      <alignment horizontal="center"/>
    </xf>
    <xf numFmtId="10" fontId="28" fillId="44" borderId="25" xfId="42" applyNumberFormat="1" applyFont="1" applyFill="1" applyBorder="1" applyAlignment="1">
      <alignment horizontal="center"/>
    </xf>
    <xf numFmtId="165" fontId="29" fillId="43" borderId="25" xfId="0" applyNumberFormat="1" applyFont="1" applyFill="1" applyBorder="1" applyAlignment="1">
      <alignment horizontal="center" wrapText="1"/>
    </xf>
    <xf numFmtId="10" fontId="28" fillId="43" borderId="0" xfId="42" applyNumberFormat="1" applyFont="1" applyFill="1" applyBorder="1" applyAlignment="1">
      <alignment horizontal="center"/>
    </xf>
    <xf numFmtId="10" fontId="28" fillId="43" borderId="25" xfId="42" applyNumberFormat="1" applyFont="1" applyFill="1" applyBorder="1" applyAlignment="1">
      <alignment horizontal="center"/>
    </xf>
    <xf numFmtId="1" fontId="28" fillId="44" borderId="0" xfId="0" applyNumberFormat="1" applyFont="1" applyFill="1" applyBorder="1" applyAlignment="1">
      <alignment horizontal="center"/>
    </xf>
    <xf numFmtId="10" fontId="28" fillId="43" borderId="0" xfId="42" applyNumberFormat="1" applyFont="1" applyFill="1" applyBorder="1" applyAlignment="1">
      <alignment horizontal="center" vertical="center"/>
    </xf>
    <xf numFmtId="10" fontId="28" fillId="43" borderId="0" xfId="0" applyNumberFormat="1" applyFont="1" applyFill="1" applyBorder="1" applyAlignment="1">
      <alignment horizontal="center"/>
    </xf>
    <xf numFmtId="10" fontId="28" fillId="43" borderId="25" xfId="0" applyNumberFormat="1" applyFont="1" applyFill="1" applyBorder="1" applyAlignment="1">
      <alignment horizontal="center"/>
    </xf>
    <xf numFmtId="10" fontId="28" fillId="42" borderId="0" xfId="42" applyNumberFormat="1" applyFont="1" applyFill="1" applyBorder="1" applyAlignment="1">
      <alignment horizontal="center" vertical="center"/>
    </xf>
    <xf numFmtId="10" fontId="28" fillId="39" borderId="0" xfId="42" applyNumberFormat="1" applyFont="1" applyFill="1" applyBorder="1" applyAlignment="1">
      <alignment horizontal="center" vertical="center"/>
    </xf>
    <xf numFmtId="10" fontId="28" fillId="41" borderId="0" xfId="42" applyNumberFormat="1" applyFont="1" applyFill="1" applyBorder="1" applyAlignment="1">
      <alignment horizontal="center" vertical="center"/>
    </xf>
    <xf numFmtId="10" fontId="28" fillId="41" borderId="25" xfId="42" applyNumberFormat="1" applyFont="1" applyFill="1" applyBorder="1" applyAlignment="1">
      <alignment horizontal="center" vertical="center"/>
    </xf>
    <xf numFmtId="1" fontId="28" fillId="44" borderId="0" xfId="0" applyNumberFormat="1" applyFont="1" applyFill="1" applyBorder="1" applyAlignment="1">
      <alignment horizontal="center" vertical="center"/>
    </xf>
    <xf numFmtId="1" fontId="28" fillId="44" borderId="25" xfId="0" applyNumberFormat="1" applyFont="1" applyFill="1" applyBorder="1" applyAlignment="1">
      <alignment horizontal="center" vertical="center"/>
    </xf>
    <xf numFmtId="9" fontId="28" fillId="42" borderId="0" xfId="42" applyFont="1" applyFill="1" applyBorder="1" applyAlignment="1">
      <alignment horizontal="center" vertical="center"/>
    </xf>
    <xf numFmtId="9" fontId="28" fillId="39" borderId="0" xfId="42" applyFont="1" applyFill="1" applyBorder="1" applyAlignment="1">
      <alignment horizontal="center" vertical="center"/>
    </xf>
    <xf numFmtId="9" fontId="28" fillId="41" borderId="0" xfId="42" applyFont="1" applyFill="1" applyBorder="1" applyAlignment="1">
      <alignment horizontal="center" vertical="center"/>
    </xf>
    <xf numFmtId="9" fontId="28" fillId="41" borderId="25" xfId="42" applyFont="1" applyFill="1" applyBorder="1" applyAlignment="1">
      <alignment horizontal="center" vertical="center"/>
    </xf>
    <xf numFmtId="165" fontId="29" fillId="43" borderId="0" xfId="0" applyNumberFormat="1" applyFont="1" applyFill="1" applyBorder="1" applyAlignment="1">
      <alignment horizontal="center" vertical="center"/>
    </xf>
    <xf numFmtId="165" fontId="29" fillId="43" borderId="25" xfId="0" applyNumberFormat="1" applyFont="1" applyFill="1" applyBorder="1" applyAlignment="1">
      <alignment horizontal="center" vertical="center"/>
    </xf>
    <xf numFmtId="0" fontId="28" fillId="44" borderId="0" xfId="0" applyFont="1" applyFill="1" applyBorder="1" applyAlignment="1">
      <alignment horizontal="center"/>
    </xf>
    <xf numFmtId="9" fontId="28" fillId="43" borderId="0" xfId="42" applyFont="1" applyFill="1" applyBorder="1" applyAlignment="1">
      <alignment horizontal="center"/>
    </xf>
    <xf numFmtId="9" fontId="28" fillId="43" borderId="25" xfId="42" applyFont="1" applyFill="1" applyBorder="1" applyAlignment="1">
      <alignment horizontal="center"/>
    </xf>
    <xf numFmtId="165" fontId="29" fillId="44" borderId="0" xfId="0" applyNumberFormat="1" applyFont="1" applyFill="1" applyBorder="1" applyAlignment="1">
      <alignment horizontal="center"/>
    </xf>
    <xf numFmtId="165" fontId="29" fillId="44" borderId="25" xfId="0" applyNumberFormat="1" applyFont="1" applyFill="1" applyBorder="1" applyAlignment="1">
      <alignment horizontal="center"/>
    </xf>
    <xf numFmtId="165" fontId="29" fillId="43" borderId="0" xfId="0" applyNumberFormat="1" applyFont="1" applyFill="1" applyBorder="1" applyAlignment="1">
      <alignment horizontal="center"/>
    </xf>
    <xf numFmtId="38" fontId="29" fillId="43" borderId="0" xfId="0" applyNumberFormat="1" applyFont="1" applyFill="1" applyBorder="1" applyAlignment="1">
      <alignment horizontal="center"/>
    </xf>
    <xf numFmtId="38" fontId="29" fillId="43" borderId="25" xfId="0" applyNumberFormat="1" applyFont="1" applyFill="1" applyBorder="1" applyAlignment="1">
      <alignment horizontal="center"/>
    </xf>
    <xf numFmtId="165" fontId="29" fillId="44" borderId="10" xfId="0" applyNumberFormat="1" applyFont="1" applyFill="1" applyBorder="1" applyAlignment="1">
      <alignment horizontal="center"/>
    </xf>
    <xf numFmtId="165" fontId="28" fillId="44" borderId="10" xfId="0" applyNumberFormat="1" applyFont="1" applyFill="1" applyBorder="1" applyAlignment="1">
      <alignment horizontal="center" vertical="center"/>
    </xf>
    <xf numFmtId="38" fontId="28" fillId="44" borderId="10" xfId="0" applyNumberFormat="1" applyFont="1" applyFill="1" applyBorder="1" applyAlignment="1">
      <alignment horizontal="center"/>
    </xf>
    <xf numFmtId="38" fontId="28" fillId="44" borderId="71" xfId="0" applyNumberFormat="1" applyFont="1" applyFill="1" applyBorder="1" applyAlignment="1">
      <alignment horizontal="center"/>
    </xf>
    <xf numFmtId="165" fontId="28" fillId="44" borderId="0" xfId="0" applyNumberFormat="1" applyFont="1" applyFill="1" applyBorder="1" applyAlignment="1">
      <alignment horizontal="center" vertical="center"/>
    </xf>
    <xf numFmtId="165" fontId="28" fillId="44" borderId="25" xfId="0" applyNumberFormat="1" applyFont="1" applyFill="1" applyBorder="1" applyAlignment="1">
      <alignment horizontal="center" vertical="center"/>
    </xf>
    <xf numFmtId="38" fontId="29" fillId="44" borderId="0" xfId="0" applyNumberFormat="1" applyFont="1" applyFill="1" applyBorder="1" applyAlignment="1">
      <alignment horizontal="center"/>
    </xf>
    <xf numFmtId="38" fontId="29" fillId="44" borderId="25" xfId="0" applyNumberFormat="1" applyFont="1" applyFill="1" applyBorder="1" applyAlignment="1">
      <alignment horizontal="center"/>
    </xf>
    <xf numFmtId="165" fontId="29" fillId="43" borderId="25" xfId="0" applyNumberFormat="1" applyFont="1" applyFill="1" applyBorder="1" applyAlignment="1">
      <alignment horizontal="center"/>
    </xf>
    <xf numFmtId="0" fontId="18" fillId="44" borderId="62" xfId="0" applyFont="1" applyFill="1" applyBorder="1" applyAlignment="1"/>
    <xf numFmtId="0" fontId="16" fillId="44" borderId="27" xfId="0" applyFont="1" applyFill="1" applyBorder="1"/>
    <xf numFmtId="165" fontId="29" fillId="44" borderId="27" xfId="0" applyNumberFormat="1" applyFont="1" applyFill="1" applyBorder="1" applyAlignment="1">
      <alignment horizontal="center"/>
    </xf>
    <xf numFmtId="165" fontId="29" fillId="44" borderId="28" xfId="0" applyNumberFormat="1" applyFont="1" applyFill="1" applyBorder="1" applyAlignment="1">
      <alignment horizontal="center"/>
    </xf>
    <xf numFmtId="165" fontId="16" fillId="33" borderId="0" xfId="0" applyNumberFormat="1" applyFont="1" applyFill="1" applyBorder="1" applyAlignment="1">
      <alignment horizontal="center"/>
    </xf>
    <xf numFmtId="165" fontId="29" fillId="33" borderId="0" xfId="0" applyNumberFormat="1" applyFont="1" applyFill="1" applyBorder="1" applyAlignment="1">
      <alignment horizontal="center"/>
    </xf>
    <xf numFmtId="10" fontId="0" fillId="44" borderId="23" xfId="42" applyNumberFormat="1" applyFont="1" applyFill="1" applyBorder="1"/>
    <xf numFmtId="0" fontId="0" fillId="43" borderId="57" xfId="0" applyFill="1" applyBorder="1"/>
    <xf numFmtId="0" fontId="0" fillId="54" borderId="28" xfId="0" applyFill="1" applyBorder="1"/>
    <xf numFmtId="0" fontId="0" fillId="43" borderId="22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44" borderId="25" xfId="0" applyFill="1" applyBorder="1" applyAlignment="1">
      <alignment horizontal="center"/>
    </xf>
    <xf numFmtId="0" fontId="16" fillId="43" borderId="40" xfId="0" applyFont="1" applyFill="1" applyBorder="1" applyAlignment="1">
      <alignment horizontal="center"/>
    </xf>
    <xf numFmtId="0" fontId="16" fillId="43" borderId="41" xfId="0" applyFont="1" applyFill="1" applyBorder="1" applyAlignment="1">
      <alignment horizontal="center"/>
    </xf>
    <xf numFmtId="10" fontId="0" fillId="0" borderId="0" xfId="42" applyNumberFormat="1" applyFont="1"/>
    <xf numFmtId="165" fontId="0" fillId="33" borderId="0" xfId="0" applyNumberFormat="1" applyFill="1"/>
    <xf numFmtId="170" fontId="0" fillId="33" borderId="0" xfId="0" applyNumberFormat="1" applyFill="1"/>
    <xf numFmtId="171" fontId="0" fillId="33" borderId="0" xfId="0" applyNumberFormat="1" applyFill="1"/>
    <xf numFmtId="168" fontId="28" fillId="44" borderId="0" xfId="0" applyNumberFormat="1" applyFont="1" applyFill="1" applyBorder="1" applyAlignment="1">
      <alignment horizontal="center" vertical="center"/>
    </xf>
    <xf numFmtId="165" fontId="28" fillId="44" borderId="0" xfId="0" applyNumberFormat="1" applyFont="1" applyFill="1" applyBorder="1" applyAlignment="1">
      <alignment horizontal="center"/>
    </xf>
    <xf numFmtId="165" fontId="28" fillId="44" borderId="25" xfId="0" applyNumberFormat="1" applyFont="1" applyFill="1" applyBorder="1" applyAlignment="1">
      <alignment horizontal="center"/>
    </xf>
    <xf numFmtId="168" fontId="28" fillId="43" borderId="0" xfId="0" applyNumberFormat="1" applyFont="1" applyFill="1" applyBorder="1" applyAlignment="1">
      <alignment horizontal="center" vertical="center"/>
    </xf>
    <xf numFmtId="38" fontId="28" fillId="43" borderId="27" xfId="0" applyNumberFormat="1" applyFont="1" applyFill="1" applyBorder="1" applyAlignment="1">
      <alignment horizontal="center" vertical="center"/>
    </xf>
    <xf numFmtId="0" fontId="29" fillId="44" borderId="0" xfId="0" applyFont="1" applyFill="1" applyBorder="1" applyAlignment="1">
      <alignment horizontal="center" vertical="center"/>
    </xf>
    <xf numFmtId="1" fontId="29" fillId="44" borderId="0" xfId="0" applyNumberFormat="1" applyFont="1" applyFill="1" applyBorder="1" applyAlignment="1">
      <alignment horizontal="center"/>
    </xf>
    <xf numFmtId="1" fontId="29" fillId="44" borderId="25" xfId="0" applyNumberFormat="1" applyFont="1" applyFill="1" applyBorder="1" applyAlignment="1">
      <alignment horizontal="center"/>
    </xf>
    <xf numFmtId="0" fontId="0" fillId="0" borderId="14" xfId="0" applyBorder="1"/>
    <xf numFmtId="0" fontId="16" fillId="54" borderId="0" xfId="0" applyFont="1" applyFill="1"/>
    <xf numFmtId="9" fontId="0" fillId="0" borderId="0" xfId="0" applyNumberFormat="1"/>
    <xf numFmtId="169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38" borderId="0" xfId="0" applyNumberFormat="1" applyFill="1"/>
    <xf numFmtId="3" fontId="16" fillId="33" borderId="14" xfId="0" applyNumberFormat="1" applyFont="1" applyFill="1" applyBorder="1" applyAlignment="1">
      <alignment horizontal="center"/>
    </xf>
    <xf numFmtId="3" fontId="16" fillId="33" borderId="0" xfId="0" applyNumberFormat="1" applyFont="1" applyFill="1" applyBorder="1" applyAlignment="1">
      <alignment horizontal="center"/>
    </xf>
    <xf numFmtId="38" fontId="0" fillId="0" borderId="0" xfId="0" applyNumberFormat="1"/>
    <xf numFmtId="0" fontId="16" fillId="0" borderId="14" xfId="0" applyFont="1" applyBorder="1"/>
    <xf numFmtId="1" fontId="0" fillId="54" borderId="0" xfId="0" applyNumberFormat="1" applyFill="1"/>
    <xf numFmtId="165" fontId="0" fillId="43" borderId="24" xfId="0" applyNumberFormat="1" applyFont="1" applyFill="1" applyBorder="1" applyAlignment="1">
      <alignment horizontal="center" wrapText="1"/>
    </xf>
    <xf numFmtId="165" fontId="0" fillId="43" borderId="25" xfId="0" applyNumberFormat="1" applyFont="1" applyFill="1" applyBorder="1" applyAlignment="1">
      <alignment horizontal="center" wrapText="1"/>
    </xf>
    <xf numFmtId="1" fontId="0" fillId="43" borderId="14" xfId="0" applyNumberFormat="1" applyFill="1" applyBorder="1"/>
    <xf numFmtId="0" fontId="0" fillId="35" borderId="22" xfId="0" applyFont="1" applyFill="1" applyBorder="1"/>
    <xf numFmtId="0" fontId="0" fillId="35" borderId="23" xfId="0" applyFont="1" applyFill="1" applyBorder="1"/>
    <xf numFmtId="1" fontId="0" fillId="43" borderId="39" xfId="0" applyNumberFormat="1" applyFill="1" applyBorder="1"/>
    <xf numFmtId="2" fontId="0" fillId="43" borderId="27" xfId="0" applyNumberFormat="1" applyFill="1" applyBorder="1"/>
    <xf numFmtId="2" fontId="0" fillId="43" borderId="28" xfId="0" applyNumberFormat="1" applyFill="1" applyBorder="1"/>
    <xf numFmtId="10" fontId="0" fillId="57" borderId="0" xfId="0" applyNumberFormat="1" applyFill="1"/>
    <xf numFmtId="0" fontId="0" fillId="57" borderId="0" xfId="0" applyFill="1" applyAlignment="1">
      <alignment horizontal="center"/>
    </xf>
    <xf numFmtId="0" fontId="0" fillId="44" borderId="0" xfId="0" applyFill="1"/>
    <xf numFmtId="0" fontId="0" fillId="35" borderId="21" xfId="0" applyFill="1" applyBorder="1"/>
    <xf numFmtId="0" fontId="0" fillId="35" borderId="22" xfId="0" applyFill="1" applyBorder="1"/>
    <xf numFmtId="15" fontId="0" fillId="35" borderId="22" xfId="0" applyNumberFormat="1" applyFill="1" applyBorder="1" applyAlignment="1">
      <alignment horizontal="center"/>
    </xf>
    <xf numFmtId="15" fontId="0" fillId="40" borderId="22" xfId="0" applyNumberFormat="1" applyFill="1" applyBorder="1" applyAlignment="1">
      <alignment horizontal="center"/>
    </xf>
    <xf numFmtId="15" fontId="0" fillId="40" borderId="23" xfId="0" applyNumberFormat="1" applyFill="1" applyBorder="1" applyAlignment="1">
      <alignment horizontal="center"/>
    </xf>
    <xf numFmtId="1" fontId="0" fillId="43" borderId="0" xfId="0" applyNumberFormat="1" applyFill="1" applyBorder="1" applyAlignment="1">
      <alignment horizontal="center"/>
    </xf>
    <xf numFmtId="1" fontId="0" fillId="43" borderId="25" xfId="0" applyNumberFormat="1" applyFill="1" applyBorder="1" applyAlignment="1">
      <alignment horizontal="center"/>
    </xf>
    <xf numFmtId="1" fontId="0" fillId="44" borderId="0" xfId="0" applyNumberFormat="1" applyFill="1" applyBorder="1" applyAlignment="1">
      <alignment horizontal="center"/>
    </xf>
    <xf numFmtId="1" fontId="0" fillId="44" borderId="25" xfId="0" applyNumberFormat="1" applyFill="1" applyBorder="1" applyAlignment="1">
      <alignment horizontal="center"/>
    </xf>
    <xf numFmtId="38" fontId="0" fillId="43" borderId="0" xfId="0" applyNumberFormat="1" applyFill="1" applyBorder="1" applyAlignment="1">
      <alignment horizontal="center"/>
    </xf>
    <xf numFmtId="38" fontId="0" fillId="43" borderId="25" xfId="0" applyNumberFormat="1" applyFill="1" applyBorder="1" applyAlignment="1">
      <alignment horizontal="center"/>
    </xf>
    <xf numFmtId="38" fontId="0" fillId="44" borderId="0" xfId="0" applyNumberFormat="1" applyFill="1" applyBorder="1" applyAlignment="1">
      <alignment horizontal="center"/>
    </xf>
    <xf numFmtId="38" fontId="0" fillId="44" borderId="25" xfId="0" applyNumberFormat="1" applyFill="1" applyBorder="1" applyAlignment="1">
      <alignment horizontal="center"/>
    </xf>
    <xf numFmtId="2" fontId="0" fillId="43" borderId="27" xfId="0" applyNumberFormat="1" applyFill="1" applyBorder="1" applyAlignment="1">
      <alignment horizontal="center"/>
    </xf>
    <xf numFmtId="2" fontId="0" fillId="43" borderId="28" xfId="0" applyNumberFormat="1" applyFill="1" applyBorder="1" applyAlignment="1">
      <alignment horizontal="center"/>
    </xf>
    <xf numFmtId="1" fontId="0" fillId="43" borderId="14" xfId="0" applyNumberFormat="1" applyFill="1" applyBorder="1" applyAlignment="1">
      <alignment horizontal="center"/>
    </xf>
    <xf numFmtId="1" fontId="0" fillId="43" borderId="39" xfId="0" applyNumberFormat="1" applyFill="1" applyBorder="1" applyAlignment="1">
      <alignment horizontal="center"/>
    </xf>
    <xf numFmtId="0" fontId="0" fillId="50" borderId="22" xfId="0" applyFill="1" applyBorder="1" applyAlignment="1">
      <alignment horizontal="center"/>
    </xf>
    <xf numFmtId="0" fontId="0" fillId="50" borderId="23" xfId="0" applyFill="1" applyBorder="1" applyAlignment="1">
      <alignment horizontal="center"/>
    </xf>
    <xf numFmtId="9" fontId="0" fillId="33" borderId="0" xfId="42" applyFont="1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1" fontId="0" fillId="44" borderId="0" xfId="42" applyNumberFormat="1" applyFont="1" applyFill="1" applyBorder="1" applyAlignment="1">
      <alignment horizontal="center"/>
    </xf>
    <xf numFmtId="9" fontId="0" fillId="33" borderId="25" xfId="42" applyFont="1" applyFill="1" applyBorder="1" applyAlignment="1">
      <alignment horizontal="center"/>
    </xf>
    <xf numFmtId="3" fontId="0" fillId="44" borderId="14" xfId="0" applyNumberFormat="1" applyFill="1" applyBorder="1" applyAlignment="1">
      <alignment horizontal="center"/>
    </xf>
    <xf numFmtId="3" fontId="0" fillId="44" borderId="39" xfId="0" applyNumberFormat="1" applyFill="1" applyBorder="1" applyAlignment="1">
      <alignment horizontal="center"/>
    </xf>
    <xf numFmtId="10" fontId="0" fillId="33" borderId="0" xfId="42" applyNumberFormat="1" applyFont="1" applyFill="1" applyBorder="1" applyAlignment="1">
      <alignment horizontal="center"/>
    </xf>
    <xf numFmtId="3" fontId="16" fillId="43" borderId="40" xfId="0" applyNumberFormat="1" applyFont="1" applyFill="1" applyBorder="1" applyAlignment="1">
      <alignment horizontal="center"/>
    </xf>
    <xf numFmtId="3" fontId="16" fillId="43" borderId="41" xfId="0" applyNumberFormat="1" applyFont="1" applyFill="1" applyBorder="1" applyAlignment="1">
      <alignment horizontal="center"/>
    </xf>
    <xf numFmtId="0" fontId="0" fillId="34" borderId="0" xfId="0" applyFill="1"/>
    <xf numFmtId="0" fontId="16" fillId="33" borderId="0" xfId="0" applyFont="1" applyFill="1" applyBorder="1" applyAlignment="1">
      <alignment horizontal="left"/>
    </xf>
    <xf numFmtId="0" fontId="0" fillId="33" borderId="0" xfId="0" applyFill="1" applyBorder="1" applyAlignment="1">
      <alignment horizontal="left"/>
    </xf>
    <xf numFmtId="165" fontId="16" fillId="43" borderId="24" xfId="0" applyNumberFormat="1" applyFont="1" applyFill="1" applyBorder="1" applyAlignment="1">
      <alignment horizontal="center" vertical="center"/>
    </xf>
    <xf numFmtId="0" fontId="18" fillId="56" borderId="58" xfId="0" applyFont="1" applyFill="1" applyBorder="1" applyAlignment="1"/>
    <xf numFmtId="0" fontId="0" fillId="56" borderId="14" xfId="0" applyFill="1" applyBorder="1"/>
    <xf numFmtId="165" fontId="16" fillId="56" borderId="35" xfId="0" applyNumberFormat="1" applyFont="1" applyFill="1" applyBorder="1" applyAlignment="1">
      <alignment horizontal="center" vertical="center"/>
    </xf>
    <xf numFmtId="165" fontId="16" fillId="56" borderId="14" xfId="0" applyNumberFormat="1" applyFont="1" applyFill="1" applyBorder="1" applyAlignment="1">
      <alignment horizontal="center" vertical="center"/>
    </xf>
    <xf numFmtId="165" fontId="16" fillId="56" borderId="0" xfId="0" applyNumberFormat="1" applyFont="1" applyFill="1" applyBorder="1" applyAlignment="1">
      <alignment horizontal="center" vertical="center"/>
    </xf>
    <xf numFmtId="165" fontId="29" fillId="56" borderId="0" xfId="0" applyNumberFormat="1" applyFont="1" applyFill="1" applyBorder="1" applyAlignment="1">
      <alignment horizontal="center" vertical="center"/>
    </xf>
    <xf numFmtId="165" fontId="29" fillId="56" borderId="25" xfId="0" applyNumberFormat="1" applyFont="1" applyFill="1" applyBorder="1" applyAlignment="1">
      <alignment horizontal="center" vertical="center"/>
    </xf>
    <xf numFmtId="0" fontId="0" fillId="56" borderId="0" xfId="0" applyFill="1" applyBorder="1"/>
    <xf numFmtId="165" fontId="16" fillId="56" borderId="24" xfId="0" applyNumberFormat="1" applyFont="1" applyFill="1" applyBorder="1" applyAlignment="1">
      <alignment horizontal="center" vertical="center"/>
    </xf>
    <xf numFmtId="165" fontId="29" fillId="44" borderId="14" xfId="0" applyNumberFormat="1" applyFont="1" applyFill="1" applyBorder="1" applyAlignment="1">
      <alignment horizontal="center"/>
    </xf>
    <xf numFmtId="165" fontId="28" fillId="56" borderId="0" xfId="0" applyNumberFormat="1" applyFont="1" applyFill="1" applyBorder="1" applyAlignment="1">
      <alignment horizontal="center" vertical="center"/>
    </xf>
    <xf numFmtId="165" fontId="28" fillId="43" borderId="0" xfId="0" applyNumberFormat="1" applyFont="1" applyFill="1" applyBorder="1" applyAlignment="1">
      <alignment horizontal="center"/>
    </xf>
    <xf numFmtId="0" fontId="0" fillId="45" borderId="21" xfId="0" applyFill="1" applyBorder="1" applyAlignment="1">
      <alignment horizontal="center"/>
    </xf>
    <xf numFmtId="0" fontId="0" fillId="45" borderId="22" xfId="0" applyFill="1" applyBorder="1" applyAlignment="1">
      <alignment horizontal="center"/>
    </xf>
    <xf numFmtId="0" fontId="0" fillId="43" borderId="24" xfId="0" applyFill="1" applyBorder="1" applyAlignment="1">
      <alignment horizontal="center"/>
    </xf>
    <xf numFmtId="0" fontId="0" fillId="44" borderId="57" xfId="0" applyFont="1" applyFill="1" applyBorder="1" applyAlignment="1">
      <alignment horizontal="left"/>
    </xf>
    <xf numFmtId="0" fontId="0" fillId="56" borderId="58" xfId="0" applyFill="1" applyBorder="1" applyAlignment="1">
      <alignment horizontal="left"/>
    </xf>
    <xf numFmtId="0" fontId="0" fillId="44" borderId="62" xfId="0" applyFill="1" applyBorder="1" applyAlignment="1">
      <alignment horizontal="left"/>
    </xf>
    <xf numFmtId="0" fontId="0" fillId="44" borderId="22" xfId="0" applyFill="1" applyBorder="1" applyAlignment="1">
      <alignment horizontal="center"/>
    </xf>
    <xf numFmtId="0" fontId="0" fillId="44" borderId="23" xfId="0" applyFill="1" applyBorder="1" applyAlignment="1">
      <alignment horizontal="center"/>
    </xf>
    <xf numFmtId="0" fontId="0" fillId="56" borderId="0" xfId="0" applyFill="1" applyBorder="1" applyAlignment="1">
      <alignment horizontal="center"/>
    </xf>
    <xf numFmtId="0" fontId="0" fillId="56" borderId="25" xfId="0" applyFill="1" applyBorder="1" applyAlignment="1">
      <alignment horizontal="center"/>
    </xf>
    <xf numFmtId="1" fontId="0" fillId="44" borderId="27" xfId="0" applyNumberFormat="1" applyFill="1" applyBorder="1" applyAlignment="1">
      <alignment horizontal="center"/>
    </xf>
    <xf numFmtId="0" fontId="31" fillId="0" borderId="0" xfId="0" applyFont="1" applyAlignment="1">
      <alignment vertical="center" wrapText="1"/>
    </xf>
    <xf numFmtId="1" fontId="0" fillId="33" borderId="0" xfId="0" applyNumberFormat="1" applyFill="1" applyBorder="1" applyAlignment="1">
      <alignment horizontal="center"/>
    </xf>
    <xf numFmtId="9" fontId="0" fillId="43" borderId="0" xfId="0" applyNumberFormat="1" applyFill="1"/>
    <xf numFmtId="0" fontId="0" fillId="35" borderId="57" xfId="0" applyFont="1" applyFill="1" applyBorder="1"/>
    <xf numFmtId="0" fontId="0" fillId="43" borderId="73" xfId="0" applyFill="1" applyBorder="1"/>
    <xf numFmtId="0" fontId="0" fillId="34" borderId="11" xfId="0" applyFill="1" applyBorder="1"/>
    <xf numFmtId="0" fontId="0" fillId="44" borderId="11" xfId="0" applyFill="1" applyBorder="1"/>
    <xf numFmtId="0" fontId="0" fillId="43" borderId="11" xfId="0" applyFill="1" applyBorder="1"/>
    <xf numFmtId="1" fontId="0" fillId="43" borderId="0" xfId="0" applyNumberFormat="1" applyFill="1"/>
    <xf numFmtId="0" fontId="0" fillId="44" borderId="14" xfId="0" applyFill="1" applyBorder="1"/>
    <xf numFmtId="1" fontId="0" fillId="44" borderId="14" xfId="0" applyNumberFormat="1" applyFill="1" applyBorder="1"/>
    <xf numFmtId="0" fontId="0" fillId="43" borderId="24" xfId="0" applyFill="1" applyBorder="1" applyAlignment="1">
      <alignment horizontal="left"/>
    </xf>
    <xf numFmtId="0" fontId="0" fillId="44" borderId="24" xfId="0" applyFill="1" applyBorder="1" applyAlignment="1">
      <alignment horizontal="left"/>
    </xf>
    <xf numFmtId="0" fontId="0" fillId="43" borderId="26" xfId="0" applyFill="1" applyBorder="1" applyAlignment="1">
      <alignment horizontal="left"/>
    </xf>
    <xf numFmtId="0" fontId="0" fillId="43" borderId="25" xfId="0" applyFill="1" applyBorder="1" applyAlignment="1">
      <alignment horizontal="center"/>
    </xf>
    <xf numFmtId="0" fontId="0" fillId="44" borderId="22" xfId="0" applyFill="1" applyBorder="1"/>
    <xf numFmtId="1" fontId="0" fillId="44" borderId="22" xfId="0" applyNumberFormat="1" applyFill="1" applyBorder="1" applyAlignment="1">
      <alignment horizontal="center"/>
    </xf>
    <xf numFmtId="15" fontId="0" fillId="45" borderId="22" xfId="0" applyNumberFormat="1" applyFill="1" applyBorder="1" applyAlignment="1">
      <alignment horizontal="center"/>
    </xf>
    <xf numFmtId="15" fontId="0" fillId="45" borderId="23" xfId="0" applyNumberFormat="1" applyFill="1" applyBorder="1" applyAlignment="1">
      <alignment horizontal="center"/>
    </xf>
    <xf numFmtId="1" fontId="0" fillId="44" borderId="23" xfId="0" applyNumberFormat="1" applyFill="1" applyBorder="1" applyAlignment="1">
      <alignment horizontal="center"/>
    </xf>
    <xf numFmtId="0" fontId="0" fillId="35" borderId="74" xfId="0" applyFill="1" applyBorder="1"/>
    <xf numFmtId="0" fontId="0" fillId="35" borderId="72" xfId="0" applyFill="1" applyBorder="1"/>
    <xf numFmtId="15" fontId="0" fillId="35" borderId="72" xfId="0" applyNumberFormat="1" applyFill="1" applyBorder="1" applyAlignment="1">
      <alignment horizontal="center"/>
    </xf>
    <xf numFmtId="15" fontId="0" fillId="40" borderId="72" xfId="0" applyNumberFormat="1" applyFill="1" applyBorder="1" applyAlignment="1">
      <alignment horizontal="center"/>
    </xf>
    <xf numFmtId="15" fontId="0" fillId="40" borderId="75" xfId="0" applyNumberFormat="1" applyFill="1" applyBorder="1" applyAlignment="1">
      <alignment horizontal="center"/>
    </xf>
    <xf numFmtId="0" fontId="0" fillId="35" borderId="76" xfId="0" applyFill="1" applyBorder="1"/>
    <xf numFmtId="0" fontId="0" fillId="43" borderId="77" xfId="0" applyFill="1" applyBorder="1"/>
    <xf numFmtId="0" fontId="0" fillId="35" borderId="78" xfId="0" applyFill="1" applyBorder="1"/>
    <xf numFmtId="0" fontId="0" fillId="44" borderId="78" xfId="0" applyFill="1" applyBorder="1"/>
    <xf numFmtId="2" fontId="0" fillId="33" borderId="0" xfId="0" applyNumberFormat="1" applyFill="1" applyBorder="1" applyAlignment="1">
      <alignment horizontal="center"/>
    </xf>
    <xf numFmtId="38" fontId="0" fillId="33" borderId="0" xfId="0" applyNumberFormat="1" applyFill="1" applyBorder="1" applyAlignment="1">
      <alignment horizontal="center"/>
    </xf>
    <xf numFmtId="15" fontId="0" fillId="45" borderId="72" xfId="0" applyNumberFormat="1" applyFill="1" applyBorder="1" applyAlignment="1">
      <alignment horizontal="center"/>
    </xf>
    <xf numFmtId="15" fontId="0" fillId="45" borderId="75" xfId="0" applyNumberFormat="1" applyFill="1" applyBorder="1" applyAlignment="1">
      <alignment horizontal="center"/>
    </xf>
    <xf numFmtId="168" fontId="0" fillId="44" borderId="0" xfId="0" applyNumberFormat="1" applyFill="1" applyBorder="1" applyAlignment="1">
      <alignment horizontal="center"/>
    </xf>
    <xf numFmtId="0" fontId="0" fillId="55" borderId="0" xfId="0" applyFill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7" borderId="0" xfId="0" applyFill="1"/>
    <xf numFmtId="2" fontId="0" fillId="33" borderId="0" xfId="0" applyNumberFormat="1" applyFill="1" applyAlignment="1">
      <alignment horizontal="center"/>
    </xf>
    <xf numFmtId="0" fontId="0" fillId="37" borderId="0" xfId="0" applyFill="1" applyAlignment="1">
      <alignment horizontal="center" vertical="center"/>
    </xf>
    <xf numFmtId="1" fontId="0" fillId="37" borderId="0" xfId="0" applyNumberFormat="1" applyFill="1" applyAlignment="1">
      <alignment horizontal="center" vertical="center"/>
    </xf>
    <xf numFmtId="8" fontId="0" fillId="33" borderId="0" xfId="0" applyNumberFormat="1" applyFill="1" applyAlignment="1">
      <alignment horizontal="center"/>
    </xf>
    <xf numFmtId="0" fontId="0" fillId="43" borderId="37" xfId="0" applyFill="1" applyBorder="1"/>
    <xf numFmtId="0" fontId="0" fillId="43" borderId="20" xfId="0" applyFill="1" applyBorder="1"/>
    <xf numFmtId="0" fontId="0" fillId="43" borderId="79" xfId="0" applyFill="1" applyBorder="1"/>
    <xf numFmtId="0" fontId="0" fillId="43" borderId="20" xfId="0" applyFill="1" applyBorder="1" applyAlignment="1">
      <alignment horizontal="center"/>
    </xf>
    <xf numFmtId="168" fontId="0" fillId="43" borderId="20" xfId="0" applyNumberFormat="1" applyFill="1" applyBorder="1" applyAlignment="1">
      <alignment horizontal="center"/>
    </xf>
    <xf numFmtId="15" fontId="28" fillId="37" borderId="31" xfId="0" applyNumberFormat="1" applyFont="1" applyFill="1" applyBorder="1" applyAlignment="1">
      <alignment horizontal="center" vertical="center"/>
    </xf>
    <xf numFmtId="0" fontId="0" fillId="34" borderId="21" xfId="0" applyFill="1" applyBorder="1"/>
    <xf numFmtId="0" fontId="0" fillId="34" borderId="78" xfId="0" applyFill="1" applyBorder="1"/>
    <xf numFmtId="0" fontId="16" fillId="44" borderId="24" xfId="0" applyFont="1" applyFill="1" applyBorder="1" applyAlignment="1">
      <alignment horizontal="left"/>
    </xf>
    <xf numFmtId="0" fontId="16" fillId="43" borderId="24" xfId="0" applyFont="1" applyFill="1" applyBorder="1" applyAlignment="1">
      <alignment horizontal="left"/>
    </xf>
    <xf numFmtId="167" fontId="0" fillId="44" borderId="0" xfId="42" applyNumberFormat="1" applyFont="1" applyFill="1" applyBorder="1" applyAlignment="1">
      <alignment horizontal="center"/>
    </xf>
    <xf numFmtId="167" fontId="0" fillId="44" borderId="25" xfId="42" applyNumberFormat="1" applyFont="1" applyFill="1" applyBorder="1" applyAlignment="1">
      <alignment horizontal="center"/>
    </xf>
    <xf numFmtId="168" fontId="0" fillId="44" borderId="25" xfId="0" applyNumberFormat="1" applyFill="1" applyBorder="1" applyAlignment="1">
      <alignment horizontal="center"/>
    </xf>
    <xf numFmtId="9" fontId="0" fillId="44" borderId="0" xfId="42" applyFont="1" applyFill="1" applyBorder="1" applyAlignment="1">
      <alignment horizontal="center"/>
    </xf>
    <xf numFmtId="9" fontId="0" fillId="44" borderId="25" xfId="42" applyFont="1" applyFill="1" applyBorder="1" applyAlignment="1">
      <alignment horizontal="center"/>
    </xf>
    <xf numFmtId="10" fontId="0" fillId="43" borderId="27" xfId="42" applyNumberFormat="1" applyFont="1" applyFill="1" applyBorder="1" applyAlignment="1">
      <alignment horizontal="center"/>
    </xf>
    <xf numFmtId="10" fontId="0" fillId="43" borderId="28" xfId="42" applyNumberFormat="1" applyFont="1" applyFill="1" applyBorder="1" applyAlignment="1">
      <alignment horizontal="center"/>
    </xf>
    <xf numFmtId="168" fontId="0" fillId="43" borderId="38" xfId="0" applyNumberFormat="1" applyFill="1" applyBorder="1" applyAlignment="1">
      <alignment horizontal="center"/>
    </xf>
    <xf numFmtId="10" fontId="0" fillId="0" borderId="23" xfId="42" applyNumberFormat="1" applyFont="1" applyBorder="1"/>
    <xf numFmtId="0" fontId="0" fillId="0" borderId="24" xfId="0" applyBorder="1"/>
    <xf numFmtId="0" fontId="0" fillId="0" borderId="25" xfId="0" applyBorder="1"/>
    <xf numFmtId="0" fontId="23" fillId="0" borderId="24" xfId="0" applyFont="1" applyBorder="1"/>
    <xf numFmtId="0" fontId="24" fillId="36" borderId="24" xfId="0" applyFont="1" applyFill="1" applyBorder="1"/>
    <xf numFmtId="167" fontId="0" fillId="0" borderId="25" xfId="42" applyNumberFormat="1" applyFont="1" applyBorder="1"/>
    <xf numFmtId="9" fontId="0" fillId="0" borderId="25" xfId="42" applyFont="1" applyBorder="1"/>
    <xf numFmtId="0" fontId="24" fillId="36" borderId="26" xfId="0" applyFont="1" applyFill="1" applyBorder="1"/>
    <xf numFmtId="9" fontId="0" fillId="0" borderId="28" xfId="42" applyFont="1" applyBorder="1"/>
    <xf numFmtId="0" fontId="0" fillId="45" borderId="23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27" xfId="0" applyFill="1" applyBorder="1" applyAlignment="1">
      <alignment horizontal="center"/>
    </xf>
    <xf numFmtId="38" fontId="0" fillId="35" borderId="0" xfId="0" applyNumberFormat="1" applyFill="1" applyBorder="1" applyAlignment="1">
      <alignment horizontal="center"/>
    </xf>
    <xf numFmtId="38" fontId="0" fillId="35" borderId="25" xfId="0" applyNumberFormat="1" applyFill="1" applyBorder="1" applyAlignment="1">
      <alignment horizontal="center"/>
    </xf>
    <xf numFmtId="38" fontId="0" fillId="37" borderId="0" xfId="0" applyNumberFormat="1" applyFill="1" applyBorder="1" applyAlignment="1">
      <alignment horizontal="center"/>
    </xf>
    <xf numFmtId="38" fontId="0" fillId="37" borderId="25" xfId="0" applyNumberFormat="1" applyFill="1" applyBorder="1" applyAlignment="1">
      <alignment horizontal="center"/>
    </xf>
    <xf numFmtId="0" fontId="0" fillId="37" borderId="27" xfId="0" applyFill="1" applyBorder="1"/>
    <xf numFmtId="0" fontId="0" fillId="37" borderId="28" xfId="0" applyFill="1" applyBorder="1"/>
    <xf numFmtId="0" fontId="0" fillId="43" borderId="27" xfId="0" applyFill="1" applyBorder="1" applyAlignment="1">
      <alignment horizontal="center"/>
    </xf>
    <xf numFmtId="0" fontId="0" fillId="36" borderId="74" xfId="0" applyFill="1" applyBorder="1" applyAlignment="1">
      <alignment horizontal="center"/>
    </xf>
    <xf numFmtId="0" fontId="0" fillId="36" borderId="72" xfId="0" applyFill="1" applyBorder="1" applyAlignment="1">
      <alignment horizontal="center"/>
    </xf>
    <xf numFmtId="0" fontId="0" fillId="50" borderId="72" xfId="0" applyFill="1" applyBorder="1" applyAlignment="1">
      <alignment horizontal="center"/>
    </xf>
    <xf numFmtId="15" fontId="0" fillId="50" borderId="75" xfId="0" applyNumberFormat="1" applyFill="1" applyBorder="1" applyAlignment="1">
      <alignment horizontal="center"/>
    </xf>
    <xf numFmtId="0" fontId="0" fillId="59" borderId="72" xfId="0" applyFill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1" fontId="0" fillId="33" borderId="0" xfId="0" applyNumberFormat="1" applyFont="1" applyFill="1" applyBorder="1" applyAlignment="1">
      <alignment horizontal="center"/>
    </xf>
    <xf numFmtId="10" fontId="0" fillId="33" borderId="0" xfId="0" applyNumberFormat="1" applyFont="1" applyFill="1" applyBorder="1" applyAlignment="1">
      <alignment horizontal="center"/>
    </xf>
    <xf numFmtId="165" fontId="29" fillId="44" borderId="39" xfId="0" applyNumberFormat="1" applyFont="1" applyFill="1" applyBorder="1" applyAlignment="1">
      <alignment horizontal="center"/>
    </xf>
    <xf numFmtId="1" fontId="0" fillId="43" borderId="27" xfId="0" applyNumberFormat="1" applyFill="1" applyBorder="1" applyAlignment="1">
      <alignment horizontal="center"/>
    </xf>
    <xf numFmtId="1" fontId="0" fillId="43" borderId="28" xfId="0" applyNumberFormat="1" applyFill="1" applyBorder="1" applyAlignment="1">
      <alignment horizontal="center"/>
    </xf>
    <xf numFmtId="0" fontId="16" fillId="43" borderId="56" xfId="0" applyFont="1" applyFill="1" applyBorder="1"/>
    <xf numFmtId="0" fontId="16" fillId="43" borderId="80" xfId="0" applyFont="1" applyFill="1" applyBorder="1"/>
    <xf numFmtId="1" fontId="16" fillId="43" borderId="40" xfId="0" applyNumberFormat="1" applyFont="1" applyFill="1" applyBorder="1" applyAlignment="1">
      <alignment horizontal="center"/>
    </xf>
    <xf numFmtId="1" fontId="16" fillId="43" borderId="41" xfId="0" applyNumberFormat="1" applyFont="1" applyFill="1" applyBorder="1" applyAlignment="1">
      <alignment horizontal="center"/>
    </xf>
    <xf numFmtId="0" fontId="16" fillId="44" borderId="77" xfId="0" applyFont="1" applyFill="1" applyBorder="1"/>
    <xf numFmtId="1" fontId="16" fillId="44" borderId="27" xfId="0" applyNumberFormat="1" applyFont="1" applyFill="1" applyBorder="1" applyAlignment="1">
      <alignment horizontal="center"/>
    </xf>
    <xf numFmtId="1" fontId="16" fillId="44" borderId="28" xfId="0" applyNumberFormat="1" applyFont="1" applyFill="1" applyBorder="1" applyAlignment="1">
      <alignment horizontal="center"/>
    </xf>
    <xf numFmtId="165" fontId="29" fillId="44" borderId="22" xfId="0" applyNumberFormat="1" applyFont="1" applyFill="1" applyBorder="1" applyAlignment="1">
      <alignment horizontal="center"/>
    </xf>
    <xf numFmtId="165" fontId="29" fillId="44" borderId="23" xfId="0" applyNumberFormat="1" applyFont="1" applyFill="1" applyBorder="1" applyAlignment="1">
      <alignment horizontal="center"/>
    </xf>
    <xf numFmtId="38" fontId="29" fillId="43" borderId="16" xfId="0" applyNumberFormat="1" applyFont="1" applyFill="1" applyBorder="1" applyAlignment="1">
      <alignment horizontal="center"/>
    </xf>
    <xf numFmtId="0" fontId="29" fillId="44" borderId="57" xfId="0" applyFont="1" applyFill="1" applyBorder="1" applyAlignment="1"/>
    <xf numFmtId="0" fontId="29" fillId="44" borderId="22" xfId="0" applyFont="1" applyFill="1" applyBorder="1"/>
    <xf numFmtId="165" fontId="29" fillId="44" borderId="74" xfId="0" applyNumberFormat="1" applyFont="1" applyFill="1" applyBorder="1" applyAlignment="1">
      <alignment horizontal="center"/>
    </xf>
    <xf numFmtId="165" fontId="29" fillId="44" borderId="72" xfId="0" applyNumberFormat="1" applyFont="1" applyFill="1" applyBorder="1" applyAlignment="1">
      <alignment horizontal="center"/>
    </xf>
    <xf numFmtId="0" fontId="29" fillId="43" borderId="58" xfId="0" applyFont="1" applyFill="1" applyBorder="1" applyAlignment="1"/>
    <xf numFmtId="0" fontId="29" fillId="43" borderId="0" xfId="0" applyFont="1" applyFill="1" applyBorder="1"/>
    <xf numFmtId="0" fontId="29" fillId="44" borderId="73" xfId="0" applyFont="1" applyFill="1" applyBorder="1" applyAlignment="1"/>
    <xf numFmtId="0" fontId="29" fillId="44" borderId="14" xfId="0" applyFont="1" applyFill="1" applyBorder="1"/>
    <xf numFmtId="0" fontId="29" fillId="44" borderId="58" xfId="0" applyFont="1" applyFill="1" applyBorder="1" applyAlignment="1"/>
    <xf numFmtId="0" fontId="29" fillId="44" borderId="0" xfId="0" applyFont="1" applyFill="1" applyBorder="1"/>
    <xf numFmtId="0" fontId="29" fillId="43" borderId="24" xfId="0" applyFont="1" applyFill="1" applyBorder="1" applyAlignment="1"/>
    <xf numFmtId="0" fontId="28" fillId="43" borderId="0" xfId="0" applyFont="1" applyFill="1" applyBorder="1"/>
    <xf numFmtId="0" fontId="28" fillId="44" borderId="0" xfId="0" applyFont="1" applyFill="1" applyBorder="1"/>
    <xf numFmtId="0" fontId="29" fillId="44" borderId="62" xfId="0" applyFont="1" applyFill="1" applyBorder="1" applyAlignment="1"/>
    <xf numFmtId="0" fontId="29" fillId="44" borderId="27" xfId="0" applyFont="1" applyFill="1" applyBorder="1"/>
    <xf numFmtId="0" fontId="0" fillId="33" borderId="58" xfId="0" applyFill="1" applyBorder="1"/>
    <xf numFmtId="0" fontId="0" fillId="44" borderId="62" xfId="0" applyFill="1" applyBorder="1"/>
    <xf numFmtId="38" fontId="0" fillId="43" borderId="27" xfId="0" applyNumberFormat="1" applyFill="1" applyBorder="1" applyAlignment="1">
      <alignment horizontal="center"/>
    </xf>
    <xf numFmtId="38" fontId="0" fillId="43" borderId="28" xfId="0" applyNumberFormat="1" applyFill="1" applyBorder="1" applyAlignment="1">
      <alignment horizontal="center"/>
    </xf>
    <xf numFmtId="1" fontId="0" fillId="44" borderId="28" xfId="0" applyNumberFormat="1" applyFill="1" applyBorder="1" applyAlignment="1">
      <alignment horizontal="center"/>
    </xf>
    <xf numFmtId="168" fontId="16" fillId="33" borderId="0" xfId="0" applyNumberFormat="1" applyFont="1" applyFill="1"/>
    <xf numFmtId="2" fontId="0" fillId="43" borderId="0" xfId="0" applyNumberFormat="1" applyFill="1" applyBorder="1" applyAlignment="1">
      <alignment horizontal="center"/>
    </xf>
    <xf numFmtId="2" fontId="0" fillId="44" borderId="0" xfId="0" applyNumberFormat="1" applyFill="1" applyBorder="1" applyAlignment="1">
      <alignment horizontal="center"/>
    </xf>
    <xf numFmtId="2" fontId="0" fillId="44" borderId="25" xfId="0" applyNumberFormat="1" applyFill="1" applyBorder="1" applyAlignment="1">
      <alignment horizontal="center"/>
    </xf>
    <xf numFmtId="2" fontId="0" fillId="43" borderId="25" xfId="0" applyNumberFormat="1" applyFill="1" applyBorder="1" applyAlignment="1">
      <alignment horizontal="center"/>
    </xf>
    <xf numFmtId="0" fontId="0" fillId="58" borderId="24" xfId="0" applyFill="1" applyBorder="1" applyAlignment="1">
      <alignment horizontal="left"/>
    </xf>
    <xf numFmtId="0" fontId="0" fillId="58" borderId="0" xfId="0" applyFill="1" applyBorder="1"/>
    <xf numFmtId="9" fontId="0" fillId="58" borderId="0" xfId="42" applyFont="1" applyFill="1" applyBorder="1" applyAlignment="1">
      <alignment horizontal="center"/>
    </xf>
    <xf numFmtId="0" fontId="16" fillId="44" borderId="21" xfId="0" applyFont="1" applyFill="1" applyBorder="1" applyAlignment="1">
      <alignment horizontal="left"/>
    </xf>
    <xf numFmtId="0" fontId="0" fillId="43" borderId="35" xfId="0" applyFill="1" applyBorder="1" applyAlignment="1">
      <alignment horizontal="left"/>
    </xf>
    <xf numFmtId="0" fontId="0" fillId="43" borderId="0" xfId="0" applyFill="1" applyAlignment="1">
      <alignment horizontal="center"/>
    </xf>
    <xf numFmtId="0" fontId="0" fillId="44" borderId="57" xfId="0" applyFill="1" applyBorder="1"/>
    <xf numFmtId="0" fontId="0" fillId="44" borderId="81" xfId="0" applyFill="1" applyBorder="1"/>
    <xf numFmtId="0" fontId="0" fillId="44" borderId="82" xfId="0" applyFill="1" applyBorder="1"/>
    <xf numFmtId="0" fontId="0" fillId="35" borderId="57" xfId="0" applyFill="1" applyBorder="1"/>
    <xf numFmtId="0" fontId="0" fillId="35" borderId="22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1" fontId="0" fillId="44" borderId="40" xfId="0" applyNumberFormat="1" applyFill="1" applyBorder="1" applyAlignment="1">
      <alignment horizontal="center"/>
    </xf>
    <xf numFmtId="1" fontId="0" fillId="44" borderId="41" xfId="0" applyNumberForma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44" borderId="0" xfId="0" applyFill="1" applyAlignment="1">
      <alignment horizontal="center"/>
    </xf>
    <xf numFmtId="167" fontId="0" fillId="44" borderId="0" xfId="42" applyNumberFormat="1" applyFont="1" applyFill="1" applyAlignment="1">
      <alignment horizontal="center"/>
    </xf>
    <xf numFmtId="10" fontId="0" fillId="44" borderId="0" xfId="0" applyNumberFormat="1" applyFill="1" applyAlignment="1">
      <alignment horizontal="center"/>
    </xf>
    <xf numFmtId="9" fontId="0" fillId="44" borderId="0" xfId="0" applyNumberFormat="1" applyFill="1" applyAlignment="1">
      <alignment horizontal="center"/>
    </xf>
    <xf numFmtId="10" fontId="0" fillId="43" borderId="0" xfId="0" applyNumberFormat="1" applyFill="1" applyAlignment="1">
      <alignment horizontal="center"/>
    </xf>
    <xf numFmtId="167" fontId="0" fillId="43" borderId="0" xfId="0" applyNumberFormat="1" applyFill="1" applyAlignment="1">
      <alignment horizontal="center"/>
    </xf>
    <xf numFmtId="9" fontId="0" fillId="43" borderId="28" xfId="42" applyNumberFormat="1" applyFont="1" applyFill="1" applyBorder="1"/>
    <xf numFmtId="10" fontId="0" fillId="43" borderId="23" xfId="42" applyNumberFormat="1" applyFont="1" applyFill="1" applyBorder="1"/>
    <xf numFmtId="168" fontId="0" fillId="44" borderId="66" xfId="0" applyNumberFormat="1" applyFill="1" applyBorder="1" applyAlignment="1">
      <alignment horizontal="center"/>
    </xf>
    <xf numFmtId="0" fontId="20" fillId="50" borderId="21" xfId="0" applyFont="1" applyFill="1" applyBorder="1" applyAlignment="1">
      <alignment horizontal="center"/>
    </xf>
    <xf numFmtId="0" fontId="28" fillId="51" borderId="24" xfId="0" applyFont="1" applyFill="1" applyBorder="1" applyAlignment="1">
      <alignment horizontal="center"/>
    </xf>
    <xf numFmtId="1" fontId="28" fillId="44" borderId="24" xfId="0" applyNumberFormat="1" applyFont="1" applyFill="1" applyBorder="1" applyAlignment="1">
      <alignment horizontal="center"/>
    </xf>
    <xf numFmtId="0" fontId="28" fillId="0" borderId="24" xfId="0" applyFont="1" applyBorder="1" applyAlignment="1">
      <alignment horizontal="center"/>
    </xf>
    <xf numFmtId="1" fontId="28" fillId="51" borderId="24" xfId="0" applyNumberFormat="1" applyFont="1" applyFill="1" applyBorder="1" applyAlignment="1">
      <alignment horizontal="center"/>
    </xf>
    <xf numFmtId="1" fontId="28" fillId="52" borderId="35" xfId="0" applyNumberFormat="1" applyFont="1" applyFill="1" applyBorder="1" applyAlignment="1">
      <alignment horizontal="center"/>
    </xf>
    <xf numFmtId="0" fontId="28" fillId="53" borderId="24" xfId="0" applyFont="1" applyFill="1" applyBorder="1" applyAlignment="1">
      <alignment horizontal="center"/>
    </xf>
    <xf numFmtId="1" fontId="28" fillId="44" borderId="35" xfId="0" applyNumberFormat="1" applyFont="1" applyFill="1" applyBorder="1" applyAlignment="1">
      <alignment horizontal="center"/>
    </xf>
    <xf numFmtId="1" fontId="29" fillId="51" borderId="24" xfId="0" applyNumberFormat="1" applyFont="1" applyFill="1" applyBorder="1" applyAlignment="1">
      <alignment horizontal="center"/>
    </xf>
    <xf numFmtId="1" fontId="29" fillId="44" borderId="56" xfId="0" applyNumberFormat="1" applyFont="1" applyFill="1" applyBorder="1" applyAlignment="1">
      <alignment horizontal="center"/>
    </xf>
    <xf numFmtId="0" fontId="28" fillId="33" borderId="0" xfId="0" applyFont="1" applyFill="1" applyBorder="1" applyAlignment="1">
      <alignment horizontal="center"/>
    </xf>
    <xf numFmtId="1" fontId="28" fillId="33" borderId="0" xfId="0" applyNumberFormat="1" applyFont="1" applyFill="1" applyBorder="1" applyAlignment="1">
      <alignment horizontal="center"/>
    </xf>
    <xf numFmtId="1" fontId="29" fillId="33" borderId="0" xfId="0" applyNumberFormat="1" applyFont="1" applyFill="1" applyBorder="1" applyAlignment="1">
      <alignment horizontal="center"/>
    </xf>
    <xf numFmtId="15" fontId="28" fillId="33" borderId="70" xfId="0" applyNumberFormat="1" applyFont="1" applyFill="1" applyBorder="1" applyAlignment="1">
      <alignment horizontal="center" vertical="center"/>
    </xf>
    <xf numFmtId="15" fontId="28" fillId="33" borderId="31" xfId="0" applyNumberFormat="1" applyFont="1" applyFill="1" applyBorder="1" applyAlignment="1">
      <alignment horizontal="center" vertical="center"/>
    </xf>
    <xf numFmtId="15" fontId="28" fillId="33" borderId="32" xfId="0" applyNumberFormat="1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left"/>
    </xf>
    <xf numFmtId="0" fontId="16" fillId="33" borderId="0" xfId="0" applyFont="1" applyFill="1" applyAlignment="1">
      <alignment horizontal="center"/>
    </xf>
    <xf numFmtId="0" fontId="0" fillId="49" borderId="21" xfId="0" applyFill="1" applyBorder="1" applyAlignment="1">
      <alignment horizontal="center"/>
    </xf>
    <xf numFmtId="0" fontId="0" fillId="49" borderId="23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8" borderId="0" xfId="0" applyFill="1" applyAlignment="1">
      <alignment horizontal="center"/>
    </xf>
    <xf numFmtId="0" fontId="0" fillId="48" borderId="27" xfId="0" applyFill="1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27" xfId="0" applyFill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28" fillId="37" borderId="0" xfId="0" applyFont="1" applyFill="1" applyAlignment="1">
      <alignment horizontal="center"/>
    </xf>
    <xf numFmtId="0" fontId="0" fillId="52" borderId="0" xfId="0" applyFill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5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43" builtinId="3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Percent" xfId="42" builtinId="5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from</a:t>
            </a:r>
            <a:r>
              <a:rPr lang="en-IN" baseline="0"/>
              <a:t> Automotive Sector</a:t>
            </a:r>
            <a:endParaRPr lang="en-IN"/>
          </a:p>
        </c:rich>
      </c:tx>
      <c:layout>
        <c:manualLayout>
          <c:xMode val="edge"/>
          <c:yMode val="edge"/>
          <c:x val="0.20199028765129054"/>
          <c:y val="0.28860028860028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601-4DDA-9A28-A04FE1B86FA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C2-45AD-AC70-746ABB9D60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Analysis by Segment'!$B$23:$H$23</c:f>
              <c:strCache>
                <c:ptCount val="6"/>
                <c:pt idx="0">
                  <c:v>Q2 FY 19</c:v>
                </c:pt>
                <c:pt idx="1">
                  <c:v>Q4 FY 19</c:v>
                </c:pt>
                <c:pt idx="2">
                  <c:v>Q1 FY 20</c:v>
                </c:pt>
                <c:pt idx="3">
                  <c:v>Q2 FY 20</c:v>
                </c:pt>
                <c:pt idx="4">
                  <c:v>Q3 FY 2020(E)</c:v>
                </c:pt>
                <c:pt idx="5">
                  <c:v>Q4 FY 2020(E)</c:v>
                </c:pt>
              </c:strCache>
            </c:strRef>
          </c:cat>
          <c:val>
            <c:numRef>
              <c:f>'Revenue Analysis by Segment'!$B$24:$H$24</c:f>
              <c:numCache>
                <c:formatCode>General</c:formatCode>
                <c:ptCount val="6"/>
                <c:pt idx="0">
                  <c:v>875</c:v>
                </c:pt>
                <c:pt idx="1">
                  <c:v>893</c:v>
                </c:pt>
                <c:pt idx="2">
                  <c:v>829</c:v>
                </c:pt>
                <c:pt idx="3">
                  <c:v>846</c:v>
                </c:pt>
                <c:pt idx="4" formatCode="0">
                  <c:v>883.22400000000005</c:v>
                </c:pt>
                <c:pt idx="5" formatCode="0">
                  <c:v>922.08585600000004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C2-45AD-AC70-746ABB9D6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08577696"/>
        <c:axId val="-1408572256"/>
      </c:barChart>
      <c:catAx>
        <c:axId val="-14085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572256"/>
        <c:crosses val="autoZero"/>
        <c:auto val="1"/>
        <c:lblAlgn val="ctr"/>
        <c:lblOffset val="100"/>
        <c:noMultiLvlLbl val="0"/>
      </c:catAx>
      <c:valAx>
        <c:axId val="-1408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5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Share Structure</a:t>
            </a:r>
            <a:r>
              <a:rPr lang="en-IN" sz="1000">
                <a:solidFill>
                  <a:sysClr val="windowText" lastClr="000000"/>
                </a:solidFill>
              </a:rPr>
              <a:t>(31 Mar 2020,by region)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C5-4EF2-BB37-08DD5F7464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C5-4EF2-BB37-08DD5F7464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9C5-4EF2-BB37-08DD5F7464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9C5-4EF2-BB37-08DD5F7464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9C5-4EF2-BB37-08DD5F7464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9C5-4EF2-BB37-08DD5F746460}"/>
              </c:ext>
            </c:extLst>
          </c:dPt>
          <c:cat>
            <c:strRef>
              <c:f>'Chart Work'!$C$15:$C$20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UK</c:v>
                </c:pt>
                <c:pt idx="3">
                  <c:v>ROW</c:v>
                </c:pt>
                <c:pt idx="4">
                  <c:v>Germany</c:v>
                </c:pt>
                <c:pt idx="5">
                  <c:v>Europe</c:v>
                </c:pt>
              </c:strCache>
            </c:strRef>
          </c:cat>
          <c:val>
            <c:numRef>
              <c:f>'Chart Work'!$D$15:$D$20</c:f>
              <c:numCache>
                <c:formatCode>0.00%</c:formatCode>
                <c:ptCount val="6"/>
                <c:pt idx="0">
                  <c:v>0.03</c:v>
                </c:pt>
                <c:pt idx="1">
                  <c:v>0.38</c:v>
                </c:pt>
                <c:pt idx="2">
                  <c:v>0.18</c:v>
                </c:pt>
                <c:pt idx="3">
                  <c:v>0.04</c:v>
                </c:pt>
                <c:pt idx="4">
                  <c:v>0.17</c:v>
                </c:pt>
                <c:pt idx="5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C5-4E23-AFD9-D62627C5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Revenue</a:t>
            </a:r>
            <a:r>
              <a:rPr lang="en-IN" baseline="0">
                <a:solidFill>
                  <a:sysClr val="windowText" lastClr="000000"/>
                </a:solidFill>
              </a:rPr>
              <a:t> by Region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D20-42FE-9588-B78CF781DA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D20-42FE-9588-B78CF781DAA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D20-42FE-9588-B78CF781DA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D20-42FE-9588-B78CF781DAA9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D20-42FE-9588-B78CF781DAA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D20-42FE-9588-B78CF781DAA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D20-42FE-9588-B78CF781DAA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D20-42FE-9588-B78CF781DAA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D20-42FE-9588-B78CF781DAA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D20-42FE-9588-B78CF781DAA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'Chart Work'!$N$4:$N$8</c:f>
              <c:strCache>
                <c:ptCount val="5"/>
                <c:pt idx="0">
                  <c:v>Greater China</c:v>
                </c:pt>
                <c:pt idx="1">
                  <c:v>APAC</c:v>
                </c:pt>
                <c:pt idx="2">
                  <c:v>Japan</c:v>
                </c:pt>
                <c:pt idx="3">
                  <c:v>America</c:v>
                </c:pt>
                <c:pt idx="4">
                  <c:v>EMEA</c:v>
                </c:pt>
              </c:strCache>
            </c:strRef>
          </c:cat>
          <c:val>
            <c:numRef>
              <c:f>'Chart Work'!$O$4:$O$8</c:f>
              <c:numCache>
                <c:formatCode>0.00%</c:formatCode>
                <c:ptCount val="5"/>
                <c:pt idx="0">
                  <c:v>0.35</c:v>
                </c:pt>
                <c:pt idx="1">
                  <c:v>0.15</c:v>
                </c:pt>
                <c:pt idx="2">
                  <c:v>0.11</c:v>
                </c:pt>
                <c:pt idx="3">
                  <c:v>0.12</c:v>
                </c:pt>
                <c:pt idx="4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20-42FE-9588-B78CF781DA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Share Holders Equity (BV Vs MV)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'Chart Work'!$S$1</c:f>
              <c:strCache>
                <c:ptCount val="1"/>
                <c:pt idx="0">
                  <c:v>Book Value of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Work'!$R$2:$R$6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'Chart Work'!$S$2:$S$6</c:f>
              <c:numCache>
                <c:formatCode>General</c:formatCode>
                <c:ptCount val="5"/>
                <c:pt idx="0">
                  <c:v>4665</c:v>
                </c:pt>
                <c:pt idx="1">
                  <c:v>5023</c:v>
                </c:pt>
                <c:pt idx="2">
                  <c:v>5636</c:v>
                </c:pt>
                <c:pt idx="3">
                  <c:v>6446</c:v>
                </c:pt>
                <c:pt idx="4">
                  <c:v>8633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7E-4806-BEB4-0DE6B0CF5122}"/>
            </c:ext>
          </c:extLst>
        </c:ser>
        <c:ser>
          <c:idx val="2"/>
          <c:order val="1"/>
          <c:tx>
            <c:strRef>
              <c:f>'Chart Work'!$T$1</c:f>
              <c:strCache>
                <c:ptCount val="1"/>
                <c:pt idx="0">
                  <c:v>Market Value of 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Work'!$R$2:$R$6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'Chart Work'!$T$2:$T$6</c:f>
              <c:numCache>
                <c:formatCode>0</c:formatCode>
                <c:ptCount val="5"/>
                <c:pt idx="0">
                  <c:v>15241.5</c:v>
                </c:pt>
                <c:pt idx="1">
                  <c:v>18705.830000000002</c:v>
                </c:pt>
                <c:pt idx="2">
                  <c:v>25934.879999999997</c:v>
                </c:pt>
                <c:pt idx="3">
                  <c:v>19738.32</c:v>
                </c:pt>
                <c:pt idx="4">
                  <c:v>25407.809999999998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7E-4806-BEB4-0DE6B0CF51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49405744"/>
        <c:axId val="-1349404656"/>
      </c:barChart>
      <c:catAx>
        <c:axId val="-13494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404656"/>
        <c:crosses val="autoZero"/>
        <c:auto val="1"/>
        <c:lblAlgn val="ctr"/>
        <c:lblOffset val="100"/>
        <c:noMultiLvlLbl val="0"/>
      </c:catAx>
      <c:valAx>
        <c:axId val="-13494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4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 Smart Card and Security ICs </a:t>
            </a:r>
            <a:r>
              <a:rPr lang="en-IN" sz="1050">
                <a:solidFill>
                  <a:schemeClr val="tx1"/>
                </a:solidFill>
              </a:rPr>
              <a:t>(Market Share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9A-4849-8F62-AC9AF66247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Work'!$X$3:$X$7</c:f>
              <c:strCache>
                <c:ptCount val="5"/>
                <c:pt idx="0">
                  <c:v>NXP</c:v>
                </c:pt>
                <c:pt idx="1">
                  <c:v>Infineon Technologies</c:v>
                </c:pt>
                <c:pt idx="2">
                  <c:v>Samsung</c:v>
                </c:pt>
                <c:pt idx="3">
                  <c:v>STMicro electronics</c:v>
                </c:pt>
                <c:pt idx="4">
                  <c:v>CEC Honda</c:v>
                </c:pt>
              </c:strCache>
            </c:strRef>
          </c:cat>
          <c:val>
            <c:numRef>
              <c:f>'Chart Work'!$Y$3:$Y$7</c:f>
              <c:numCache>
                <c:formatCode>0.0%</c:formatCode>
                <c:ptCount val="5"/>
                <c:pt idx="0">
                  <c:v>0.248</c:v>
                </c:pt>
                <c:pt idx="1">
                  <c:v>0.24299999999999999</c:v>
                </c:pt>
                <c:pt idx="2">
                  <c:v>0.17399999999999999</c:v>
                </c:pt>
                <c:pt idx="3">
                  <c:v>0.105</c:v>
                </c:pt>
                <c:pt idx="4">
                  <c:v>8.5000000000000006E-2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9A-4849-8F62-AC9AF66247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349403024"/>
        <c:axId val="-1349402480"/>
      </c:barChart>
      <c:catAx>
        <c:axId val="-134940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402480"/>
        <c:crosses val="autoZero"/>
        <c:auto val="1"/>
        <c:lblAlgn val="ctr"/>
        <c:lblOffset val="100"/>
        <c:noMultiLvlLbl val="0"/>
      </c:catAx>
      <c:valAx>
        <c:axId val="-13494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4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chemeClr val="tx1"/>
                </a:solidFill>
                <a:effectLst/>
              </a:rPr>
              <a:t>Power MOFSET </a:t>
            </a:r>
            <a:r>
              <a:rPr lang="en-IN" sz="1200" b="0" i="0" u="none" strike="noStrike" baseline="0">
                <a:solidFill>
                  <a:schemeClr val="tx1"/>
                </a:solidFill>
                <a:effectLst/>
              </a:rPr>
              <a:t>(Market Share 2018)</a:t>
            </a:r>
            <a:r>
              <a:rPr lang="en-IN" sz="1200" b="0" i="0" u="none" strike="noStrike" baseline="0">
                <a:solidFill>
                  <a:schemeClr val="tx1"/>
                </a:solidFill>
              </a:rPr>
              <a:t> </a:t>
            </a:r>
            <a:endParaRPr lang="en-IN" sz="12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3D8-437D-8E1D-09E83D681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Work'!$X$14:$X$18</c:f>
              <c:strCache>
                <c:ptCount val="5"/>
                <c:pt idx="0">
                  <c:v>Infineon Technologies</c:v>
                </c:pt>
                <c:pt idx="1">
                  <c:v>STMicro electronics</c:v>
                </c:pt>
                <c:pt idx="2">
                  <c:v>OM Semi conductors</c:v>
                </c:pt>
                <c:pt idx="3">
                  <c:v>Toshiba</c:v>
                </c:pt>
                <c:pt idx="4">
                  <c:v>Renesas</c:v>
                </c:pt>
              </c:strCache>
            </c:strRef>
          </c:cat>
          <c:val>
            <c:numRef>
              <c:f>'Chart Work'!$Y$14:$Y$18</c:f>
              <c:numCache>
                <c:formatCode>0.0%</c:formatCode>
                <c:ptCount val="5"/>
                <c:pt idx="0">
                  <c:v>0.27700000000000002</c:v>
                </c:pt>
                <c:pt idx="1">
                  <c:v>0.08</c:v>
                </c:pt>
                <c:pt idx="2">
                  <c:v>0.13100000000000001</c:v>
                </c:pt>
                <c:pt idx="3">
                  <c:v>7.0000000000000007E-2</c:v>
                </c:pt>
                <c:pt idx="4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D8-437D-8E1D-09E83D681C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348358784"/>
        <c:axId val="-1348357696"/>
      </c:barChart>
      <c:catAx>
        <c:axId val="-134835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357696"/>
        <c:crosses val="autoZero"/>
        <c:auto val="1"/>
        <c:lblAlgn val="ctr"/>
        <c:lblOffset val="100"/>
        <c:noMultiLvlLbl val="0"/>
      </c:catAx>
      <c:valAx>
        <c:axId val="-13483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3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Automotive Semiconductor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747-47A3-A010-854ECE2AE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Work'!$X$27:$X$31</c:f>
              <c:strCache>
                <c:ptCount val="5"/>
                <c:pt idx="0">
                  <c:v>NXP</c:v>
                </c:pt>
                <c:pt idx="1">
                  <c:v>STMicro electronics</c:v>
                </c:pt>
                <c:pt idx="2">
                  <c:v>Infineon Technologies</c:v>
                </c:pt>
                <c:pt idx="3">
                  <c:v>Renesas</c:v>
                </c:pt>
                <c:pt idx="4">
                  <c:v>Texas Instruments</c:v>
                </c:pt>
              </c:strCache>
            </c:strRef>
          </c:cat>
          <c:val>
            <c:numRef>
              <c:f>'Chart Work'!$Y$27:$Y$31</c:f>
              <c:numCache>
                <c:formatCode>0.0%</c:formatCode>
                <c:ptCount val="5"/>
                <c:pt idx="0">
                  <c:v>0.12</c:v>
                </c:pt>
                <c:pt idx="1">
                  <c:v>7.5999999999999998E-2</c:v>
                </c:pt>
                <c:pt idx="2">
                  <c:v>0.112</c:v>
                </c:pt>
                <c:pt idx="3">
                  <c:v>8.8999999999999996E-2</c:v>
                </c:pt>
                <c:pt idx="4">
                  <c:v>8.2000000000000003E-2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47-47A3-A010-854ECE2AE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348366944"/>
        <c:axId val="-1348353888"/>
      </c:barChart>
      <c:catAx>
        <c:axId val="-134836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353888"/>
        <c:crosses val="autoZero"/>
        <c:auto val="1"/>
        <c:lblAlgn val="ctr"/>
        <c:lblOffset val="100"/>
        <c:noMultiLvlLbl val="0"/>
      </c:catAx>
      <c:valAx>
        <c:axId val="-13483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3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01-4EA9-B7C0-A9A5ECF62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Work'!$X$41:$X$45</c:f>
              <c:strCache>
                <c:ptCount val="5"/>
                <c:pt idx="0">
                  <c:v>Mitsbushi</c:v>
                </c:pt>
                <c:pt idx="1">
                  <c:v>ON Semi conductors</c:v>
                </c:pt>
                <c:pt idx="2">
                  <c:v>Infineon</c:v>
                </c:pt>
                <c:pt idx="3">
                  <c:v>Fuji Electronics</c:v>
                </c:pt>
                <c:pt idx="4">
                  <c:v>Semikron</c:v>
                </c:pt>
              </c:strCache>
            </c:strRef>
          </c:cat>
          <c:val>
            <c:numRef>
              <c:f>'Chart Work'!$Y$41:$Y$45</c:f>
              <c:numCache>
                <c:formatCode>0.0%</c:formatCode>
                <c:ptCount val="5"/>
                <c:pt idx="0">
                  <c:v>0.32300000000000001</c:v>
                </c:pt>
                <c:pt idx="1">
                  <c:v>0.189</c:v>
                </c:pt>
                <c:pt idx="2">
                  <c:v>0.12</c:v>
                </c:pt>
                <c:pt idx="3">
                  <c:v>0.1</c:v>
                </c:pt>
                <c:pt idx="4">
                  <c:v>5.8000000000000003E-2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01-4EA9-B7C0-A9A5ECF62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348364768"/>
        <c:axId val="-1348363680"/>
      </c:barChart>
      <c:catAx>
        <c:axId val="-134836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363680"/>
        <c:crosses val="autoZero"/>
        <c:auto val="1"/>
        <c:lblAlgn val="ctr"/>
        <c:lblOffset val="100"/>
        <c:noMultiLvlLbl val="0"/>
      </c:catAx>
      <c:valAx>
        <c:axId val="-13483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3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Divident Per Share (in Euro cents)</a:t>
            </a:r>
          </a:p>
        </c:rich>
      </c:tx>
      <c:layout>
        <c:manualLayout>
          <c:xMode val="edge"/>
          <c:yMode val="edge"/>
          <c:x val="0.387726218211487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'Chart Work'!$AJ$28</c:f>
              <c:strCache>
                <c:ptCount val="1"/>
                <c:pt idx="0">
                  <c:v>DPS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Work'!$AI$29:$AI$38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'Chart Work'!$AJ$29:$AJ$38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1F-48A7-86CD-583DAFB12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48366400"/>
        <c:axId val="-1348363136"/>
      </c:barChart>
      <c:catAx>
        <c:axId val="-13483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363136"/>
        <c:crosses val="autoZero"/>
        <c:auto val="1"/>
        <c:lblAlgn val="ctr"/>
        <c:lblOffset val="100"/>
        <c:noMultiLvlLbl val="0"/>
      </c:catAx>
      <c:valAx>
        <c:axId val="-13483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3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from Industrial Power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E18-46FB-837A-D6C60FF75AA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FA-4EA5-9CC8-A243CE0D35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Analysis by Segment'!$B$27:$H$27</c:f>
              <c:strCache>
                <c:ptCount val="6"/>
                <c:pt idx="0">
                  <c:v>Q2 FY 19</c:v>
                </c:pt>
                <c:pt idx="1">
                  <c:v>Q4 FY 19</c:v>
                </c:pt>
                <c:pt idx="2">
                  <c:v>Q1 FY 20</c:v>
                </c:pt>
                <c:pt idx="3">
                  <c:v>Q2 FY 20</c:v>
                </c:pt>
                <c:pt idx="4">
                  <c:v>Q3 FY 2020(E)</c:v>
                </c:pt>
                <c:pt idx="5">
                  <c:v>Q4 FY 2020(E)</c:v>
                </c:pt>
              </c:strCache>
            </c:strRef>
          </c:cat>
          <c:val>
            <c:numRef>
              <c:f>'Revenue Analysis by Segment'!$B$28:$H$28</c:f>
              <c:numCache>
                <c:formatCode>General</c:formatCode>
                <c:ptCount val="6"/>
                <c:pt idx="0">
                  <c:v>347</c:v>
                </c:pt>
                <c:pt idx="1">
                  <c:v>362</c:v>
                </c:pt>
                <c:pt idx="2">
                  <c:v>334</c:v>
                </c:pt>
                <c:pt idx="3">
                  <c:v>358</c:v>
                </c:pt>
                <c:pt idx="4" formatCode="0">
                  <c:v>388.072</c:v>
                </c:pt>
                <c:pt idx="5" formatCode="0">
                  <c:v>420.67004800000001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FA-4EA5-9CC8-A243CE0D3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08576064"/>
        <c:axId val="-1408575520"/>
      </c:barChart>
      <c:catAx>
        <c:axId val="-14085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575520"/>
        <c:crosses val="autoZero"/>
        <c:auto val="1"/>
        <c:lblAlgn val="ctr"/>
        <c:lblOffset val="100"/>
        <c:noMultiLvlLbl val="0"/>
      </c:catAx>
      <c:valAx>
        <c:axId val="-14085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5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from Power and Sensor System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74-436C-B4FB-00BBD6CBD2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A54-44E1-B757-3F0A7F5FE7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Analysis by Segment'!$B$31:$H$31</c:f>
              <c:strCache>
                <c:ptCount val="6"/>
                <c:pt idx="0">
                  <c:v>Q2 FY 19</c:v>
                </c:pt>
                <c:pt idx="1">
                  <c:v>Q4 FY 19</c:v>
                </c:pt>
                <c:pt idx="2">
                  <c:v>Q1 FY 20</c:v>
                </c:pt>
                <c:pt idx="3">
                  <c:v>Q2 FY 20</c:v>
                </c:pt>
                <c:pt idx="4">
                  <c:v>Q3 FY 2020(E)</c:v>
                </c:pt>
                <c:pt idx="5">
                  <c:v>Q4 FY 2020(E)</c:v>
                </c:pt>
              </c:strCache>
            </c:strRef>
          </c:cat>
          <c:val>
            <c:numRef>
              <c:f>'Revenue Analysis by Segment'!$B$32:$H$32</c:f>
              <c:numCache>
                <c:formatCode>General</c:formatCode>
                <c:ptCount val="6"/>
                <c:pt idx="0">
                  <c:v>591</c:v>
                </c:pt>
                <c:pt idx="1">
                  <c:v>639</c:v>
                </c:pt>
                <c:pt idx="2">
                  <c:v>593</c:v>
                </c:pt>
                <c:pt idx="3">
                  <c:v>617</c:v>
                </c:pt>
                <c:pt idx="4" formatCode="0">
                  <c:v>650.31799999999998</c:v>
                </c:pt>
                <c:pt idx="5" formatCode="0">
                  <c:v>685.43517199999997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54-44E1-B757-3F0A7F5FE7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08459776"/>
        <c:axId val="-1608459232"/>
      </c:barChart>
      <c:catAx>
        <c:axId val="-16084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459232"/>
        <c:crosses val="autoZero"/>
        <c:auto val="1"/>
        <c:lblAlgn val="ctr"/>
        <c:lblOffset val="100"/>
        <c:noMultiLvlLbl val="0"/>
      </c:catAx>
      <c:valAx>
        <c:axId val="-16084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4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from Digital Security Solution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6A-45F4-8D16-3CB9EDF4C64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DDA-4FCD-9DE5-2D7F8E26E0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Analysis by Segment'!$B$35:$H$35</c:f>
              <c:strCache>
                <c:ptCount val="6"/>
                <c:pt idx="0">
                  <c:v>Q2 FY 19</c:v>
                </c:pt>
                <c:pt idx="1">
                  <c:v>Q4 FY 19</c:v>
                </c:pt>
                <c:pt idx="2">
                  <c:v>Q1 FY 20</c:v>
                </c:pt>
                <c:pt idx="3">
                  <c:v>Q2 FY 20</c:v>
                </c:pt>
                <c:pt idx="4">
                  <c:v>Q3 FY 2020(E)</c:v>
                </c:pt>
                <c:pt idx="5">
                  <c:v>Q4 FY 2020(E)</c:v>
                </c:pt>
              </c:strCache>
            </c:strRef>
          </c:cat>
          <c:val>
            <c:numRef>
              <c:f>'Revenue Analysis by Segment'!$B$36:$H$36</c:f>
              <c:numCache>
                <c:formatCode>General</c:formatCode>
                <c:ptCount val="6"/>
                <c:pt idx="0">
                  <c:v>164</c:v>
                </c:pt>
                <c:pt idx="1">
                  <c:v>162</c:v>
                </c:pt>
                <c:pt idx="2">
                  <c:v>158</c:v>
                </c:pt>
                <c:pt idx="3">
                  <c:v>162</c:v>
                </c:pt>
                <c:pt idx="4" formatCode="_ * #,##0_ ;_ * \-#,##0_ ;_ * &quot;-&quot;??_ ;_ @_ ">
                  <c:v>170.74800000000002</c:v>
                </c:pt>
                <c:pt idx="5" formatCode="_ * #,##0_ ;_ * \-#,##0_ ;_ * &quot;-&quot;??_ ;_ @_ ">
                  <c:v>179.96839200000002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DA-4FCD-9DE5-2D7F8E26E0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08455424"/>
        <c:axId val="-1608450528"/>
      </c:barChart>
      <c:catAx>
        <c:axId val="-16084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450528"/>
        <c:crosses val="autoZero"/>
        <c:auto val="1"/>
        <c:lblAlgn val="ctr"/>
        <c:lblOffset val="100"/>
        <c:noMultiLvlLbl val="0"/>
      </c:catAx>
      <c:valAx>
        <c:axId val="-16084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4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from</a:t>
            </a:r>
            <a:r>
              <a:rPr lang="en-IN" baseline="0"/>
              <a:t> Automotive Sector</a:t>
            </a:r>
            <a:endParaRPr lang="en-IN"/>
          </a:p>
        </c:rich>
      </c:tx>
      <c:layout>
        <c:manualLayout>
          <c:xMode val="edge"/>
          <c:yMode val="edge"/>
          <c:x val="2.7561206488533184E-2"/>
          <c:y val="0.39923039923039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04053181876856"/>
          <c:y val="0.28465608465608466"/>
          <c:w val="0.72999225506647736"/>
          <c:h val="0.466934057485238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76C-4081-8F6B-046FB128DA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C2-45AD-AC70-746ABB9D60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Analysis by Segment'!$B$23:$H$23</c:f>
              <c:strCache>
                <c:ptCount val="6"/>
                <c:pt idx="0">
                  <c:v>Q2 FY 19</c:v>
                </c:pt>
                <c:pt idx="1">
                  <c:v>Q4 FY 19</c:v>
                </c:pt>
                <c:pt idx="2">
                  <c:v>Q1 FY 20</c:v>
                </c:pt>
                <c:pt idx="3">
                  <c:v>Q2 FY 20</c:v>
                </c:pt>
                <c:pt idx="4">
                  <c:v>Q3 FY 2020(E)</c:v>
                </c:pt>
                <c:pt idx="5">
                  <c:v>Q4 FY 2020(E)</c:v>
                </c:pt>
              </c:strCache>
            </c:strRef>
          </c:cat>
          <c:val>
            <c:numRef>
              <c:f>'Revenue Analysis by Segment'!$B$24:$H$24</c:f>
              <c:numCache>
                <c:formatCode>General</c:formatCode>
                <c:ptCount val="6"/>
                <c:pt idx="0">
                  <c:v>875</c:v>
                </c:pt>
                <c:pt idx="1">
                  <c:v>893</c:v>
                </c:pt>
                <c:pt idx="2">
                  <c:v>829</c:v>
                </c:pt>
                <c:pt idx="3">
                  <c:v>846</c:v>
                </c:pt>
                <c:pt idx="4" formatCode="0">
                  <c:v>883.22400000000005</c:v>
                </c:pt>
                <c:pt idx="5" formatCode="0">
                  <c:v>922.08585600000004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C2-45AD-AC70-746ABB9D6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09998256"/>
        <c:axId val="-1349394864"/>
      </c:barChart>
      <c:catAx>
        <c:axId val="-16099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394864"/>
        <c:crosses val="autoZero"/>
        <c:auto val="1"/>
        <c:lblAlgn val="ctr"/>
        <c:lblOffset val="100"/>
        <c:noMultiLvlLbl val="0"/>
      </c:catAx>
      <c:valAx>
        <c:axId val="-13493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99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from Industrial Power Control</a:t>
            </a:r>
          </a:p>
        </c:rich>
      </c:tx>
      <c:layout>
        <c:manualLayout>
          <c:xMode val="edge"/>
          <c:yMode val="edge"/>
          <c:x val="1.1267605633802909E-3"/>
          <c:y val="0.50022737608003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835-463E-8AE6-373D0F25E3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FA-4EA5-9CC8-A243CE0D35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Analysis by Segment'!$B$27:$H$27</c:f>
              <c:strCache>
                <c:ptCount val="6"/>
                <c:pt idx="0">
                  <c:v>Q2 FY 19</c:v>
                </c:pt>
                <c:pt idx="1">
                  <c:v>Q4 FY 19</c:v>
                </c:pt>
                <c:pt idx="2">
                  <c:v>Q1 FY 20</c:v>
                </c:pt>
                <c:pt idx="3">
                  <c:v>Q2 FY 20</c:v>
                </c:pt>
                <c:pt idx="4">
                  <c:v>Q3 FY 2020(E)</c:v>
                </c:pt>
                <c:pt idx="5">
                  <c:v>Q4 FY 2020(E)</c:v>
                </c:pt>
              </c:strCache>
            </c:strRef>
          </c:cat>
          <c:val>
            <c:numRef>
              <c:f>'Revenue Analysis by Segment'!$B$28:$H$28</c:f>
              <c:numCache>
                <c:formatCode>General</c:formatCode>
                <c:ptCount val="6"/>
                <c:pt idx="0">
                  <c:v>347</c:v>
                </c:pt>
                <c:pt idx="1">
                  <c:v>362</c:v>
                </c:pt>
                <c:pt idx="2">
                  <c:v>334</c:v>
                </c:pt>
                <c:pt idx="3">
                  <c:v>358</c:v>
                </c:pt>
                <c:pt idx="4" formatCode="0">
                  <c:v>388.072</c:v>
                </c:pt>
                <c:pt idx="5" formatCode="0">
                  <c:v>420.67004800000001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FA-4EA5-9CC8-A243CE0D3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49395408"/>
        <c:axId val="-1349399216"/>
      </c:barChart>
      <c:catAx>
        <c:axId val="-13493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399216"/>
        <c:crosses val="autoZero"/>
        <c:auto val="1"/>
        <c:lblAlgn val="ctr"/>
        <c:lblOffset val="100"/>
        <c:noMultiLvlLbl val="0"/>
      </c:catAx>
      <c:valAx>
        <c:axId val="-1349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3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Revenue</a:t>
            </a:r>
            <a:r>
              <a:rPr lang="en-IN" sz="1200" baseline="0"/>
              <a:t> from Power and Sensor System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9-4344-8D06-95B1E1A441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A54-44E1-B757-3F0A7F5FE7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Analysis by Segment'!$B$31:$H$31</c:f>
              <c:strCache>
                <c:ptCount val="6"/>
                <c:pt idx="0">
                  <c:v>Q2 FY 19</c:v>
                </c:pt>
                <c:pt idx="1">
                  <c:v>Q4 FY 19</c:v>
                </c:pt>
                <c:pt idx="2">
                  <c:v>Q1 FY 20</c:v>
                </c:pt>
                <c:pt idx="3">
                  <c:v>Q2 FY 20</c:v>
                </c:pt>
                <c:pt idx="4">
                  <c:v>Q3 FY 2020(E)</c:v>
                </c:pt>
                <c:pt idx="5">
                  <c:v>Q4 FY 2020(E)</c:v>
                </c:pt>
              </c:strCache>
            </c:strRef>
          </c:cat>
          <c:val>
            <c:numRef>
              <c:f>'Revenue Analysis by Segment'!$B$32:$H$32</c:f>
              <c:numCache>
                <c:formatCode>General</c:formatCode>
                <c:ptCount val="6"/>
                <c:pt idx="0">
                  <c:v>591</c:v>
                </c:pt>
                <c:pt idx="1">
                  <c:v>639</c:v>
                </c:pt>
                <c:pt idx="2">
                  <c:v>593</c:v>
                </c:pt>
                <c:pt idx="3">
                  <c:v>617</c:v>
                </c:pt>
                <c:pt idx="4" formatCode="0">
                  <c:v>650.31799999999998</c:v>
                </c:pt>
                <c:pt idx="5" formatCode="0">
                  <c:v>685.43517199999997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54-44E1-B757-3F0A7F5FE7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49400304"/>
        <c:axId val="-1349405200"/>
      </c:barChart>
      <c:catAx>
        <c:axId val="-13494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405200"/>
        <c:crosses val="autoZero"/>
        <c:auto val="1"/>
        <c:lblAlgn val="ctr"/>
        <c:lblOffset val="100"/>
        <c:noMultiLvlLbl val="0"/>
      </c:catAx>
      <c:valAx>
        <c:axId val="-13494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4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'NET INCOME &amp; FP'!$Q$67</c:f>
              <c:strCache>
                <c:ptCount val="1"/>
                <c:pt idx="0">
                  <c:v>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'NET INCOME &amp; FP'!$R$66:$AA$66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  <c:pt idx="6">
                  <c:v>2021E</c:v>
                </c:pt>
                <c:pt idx="7">
                  <c:v>2022E</c:v>
                </c:pt>
                <c:pt idx="8">
                  <c:v>2023E</c:v>
                </c:pt>
                <c:pt idx="9">
                  <c:v>2024E</c:v>
                </c:pt>
              </c:strCache>
            </c:strRef>
          </c:cat>
          <c:val>
            <c:numRef>
              <c:f>'NET INCOME &amp; FP'!$R$67:$AA$67</c:f>
              <c:numCache>
                <c:formatCode>0</c:formatCode>
                <c:ptCount val="10"/>
                <c:pt idx="0">
                  <c:v>15286.66</c:v>
                </c:pt>
                <c:pt idx="1">
                  <c:v>18807.800000000003</c:v>
                </c:pt>
                <c:pt idx="2">
                  <c:v>26014.399999999998</c:v>
                </c:pt>
                <c:pt idx="3">
                  <c:v>19840.649999999998</c:v>
                </c:pt>
                <c:pt idx="4">
                  <c:v>25407.809999999998</c:v>
                </c:pt>
                <c:pt idx="5" formatCode="#,##0_);[Red]\(#,##0\)">
                  <c:v>25407.809999999998</c:v>
                </c:pt>
                <c:pt idx="6" formatCode="#,##0_);[Red]\(#,##0\)">
                  <c:v>25407.809999999998</c:v>
                </c:pt>
                <c:pt idx="7" formatCode="#,##0_);[Red]\(#,##0\)">
                  <c:v>25407.809999999998</c:v>
                </c:pt>
                <c:pt idx="8" formatCode="#,##0_);[Red]\(#,##0\)">
                  <c:v>25407.809999999998</c:v>
                </c:pt>
                <c:pt idx="9" formatCode="#,##0_);[Red]\(#,##0\)">
                  <c:v>25407.809999999998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9E-4217-B36F-7AB338682D6A}"/>
            </c:ext>
          </c:extLst>
        </c:ser>
        <c:ser>
          <c:idx val="1"/>
          <c:order val="1"/>
          <c:tx>
            <c:strRef>
              <c:f>'NET INCOME &amp; FP'!$Q$68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'NET INCOME &amp; FP'!$R$66:$AA$66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  <c:pt idx="6">
                  <c:v>2021E</c:v>
                </c:pt>
                <c:pt idx="7">
                  <c:v>2022E</c:v>
                </c:pt>
                <c:pt idx="8">
                  <c:v>2023E</c:v>
                </c:pt>
                <c:pt idx="9">
                  <c:v>2024E</c:v>
                </c:pt>
              </c:strCache>
            </c:strRef>
          </c:cat>
          <c:val>
            <c:numRef>
              <c:f>'NET INCOME &amp; FP'!$R$68:$AA$68</c:f>
              <c:numCache>
                <c:formatCode>0</c:formatCode>
                <c:ptCount val="10"/>
                <c:pt idx="0">
                  <c:v>7207.7922077922076</c:v>
                </c:pt>
                <c:pt idx="1">
                  <c:v>10614.285714285714</c:v>
                </c:pt>
                <c:pt idx="2">
                  <c:v>10259.74025974026</c:v>
                </c:pt>
                <c:pt idx="3">
                  <c:v>14527.027027027028</c:v>
                </c:pt>
                <c:pt idx="4">
                  <c:v>10998.735777496839</c:v>
                </c:pt>
                <c:pt idx="5" formatCode="#,##0_);[Red]\(#,##0\)">
                  <c:v>12531.549793737393</c:v>
                </c:pt>
                <c:pt idx="6" formatCode="#,##0_);[Red]\(#,##0\)">
                  <c:v>16586.847269763119</c:v>
                </c:pt>
                <c:pt idx="7" formatCode="#,##0_);[Red]\(#,##0\)">
                  <c:v>20505.029541645392</c:v>
                </c:pt>
                <c:pt idx="8" formatCode="#,##0_);[Red]\(#,##0\)">
                  <c:v>23935.824447089341</c:v>
                </c:pt>
                <c:pt idx="9" formatCode="#,##0_);[Red]\(#,##0\)">
                  <c:v>26477.054443116856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9E-4217-B36F-7AB338682D6A}"/>
            </c:ext>
          </c:extLst>
        </c:ser>
        <c:ser>
          <c:idx val="2"/>
          <c:order val="2"/>
          <c:tx>
            <c:strRef>
              <c:f>'NET INCOME &amp; FP'!$Q$69</c:f>
              <c:strCache>
                <c:ptCount val="1"/>
                <c:pt idx="0">
                  <c:v>BV(w/o goodwill)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'NET INCOME &amp; FP'!$R$66:$AA$66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  <c:pt idx="6">
                  <c:v>2021E</c:v>
                </c:pt>
                <c:pt idx="7">
                  <c:v>2022E</c:v>
                </c:pt>
                <c:pt idx="8">
                  <c:v>2023E</c:v>
                </c:pt>
                <c:pt idx="9">
                  <c:v>2024E</c:v>
                </c:pt>
              </c:strCache>
            </c:strRef>
          </c:cat>
          <c:val>
            <c:numRef>
              <c:f>'NET INCOME &amp; FP'!$R$69:$AA$69</c:f>
              <c:numCache>
                <c:formatCode>General</c:formatCode>
                <c:ptCount val="10"/>
                <c:pt idx="0">
                  <c:v>4665</c:v>
                </c:pt>
                <c:pt idx="1">
                  <c:v>5023</c:v>
                </c:pt>
                <c:pt idx="2">
                  <c:v>5636</c:v>
                </c:pt>
                <c:pt idx="3">
                  <c:v>6446</c:v>
                </c:pt>
                <c:pt idx="4">
                  <c:v>8633</c:v>
                </c:pt>
                <c:pt idx="5" formatCode="#,##0_);[Red]\(#,##0\)">
                  <c:v>9295.5110396570199</c:v>
                </c:pt>
                <c:pt idx="6" formatCode="#,##0_);[Red]\(#,##0\)">
                  <c:v>10008.864298434557</c:v>
                </c:pt>
                <c:pt idx="7" formatCode="#,##0_);[Red]\(#,##0\)">
                  <c:v>10776.961494327285</c:v>
                </c:pt>
                <c:pt idx="8" formatCode="#,##0_);[Red]\(#,##0\)">
                  <c:v>11423.579183986922</c:v>
                </c:pt>
                <c:pt idx="9" formatCode="#,##0_);[Red]\(#,##0\)">
                  <c:v>12300.243995962766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9E-4217-B36F-7AB338682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401392"/>
        <c:axId val="-1349398672"/>
      </c:areaChart>
      <c:catAx>
        <c:axId val="-134940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398672"/>
        <c:crosses val="autoZero"/>
        <c:auto val="1"/>
        <c:lblAlgn val="ctr"/>
        <c:lblOffset val="100"/>
        <c:noMultiLvlLbl val="0"/>
      </c:catAx>
      <c:valAx>
        <c:axId val="-13493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40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Distribution(by Segment)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22004447360746568"/>
          <c:w val="0.34487685914260718"/>
          <c:h val="0.5747947652376785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3A8-4A97-8206-716734F3D3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3A8-4A97-8206-716734F3D3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D3A8-4A97-8206-716734F3D3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3A8-4A97-8206-716734F3D30F}"/>
              </c:ext>
            </c:extLst>
          </c:dPt>
          <c:cat>
            <c:strRef>
              <c:f>'Chart Work'!$C$4:$C$7</c:f>
              <c:strCache>
                <c:ptCount val="4"/>
                <c:pt idx="0">
                  <c:v>DSS</c:v>
                </c:pt>
                <c:pt idx="1">
                  <c:v>PSS</c:v>
                </c:pt>
                <c:pt idx="2">
                  <c:v>ATV</c:v>
                </c:pt>
                <c:pt idx="3">
                  <c:v>IPC</c:v>
                </c:pt>
              </c:strCache>
            </c:strRef>
          </c:cat>
          <c:val>
            <c:numRef>
              <c:f>'Chart Work'!$D$4:$D$7</c:f>
              <c:numCache>
                <c:formatCode>0.00%</c:formatCode>
                <c:ptCount val="4"/>
                <c:pt idx="0">
                  <c:v>0.08</c:v>
                </c:pt>
                <c:pt idx="1">
                  <c:v>0.3</c:v>
                </c:pt>
                <c:pt idx="2">
                  <c:v>0.44</c:v>
                </c:pt>
                <c:pt idx="3">
                  <c:v>0.18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A8-4A97-8206-716734F3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47</xdr:row>
      <xdr:rowOff>30480</xdr:rowOff>
    </xdr:from>
    <xdr:to>
      <xdr:col>3</xdr:col>
      <xdr:colOff>83820</xdr:colOff>
      <xdr:row>61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2DA377-19A8-4F18-B094-B60AA0323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2209800</xdr:colOff>
      <xdr:row>48</xdr:row>
      <xdr:rowOff>144780</xdr:rowOff>
    </xdr:from>
    <xdr:to>
      <xdr:col>4</xdr:col>
      <xdr:colOff>1135380</xdr:colOff>
      <xdr:row>64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C3B0E71-037F-49E4-B68F-CCD850C6E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1356360</xdr:colOff>
      <xdr:row>53</xdr:row>
      <xdr:rowOff>0</xdr:rowOff>
    </xdr:from>
    <xdr:to>
      <xdr:col>7</xdr:col>
      <xdr:colOff>472440</xdr:colOff>
      <xdr:row>66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31B2E9F-6A39-4A4B-8D70-99F3D47B5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297180</xdr:colOff>
      <xdr:row>49</xdr:row>
      <xdr:rowOff>76200</xdr:rowOff>
    </xdr:from>
    <xdr:to>
      <xdr:col>12</xdr:col>
      <xdr:colOff>868680</xdr:colOff>
      <xdr:row>63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B4E798D-CC37-4209-8B38-3E819DF5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144780</xdr:colOff>
      <xdr:row>47</xdr:row>
      <xdr:rowOff>22860</xdr:rowOff>
    </xdr:from>
    <xdr:to>
      <xdr:col>1</xdr:col>
      <xdr:colOff>2004060</xdr:colOff>
      <xdr:row>61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C4D284-0AC1-4FF2-9D41-C97D66AED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167640</xdr:colOff>
      <xdr:row>51</xdr:row>
      <xdr:rowOff>68580</xdr:rowOff>
    </xdr:from>
    <xdr:to>
      <xdr:col>4</xdr:col>
      <xdr:colOff>1333500</xdr:colOff>
      <xdr:row>66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A3F6092-2C4F-4E4E-A9D1-9B9C12CB3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704850</xdr:colOff>
      <xdr:row>58</xdr:row>
      <xdr:rowOff>112395</xdr:rowOff>
    </xdr:from>
    <xdr:to>
      <xdr:col>2</xdr:col>
      <xdr:colOff>891540</xdr:colOff>
      <xdr:row>71</xdr:row>
      <xdr:rowOff>135255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40189BB-18B5-441A-8941-907986468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1066798</xdr:colOff>
      <xdr:row>70</xdr:row>
      <xdr:rowOff>141515</xdr:rowOff>
    </xdr:from>
    <xdr:to>
      <xdr:col>23</xdr:col>
      <xdr:colOff>500743</xdr:colOff>
      <xdr:row>87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1CC9FBF-A173-4416-9EBF-073FE9513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76200</xdr:colOff>
      <xdr:row>67</xdr:row>
      <xdr:rowOff>228600</xdr:rowOff>
    </xdr:from>
    <xdr:to>
      <xdr:col>39</xdr:col>
      <xdr:colOff>542925</xdr:colOff>
      <xdr:row>84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B82989B-02E4-49B8-A090-66AE3EE784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001" t="29582" r="11000" b="17540"/>
        <a:stretch/>
      </xdr:blipFill>
      <xdr:spPr>
        <a:xfrm>
          <a:off x="28327350" y="13173075"/>
          <a:ext cx="5953125" cy="3638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81</xdr:row>
      <xdr:rowOff>130629</xdr:rowOff>
    </xdr:from>
    <xdr:to>
      <xdr:col>13</xdr:col>
      <xdr:colOff>1839686</xdr:colOff>
      <xdr:row>81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23E5C585-6819-4FD0-89A2-5C4775DF643D}"/>
            </a:ext>
          </a:extLst>
        </xdr:cNvPr>
        <xdr:cNvCxnSpPr/>
      </xdr:nvCxnSpPr>
      <xdr:spPr>
        <a:xfrm flipH="1" flipV="1">
          <a:off x="11919857" y="16350343"/>
          <a:ext cx="1687286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185057</xdr:colOff>
      <xdr:row>87</xdr:row>
      <xdr:rowOff>119743</xdr:rowOff>
    </xdr:from>
    <xdr:to>
      <xdr:col>13</xdr:col>
      <xdr:colOff>1872343</xdr:colOff>
      <xdr:row>87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8F193E2F-9C69-441A-8695-6CDA3C00C049}"/>
            </a:ext>
          </a:extLst>
        </xdr:cNvPr>
        <xdr:cNvCxnSpPr/>
      </xdr:nvCxnSpPr>
      <xdr:spPr>
        <a:xfrm flipH="1" flipV="1">
          <a:off x="11952514" y="17471572"/>
          <a:ext cx="1687286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206829</xdr:colOff>
      <xdr:row>102</xdr:row>
      <xdr:rowOff>43543</xdr:rowOff>
    </xdr:from>
    <xdr:to>
      <xdr:col>13</xdr:col>
      <xdr:colOff>1894115</xdr:colOff>
      <xdr:row>102</xdr:row>
      <xdr:rowOff>65314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7E1AE259-34A7-4E3F-A275-7C68A82BC879}"/>
            </a:ext>
          </a:extLst>
        </xdr:cNvPr>
        <xdr:cNvCxnSpPr/>
      </xdr:nvCxnSpPr>
      <xdr:spPr>
        <a:xfrm flipH="1" flipV="1">
          <a:off x="11974286" y="20040600"/>
          <a:ext cx="1687286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135466</xdr:colOff>
      <xdr:row>94</xdr:row>
      <xdr:rowOff>25400</xdr:rowOff>
    </xdr:from>
    <xdr:to>
      <xdr:col>18</xdr:col>
      <xdr:colOff>850489</xdr:colOff>
      <xdr:row>96</xdr:row>
      <xdr:rowOff>5265</xdr:rowOff>
    </xdr:to>
    <xdr:sp macro="" textlink="">
      <xdr:nvSpPr>
        <xdr:cNvPr id="8" name="Textfeld 6">
          <a:extLst>
            <a:ext uri="{FF2B5EF4-FFF2-40B4-BE49-F238E27FC236}">
              <a16:creationId xmlns:a16="http://schemas.microsoft.com/office/drawing/2014/main" xmlns="" id="{B32EF74A-114C-47E6-987C-365002111D2B}"/>
            </a:ext>
          </a:extLst>
        </xdr:cNvPr>
        <xdr:cNvSpPr txBox="1"/>
      </xdr:nvSpPr>
      <xdr:spPr>
        <a:xfrm>
          <a:off x="11912599" y="18584333"/>
          <a:ext cx="659089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 b="1">
              <a:latin typeface="+mj-lt"/>
            </a:rPr>
            <a:t>RG  = NOPAT – k*(BIK</a:t>
          </a:r>
          <a:r>
            <a:rPr lang="de-DE" b="1" baseline="-25000">
              <a:solidFill>
                <a:schemeClr val="tx2"/>
              </a:solidFill>
            </a:rPr>
            <a:t>t-1 </a:t>
          </a:r>
          <a:r>
            <a:rPr lang="de-DE" b="1">
              <a:latin typeface="+mj-lt"/>
            </a:rPr>
            <a:t>+ MVA</a:t>
          </a:r>
          <a:r>
            <a:rPr lang="de-DE" b="1" baseline="-25000">
              <a:solidFill>
                <a:schemeClr val="tx2"/>
              </a:solidFill>
            </a:rPr>
            <a:t>0</a:t>
          </a:r>
          <a:r>
            <a:rPr lang="de-DE" b="1">
              <a:latin typeface="+mj-lt"/>
            </a:rPr>
            <a:t>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365760</xdr:colOff>
      <xdr:row>50</xdr:row>
      <xdr:rowOff>38100</xdr:rowOff>
    </xdr:from>
    <xdr:to>
      <xdr:col>13</xdr:col>
      <xdr:colOff>411480</xdr:colOff>
      <xdr:row>65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4B04E322-ACAB-472F-B23D-D92B8ACAC6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21" t="9981" r="33138" b="9262"/>
        <a:stretch/>
      </xdr:blipFill>
      <xdr:spPr>
        <a:xfrm>
          <a:off x="10287000" y="9151620"/>
          <a:ext cx="1805940" cy="2712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460830</xdr:colOff>
      <xdr:row>50</xdr:row>
      <xdr:rowOff>157841</xdr:rowOff>
    </xdr:from>
    <xdr:to>
      <xdr:col>12</xdr:col>
      <xdr:colOff>573398</xdr:colOff>
      <xdr:row>64</xdr:row>
      <xdr:rowOff>96156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362FCBE-AAE4-4626-9256-807EC5417E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325" t="5873" r="8663" b="30307"/>
        <a:stretch/>
      </xdr:blipFill>
      <xdr:spPr>
        <a:xfrm>
          <a:off x="9274630" y="9670141"/>
          <a:ext cx="5268768" cy="2579915"/>
        </a:xfrm>
        <a:prstGeom prst="rect">
          <a:avLst/>
        </a:prstGeom>
      </xdr:spPr>
    </xdr:pic>
    <xdr:clientData/>
  </xdr:twoCellAnchor>
  <xdr:twoCellAnchor editAs="oneCell">
    <xdr:from>
      <xdr:col>27</xdr:col>
      <xdr:colOff>566938</xdr:colOff>
      <xdr:row>44</xdr:row>
      <xdr:rowOff>65315</xdr:rowOff>
    </xdr:from>
    <xdr:to>
      <xdr:col>30</xdr:col>
      <xdr:colOff>239487</xdr:colOff>
      <xdr:row>63</xdr:row>
      <xdr:rowOff>105240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F6167E-56A1-41C0-A729-4137D00191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728" t="4778" r="28733" b="6663"/>
        <a:stretch/>
      </xdr:blipFill>
      <xdr:spPr>
        <a:xfrm>
          <a:off x="26757967" y="8675915"/>
          <a:ext cx="2742320" cy="3741068"/>
        </a:xfrm>
        <a:prstGeom prst="rect">
          <a:avLst/>
        </a:prstGeom>
      </xdr:spPr>
    </xdr:pic>
    <xdr:clientData/>
  </xdr:twoCellAnchor>
  <xdr:twoCellAnchor editAs="oneCell">
    <xdr:from>
      <xdr:col>14</xdr:col>
      <xdr:colOff>515771</xdr:colOff>
      <xdr:row>51</xdr:row>
      <xdr:rowOff>174647</xdr:rowOff>
    </xdr:from>
    <xdr:to>
      <xdr:col>22</xdr:col>
      <xdr:colOff>281214</xdr:colOff>
      <xdr:row>73</xdr:row>
      <xdr:rowOff>136598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F15540CA-022E-48F3-9638-82BEB92CD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63771" y="9877447"/>
          <a:ext cx="7537843" cy="41148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11430</xdr:rowOff>
    </xdr:from>
    <xdr:to>
      <xdr:col>9</xdr:col>
      <xdr:colOff>601980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9514552-0F64-4182-B535-3D506375A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83820</xdr:rowOff>
    </xdr:from>
    <xdr:to>
      <xdr:col>10</xdr:col>
      <xdr:colOff>365760</xdr:colOff>
      <xdr:row>26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EDBB076-85FF-4F6C-BCEC-FEE33715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12</xdr:row>
      <xdr:rowOff>91440</xdr:rowOff>
    </xdr:from>
    <xdr:to>
      <xdr:col>14</xdr:col>
      <xdr:colOff>548640</xdr:colOff>
      <xdr:row>23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1A2958AC-77DF-446A-993B-1FE098A90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914400</xdr:colOff>
      <xdr:row>13</xdr:row>
      <xdr:rowOff>30480</xdr:rowOff>
    </xdr:from>
    <xdr:to>
      <xdr:col>20</xdr:col>
      <xdr:colOff>228600</xdr:colOff>
      <xdr:row>26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B10DA6CC-2FF5-4D7C-8F03-6A70F1DF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38100</xdr:colOff>
      <xdr:row>1</xdr:row>
      <xdr:rowOff>34290</xdr:rowOff>
    </xdr:from>
    <xdr:to>
      <xdr:col>31</xdr:col>
      <xdr:colOff>594360</xdr:colOff>
      <xdr:row>11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6E7138E-A0DA-4116-9FA4-E38AAAD70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297180</xdr:colOff>
      <xdr:row>12</xdr:row>
      <xdr:rowOff>179070</xdr:rowOff>
    </xdr:from>
    <xdr:to>
      <xdr:col>32</xdr:col>
      <xdr:colOff>121920</xdr:colOff>
      <xdr:row>22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C8F6B0D-2B1D-4515-B9DF-27E3928A0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137160</xdr:colOff>
      <xdr:row>27</xdr:row>
      <xdr:rowOff>49530</xdr:rowOff>
    </xdr:from>
    <xdr:to>
      <xdr:col>32</xdr:col>
      <xdr:colOff>213360</xdr:colOff>
      <xdr:row>38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E6A06DC-8327-4B0F-98A2-7E14AB4C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304800</xdr:colOff>
      <xdr:row>42</xdr:row>
      <xdr:rowOff>80010</xdr:rowOff>
    </xdr:from>
    <xdr:to>
      <xdr:col>32</xdr:col>
      <xdr:colOff>548640</xdr:colOff>
      <xdr:row>53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576AE621-4CB2-44D3-8ACE-56402938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152400</xdr:colOff>
      <xdr:row>12</xdr:row>
      <xdr:rowOff>137160</xdr:rowOff>
    </xdr:from>
    <xdr:to>
      <xdr:col>44</xdr:col>
      <xdr:colOff>563880</xdr:colOff>
      <xdr:row>24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918B012-C434-4928-8FF0-B38DD841E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F24" sqref="F24"/>
    </sheetView>
  </sheetViews>
  <sheetFormatPr defaultRowHeight="14.4" x14ac:dyDescent="0.3"/>
  <cols>
    <col min="1" max="1" width="24.77734375" style="2" customWidth="1"/>
    <col min="2" max="2" width="14.109375" style="2" customWidth="1"/>
    <col min="3" max="3" width="17.33203125" style="2" customWidth="1"/>
    <col min="4" max="4" width="15.109375" style="2" customWidth="1"/>
    <col min="5" max="5" width="17.5546875" style="2" customWidth="1"/>
    <col min="6" max="6" width="16.5546875" style="2" customWidth="1"/>
    <col min="7" max="7" width="16.44140625" style="2" customWidth="1"/>
    <col min="8" max="8" width="21.6640625" style="2" customWidth="1"/>
    <col min="9" max="9" width="15.77734375" style="2" customWidth="1"/>
    <col min="10" max="10" width="15.5546875" style="2" customWidth="1"/>
    <col min="11" max="16384" width="8.88671875" style="2"/>
  </cols>
  <sheetData>
    <row r="3" spans="1:10" x14ac:dyDescent="0.3">
      <c r="A3" s="837" t="s">
        <v>11</v>
      </c>
      <c r="B3" s="837"/>
      <c r="C3" s="837"/>
      <c r="D3" s="837"/>
      <c r="E3" s="837"/>
      <c r="F3" s="837"/>
      <c r="G3" s="837"/>
      <c r="H3" s="837"/>
      <c r="I3" s="837"/>
      <c r="J3" s="837"/>
    </row>
    <row r="4" spans="1:10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134"/>
      <c r="B5" s="135">
        <v>43891</v>
      </c>
      <c r="C5" s="135">
        <v>43525</v>
      </c>
      <c r="D5" s="135">
        <v>43160</v>
      </c>
      <c r="E5" s="135">
        <v>42795</v>
      </c>
      <c r="F5" s="135">
        <v>42430</v>
      </c>
      <c r="G5" s="135">
        <v>42064</v>
      </c>
      <c r="H5" s="135">
        <v>41699</v>
      </c>
      <c r="I5" s="135">
        <v>41334</v>
      </c>
      <c r="J5" s="136">
        <v>40969</v>
      </c>
    </row>
    <row r="6" spans="1:10" ht="19.2" customHeight="1" x14ac:dyDescent="0.3">
      <c r="A6" s="145" t="s">
        <v>2</v>
      </c>
      <c r="B6" s="146">
        <v>3903</v>
      </c>
      <c r="C6" s="146">
        <v>3953</v>
      </c>
      <c r="D6" s="146">
        <v>3611</v>
      </c>
      <c r="E6" s="146">
        <v>3413</v>
      </c>
      <c r="F6" s="146">
        <v>3166</v>
      </c>
      <c r="G6" s="146">
        <v>2611</v>
      </c>
      <c r="H6" s="146">
        <v>2035</v>
      </c>
      <c r="I6" s="146">
        <v>1769</v>
      </c>
      <c r="J6" s="147">
        <v>1932</v>
      </c>
    </row>
    <row r="7" spans="1:10" ht="19.2" customHeight="1" x14ac:dyDescent="0.3">
      <c r="A7" s="137" t="s">
        <v>5</v>
      </c>
      <c r="B7" s="73">
        <f t="shared" ref="B7:I7" si="0">(B6-C6)/C6</f>
        <v>-1.264862130027827E-2</v>
      </c>
      <c r="C7" s="73">
        <f t="shared" si="0"/>
        <v>9.4710606480199397E-2</v>
      </c>
      <c r="D7" s="73">
        <f t="shared" si="0"/>
        <v>5.8013477878699093E-2</v>
      </c>
      <c r="E7" s="73">
        <f t="shared" si="0"/>
        <v>7.8016424510423246E-2</v>
      </c>
      <c r="F7" s="73">
        <f t="shared" si="0"/>
        <v>0.21256223669092303</v>
      </c>
      <c r="G7" s="73">
        <f t="shared" si="0"/>
        <v>0.28304668304668307</v>
      </c>
      <c r="H7" s="73">
        <f t="shared" si="0"/>
        <v>0.15036743923120408</v>
      </c>
      <c r="I7" s="73">
        <f t="shared" si="0"/>
        <v>-8.4368530020703936E-2</v>
      </c>
      <c r="J7" s="138"/>
    </row>
    <row r="8" spans="1:10" ht="21.6" customHeight="1" x14ac:dyDescent="0.3">
      <c r="A8" s="145" t="s">
        <v>3</v>
      </c>
      <c r="B8" s="146">
        <v>1396</v>
      </c>
      <c r="C8" s="146">
        <v>1528</v>
      </c>
      <c r="D8" s="146">
        <v>1328</v>
      </c>
      <c r="E8" s="146">
        <v>1237</v>
      </c>
      <c r="F8" s="146">
        <v>1124</v>
      </c>
      <c r="G8" s="146">
        <v>905</v>
      </c>
      <c r="H8" s="146">
        <v>759</v>
      </c>
      <c r="I8" s="146">
        <v>560</v>
      </c>
      <c r="J8" s="147">
        <v>726</v>
      </c>
    </row>
    <row r="9" spans="1:10" ht="21.6" customHeight="1" x14ac:dyDescent="0.3">
      <c r="A9" s="137" t="s">
        <v>7</v>
      </c>
      <c r="B9" s="73">
        <f t="shared" ref="B9:G9" si="1">(B8-C8)/C8</f>
        <v>-8.6387434554973816E-2</v>
      </c>
      <c r="C9" s="73">
        <f t="shared" si="1"/>
        <v>0.15060240963855423</v>
      </c>
      <c r="D9" s="73">
        <f t="shared" si="1"/>
        <v>7.3565076798706552E-2</v>
      </c>
      <c r="E9" s="73">
        <f t="shared" si="1"/>
        <v>0.10053380782918149</v>
      </c>
      <c r="F9" s="73">
        <f t="shared" si="1"/>
        <v>0.24198895027624309</v>
      </c>
      <c r="G9" s="73">
        <f t="shared" si="1"/>
        <v>0.19235836627140976</v>
      </c>
      <c r="H9" s="73">
        <f>(H8-I8)/I8</f>
        <v>0.35535714285714287</v>
      </c>
      <c r="I9" s="73">
        <f>(I8-J8)/J8</f>
        <v>-0.22865013774104684</v>
      </c>
      <c r="J9" s="138"/>
    </row>
    <row r="10" spans="1:10" ht="22.8" customHeight="1" x14ac:dyDescent="0.3">
      <c r="A10" s="145" t="s">
        <v>4</v>
      </c>
      <c r="B10" s="146">
        <v>387</v>
      </c>
      <c r="C10" s="146">
        <v>458</v>
      </c>
      <c r="D10" s="146">
        <v>662</v>
      </c>
      <c r="E10" s="146">
        <v>361</v>
      </c>
      <c r="F10" s="146">
        <v>332</v>
      </c>
      <c r="G10" s="146">
        <v>201</v>
      </c>
      <c r="H10" s="146">
        <v>211</v>
      </c>
      <c r="I10" s="146">
        <v>53</v>
      </c>
      <c r="J10" s="147">
        <v>207</v>
      </c>
    </row>
    <row r="11" spans="1:10" ht="25.2" customHeight="1" x14ac:dyDescent="0.3">
      <c r="A11" s="139" t="s">
        <v>6</v>
      </c>
      <c r="B11" s="140">
        <f t="shared" ref="B11:G11" si="2">(B10-C10)/C10</f>
        <v>-0.15502183406113537</v>
      </c>
      <c r="C11" s="140">
        <f t="shared" si="2"/>
        <v>-0.30815709969788518</v>
      </c>
      <c r="D11" s="140">
        <f t="shared" si="2"/>
        <v>0.83379501385041555</v>
      </c>
      <c r="E11" s="140">
        <f t="shared" si="2"/>
        <v>8.7349397590361449E-2</v>
      </c>
      <c r="F11" s="140">
        <f t="shared" si="2"/>
        <v>0.65174129353233834</v>
      </c>
      <c r="G11" s="140">
        <f t="shared" si="2"/>
        <v>-4.7393364928909949E-2</v>
      </c>
      <c r="H11" s="140">
        <f>(H10-I10)/I10</f>
        <v>2.9811320754716979</v>
      </c>
      <c r="I11" s="140">
        <f>(I10-J10)/J10</f>
        <v>-0.7439613526570048</v>
      </c>
      <c r="J11" s="141"/>
    </row>
    <row r="13" spans="1:10" x14ac:dyDescent="0.3">
      <c r="A13" s="3" t="s">
        <v>8</v>
      </c>
    </row>
    <row r="14" spans="1:10" x14ac:dyDescent="0.3">
      <c r="A14" s="142" t="s">
        <v>9</v>
      </c>
      <c r="B14" s="143">
        <f>B8/B6</f>
        <v>0.35767358442223929</v>
      </c>
      <c r="C14" s="143">
        <f t="shared" ref="C14:I14" si="3">C8/C6</f>
        <v>0.38654186693650394</v>
      </c>
      <c r="D14" s="143">
        <f t="shared" si="3"/>
        <v>0.36776516200498477</v>
      </c>
      <c r="E14" s="143">
        <f t="shared" si="3"/>
        <v>0.36243773806035745</v>
      </c>
      <c r="F14" s="143">
        <f t="shared" si="3"/>
        <v>0.35502210991787747</v>
      </c>
      <c r="G14" s="143">
        <f t="shared" si="3"/>
        <v>0.34661049406357719</v>
      </c>
      <c r="H14" s="143">
        <f t="shared" si="3"/>
        <v>0.37297297297297299</v>
      </c>
      <c r="I14" s="143">
        <f t="shared" si="3"/>
        <v>0.31656302996042962</v>
      </c>
      <c r="J14" s="144"/>
    </row>
    <row r="15" spans="1:10" x14ac:dyDescent="0.3">
      <c r="A15" s="148" t="s">
        <v>10</v>
      </c>
      <c r="B15" s="149">
        <f>B10/B6</f>
        <v>9.9154496541122211E-2</v>
      </c>
      <c r="C15" s="149">
        <f t="shared" ref="C15:I15" si="4">C10/C6</f>
        <v>0.11586137111054895</v>
      </c>
      <c r="D15" s="149">
        <f t="shared" si="4"/>
        <v>0.18332871780670174</v>
      </c>
      <c r="E15" s="149">
        <f t="shared" si="4"/>
        <v>0.10577204805156754</v>
      </c>
      <c r="F15" s="149">
        <f t="shared" si="4"/>
        <v>0.10486418193303854</v>
      </c>
      <c r="G15" s="149">
        <f t="shared" si="4"/>
        <v>7.698199923400996E-2</v>
      </c>
      <c r="H15" s="149">
        <f t="shared" si="4"/>
        <v>0.10368550368550368</v>
      </c>
      <c r="I15" s="149">
        <f t="shared" si="4"/>
        <v>2.9960429621254947E-2</v>
      </c>
      <c r="J15" s="150"/>
    </row>
  </sheetData>
  <mergeCells count="1">
    <mergeCell ref="A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6" zoomScale="80" zoomScaleNormal="80" workbookViewId="0">
      <selection activeCell="G5" sqref="G5"/>
    </sheetView>
  </sheetViews>
  <sheetFormatPr defaultRowHeight="14.4" x14ac:dyDescent="0.3"/>
  <cols>
    <col min="1" max="1" width="39.109375" customWidth="1"/>
    <col min="2" max="2" width="15.6640625" customWidth="1"/>
    <col min="3" max="3" width="14.21875" customWidth="1"/>
    <col min="4" max="4" width="15.5546875" customWidth="1"/>
    <col min="5" max="5" width="17.33203125" customWidth="1"/>
    <col min="6" max="6" width="15.6640625" customWidth="1"/>
    <col min="7" max="7" width="12.88671875" customWidth="1"/>
    <col min="13" max="13" width="25" customWidth="1"/>
  </cols>
  <sheetData>
    <row r="1" spans="1:14" ht="15" thickBot="1" x14ac:dyDescent="0.35"/>
    <row r="2" spans="1:14" ht="15" thickBot="1" x14ac:dyDescent="0.35">
      <c r="A2" s="151" t="s">
        <v>68</v>
      </c>
      <c r="B2" s="155">
        <v>2015</v>
      </c>
      <c r="C2" s="155">
        <v>2016</v>
      </c>
      <c r="D2" s="155">
        <v>2017</v>
      </c>
      <c r="E2" s="155">
        <v>2018</v>
      </c>
      <c r="F2" s="155">
        <v>2019</v>
      </c>
      <c r="I2" s="156"/>
      <c r="J2" s="156"/>
      <c r="K2" s="156"/>
      <c r="L2" s="156"/>
      <c r="M2" s="156"/>
      <c r="N2" s="6"/>
    </row>
    <row r="3" spans="1:14" ht="15" thickBot="1" x14ac:dyDescent="0.35">
      <c r="A3" s="152" t="s">
        <v>69</v>
      </c>
      <c r="B3" s="153">
        <v>634</v>
      </c>
      <c r="C3" s="153">
        <v>743</v>
      </c>
      <c r="D3" s="153">
        <v>790</v>
      </c>
      <c r="E3" s="153">
        <v>1075</v>
      </c>
      <c r="F3" s="153">
        <v>870</v>
      </c>
      <c r="I3" s="153"/>
      <c r="J3" s="153"/>
      <c r="K3" s="153"/>
      <c r="L3" s="153"/>
      <c r="M3" s="153"/>
    </row>
    <row r="4" spans="1:14" s="1" customFormat="1" ht="15" thickBot="1" x14ac:dyDescent="0.35">
      <c r="A4" s="152" t="s">
        <v>271</v>
      </c>
      <c r="B4" s="153"/>
      <c r="C4" s="153"/>
      <c r="D4" s="153"/>
      <c r="E4" s="153"/>
      <c r="F4" s="153"/>
      <c r="G4" s="406">
        <v>2020</v>
      </c>
      <c r="H4" s="406">
        <v>2021</v>
      </c>
      <c r="I4" s="407">
        <v>2022</v>
      </c>
      <c r="J4" s="407">
        <v>2023</v>
      </c>
      <c r="K4" s="407">
        <v>2024</v>
      </c>
      <c r="L4" s="153"/>
      <c r="M4" s="153"/>
    </row>
    <row r="5" spans="1:14" ht="15" thickBot="1" x14ac:dyDescent="0.35">
      <c r="A5" s="152" t="s">
        <v>270</v>
      </c>
      <c r="B5" s="153">
        <v>760</v>
      </c>
      <c r="C5" s="153">
        <v>833</v>
      </c>
      <c r="D5" s="153">
        <v>812</v>
      </c>
      <c r="E5" s="153">
        <v>861</v>
      </c>
      <c r="F5" s="153">
        <v>945</v>
      </c>
      <c r="G5" s="310">
        <f>'Investment Analysis'!H3*'Cashflow Statement'!$M$29</f>
        <v>1545.6792</v>
      </c>
      <c r="H5" s="310">
        <f>'Investment Analysis'!I3*'Cashflow Statement'!$M$29</f>
        <v>1685.5103999999999</v>
      </c>
      <c r="I5" s="310">
        <f>'Investment Analysis'!J3*'Cashflow Statement'!$M$29</f>
        <v>1842.9036000000001</v>
      </c>
      <c r="J5" s="310">
        <f>'Investment Analysis'!K3*'Cashflow Statement'!$M$29</f>
        <v>2006.42781408</v>
      </c>
      <c r="K5" s="310">
        <f>'Investment Analysis'!L3*'Cashflow Statement'!$M$29</f>
        <v>2193.2965385279999</v>
      </c>
      <c r="L5" s="153"/>
      <c r="M5" s="153"/>
    </row>
    <row r="6" spans="1:14" s="1" customFormat="1" ht="15" thickBot="1" x14ac:dyDescent="0.35">
      <c r="A6" s="152" t="s">
        <v>289</v>
      </c>
      <c r="B6" s="306">
        <f>B5/'Investment Analysis'!C3</f>
        <v>8.6373451528582793E-2</v>
      </c>
      <c r="C6" s="306">
        <f>C5/'Investment Analysis'!D3</f>
        <v>8.5770181219110384E-2</v>
      </c>
      <c r="D6" s="306">
        <f>D5/'Investment Analysis'!E3</f>
        <v>7.9320113314447591E-2</v>
      </c>
      <c r="E6" s="306">
        <f>E5/'Investment Analysis'!F3</f>
        <v>7.6833839014813499E-2</v>
      </c>
      <c r="F6" s="306">
        <f>F5/'Investment Analysis'!G3</f>
        <v>7.8501412194716735E-2</v>
      </c>
      <c r="I6" s="153"/>
      <c r="J6" s="153"/>
      <c r="K6" s="153"/>
      <c r="L6" s="153"/>
      <c r="M6" s="153"/>
    </row>
    <row r="7" spans="1:14" ht="15" thickBot="1" x14ac:dyDescent="0.35">
      <c r="A7" s="152" t="s">
        <v>70</v>
      </c>
      <c r="B7" s="153">
        <v>42</v>
      </c>
      <c r="C7" s="153">
        <v>58</v>
      </c>
      <c r="D7" s="153">
        <v>56</v>
      </c>
      <c r="E7" s="153">
        <v>45</v>
      </c>
      <c r="F7" s="153">
        <v>36</v>
      </c>
      <c r="I7" s="153"/>
      <c r="J7" s="153"/>
      <c r="K7" s="153"/>
      <c r="L7" s="153"/>
      <c r="M7" s="153"/>
    </row>
    <row r="8" spans="1:14" ht="15" thickBot="1" x14ac:dyDescent="0.35">
      <c r="A8" s="152" t="s">
        <v>71</v>
      </c>
      <c r="B8" s="153">
        <v>-102</v>
      </c>
      <c r="C8" s="153">
        <v>-36</v>
      </c>
      <c r="D8" s="153">
        <v>142</v>
      </c>
      <c r="E8" s="153">
        <v>193</v>
      </c>
      <c r="F8" s="153">
        <v>194</v>
      </c>
      <c r="I8" s="153"/>
      <c r="J8" s="153"/>
      <c r="K8" s="153"/>
      <c r="L8" s="153"/>
      <c r="M8" s="153"/>
    </row>
    <row r="9" spans="1:14" ht="15" thickBot="1" x14ac:dyDescent="0.35">
      <c r="A9" s="152" t="s">
        <v>72</v>
      </c>
      <c r="B9" s="153">
        <v>-140</v>
      </c>
      <c r="C9" s="153">
        <v>-22</v>
      </c>
      <c r="D9" s="153">
        <v>-5</v>
      </c>
      <c r="E9" s="153">
        <v>4</v>
      </c>
      <c r="F9" s="153">
        <v>-2</v>
      </c>
      <c r="I9" s="153"/>
      <c r="J9" s="153"/>
      <c r="K9" s="153"/>
      <c r="L9" s="153"/>
      <c r="M9" s="153"/>
    </row>
    <row r="10" spans="1:14" ht="15" thickBot="1" x14ac:dyDescent="0.35">
      <c r="A10" s="152" t="s">
        <v>73</v>
      </c>
      <c r="B10" s="153">
        <v>-12</v>
      </c>
      <c r="C10" s="153">
        <v>-2</v>
      </c>
      <c r="D10" s="153">
        <v>1</v>
      </c>
      <c r="E10" s="153">
        <v>143</v>
      </c>
      <c r="F10" s="153">
        <v>19</v>
      </c>
      <c r="I10" s="153"/>
      <c r="J10" s="153"/>
      <c r="K10" s="153"/>
      <c r="L10" s="153"/>
      <c r="M10" s="153"/>
    </row>
    <row r="11" spans="1:14" ht="15" thickBot="1" x14ac:dyDescent="0.35">
      <c r="A11" s="152" t="s">
        <v>74</v>
      </c>
      <c r="B11" s="153">
        <v>0</v>
      </c>
      <c r="C11" s="153">
        <v>6</v>
      </c>
      <c r="D11" s="153">
        <v>28</v>
      </c>
      <c r="E11" s="153">
        <v>7</v>
      </c>
      <c r="F11" s="153">
        <v>16</v>
      </c>
      <c r="I11" s="153"/>
      <c r="J11" s="153"/>
      <c r="K11" s="153"/>
      <c r="L11" s="153"/>
      <c r="M11" s="153"/>
    </row>
    <row r="12" spans="1:14" ht="15" thickBot="1" x14ac:dyDescent="0.35">
      <c r="A12" s="152" t="s">
        <v>75</v>
      </c>
      <c r="B12" s="153" t="s">
        <v>76</v>
      </c>
      <c r="C12" s="153" t="s">
        <v>76</v>
      </c>
      <c r="D12" s="153" t="s">
        <v>76</v>
      </c>
      <c r="E12" s="153">
        <v>-270</v>
      </c>
      <c r="F12" s="153">
        <v>1</v>
      </c>
      <c r="I12" s="153"/>
      <c r="J12" s="153"/>
      <c r="K12" s="153"/>
      <c r="L12" s="153"/>
      <c r="M12" s="153"/>
    </row>
    <row r="13" spans="1:14" ht="15" thickBot="1" x14ac:dyDescent="0.35">
      <c r="A13" s="152" t="s">
        <v>77</v>
      </c>
      <c r="B13" s="153">
        <v>-7</v>
      </c>
      <c r="C13" s="153">
        <v>5</v>
      </c>
      <c r="D13" s="153">
        <v>2</v>
      </c>
      <c r="E13" s="153">
        <v>-1</v>
      </c>
      <c r="F13" s="153">
        <v>-11</v>
      </c>
      <c r="I13" s="153"/>
      <c r="J13" s="153"/>
      <c r="K13" s="153"/>
      <c r="L13" s="153"/>
      <c r="M13" s="153"/>
    </row>
    <row r="14" spans="1:14" ht="15" thickBot="1" x14ac:dyDescent="0.35">
      <c r="A14" s="152" t="s">
        <v>78</v>
      </c>
      <c r="B14" s="153">
        <v>31</v>
      </c>
      <c r="C14" s="153">
        <v>16</v>
      </c>
      <c r="D14" s="153">
        <v>5</v>
      </c>
      <c r="E14" s="153">
        <v>7</v>
      </c>
      <c r="F14" s="153">
        <v>6</v>
      </c>
      <c r="I14" s="153"/>
      <c r="J14" s="153"/>
      <c r="K14" s="153"/>
      <c r="L14" s="153"/>
      <c r="M14" s="153"/>
    </row>
    <row r="15" spans="1:14" ht="15" thickBot="1" x14ac:dyDescent="0.35">
      <c r="A15" s="152" t="s">
        <v>79</v>
      </c>
      <c r="B15" s="153">
        <v>-65</v>
      </c>
      <c r="C15" s="153">
        <v>-25</v>
      </c>
      <c r="D15" s="153">
        <v>-91</v>
      </c>
      <c r="E15" s="153">
        <v>-116</v>
      </c>
      <c r="F15" s="153">
        <v>71</v>
      </c>
      <c r="I15" s="153"/>
      <c r="J15" s="153"/>
      <c r="K15" s="153"/>
      <c r="L15" s="153"/>
      <c r="M15" s="153"/>
    </row>
    <row r="16" spans="1:14" ht="15" thickBot="1" x14ac:dyDescent="0.35">
      <c r="A16" s="152" t="s">
        <v>80</v>
      </c>
      <c r="B16" s="153">
        <v>-133</v>
      </c>
      <c r="C16" s="153">
        <v>-66</v>
      </c>
      <c r="D16" s="153">
        <v>-73</v>
      </c>
      <c r="E16" s="153">
        <v>-251</v>
      </c>
      <c r="F16" s="153">
        <v>-239</v>
      </c>
      <c r="I16" s="153"/>
      <c r="J16" s="153"/>
      <c r="K16" s="153"/>
      <c r="L16" s="153"/>
      <c r="M16" s="153"/>
    </row>
    <row r="17" spans="1:13" ht="15" thickBot="1" x14ac:dyDescent="0.35">
      <c r="A17" s="152" t="s">
        <v>81</v>
      </c>
      <c r="B17" s="153">
        <v>50</v>
      </c>
      <c r="C17" s="153">
        <v>57</v>
      </c>
      <c r="D17" s="153">
        <v>177</v>
      </c>
      <c r="E17" s="153">
        <v>158</v>
      </c>
      <c r="F17" s="153">
        <v>-109</v>
      </c>
      <c r="I17" s="153"/>
      <c r="J17" s="153"/>
      <c r="K17" s="153"/>
      <c r="L17" s="153"/>
      <c r="M17" s="153"/>
    </row>
    <row r="18" spans="1:13" ht="15" thickBot="1" x14ac:dyDescent="0.35">
      <c r="A18" s="152" t="s">
        <v>82</v>
      </c>
      <c r="B18" s="153">
        <v>-48</v>
      </c>
      <c r="C18" s="153">
        <v>-72</v>
      </c>
      <c r="D18" s="153">
        <v>91</v>
      </c>
      <c r="E18" s="153">
        <v>-1</v>
      </c>
      <c r="F18" s="153">
        <v>-25</v>
      </c>
      <c r="I18" s="153"/>
      <c r="J18" s="153"/>
      <c r="K18" s="153"/>
      <c r="L18" s="153"/>
      <c r="M18" s="153"/>
    </row>
    <row r="19" spans="1:13" ht="15" thickBot="1" x14ac:dyDescent="0.35">
      <c r="A19" s="152" t="s">
        <v>83</v>
      </c>
      <c r="B19" s="153">
        <v>1</v>
      </c>
      <c r="C19" s="153">
        <v>2</v>
      </c>
      <c r="D19" s="153">
        <v>2</v>
      </c>
      <c r="E19" s="153">
        <v>8</v>
      </c>
      <c r="F19" s="153">
        <v>0</v>
      </c>
      <c r="I19" s="153"/>
      <c r="J19" s="153"/>
      <c r="K19" s="153"/>
      <c r="L19" s="153"/>
      <c r="M19" s="153"/>
    </row>
    <row r="20" spans="1:13" ht="15" thickBot="1" x14ac:dyDescent="0.35">
      <c r="A20" s="152" t="s">
        <v>84</v>
      </c>
      <c r="B20" s="153">
        <v>-95</v>
      </c>
      <c r="C20" s="153">
        <v>-60</v>
      </c>
      <c r="D20" s="153">
        <v>-23</v>
      </c>
      <c r="E20" s="153">
        <v>-25</v>
      </c>
      <c r="F20" s="153">
        <v>-4</v>
      </c>
      <c r="I20" s="153"/>
      <c r="J20" s="153"/>
      <c r="K20" s="153"/>
      <c r="L20" s="153"/>
      <c r="M20" s="153"/>
    </row>
    <row r="21" spans="1:13" ht="15" thickBot="1" x14ac:dyDescent="0.35">
      <c r="A21" s="152" t="s">
        <v>85</v>
      </c>
      <c r="B21" s="153">
        <v>8</v>
      </c>
      <c r="C21" s="153">
        <v>6</v>
      </c>
      <c r="D21" s="153">
        <v>9</v>
      </c>
      <c r="E21" s="153">
        <v>14</v>
      </c>
      <c r="F21" s="153">
        <v>25</v>
      </c>
      <c r="I21" s="153"/>
      <c r="J21" s="153"/>
      <c r="K21" s="153"/>
      <c r="L21" s="153"/>
      <c r="M21" s="153"/>
    </row>
    <row r="22" spans="1:13" ht="15" thickBot="1" x14ac:dyDescent="0.35">
      <c r="A22" s="152" t="s">
        <v>86</v>
      </c>
      <c r="B22" s="153">
        <v>-14</v>
      </c>
      <c r="C22" s="153">
        <v>-26</v>
      </c>
      <c r="D22" s="153">
        <v>-58</v>
      </c>
      <c r="E22" s="153">
        <v>-50</v>
      </c>
      <c r="F22" s="153">
        <v>-67</v>
      </c>
      <c r="I22" s="153"/>
      <c r="J22" s="153"/>
      <c r="K22" s="153"/>
      <c r="L22" s="153"/>
      <c r="M22" s="153"/>
    </row>
    <row r="23" spans="1:13" ht="15" thickBot="1" x14ac:dyDescent="0.35">
      <c r="A23" s="152" t="s">
        <v>87</v>
      </c>
      <c r="B23" s="153">
        <v>-93</v>
      </c>
      <c r="C23" s="153">
        <v>-126</v>
      </c>
      <c r="D23" s="153">
        <v>-142</v>
      </c>
      <c r="E23" s="153">
        <v>-226</v>
      </c>
      <c r="F23" s="153">
        <v>-125</v>
      </c>
      <c r="I23" s="153"/>
      <c r="J23" s="153"/>
      <c r="K23" s="153"/>
      <c r="L23" s="153"/>
      <c r="M23" s="153"/>
    </row>
    <row r="24" spans="1:13" ht="15" thickBot="1" x14ac:dyDescent="0.35">
      <c r="A24" s="157" t="s">
        <v>88</v>
      </c>
      <c r="B24" s="158">
        <v>817</v>
      </c>
      <c r="C24" s="158">
        <v>1291</v>
      </c>
      <c r="D24" s="158">
        <v>1723</v>
      </c>
      <c r="E24" s="158">
        <v>1575</v>
      </c>
      <c r="F24" s="158">
        <v>1601</v>
      </c>
      <c r="I24" s="153"/>
      <c r="J24" s="153"/>
      <c r="K24" s="153"/>
      <c r="L24" s="153"/>
      <c r="M24" s="153"/>
    </row>
    <row r="25" spans="1:13" x14ac:dyDescent="0.3">
      <c r="A25" s="154"/>
      <c r="B25" s="154"/>
      <c r="C25" s="154"/>
      <c r="D25" s="154"/>
      <c r="E25" s="154"/>
      <c r="F25" s="154"/>
      <c r="I25" s="154"/>
      <c r="J25" s="154"/>
      <c r="K25" s="154"/>
      <c r="L25" s="154"/>
      <c r="M25" s="154"/>
    </row>
    <row r="26" spans="1:13" ht="15" thickBot="1" x14ac:dyDescent="0.35">
      <c r="A26" s="151" t="s">
        <v>89</v>
      </c>
      <c r="B26" s="151"/>
      <c r="C26" s="151"/>
      <c r="D26" s="151"/>
      <c r="E26" s="151"/>
      <c r="F26" s="151"/>
      <c r="I26" s="151"/>
      <c r="J26" s="151"/>
      <c r="K26" s="151"/>
      <c r="L26" s="151"/>
      <c r="M26" s="151"/>
    </row>
    <row r="27" spans="1:13" ht="15" thickBot="1" x14ac:dyDescent="0.35">
      <c r="A27" s="152" t="s">
        <v>90</v>
      </c>
      <c r="B27" s="153" t="s">
        <v>76</v>
      </c>
      <c r="C27" s="153" t="s">
        <v>76</v>
      </c>
      <c r="D27" s="153">
        <v>-112</v>
      </c>
      <c r="E27" s="153">
        <v>-17</v>
      </c>
      <c r="F27" s="153">
        <v>-5</v>
      </c>
      <c r="I27" s="153"/>
      <c r="J27" s="153"/>
      <c r="K27" s="153"/>
      <c r="L27" s="307"/>
      <c r="M27" s="307" t="s">
        <v>286</v>
      </c>
    </row>
    <row r="28" spans="1:13" ht="15" thickBot="1" x14ac:dyDescent="0.35">
      <c r="A28" s="152" t="s">
        <v>91</v>
      </c>
      <c r="B28" s="153">
        <v>-14</v>
      </c>
      <c r="C28" s="153" t="s">
        <v>76</v>
      </c>
      <c r="D28" s="153">
        <v>-9</v>
      </c>
      <c r="E28" s="153">
        <v>-1</v>
      </c>
      <c r="F28" s="153" t="s">
        <v>76</v>
      </c>
      <c r="I28" s="153"/>
      <c r="J28" s="153"/>
      <c r="K28" s="153"/>
      <c r="L28" s="307" t="s">
        <v>287</v>
      </c>
      <c r="M28" s="308">
        <f>AVERAGE(B36:F36)</f>
        <v>-0.13011248547369084</v>
      </c>
    </row>
    <row r="29" spans="1:13" ht="15" thickBot="1" x14ac:dyDescent="0.35">
      <c r="A29" s="152" t="s">
        <v>92</v>
      </c>
      <c r="B29" s="153">
        <v>-1478</v>
      </c>
      <c r="C29" s="153">
        <v>-4130</v>
      </c>
      <c r="D29" s="153">
        <v>-3300</v>
      </c>
      <c r="E29" s="153">
        <v>-3277</v>
      </c>
      <c r="F29" s="153">
        <v>-3760</v>
      </c>
      <c r="I29" s="153"/>
      <c r="J29" s="153"/>
      <c r="K29" s="153"/>
      <c r="L29" s="307" t="s">
        <v>288</v>
      </c>
      <c r="M29" s="306">
        <v>0.12</v>
      </c>
    </row>
    <row r="30" spans="1:13" ht="15" thickBot="1" x14ac:dyDescent="0.35">
      <c r="A30" s="152" t="s">
        <v>91</v>
      </c>
      <c r="B30" s="153" t="s">
        <v>76</v>
      </c>
      <c r="C30" s="153">
        <v>0</v>
      </c>
      <c r="D30" s="153" t="s">
        <v>76</v>
      </c>
      <c r="E30" s="153" t="s">
        <v>76</v>
      </c>
      <c r="F30" s="153">
        <v>0</v>
      </c>
      <c r="I30" s="153"/>
      <c r="J30" s="153"/>
      <c r="K30" s="153"/>
      <c r="L30" s="153"/>
      <c r="M30" s="153"/>
    </row>
    <row r="31" spans="1:13" ht="15" thickBot="1" x14ac:dyDescent="0.35">
      <c r="A31" s="152" t="s">
        <v>93</v>
      </c>
      <c r="B31" s="153">
        <v>1496</v>
      </c>
      <c r="C31" s="153">
        <v>3855</v>
      </c>
      <c r="D31" s="153">
        <v>3303</v>
      </c>
      <c r="E31" s="153">
        <v>3067</v>
      </c>
      <c r="F31" s="153">
        <v>2836</v>
      </c>
      <c r="I31" s="153"/>
      <c r="J31" s="153"/>
      <c r="K31" s="153"/>
      <c r="L31" s="153"/>
      <c r="M31" s="153"/>
    </row>
    <row r="32" spans="1:13" ht="15" thickBot="1" x14ac:dyDescent="0.35">
      <c r="A32" s="152" t="s">
        <v>94</v>
      </c>
      <c r="B32" s="153" t="s">
        <v>76</v>
      </c>
      <c r="C32" s="153" t="s">
        <v>76</v>
      </c>
      <c r="D32" s="153">
        <v>10</v>
      </c>
      <c r="E32" s="153">
        <v>324</v>
      </c>
      <c r="F32" s="153">
        <v>0</v>
      </c>
      <c r="I32" s="153"/>
      <c r="J32" s="153"/>
      <c r="K32" s="153"/>
      <c r="L32" s="153"/>
      <c r="M32" s="153"/>
    </row>
    <row r="33" spans="1:13" ht="15" thickBot="1" x14ac:dyDescent="0.35">
      <c r="A33" s="152" t="s">
        <v>95</v>
      </c>
      <c r="B33" s="153">
        <v>-1869</v>
      </c>
      <c r="C33" s="153">
        <v>-11</v>
      </c>
      <c r="D33" s="153">
        <v>-5</v>
      </c>
      <c r="E33" s="153">
        <v>-16</v>
      </c>
      <c r="F33" s="153">
        <v>-123</v>
      </c>
      <c r="I33" s="153"/>
      <c r="J33" s="153"/>
      <c r="K33" s="153"/>
      <c r="L33" s="153"/>
      <c r="M33" s="153"/>
    </row>
    <row r="34" spans="1:13" ht="15" thickBot="1" x14ac:dyDescent="0.35">
      <c r="A34" s="152" t="s">
        <v>96</v>
      </c>
      <c r="B34" s="153">
        <v>-139</v>
      </c>
      <c r="C34" s="153">
        <v>-110</v>
      </c>
      <c r="D34" s="153">
        <v>-148</v>
      </c>
      <c r="E34" s="153">
        <v>-164</v>
      </c>
      <c r="F34" s="153">
        <v>-156</v>
      </c>
      <c r="G34" s="309">
        <v>2020</v>
      </c>
      <c r="H34" s="309">
        <v>2021</v>
      </c>
      <c r="I34" s="159">
        <v>2022</v>
      </c>
      <c r="J34" s="159">
        <v>2023</v>
      </c>
      <c r="K34" s="159">
        <v>2024</v>
      </c>
      <c r="L34" s="153"/>
      <c r="M34" s="153"/>
    </row>
    <row r="35" spans="1:13" ht="15" thickBot="1" x14ac:dyDescent="0.35">
      <c r="A35" s="152" t="s">
        <v>97</v>
      </c>
      <c r="B35" s="153">
        <v>-646</v>
      </c>
      <c r="C35" s="153">
        <v>-716</v>
      </c>
      <c r="D35" s="153">
        <v>-874</v>
      </c>
      <c r="E35" s="153">
        <v>-1090</v>
      </c>
      <c r="F35" s="153">
        <v>-1295</v>
      </c>
      <c r="G35" s="310">
        <f>'IS(Forcasted)'!I4*'Cashflow Statement'!$M$28</f>
        <v>-1074.1464170828926</v>
      </c>
      <c r="H35" s="310">
        <f>'IS(Forcasted)'!J4*'Cashflow Statement'!$M$28</f>
        <v>-1486.3011038530019</v>
      </c>
      <c r="I35" s="310">
        <f>'IS(Forcasted)'!K4*'Cashflow Statement'!$M$28</f>
        <v>-1689.8297255893128</v>
      </c>
      <c r="J35" s="310">
        <f>'IS(Forcasted)'!L4*'Cashflow Statement'!$M$28</f>
        <v>-1903.7611656165327</v>
      </c>
      <c r="K35" s="310">
        <f>'IS(Forcasted)'!M4*'Cashflow Statement'!$M$28</f>
        <v>-2162.881362473679</v>
      </c>
      <c r="L35" s="153"/>
      <c r="M35" s="153"/>
    </row>
    <row r="36" spans="1:13" s="1" customFormat="1" ht="15" thickBot="1" x14ac:dyDescent="0.35">
      <c r="A36" s="152" t="s">
        <v>285</v>
      </c>
      <c r="B36" s="306">
        <f>B35/'IS(Forcasted)'!D4</f>
        <v>-0.11147540983606558</v>
      </c>
      <c r="C36" s="306">
        <f>C35/'IS(Forcasted)'!E4</f>
        <v>-0.11061331685462691</v>
      </c>
      <c r="D36" s="306">
        <f>D35/'IS(Forcasted)'!F4</f>
        <v>-0.12374345179102364</v>
      </c>
      <c r="E36" s="306">
        <f>E35/'IS(Forcasted)'!G4</f>
        <v>-0.1434399263060929</v>
      </c>
      <c r="F36" s="306">
        <f>F35/'IS(Forcasted)'!H4</f>
        <v>-0.16129032258064516</v>
      </c>
      <c r="I36" s="153"/>
      <c r="J36" s="153"/>
      <c r="K36" s="153"/>
      <c r="L36" s="153"/>
      <c r="M36" s="153"/>
    </row>
    <row r="37" spans="1:13" ht="15" thickBot="1" x14ac:dyDescent="0.35">
      <c r="A37" s="152" t="s">
        <v>98</v>
      </c>
      <c r="B37" s="153">
        <v>57</v>
      </c>
      <c r="C37" s="153">
        <v>14</v>
      </c>
      <c r="D37" s="153">
        <v>4</v>
      </c>
      <c r="E37" s="153">
        <v>11</v>
      </c>
      <c r="F37" s="153">
        <v>15</v>
      </c>
      <c r="I37" s="153"/>
      <c r="J37" s="153"/>
      <c r="K37" s="153"/>
      <c r="L37" s="153"/>
      <c r="M37" s="153"/>
    </row>
    <row r="38" spans="1:13" ht="15" thickBot="1" x14ac:dyDescent="0.35">
      <c r="A38" s="152" t="s">
        <v>99</v>
      </c>
      <c r="B38" s="153">
        <v>0</v>
      </c>
      <c r="C38" s="153" t="s">
        <v>76</v>
      </c>
      <c r="D38" s="153" t="s">
        <v>76</v>
      </c>
      <c r="E38" s="153" t="s">
        <v>76</v>
      </c>
      <c r="F38" s="153">
        <v>0</v>
      </c>
      <c r="I38" s="153"/>
      <c r="J38" s="153"/>
      <c r="K38" s="153"/>
      <c r="L38" s="153"/>
      <c r="M38" s="153"/>
    </row>
    <row r="39" spans="1:13" ht="15" thickBot="1" x14ac:dyDescent="0.35">
      <c r="A39" s="157" t="s">
        <v>100</v>
      </c>
      <c r="B39" s="158">
        <v>-2593</v>
      </c>
      <c r="C39" s="158">
        <v>-1098</v>
      </c>
      <c r="D39" s="158">
        <v>-1131</v>
      </c>
      <c r="E39" s="158">
        <v>-1163</v>
      </c>
      <c r="F39" s="158">
        <v>-2488</v>
      </c>
      <c r="I39" s="153"/>
      <c r="J39" s="153"/>
      <c r="K39" s="153"/>
      <c r="L39" s="153"/>
      <c r="M39" s="153"/>
    </row>
    <row r="40" spans="1:13" x14ac:dyDescent="0.3">
      <c r="A40" s="154"/>
      <c r="B40" s="154"/>
      <c r="C40" s="154"/>
      <c r="D40" s="154"/>
      <c r="E40" s="154"/>
      <c r="F40" s="154"/>
      <c r="I40" s="154"/>
      <c r="J40" s="154"/>
      <c r="K40" s="154"/>
      <c r="L40" s="154"/>
      <c r="M40" s="154"/>
    </row>
    <row r="41" spans="1:13" ht="15" thickBot="1" x14ac:dyDescent="0.35">
      <c r="A41" s="151" t="s">
        <v>101</v>
      </c>
      <c r="B41" s="151"/>
      <c r="C41" s="151"/>
      <c r="D41" s="151"/>
      <c r="E41" s="151"/>
      <c r="F41" s="151"/>
      <c r="I41" s="151"/>
      <c r="J41" s="151"/>
      <c r="K41" s="151"/>
      <c r="L41" s="151"/>
      <c r="M41" s="151"/>
    </row>
    <row r="42" spans="1:13" ht="15" thickBot="1" x14ac:dyDescent="0.35">
      <c r="A42" s="152" t="s">
        <v>102</v>
      </c>
      <c r="B42" s="153">
        <v>2</v>
      </c>
      <c r="C42" s="153">
        <v>-8</v>
      </c>
      <c r="D42" s="153">
        <v>-1</v>
      </c>
      <c r="E42" s="153">
        <v>0</v>
      </c>
      <c r="F42" s="153" t="s">
        <v>76</v>
      </c>
      <c r="I42" s="153"/>
      <c r="J42" s="153"/>
      <c r="K42" s="153"/>
      <c r="L42" s="153"/>
      <c r="M42" s="153"/>
    </row>
    <row r="43" spans="1:13" ht="15" thickBot="1" x14ac:dyDescent="0.35">
      <c r="A43" s="152" t="s">
        <v>103</v>
      </c>
      <c r="B43" s="153" t="s">
        <v>76</v>
      </c>
      <c r="C43" s="153" t="s">
        <v>76</v>
      </c>
      <c r="D43" s="153" t="s">
        <v>76</v>
      </c>
      <c r="E43" s="153" t="s">
        <v>76</v>
      </c>
      <c r="F43" s="153">
        <v>19</v>
      </c>
      <c r="I43" s="153"/>
      <c r="J43" s="153"/>
      <c r="K43" s="153"/>
      <c r="L43" s="153"/>
      <c r="M43" s="153"/>
    </row>
    <row r="44" spans="1:13" ht="15" thickBot="1" x14ac:dyDescent="0.35">
      <c r="A44" s="152" t="s">
        <v>104</v>
      </c>
      <c r="B44" s="153" t="s">
        <v>76</v>
      </c>
      <c r="C44" s="153" t="s">
        <v>76</v>
      </c>
      <c r="D44" s="153" t="s">
        <v>76</v>
      </c>
      <c r="E44" s="153" t="s">
        <v>76</v>
      </c>
      <c r="F44" s="153">
        <v>-41</v>
      </c>
      <c r="I44" s="153"/>
      <c r="J44" s="153"/>
      <c r="K44" s="153"/>
      <c r="L44" s="153"/>
      <c r="M44" s="153"/>
    </row>
    <row r="45" spans="1:13" ht="15" thickBot="1" x14ac:dyDescent="0.35">
      <c r="A45" s="152" t="s">
        <v>105</v>
      </c>
      <c r="B45" s="153">
        <v>-15</v>
      </c>
      <c r="C45" s="153">
        <v>0</v>
      </c>
      <c r="D45" s="153" t="s">
        <v>76</v>
      </c>
      <c r="E45" s="153" t="s">
        <v>76</v>
      </c>
      <c r="F45" s="153" t="s">
        <v>76</v>
      </c>
      <c r="I45" s="153"/>
      <c r="J45" s="153"/>
      <c r="K45" s="153"/>
      <c r="L45" s="153"/>
      <c r="M45" s="153"/>
    </row>
    <row r="46" spans="1:13" ht="15" thickBot="1" x14ac:dyDescent="0.35">
      <c r="A46" s="152" t="s">
        <v>106</v>
      </c>
      <c r="B46" s="153">
        <v>0</v>
      </c>
      <c r="C46" s="153">
        <v>-1</v>
      </c>
      <c r="D46" s="153">
        <v>0</v>
      </c>
      <c r="E46" s="153">
        <v>-18</v>
      </c>
      <c r="F46" s="153">
        <v>-14</v>
      </c>
      <c r="I46" s="153"/>
      <c r="J46" s="153"/>
      <c r="K46" s="153"/>
      <c r="L46" s="153"/>
      <c r="M46" s="153"/>
    </row>
    <row r="47" spans="1:13" ht="15" thickBot="1" x14ac:dyDescent="0.35">
      <c r="A47" s="152" t="s">
        <v>107</v>
      </c>
      <c r="B47" s="153">
        <v>0</v>
      </c>
      <c r="C47" s="153" t="s">
        <v>76</v>
      </c>
      <c r="D47" s="153" t="s">
        <v>76</v>
      </c>
      <c r="E47" s="153" t="s">
        <v>76</v>
      </c>
      <c r="F47" s="153" t="s">
        <v>76</v>
      </c>
      <c r="I47" s="153"/>
      <c r="J47" s="153"/>
      <c r="K47" s="153"/>
      <c r="L47" s="153"/>
      <c r="M47" s="153"/>
    </row>
    <row r="48" spans="1:13" ht="15" thickBot="1" x14ac:dyDescent="0.35">
      <c r="A48" s="152" t="s">
        <v>108</v>
      </c>
      <c r="B48" s="153">
        <v>2398</v>
      </c>
      <c r="C48" s="153">
        <v>824</v>
      </c>
      <c r="D48" s="153">
        <v>2</v>
      </c>
      <c r="E48" s="153">
        <v>0</v>
      </c>
      <c r="F48" s="153">
        <v>1</v>
      </c>
      <c r="I48" s="153"/>
      <c r="J48" s="153"/>
      <c r="K48" s="153"/>
      <c r="L48" s="153"/>
      <c r="M48" s="153"/>
    </row>
    <row r="49" spans="1:13" ht="15" thickBot="1" x14ac:dyDescent="0.35">
      <c r="A49" s="152" t="s">
        <v>109</v>
      </c>
      <c r="B49" s="153">
        <v>-831</v>
      </c>
      <c r="C49" s="153">
        <v>-846</v>
      </c>
      <c r="D49" s="153">
        <v>-119</v>
      </c>
      <c r="E49" s="153">
        <v>-321</v>
      </c>
      <c r="F49" s="153">
        <v>-23</v>
      </c>
      <c r="I49" s="153"/>
      <c r="J49" s="153"/>
      <c r="K49" s="153"/>
      <c r="L49" s="153"/>
      <c r="M49" s="153"/>
    </row>
    <row r="50" spans="1:13" ht="15" thickBot="1" x14ac:dyDescent="0.35">
      <c r="A50" s="152" t="s">
        <v>110</v>
      </c>
      <c r="B50" s="153">
        <v>0</v>
      </c>
      <c r="C50" s="153" t="s">
        <v>76</v>
      </c>
      <c r="D50" s="153" t="s">
        <v>76</v>
      </c>
      <c r="E50" s="153" t="s">
        <v>76</v>
      </c>
      <c r="F50" s="153" t="s">
        <v>76</v>
      </c>
      <c r="I50" s="153"/>
      <c r="J50" s="153"/>
      <c r="K50" s="153"/>
      <c r="L50" s="153"/>
      <c r="M50" s="153"/>
    </row>
    <row r="51" spans="1:13" ht="15" thickBot="1" x14ac:dyDescent="0.35">
      <c r="A51" s="152" t="s">
        <v>111</v>
      </c>
      <c r="B51" s="153">
        <v>0</v>
      </c>
      <c r="C51" s="153">
        <v>1</v>
      </c>
      <c r="D51" s="153">
        <v>0</v>
      </c>
      <c r="E51" s="153">
        <v>74</v>
      </c>
      <c r="F51" s="153">
        <v>0</v>
      </c>
      <c r="I51" s="153"/>
      <c r="J51" s="153"/>
      <c r="K51" s="153"/>
      <c r="L51" s="153"/>
      <c r="M51" s="153"/>
    </row>
    <row r="52" spans="1:13" ht="15" thickBot="1" x14ac:dyDescent="0.35">
      <c r="A52" s="152" t="s">
        <v>112</v>
      </c>
      <c r="B52" s="153">
        <v>11</v>
      </c>
      <c r="C52" s="153">
        <v>26</v>
      </c>
      <c r="D52" s="153">
        <v>26</v>
      </c>
      <c r="E52" s="153">
        <v>6</v>
      </c>
      <c r="F52" s="153">
        <v>1530</v>
      </c>
      <c r="I52" s="153"/>
      <c r="J52" s="153"/>
      <c r="K52" s="153"/>
      <c r="L52" s="153"/>
      <c r="M52" s="153"/>
    </row>
    <row r="53" spans="1:13" ht="15" thickBot="1" x14ac:dyDescent="0.35">
      <c r="A53" s="152" t="s">
        <v>113</v>
      </c>
      <c r="B53" s="153">
        <v>-202</v>
      </c>
      <c r="C53" s="153">
        <v>-225</v>
      </c>
      <c r="D53" s="153">
        <v>-248</v>
      </c>
      <c r="E53" s="153">
        <v>-283</v>
      </c>
      <c r="F53" s="153">
        <v>-305</v>
      </c>
      <c r="I53" s="153"/>
      <c r="J53" s="153"/>
      <c r="K53" s="153"/>
      <c r="L53" s="153"/>
      <c r="M53" s="153"/>
    </row>
    <row r="54" spans="1:13" ht="15" thickBot="1" x14ac:dyDescent="0.35">
      <c r="A54" s="152" t="s">
        <v>114</v>
      </c>
      <c r="B54" s="153" t="s">
        <v>76</v>
      </c>
      <c r="C54" s="153" t="s">
        <v>76</v>
      </c>
      <c r="D54" s="153" t="s">
        <v>76</v>
      </c>
      <c r="E54" s="153" t="s">
        <v>76</v>
      </c>
      <c r="F54" s="153">
        <v>0</v>
      </c>
      <c r="I54" s="153"/>
      <c r="J54" s="153"/>
      <c r="K54" s="153"/>
      <c r="L54" s="153"/>
      <c r="M54" s="153"/>
    </row>
    <row r="55" spans="1:13" ht="15" thickBot="1" x14ac:dyDescent="0.35">
      <c r="A55" s="157" t="s">
        <v>115</v>
      </c>
      <c r="B55" s="158">
        <v>1363</v>
      </c>
      <c r="C55" s="158">
        <v>-229</v>
      </c>
      <c r="D55" s="158">
        <v>-340</v>
      </c>
      <c r="E55" s="158">
        <v>-542</v>
      </c>
      <c r="F55" s="158">
        <v>1167</v>
      </c>
      <c r="I55" s="153"/>
      <c r="J55" s="153"/>
      <c r="K55" s="153"/>
      <c r="L55" s="153"/>
      <c r="M55" s="153"/>
    </row>
    <row r="56" spans="1:13" ht="15" thickBot="1" x14ac:dyDescent="0.35">
      <c r="A56" s="154"/>
      <c r="B56" s="154"/>
      <c r="C56" s="154"/>
      <c r="D56" s="154"/>
      <c r="E56" s="154"/>
      <c r="F56" s="154"/>
      <c r="I56" s="154"/>
      <c r="J56" s="154"/>
      <c r="K56" s="154"/>
      <c r="L56" s="154"/>
      <c r="M56" s="154"/>
    </row>
    <row r="57" spans="1:13" ht="15" thickBot="1" x14ac:dyDescent="0.35">
      <c r="A57" s="152" t="s">
        <v>116</v>
      </c>
      <c r="B57" s="153">
        <v>28</v>
      </c>
      <c r="C57" s="153">
        <v>-12</v>
      </c>
      <c r="D57" s="153">
        <v>-17</v>
      </c>
      <c r="E57" s="153">
        <v>2</v>
      </c>
      <c r="F57" s="153">
        <v>9</v>
      </c>
      <c r="I57" s="153"/>
      <c r="J57" s="153"/>
      <c r="K57" s="153"/>
      <c r="L57" s="153"/>
      <c r="M57" s="153"/>
    </row>
    <row r="58" spans="1:13" ht="15" thickBot="1" x14ac:dyDescent="0.35">
      <c r="A58" s="152" t="s">
        <v>117</v>
      </c>
      <c r="B58" s="153">
        <v>-385</v>
      </c>
      <c r="C58" s="153">
        <v>-48</v>
      </c>
      <c r="D58" s="153">
        <v>235</v>
      </c>
      <c r="E58" s="153">
        <v>-128</v>
      </c>
      <c r="F58" s="153">
        <v>289</v>
      </c>
      <c r="I58" s="153"/>
      <c r="J58" s="153"/>
      <c r="K58" s="153"/>
      <c r="L58" s="153"/>
      <c r="M58" s="153"/>
    </row>
    <row r="59" spans="1:13" ht="15" thickBot="1" x14ac:dyDescent="0.35">
      <c r="A59" s="154"/>
      <c r="B59" s="154"/>
      <c r="C59" s="154"/>
      <c r="D59" s="154"/>
      <c r="E59" s="154"/>
      <c r="F59" s="154"/>
      <c r="I59" s="154"/>
      <c r="J59" s="154"/>
      <c r="K59" s="154"/>
      <c r="L59" s="154"/>
      <c r="M59" s="154"/>
    </row>
    <row r="60" spans="1:13" ht="15" thickBot="1" x14ac:dyDescent="0.35">
      <c r="A60" s="152" t="s">
        <v>118</v>
      </c>
      <c r="B60" s="153">
        <v>1058</v>
      </c>
      <c r="C60" s="153">
        <v>673</v>
      </c>
      <c r="D60" s="153">
        <v>625</v>
      </c>
      <c r="E60" s="153">
        <v>860</v>
      </c>
      <c r="F60" s="153">
        <v>732</v>
      </c>
      <c r="I60" s="153"/>
      <c r="J60" s="153"/>
      <c r="K60" s="153"/>
      <c r="L60" s="153"/>
      <c r="M60" s="153"/>
    </row>
    <row r="61" spans="1:13" ht="15" thickBot="1" x14ac:dyDescent="0.35">
      <c r="A61" s="152" t="s">
        <v>119</v>
      </c>
      <c r="B61" s="153">
        <v>673</v>
      </c>
      <c r="C61" s="153">
        <v>625</v>
      </c>
      <c r="D61" s="153">
        <v>860</v>
      </c>
      <c r="E61" s="153">
        <v>732</v>
      </c>
      <c r="F61" s="153">
        <v>1021</v>
      </c>
      <c r="I61" s="153"/>
      <c r="J61" s="153"/>
      <c r="K61" s="153"/>
      <c r="L61" s="153"/>
      <c r="M61" s="153"/>
    </row>
    <row r="62" spans="1:13" ht="15" thickBot="1" x14ac:dyDescent="0.35">
      <c r="A62" s="152" t="s">
        <v>120</v>
      </c>
      <c r="B62" s="153">
        <v>14</v>
      </c>
      <c r="C62" s="153">
        <v>26</v>
      </c>
      <c r="D62" s="153">
        <v>58</v>
      </c>
      <c r="E62" s="153">
        <v>50</v>
      </c>
      <c r="F62" s="153">
        <v>67</v>
      </c>
      <c r="I62" s="153"/>
      <c r="J62" s="153"/>
      <c r="K62" s="153"/>
      <c r="L62" s="153"/>
      <c r="M62" s="153"/>
    </row>
    <row r="63" spans="1:13" x14ac:dyDescent="0.3">
      <c r="A63" s="152" t="s">
        <v>121</v>
      </c>
      <c r="B63" s="153">
        <v>93</v>
      </c>
      <c r="C63" s="153">
        <v>126</v>
      </c>
      <c r="D63" s="153">
        <v>142</v>
      </c>
      <c r="E63" s="153">
        <v>226</v>
      </c>
      <c r="F63" s="153">
        <v>125</v>
      </c>
      <c r="I63" s="153"/>
      <c r="J63" s="153"/>
      <c r="K63" s="153"/>
      <c r="L63" s="153"/>
      <c r="M63" s="153"/>
    </row>
    <row r="64" spans="1:13" ht="15" thickBot="1" x14ac:dyDescent="0.35">
      <c r="A64" s="1"/>
      <c r="B64" s="1"/>
      <c r="C64" s="1"/>
      <c r="D64" s="1"/>
      <c r="E64" s="1"/>
      <c r="F64" s="1"/>
      <c r="I64" s="1"/>
      <c r="J64" s="1"/>
      <c r="K64" s="1"/>
      <c r="L64" s="1"/>
      <c r="M64" s="1"/>
    </row>
    <row r="65" spans="1:13" x14ac:dyDescent="0.3">
      <c r="A65" s="152" t="s">
        <v>122</v>
      </c>
      <c r="B65" s="153">
        <v>32</v>
      </c>
      <c r="C65" s="153">
        <v>465</v>
      </c>
      <c r="D65" s="153">
        <v>701</v>
      </c>
      <c r="E65" s="153">
        <v>321</v>
      </c>
      <c r="F65" s="153">
        <v>150</v>
      </c>
      <c r="I65" s="153"/>
      <c r="J65" s="153"/>
      <c r="K65" s="153"/>
      <c r="L65" s="153"/>
      <c r="M65" s="1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J1" workbookViewId="0">
      <selection activeCell="T9" sqref="T9"/>
    </sheetView>
  </sheetViews>
  <sheetFormatPr defaultRowHeight="14.4" x14ac:dyDescent="0.3"/>
  <cols>
    <col min="1" max="1" width="16.109375" style="1" customWidth="1"/>
    <col min="2" max="2" width="17.6640625" style="1" customWidth="1"/>
    <col min="3" max="3" width="20" style="1" customWidth="1"/>
    <col min="4" max="4" width="14.88671875" style="1" customWidth="1"/>
    <col min="5" max="5" width="17" style="1" customWidth="1"/>
    <col min="6" max="6" width="17.6640625" style="1" customWidth="1"/>
    <col min="7" max="8" width="2.5546875" style="39" customWidth="1"/>
    <col min="9" max="10" width="12.33203125" style="1" customWidth="1"/>
    <col min="11" max="11" width="11.5546875" style="1" customWidth="1"/>
    <col min="12" max="12" width="14.77734375" style="1" customWidth="1"/>
    <col min="13" max="13" width="10.88671875" style="1" customWidth="1"/>
    <col min="14" max="14" width="16.109375" style="1" customWidth="1"/>
    <col min="15" max="15" width="11.77734375" style="1" customWidth="1"/>
    <col min="16" max="16" width="10.5546875" style="1" bestFit="1" customWidth="1"/>
    <col min="17" max="17" width="2.21875" style="39" customWidth="1"/>
    <col min="18" max="18" width="8.88671875" style="1"/>
    <col min="19" max="19" width="17.109375" style="1" customWidth="1"/>
    <col min="20" max="20" width="16.5546875" style="1" customWidth="1"/>
    <col min="21" max="21" width="17.109375" style="1" customWidth="1"/>
    <col min="22" max="22" width="14" style="1" customWidth="1"/>
    <col min="23" max="23" width="13" style="1" customWidth="1"/>
    <col min="24" max="24" width="12.5546875" style="1" customWidth="1"/>
    <col min="25" max="25" width="13.5546875" style="1" customWidth="1"/>
    <col min="26" max="16384" width="8.88671875" style="1"/>
  </cols>
  <sheetData>
    <row r="1" spans="1:25" ht="15" thickBot="1" x14ac:dyDescent="0.35">
      <c r="G1" s="39" t="s">
        <v>290</v>
      </c>
      <c r="I1" s="595">
        <v>0.08</v>
      </c>
      <c r="J1" s="595"/>
      <c r="X1" s="614" t="s">
        <v>645</v>
      </c>
      <c r="Y1" s="613">
        <f>WACC!C3</f>
        <v>7.369996445375715E-2</v>
      </c>
    </row>
    <row r="2" spans="1:25" x14ac:dyDescent="0.3">
      <c r="B2" s="594">
        <v>2019</v>
      </c>
      <c r="C2" s="594">
        <v>2020</v>
      </c>
      <c r="D2" s="594">
        <v>2021</v>
      </c>
      <c r="E2" s="594">
        <v>2022</v>
      </c>
      <c r="F2" s="594">
        <v>2023</v>
      </c>
      <c r="J2" s="594">
        <v>0</v>
      </c>
      <c r="K2" s="594">
        <v>1</v>
      </c>
      <c r="L2" s="594">
        <v>2</v>
      </c>
      <c r="M2" s="594">
        <v>3</v>
      </c>
      <c r="N2" s="594">
        <v>4</v>
      </c>
      <c r="S2" s="674"/>
      <c r="T2" s="608">
        <v>2019</v>
      </c>
      <c r="U2" s="608">
        <v>2020</v>
      </c>
      <c r="V2" s="608">
        <v>2021</v>
      </c>
      <c r="W2" s="608">
        <v>2022</v>
      </c>
      <c r="X2" s="608">
        <v>2023</v>
      </c>
      <c r="Y2" s="609">
        <v>2024</v>
      </c>
    </row>
    <row r="3" spans="1:25" x14ac:dyDescent="0.3">
      <c r="A3" s="1" t="s">
        <v>51</v>
      </c>
      <c r="B3" s="1">
        <v>2430</v>
      </c>
      <c r="C3" s="1">
        <v>2560</v>
      </c>
      <c r="D3" s="1">
        <v>2840</v>
      </c>
      <c r="E3" s="1">
        <v>3150</v>
      </c>
      <c r="F3" s="1">
        <v>3295</v>
      </c>
      <c r="I3" s="1" t="s">
        <v>51</v>
      </c>
      <c r="K3" s="1">
        <v>54</v>
      </c>
      <c r="L3" s="1">
        <v>64.8</v>
      </c>
      <c r="M3" s="1">
        <v>77.760000000000005</v>
      </c>
      <c r="N3" s="1">
        <v>93.31</v>
      </c>
      <c r="S3" s="484" t="s">
        <v>51</v>
      </c>
      <c r="T3" s="119">
        <f>'Residual Income'!H21</f>
        <v>967</v>
      </c>
      <c r="U3" s="216">
        <f>'Residual Income'!I21</f>
        <v>1088.2455886846278</v>
      </c>
      <c r="V3" s="216">
        <f>'Residual Income'!J21</f>
        <v>1409.0196190382628</v>
      </c>
      <c r="W3" s="216">
        <f>'Residual Income'!K21</f>
        <v>1718.9478367441504</v>
      </c>
      <c r="X3" s="216">
        <f>'Residual Income'!L21</f>
        <v>1990.3237137647668</v>
      </c>
      <c r="Y3" s="217">
        <f>'Residual Income'!M21</f>
        <v>2248.3350064505435</v>
      </c>
    </row>
    <row r="4" spans="1:25" x14ac:dyDescent="0.3">
      <c r="A4" s="1" t="s">
        <v>628</v>
      </c>
      <c r="B4" s="1">
        <v>430</v>
      </c>
      <c r="C4" s="1">
        <v>450</v>
      </c>
      <c r="D4" s="1">
        <v>490</v>
      </c>
      <c r="E4" s="1">
        <v>515</v>
      </c>
      <c r="F4" s="1">
        <v>530</v>
      </c>
      <c r="I4" s="1" t="s">
        <v>632</v>
      </c>
      <c r="K4" s="1">
        <v>1.2</v>
      </c>
      <c r="L4" s="1">
        <v>1.44</v>
      </c>
      <c r="M4" s="1">
        <v>1.73</v>
      </c>
      <c r="S4" s="485" t="s">
        <v>642</v>
      </c>
      <c r="T4" s="121"/>
      <c r="U4" s="178">
        <f>$Y$1*T6</f>
        <v>889.33747106348756</v>
      </c>
      <c r="V4" s="178">
        <f>$Y$1*U6</f>
        <v>911.9391968352727</v>
      </c>
      <c r="W4" s="178">
        <f>$Y$1*V6</f>
        <v>936.22736877619127</v>
      </c>
      <c r="X4" s="178">
        <f>$Y$1*W6</f>
        <v>975.32548575915155</v>
      </c>
      <c r="Y4" s="179">
        <f>$Y$1*X6</f>
        <v>1020.6793720205782</v>
      </c>
    </row>
    <row r="5" spans="1:25" x14ac:dyDescent="0.3">
      <c r="A5" s="1" t="s">
        <v>629</v>
      </c>
      <c r="B5" s="1">
        <v>560</v>
      </c>
      <c r="C5" s="1">
        <v>595</v>
      </c>
      <c r="D5" s="1">
        <v>615</v>
      </c>
      <c r="E5" s="1">
        <v>638</v>
      </c>
      <c r="F5" s="1">
        <v>652</v>
      </c>
      <c r="I5" s="593" t="s">
        <v>633</v>
      </c>
      <c r="J5" s="593"/>
      <c r="K5" s="593">
        <f>K3-K4</f>
        <v>52.8</v>
      </c>
      <c r="L5" s="593">
        <f>L3-L4</f>
        <v>63.36</v>
      </c>
      <c r="M5" s="593">
        <f>M3-M4</f>
        <v>76.03</v>
      </c>
      <c r="N5" s="593">
        <f>N3-N4</f>
        <v>93.31</v>
      </c>
      <c r="S5" s="484" t="s">
        <v>649</v>
      </c>
      <c r="T5" s="216">
        <f>T3-T4</f>
        <v>967</v>
      </c>
      <c r="U5" s="216">
        <f>U3-U4</f>
        <v>198.90811762114026</v>
      </c>
      <c r="V5" s="216">
        <f t="shared" ref="V5:Y5" si="0">V3-V4</f>
        <v>497.08042220299012</v>
      </c>
      <c r="W5" s="216">
        <f t="shared" si="0"/>
        <v>782.72046796795917</v>
      </c>
      <c r="X5" s="216">
        <f t="shared" si="0"/>
        <v>1014.9982280056153</v>
      </c>
      <c r="Y5" s="217">
        <f t="shared" si="0"/>
        <v>1227.6556344299652</v>
      </c>
    </row>
    <row r="6" spans="1:25" x14ac:dyDescent="0.3">
      <c r="A6" s="1" t="s">
        <v>630</v>
      </c>
      <c r="B6" s="1">
        <v>240</v>
      </c>
      <c r="C6" s="1">
        <v>280</v>
      </c>
      <c r="D6" s="1">
        <v>315</v>
      </c>
      <c r="E6" s="1">
        <v>334</v>
      </c>
      <c r="F6" s="1">
        <v>352</v>
      </c>
      <c r="I6" s="22" t="s">
        <v>621</v>
      </c>
      <c r="J6" s="597">
        <f>K5/(1+I1)+L5/(1+I1)^2+M5/(1+I1)^3+N5/(I1)/(1+I1)^3</f>
        <v>1089.4710219478736</v>
      </c>
      <c r="K6" s="597">
        <f>L5/(1+I1)+M5/(1+I1)^2+N5/I1/(1+I1)^2</f>
        <v>1123.8287037037035</v>
      </c>
      <c r="S6" s="485" t="s">
        <v>643</v>
      </c>
      <c r="T6" s="178">
        <f>'Residual Income'!H54</f>
        <v>12067</v>
      </c>
      <c r="U6" s="178">
        <f>'Residual Income'!I54</f>
        <v>12373.672139387076</v>
      </c>
      <c r="V6" s="178">
        <f>'Residual Income'!J54</f>
        <v>12703.226870124539</v>
      </c>
      <c r="W6" s="178">
        <f>'Residual Income'!K54</f>
        <v>13233.730748555747</v>
      </c>
      <c r="X6" s="178">
        <f>'Residual Income'!L54</f>
        <v>13849.116204947437</v>
      </c>
      <c r="Y6" s="179">
        <f>'Residual Income'!M54</f>
        <v>13849.116204947437</v>
      </c>
    </row>
    <row r="7" spans="1:25" x14ac:dyDescent="0.3">
      <c r="B7" s="593">
        <f>B3+B4-B5-B6</f>
        <v>2060</v>
      </c>
      <c r="C7" s="593">
        <f t="shared" ref="C7:F7" si="1">C3+C4-C5-C6</f>
        <v>2135</v>
      </c>
      <c r="D7" s="593">
        <f>D3+D4-D5-D6</f>
        <v>2400</v>
      </c>
      <c r="E7" s="593">
        <f t="shared" si="1"/>
        <v>2693</v>
      </c>
      <c r="F7" s="593">
        <f t="shared" si="1"/>
        <v>2821</v>
      </c>
      <c r="S7" s="675" t="s">
        <v>644</v>
      </c>
      <c r="T7" s="607">
        <f>T6+U5/(1+Y1)+V5/(1+Y1)^2+W5/(1+Y1)^3+X5/(1+Y1)^4+Y5/Y1/(1+Y1)^4</f>
        <v>26613.155389288004</v>
      </c>
      <c r="U7" s="607">
        <f>U6+V5/(1+Y1)+W5/(1+Y1)^2+X5/(1+Y1)^3+Y5/Y1/(1+Y1)^3</f>
        <v>27792.970546183293</v>
      </c>
      <c r="V7" s="607">
        <f>V6+W5/(1+Y1)+X5/(1+Y1)^2+Y5/Y1/(1+Y1)^2</f>
        <v>28761.846599200526</v>
      </c>
      <c r="W7" s="607">
        <f>W6+X5/(1+Y1)+Y5/Y1/(1+Y1)</f>
        <v>29693.149712873084</v>
      </c>
      <c r="X7" s="607">
        <f>X6+Y5/(1+Y1)+Y5/Y1/(1+Y1)</f>
        <v>30506.595533858839</v>
      </c>
      <c r="Y7" s="610">
        <f>Y6+Y5/Y1</f>
        <v>30506.595533858843</v>
      </c>
    </row>
    <row r="8" spans="1:25" x14ac:dyDescent="0.3">
      <c r="A8" s="1" t="s">
        <v>621</v>
      </c>
      <c r="B8" s="330">
        <f>C7/(1+I1)+D7/(1+I1)^2+E7/(1+I1)^3+F7/I1/(1+I1)^3</f>
        <v>34164.764644617178</v>
      </c>
      <c r="C8" s="330">
        <f>D7/(1+I1)+E7/(1+I1)^2+F7/I1/(1+I1)^2</f>
        <v>34762.945816186555</v>
      </c>
      <c r="D8" s="330">
        <f>E7/(1+I1)+F7/I1/(1+I1)</f>
        <v>35143.981481481474</v>
      </c>
      <c r="E8" s="330">
        <f>F7/(1+I1)+F7/(1+I1)/I1</f>
        <v>35262.5</v>
      </c>
      <c r="F8" s="330">
        <f>F7/I1</f>
        <v>35262.5</v>
      </c>
      <c r="S8" s="485"/>
      <c r="T8" s="121" t="s">
        <v>64</v>
      </c>
      <c r="U8" s="121"/>
      <c r="V8" s="121"/>
      <c r="W8" s="121"/>
      <c r="X8" s="121"/>
      <c r="Y8" s="229"/>
    </row>
    <row r="9" spans="1:25" ht="12" customHeight="1" thickBot="1" x14ac:dyDescent="0.35">
      <c r="A9" s="39"/>
      <c r="B9" s="599"/>
      <c r="C9" s="599"/>
      <c r="D9" s="599"/>
      <c r="E9" s="599"/>
      <c r="F9" s="599"/>
      <c r="S9" s="491" t="s">
        <v>619</v>
      </c>
      <c r="T9" s="611">
        <f>T7-T6</f>
        <v>14546.155389288004</v>
      </c>
      <c r="U9" s="611">
        <f t="shared" ref="U9:Y9" si="2">U7-U6</f>
        <v>15419.298406796217</v>
      </c>
      <c r="V9" s="611">
        <f t="shared" si="2"/>
        <v>16058.619729075986</v>
      </c>
      <c r="W9" s="611">
        <f t="shared" si="2"/>
        <v>16459.418964317338</v>
      </c>
      <c r="X9" s="611">
        <f t="shared" si="2"/>
        <v>16657.479328911402</v>
      </c>
      <c r="Y9" s="612">
        <f t="shared" si="2"/>
        <v>16657.479328911406</v>
      </c>
    </row>
    <row r="10" spans="1:25" x14ac:dyDescent="0.3">
      <c r="A10" s="1" t="s">
        <v>616</v>
      </c>
      <c r="B10" s="22">
        <v>29546</v>
      </c>
      <c r="C10" s="1">
        <f>B10-C4+C5+C6</f>
        <v>29971</v>
      </c>
      <c r="D10" s="1">
        <f>C10-D4+D5+D6</f>
        <v>30411</v>
      </c>
      <c r="E10" s="1">
        <f>D10-E4+E5+E6</f>
        <v>30868</v>
      </c>
      <c r="F10" s="1">
        <f>E10-F4+F5+F6</f>
        <v>31342</v>
      </c>
      <c r="I10" s="1" t="s">
        <v>616</v>
      </c>
      <c r="J10" s="1">
        <v>430</v>
      </c>
      <c r="K10" s="1">
        <f>J10+K4</f>
        <v>431.2</v>
      </c>
      <c r="L10" s="1">
        <f>K10+L4</f>
        <v>432.64</v>
      </c>
      <c r="M10" s="1">
        <f>L10+M4</f>
        <v>434.37</v>
      </c>
      <c r="N10" s="1">
        <f>M10+N4</f>
        <v>434.37</v>
      </c>
    </row>
    <row r="11" spans="1:25" x14ac:dyDescent="0.3">
      <c r="A11" s="1" t="s">
        <v>631</v>
      </c>
      <c r="B11" s="330">
        <f>B10*$I$1</f>
        <v>2363.6799999999998</v>
      </c>
      <c r="C11" s="330">
        <f>C10*$I$1</f>
        <v>2397.6799999999998</v>
      </c>
      <c r="D11" s="330">
        <f>D10*$I$1</f>
        <v>2432.88</v>
      </c>
      <c r="E11" s="330">
        <f>E10*$I$1</f>
        <v>2469.44</v>
      </c>
      <c r="F11" s="330">
        <f>F10*$I$1</f>
        <v>2507.36</v>
      </c>
      <c r="I11" s="1" t="s">
        <v>634</v>
      </c>
      <c r="K11" s="1">
        <f>J10*I1</f>
        <v>34.4</v>
      </c>
      <c r="L11" s="1">
        <f>K10*I1</f>
        <v>34.496000000000002</v>
      </c>
      <c r="M11" s="1">
        <f>L10*I1</f>
        <v>34.611199999999997</v>
      </c>
      <c r="N11" s="1">
        <f>M10*I1</f>
        <v>34.749600000000001</v>
      </c>
      <c r="X11" s="1" t="s">
        <v>645</v>
      </c>
      <c r="Y11" s="316"/>
    </row>
    <row r="12" spans="1:25" x14ac:dyDescent="0.3">
      <c r="A12" s="1" t="s">
        <v>618</v>
      </c>
      <c r="B12" s="330">
        <f>B3-B11</f>
        <v>66.320000000000164</v>
      </c>
      <c r="C12" s="330">
        <f>C3-C11</f>
        <v>162.32000000000016</v>
      </c>
      <c r="D12" s="330">
        <f>D3-D11</f>
        <v>407.11999999999989</v>
      </c>
      <c r="E12" s="330">
        <f>E3-E11</f>
        <v>680.56</v>
      </c>
      <c r="F12" s="330">
        <f>F3-F11</f>
        <v>787.63999999999987</v>
      </c>
      <c r="I12" s="1" t="s">
        <v>635</v>
      </c>
      <c r="K12" s="1">
        <f>K3-K11</f>
        <v>19.600000000000001</v>
      </c>
      <c r="L12" s="1">
        <f>L3-L11</f>
        <v>30.303999999999995</v>
      </c>
      <c r="M12" s="1">
        <f>M3-M11</f>
        <v>43.148800000000008</v>
      </c>
      <c r="N12" s="1">
        <f>N3-N11</f>
        <v>58.560400000000001</v>
      </c>
      <c r="S12" s="676"/>
      <c r="T12" s="644"/>
      <c r="U12" s="644"/>
      <c r="V12" s="644"/>
      <c r="W12" s="644"/>
      <c r="X12" s="644"/>
      <c r="Y12" s="644"/>
    </row>
    <row r="13" spans="1:25" x14ac:dyDescent="0.3">
      <c r="A13" s="1" t="s">
        <v>619</v>
      </c>
      <c r="B13" s="330">
        <f>C12/(1+I1)+D12/(1+I1)^2+E12/(1+I1)^3+F12/I1/(1+I1)^3</f>
        <v>8855.2618757303226</v>
      </c>
      <c r="I13" s="1" t="s">
        <v>636</v>
      </c>
      <c r="J13" s="1">
        <f>K12/(1+I1)+L12/(1+I1)^2+M12/(1+I1)^3+N12/(I1)/(1+I1)^3</f>
        <v>659.47102194787362</v>
      </c>
      <c r="K13" s="1">
        <f>L12/(1+I1)+M12/(1+I1)^2+N12/I1/(1+I1)^2</f>
        <v>692.62870370370365</v>
      </c>
      <c r="S13" s="677"/>
      <c r="T13" s="615"/>
      <c r="U13" s="615"/>
      <c r="V13" s="615"/>
      <c r="W13" s="615"/>
      <c r="X13" s="615"/>
      <c r="Y13" s="615"/>
    </row>
    <row r="14" spans="1:25" x14ac:dyDescent="0.3">
      <c r="A14" s="1" t="s">
        <v>621</v>
      </c>
      <c r="B14" s="330">
        <f>B10+B13</f>
        <v>38401.261875730321</v>
      </c>
      <c r="I14" s="1" t="s">
        <v>621</v>
      </c>
      <c r="J14" s="1">
        <f>J13+J10</f>
        <v>1089.4710219478736</v>
      </c>
      <c r="K14" s="596">
        <f>K10+K13</f>
        <v>1123.8287037037037</v>
      </c>
      <c r="O14" s="1" t="s">
        <v>290</v>
      </c>
      <c r="P14" s="581">
        <f>WACC</f>
        <v>7.369996445375715E-2</v>
      </c>
      <c r="S14" s="678"/>
      <c r="T14" s="673"/>
      <c r="U14" s="679"/>
      <c r="V14" s="679"/>
      <c r="W14" s="679"/>
      <c r="X14" s="679"/>
      <c r="Y14" s="679"/>
    </row>
    <row r="15" spans="1:25" ht="15" thickBot="1" x14ac:dyDescent="0.35">
      <c r="S15" s="804"/>
      <c r="T15" s="680"/>
      <c r="U15" s="681"/>
      <c r="V15" s="681"/>
      <c r="W15" s="681"/>
      <c r="X15" s="681"/>
      <c r="Y15" s="681"/>
    </row>
    <row r="16" spans="1:25" ht="15" thickBot="1" x14ac:dyDescent="0.35">
      <c r="K16" s="1">
        <v>2019</v>
      </c>
      <c r="L16" s="1">
        <v>2020</v>
      </c>
      <c r="M16" s="1">
        <v>2021</v>
      </c>
      <c r="N16" s="1">
        <v>2020</v>
      </c>
      <c r="O16" s="1">
        <v>2023</v>
      </c>
      <c r="P16" s="1">
        <v>2024</v>
      </c>
      <c r="S16" s="805"/>
      <c r="T16" s="806">
        <f>T2</f>
        <v>2019</v>
      </c>
      <c r="U16" s="806">
        <f t="shared" ref="U16:Y16" si="3">U2</f>
        <v>2020</v>
      </c>
      <c r="V16" s="806">
        <f t="shared" si="3"/>
        <v>2021</v>
      </c>
      <c r="W16" s="806">
        <f t="shared" si="3"/>
        <v>2022</v>
      </c>
      <c r="X16" s="806">
        <f t="shared" si="3"/>
        <v>2023</v>
      </c>
      <c r="Y16" s="807">
        <f t="shared" si="3"/>
        <v>2024</v>
      </c>
    </row>
    <row r="17" spans="10:25" x14ac:dyDescent="0.3">
      <c r="J17" s="1" t="s">
        <v>51</v>
      </c>
      <c r="L17" s="604">
        <f>'Residual Income'!I21</f>
        <v>1088.2455886846278</v>
      </c>
      <c r="M17" s="604">
        <f>'Residual Income'!J21</f>
        <v>1409.0196190382628</v>
      </c>
      <c r="N17" s="604">
        <f>'Residual Income'!K21</f>
        <v>1718.9478367441504</v>
      </c>
      <c r="O17" s="604">
        <f>'Residual Income'!L21</f>
        <v>1990.3237137647668</v>
      </c>
      <c r="P17" s="604">
        <f>'Residual Income'!M21</f>
        <v>2248.3350064505435</v>
      </c>
      <c r="S17" s="802" t="str">
        <f>S7</f>
        <v>TEV</v>
      </c>
      <c r="T17" s="687">
        <f t="shared" ref="T17:Y17" si="4">T7</f>
        <v>26613.155389288004</v>
      </c>
      <c r="U17" s="687">
        <f t="shared" si="4"/>
        <v>27792.970546183293</v>
      </c>
      <c r="V17" s="687">
        <f t="shared" si="4"/>
        <v>28761.846599200526</v>
      </c>
      <c r="W17" s="687">
        <f t="shared" si="4"/>
        <v>29693.149712873084</v>
      </c>
      <c r="X17" s="687">
        <f t="shared" si="4"/>
        <v>30506.595533858839</v>
      </c>
      <c r="Y17" s="690">
        <f t="shared" si="4"/>
        <v>30506.595533858843</v>
      </c>
    </row>
    <row r="18" spans="10:25" x14ac:dyDescent="0.3">
      <c r="J18" s="1" t="s">
        <v>628</v>
      </c>
      <c r="L18" s="602">
        <f>'Residual Income'!I22</f>
        <v>1545.6792</v>
      </c>
      <c r="M18" s="602">
        <f>'Residual Income'!J22</f>
        <v>1685.5103999999999</v>
      </c>
      <c r="N18" s="602">
        <f>'Residual Income'!K22</f>
        <v>1842.9036000000001</v>
      </c>
      <c r="O18" s="602">
        <f>'Residual Income'!L22</f>
        <v>2006.42781408</v>
      </c>
      <c r="P18" s="602"/>
      <c r="S18" s="484" t="str">
        <f>S6</f>
        <v>BIK</v>
      </c>
      <c r="T18" s="621">
        <f t="shared" ref="T18:Y18" si="5">T6</f>
        <v>12067</v>
      </c>
      <c r="U18" s="621">
        <f t="shared" si="5"/>
        <v>12373.672139387076</v>
      </c>
      <c r="V18" s="621">
        <f t="shared" si="5"/>
        <v>12703.226870124539</v>
      </c>
      <c r="W18" s="621">
        <f t="shared" si="5"/>
        <v>13233.730748555747</v>
      </c>
      <c r="X18" s="621">
        <f t="shared" si="5"/>
        <v>13849.116204947437</v>
      </c>
      <c r="Y18" s="622">
        <f t="shared" si="5"/>
        <v>13849.116204947437</v>
      </c>
    </row>
    <row r="19" spans="10:25" ht="15" thickBot="1" x14ac:dyDescent="0.35">
      <c r="J19" s="1" t="s">
        <v>637</v>
      </c>
      <c r="L19" s="602">
        <f>'Residual Income'!I23</f>
        <v>1635.6792</v>
      </c>
      <c r="M19" s="602">
        <f>'Residual Income'!J23</f>
        <v>1811.7486676961369</v>
      </c>
      <c r="N19" s="602">
        <f>'Residual Income'!K23</f>
        <v>2119.4737138063015</v>
      </c>
      <c r="O19" s="602">
        <f>'Residual Income'!L23</f>
        <v>2435.2268976326486</v>
      </c>
      <c r="P19" s="602"/>
      <c r="S19" s="803" t="str">
        <f>S9</f>
        <v>MVA</v>
      </c>
      <c r="T19" s="808">
        <f t="shared" ref="T19:Y19" si="6">T9</f>
        <v>14546.155389288004</v>
      </c>
      <c r="U19" s="808">
        <f t="shared" si="6"/>
        <v>15419.298406796217</v>
      </c>
      <c r="V19" s="808">
        <f t="shared" si="6"/>
        <v>16058.619729075986</v>
      </c>
      <c r="W19" s="808">
        <f t="shared" si="6"/>
        <v>16459.418964317338</v>
      </c>
      <c r="X19" s="808">
        <f t="shared" si="6"/>
        <v>16657.479328911402</v>
      </c>
      <c r="Y19" s="809">
        <f t="shared" si="6"/>
        <v>16657.479328911406</v>
      </c>
    </row>
    <row r="20" spans="10:25" x14ac:dyDescent="0.3">
      <c r="J20" s="1" t="s">
        <v>638</v>
      </c>
      <c r="L20" s="602">
        <f>'Residual Income'!I25</f>
        <v>216.67213938707573</v>
      </c>
      <c r="M20" s="602">
        <f>'Residual Income'!J25</f>
        <v>203.31646304132664</v>
      </c>
      <c r="N20" s="602">
        <f>'Residual Income'!K25</f>
        <v>253.93376462490687</v>
      </c>
      <c r="O20" s="602">
        <f>'Residual Income'!L25</f>
        <v>186.58637283904136</v>
      </c>
      <c r="P20" s="602"/>
    </row>
    <row r="21" spans="10:25" x14ac:dyDescent="0.3">
      <c r="J21" s="1" t="s">
        <v>639</v>
      </c>
      <c r="L21" s="1">
        <v>1</v>
      </c>
      <c r="M21" s="1">
        <v>2</v>
      </c>
      <c r="N21" s="1">
        <v>3</v>
      </c>
      <c r="O21" s="1">
        <v>4</v>
      </c>
      <c r="P21" s="1">
        <v>5</v>
      </c>
    </row>
    <row r="22" spans="10:25" x14ac:dyDescent="0.3">
      <c r="J22" s="1" t="s">
        <v>640</v>
      </c>
      <c r="L22" s="598">
        <f>L17+L18-L19-L20</f>
        <v>781.57344929755209</v>
      </c>
      <c r="M22" s="598">
        <f t="shared" ref="M22:P22" si="7">M17+M18-M19-M20</f>
        <v>1079.4648883007992</v>
      </c>
      <c r="N22" s="598">
        <f t="shared" si="7"/>
        <v>1188.443958312942</v>
      </c>
      <c r="O22" s="598">
        <f t="shared" si="7"/>
        <v>1374.9382573730768</v>
      </c>
      <c r="P22" s="598">
        <f t="shared" si="7"/>
        <v>2248.3350064505435</v>
      </c>
    </row>
    <row r="23" spans="10:25" x14ac:dyDescent="0.3">
      <c r="J23" s="1" t="s">
        <v>641</v>
      </c>
      <c r="K23" s="603">
        <f>L22/(1+P14)+M22/(1+P14)^2+N22/(1+P14)^3+O22/(1+P14)^4+P22/P14/(1+P14)^4</f>
        <v>26613.155389287997</v>
      </c>
      <c r="L23" s="603">
        <f>M22/(1+P14)+N22/(1+P14)^2+O22/(1+P14)^3+P22/P14/(1+P14)^3</f>
        <v>27792.970546183289</v>
      </c>
      <c r="M23" s="603">
        <f>N22/(1+P14)+O22/(1+P14)^2+P22/P14/(1+P14)^2</f>
        <v>28761.846599200522</v>
      </c>
      <c r="N23" s="603">
        <f>O22/(1+P14)+P22/P14/(1+P14)</f>
        <v>29693.149712873081</v>
      </c>
      <c r="O23" s="603">
        <f>P22/(1+P14)+P22/P14/(1+P14)</f>
        <v>30506.595533858839</v>
      </c>
      <c r="P23" s="603">
        <f>P22/P14</f>
        <v>30506.595533858843</v>
      </c>
    </row>
    <row r="25" spans="10:25" x14ac:dyDescent="0.3">
      <c r="J25" s="1" t="s">
        <v>616</v>
      </c>
      <c r="K25" s="1">
        <v>12589</v>
      </c>
      <c r="L25" s="602">
        <f>K25-L18+L19+L20</f>
        <v>12895.672139387076</v>
      </c>
      <c r="M25" s="602">
        <f t="shared" ref="M25:P25" si="8">L25-M18+M19+M20</f>
        <v>13225.226870124539</v>
      </c>
      <c r="N25" s="602">
        <f t="shared" si="8"/>
        <v>13755.730748555747</v>
      </c>
      <c r="O25" s="602">
        <f t="shared" si="8"/>
        <v>14371.116204947437</v>
      </c>
      <c r="P25" s="602">
        <f t="shared" si="8"/>
        <v>14371.116204947437</v>
      </c>
    </row>
    <row r="26" spans="10:25" x14ac:dyDescent="0.3">
      <c r="J26" s="1" t="s">
        <v>634</v>
      </c>
      <c r="L26" s="330">
        <f>K25*$P$14</f>
        <v>927.80885250834876</v>
      </c>
      <c r="M26" s="330">
        <f t="shared" ref="M26:P26" si="9">L25*$P$14</f>
        <v>950.4105782801339</v>
      </c>
      <c r="N26" s="330">
        <f t="shared" si="9"/>
        <v>974.69875022105248</v>
      </c>
      <c r="O26" s="330">
        <f t="shared" si="9"/>
        <v>1013.7968672040128</v>
      </c>
      <c r="P26" s="330">
        <f t="shared" si="9"/>
        <v>1059.1507534654395</v>
      </c>
    </row>
    <row r="27" spans="10:25" x14ac:dyDescent="0.3">
      <c r="J27" s="1" t="s">
        <v>618</v>
      </c>
      <c r="L27" s="330">
        <f>L17-L26</f>
        <v>160.43673617627906</v>
      </c>
      <c r="M27" s="330">
        <f t="shared" ref="M27:P27" si="10">M17-M26</f>
        <v>458.60904075812891</v>
      </c>
      <c r="N27" s="330">
        <f t="shared" si="10"/>
        <v>744.24908652309796</v>
      </c>
      <c r="O27" s="330">
        <f t="shared" si="10"/>
        <v>976.52684656075405</v>
      </c>
      <c r="P27" s="330">
        <f t="shared" si="10"/>
        <v>1189.184252985104</v>
      </c>
    </row>
    <row r="28" spans="10:25" x14ac:dyDescent="0.3">
      <c r="J28" s="1" t="s">
        <v>619</v>
      </c>
      <c r="K28" s="311">
        <f>L27/(1+P14)+M27/(1+P14)^2+N27/(1+P14)^3+O27/(1+P14)^4+P27/P14/(1+P14)^4</f>
        <v>14024.155389288006</v>
      </c>
      <c r="L28" s="311"/>
      <c r="M28" s="311"/>
      <c r="N28" s="311"/>
      <c r="O28" s="311"/>
      <c r="P28" s="311"/>
    </row>
    <row r="29" spans="10:25" x14ac:dyDescent="0.3">
      <c r="J29" s="1" t="s">
        <v>621</v>
      </c>
      <c r="K29" s="593">
        <f>K25+K28</f>
        <v>26613.155389288004</v>
      </c>
      <c r="L29" s="593"/>
      <c r="M29" s="593"/>
      <c r="N29" s="593"/>
      <c r="O29" s="593"/>
      <c r="P29" s="59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"/>
  <sheetViews>
    <sheetView topLeftCell="G1" zoomScale="80" zoomScaleNormal="80" workbookViewId="0">
      <selection activeCell="S35" sqref="S35"/>
    </sheetView>
  </sheetViews>
  <sheetFormatPr defaultRowHeight="14.4" x14ac:dyDescent="0.3"/>
  <cols>
    <col min="1" max="1" width="38.21875" style="2" customWidth="1"/>
    <col min="2" max="2" width="15.109375" style="2" customWidth="1"/>
    <col min="3" max="3" width="14.33203125" style="2" customWidth="1"/>
    <col min="4" max="4" width="13.6640625" style="2" customWidth="1"/>
    <col min="5" max="5" width="13.21875" style="2" customWidth="1"/>
    <col min="6" max="6" width="13.77734375" style="2" customWidth="1"/>
    <col min="7" max="7" width="8.88671875" style="2"/>
    <col min="8" max="8" width="11.5546875" style="2" customWidth="1"/>
    <col min="9" max="9" width="39.5546875" style="2" customWidth="1"/>
    <col min="10" max="10" width="11.109375" style="2" customWidth="1"/>
    <col min="11" max="11" width="12.5546875" style="2" customWidth="1"/>
    <col min="12" max="12" width="11.88671875" style="2" customWidth="1"/>
    <col min="13" max="13" width="12.88671875" style="2" customWidth="1"/>
    <col min="14" max="14" width="13" style="2" customWidth="1"/>
    <col min="15" max="16" width="11.6640625" style="2" customWidth="1"/>
    <col min="17" max="17" width="11.77734375" style="2" customWidth="1"/>
    <col min="18" max="18" width="12.77734375" style="2" customWidth="1"/>
    <col min="19" max="19" width="11.77734375" style="2" customWidth="1"/>
    <col min="20" max="21" width="8.88671875" style="2"/>
    <col min="22" max="22" width="35.6640625" style="2" customWidth="1"/>
    <col min="23" max="24" width="15.109375" style="2" customWidth="1"/>
    <col min="25" max="25" width="16.33203125" style="2" customWidth="1"/>
    <col min="26" max="27" width="14.88671875" style="2" customWidth="1"/>
    <col min="28" max="28" width="15.5546875" style="2" customWidth="1"/>
    <col min="29" max="31" width="14.5546875" style="2" customWidth="1"/>
    <col min="32" max="32" width="15.88671875" style="2" customWidth="1"/>
    <col min="33" max="33" width="15.21875" style="2" customWidth="1"/>
    <col min="34" max="34" width="13.33203125" style="2" customWidth="1"/>
    <col min="35" max="35" width="13.109375" style="2" customWidth="1"/>
    <col min="36" max="36" width="12.5546875" style="2" customWidth="1"/>
    <col min="37" max="37" width="8.88671875" style="2"/>
    <col min="38" max="38" width="32.6640625" style="2" customWidth="1"/>
    <col min="39" max="39" width="21.44140625" style="2" customWidth="1"/>
    <col min="40" max="41" width="8.88671875" style="2"/>
    <col min="42" max="42" width="37.109375" style="2" customWidth="1"/>
    <col min="43" max="53" width="8.88671875" style="2"/>
    <col min="54" max="54" width="37.21875" style="2" customWidth="1"/>
    <col min="55" max="16384" width="8.88671875" style="2"/>
  </cols>
  <sheetData>
    <row r="1" spans="1:39" ht="15" thickBot="1" x14ac:dyDescent="0.35">
      <c r="V1" s="837" t="s">
        <v>258</v>
      </c>
      <c r="W1" s="837"/>
      <c r="X1" s="837"/>
      <c r="Y1" s="837"/>
      <c r="Z1" s="837"/>
      <c r="AA1" s="837"/>
      <c r="AB1" s="837"/>
      <c r="AC1" s="837"/>
      <c r="AD1" s="245"/>
      <c r="AE1" s="245"/>
    </row>
    <row r="2" spans="1:39" ht="15" thickBot="1" x14ac:dyDescent="0.35">
      <c r="A2" s="151" t="s">
        <v>123</v>
      </c>
      <c r="B2" s="155">
        <v>2015</v>
      </c>
      <c r="C2" s="155">
        <v>2016</v>
      </c>
      <c r="D2" s="155">
        <v>2017</v>
      </c>
      <c r="E2" s="155">
        <v>2018</v>
      </c>
      <c r="F2" s="155">
        <v>2019</v>
      </c>
      <c r="I2" s="240" t="s">
        <v>231</v>
      </c>
      <c r="J2" s="238">
        <v>2015</v>
      </c>
      <c r="K2" s="238">
        <v>2016</v>
      </c>
      <c r="L2" s="238">
        <v>2017</v>
      </c>
      <c r="M2" s="238">
        <v>2018</v>
      </c>
      <c r="N2" s="238">
        <v>2019</v>
      </c>
      <c r="O2" s="239" t="s">
        <v>46</v>
      </c>
      <c r="P2" s="239" t="s">
        <v>47</v>
      </c>
      <c r="Q2" s="239" t="s">
        <v>48</v>
      </c>
      <c r="R2" s="239" t="s">
        <v>49</v>
      </c>
      <c r="S2" s="239" t="s">
        <v>56</v>
      </c>
      <c r="V2" s="258" t="s">
        <v>231</v>
      </c>
      <c r="W2" s="259" t="s">
        <v>264</v>
      </c>
      <c r="X2" s="259" t="s">
        <v>263</v>
      </c>
      <c r="Y2" s="260" t="s">
        <v>34</v>
      </c>
      <c r="Z2" s="260">
        <v>2018</v>
      </c>
      <c r="AA2" s="260" t="s">
        <v>265</v>
      </c>
      <c r="AB2" s="260" t="s">
        <v>34</v>
      </c>
      <c r="AC2" s="260">
        <v>2019</v>
      </c>
      <c r="AD2" s="261" t="s">
        <v>266</v>
      </c>
      <c r="AE2" s="277" t="s">
        <v>34</v>
      </c>
      <c r="AF2" s="239" t="s">
        <v>46</v>
      </c>
      <c r="AG2" s="239" t="s">
        <v>47</v>
      </c>
      <c r="AH2" s="239" t="s">
        <v>48</v>
      </c>
      <c r="AI2" s="239" t="s">
        <v>49</v>
      </c>
      <c r="AJ2" s="239" t="s">
        <v>56</v>
      </c>
    </row>
    <row r="3" spans="1:39" ht="15" thickBot="1" x14ac:dyDescent="0.35">
      <c r="A3" s="152" t="s">
        <v>124</v>
      </c>
      <c r="B3" s="159">
        <v>673</v>
      </c>
      <c r="C3" s="159">
        <v>625</v>
      </c>
      <c r="D3" s="159">
        <v>860</v>
      </c>
      <c r="E3" s="159">
        <v>732</v>
      </c>
      <c r="F3" s="159">
        <v>1021</v>
      </c>
      <c r="I3" s="125" t="s">
        <v>124</v>
      </c>
      <c r="J3" s="2">
        <v>673</v>
      </c>
      <c r="K3" s="2">
        <v>625</v>
      </c>
      <c r="L3" s="2">
        <v>860</v>
      </c>
      <c r="M3" s="2">
        <v>732</v>
      </c>
      <c r="N3" s="2">
        <v>1021</v>
      </c>
      <c r="V3" s="262" t="s">
        <v>124</v>
      </c>
      <c r="W3" s="255">
        <f>151596*X41</f>
        <v>126218.8296</v>
      </c>
      <c r="X3" s="255">
        <v>126</v>
      </c>
      <c r="Y3" s="247">
        <f>X3/'IS(Forcasted)'!$D$30</f>
        <v>6.5015479876160992E-2</v>
      </c>
      <c r="Z3" s="252">
        <f>285720*$X$42</f>
        <v>249462.13199999998</v>
      </c>
      <c r="AA3" s="252">
        <v>249</v>
      </c>
      <c r="AB3" s="247">
        <f>AA3/'IS(Forcasted)'!$E$30</f>
        <v>0.10591237771161208</v>
      </c>
      <c r="AC3" s="252">
        <f>415462*X43</f>
        <v>381768.0318</v>
      </c>
      <c r="AD3" s="263">
        <v>382</v>
      </c>
      <c r="AE3" s="278">
        <f>AD3/'IS(Forcasted)'!$F$30</f>
        <v>0.18854886475814411</v>
      </c>
    </row>
    <row r="4" spans="1:39" ht="15" thickBot="1" x14ac:dyDescent="0.35">
      <c r="A4" s="152" t="s">
        <v>125</v>
      </c>
      <c r="B4" s="159">
        <v>0</v>
      </c>
      <c r="C4" s="159" t="s">
        <v>76</v>
      </c>
      <c r="D4" s="159" t="s">
        <v>76</v>
      </c>
      <c r="E4" s="159" t="s">
        <v>76</v>
      </c>
      <c r="F4" s="159" t="s">
        <v>76</v>
      </c>
      <c r="I4" s="125" t="s">
        <v>126</v>
      </c>
      <c r="J4" s="2">
        <v>1340</v>
      </c>
      <c r="K4" s="2">
        <v>1615</v>
      </c>
      <c r="L4" s="2">
        <v>1592</v>
      </c>
      <c r="M4" s="2">
        <v>1811</v>
      </c>
      <c r="N4" s="2">
        <v>2758</v>
      </c>
      <c r="V4" s="262" t="s">
        <v>126</v>
      </c>
      <c r="W4" s="123"/>
      <c r="X4" s="123"/>
      <c r="Y4" s="247"/>
      <c r="Z4" s="252">
        <v>0</v>
      </c>
      <c r="AA4" s="252"/>
      <c r="AB4" s="247"/>
      <c r="AC4" s="252">
        <v>0</v>
      </c>
      <c r="AD4" s="263"/>
      <c r="AE4" s="278"/>
    </row>
    <row r="5" spans="1:39" ht="15" thickBot="1" x14ac:dyDescent="0.35">
      <c r="A5" s="152" t="s">
        <v>126</v>
      </c>
      <c r="B5" s="159">
        <v>1340</v>
      </c>
      <c r="C5" s="159">
        <v>1615</v>
      </c>
      <c r="D5" s="159">
        <v>1592</v>
      </c>
      <c r="E5" s="159">
        <v>1811</v>
      </c>
      <c r="F5" s="159">
        <v>2758</v>
      </c>
      <c r="I5" s="125" t="s">
        <v>232</v>
      </c>
      <c r="J5" s="2">
        <v>742</v>
      </c>
      <c r="K5" s="2">
        <v>774</v>
      </c>
      <c r="L5" s="2">
        <v>851</v>
      </c>
      <c r="M5" s="2">
        <v>971</v>
      </c>
      <c r="N5" s="2">
        <v>888</v>
      </c>
      <c r="V5" s="262" t="s">
        <v>232</v>
      </c>
      <c r="W5" s="255">
        <f>295991*X41</f>
        <v>246442.1066</v>
      </c>
      <c r="X5" s="255">
        <v>246</v>
      </c>
      <c r="Y5" s="247">
        <f>X5/'IS(Forcasted)'!$D$30</f>
        <v>0.12693498452012383</v>
      </c>
      <c r="Z5" s="252">
        <f>324274*X42</f>
        <v>283123.62939999998</v>
      </c>
      <c r="AA5" s="252">
        <v>283</v>
      </c>
      <c r="AB5" s="247">
        <f>AA5/'IS(Forcasted)'!$E$30</f>
        <v>0.12037430880476394</v>
      </c>
      <c r="AC5" s="252">
        <f>301755*X43</f>
        <v>277282.66950000002</v>
      </c>
      <c r="AD5" s="263">
        <v>277</v>
      </c>
      <c r="AE5" s="278">
        <f>AD5/'IS(Forcasted)'!$F$30</f>
        <v>0.13672260612043435</v>
      </c>
    </row>
    <row r="6" spans="1:39" ht="15" thickBot="1" x14ac:dyDescent="0.35">
      <c r="A6" s="152" t="s">
        <v>127</v>
      </c>
      <c r="B6" s="159">
        <v>753</v>
      </c>
      <c r="C6" s="159">
        <v>785</v>
      </c>
      <c r="D6" s="159">
        <v>860</v>
      </c>
      <c r="E6" s="159">
        <v>980</v>
      </c>
      <c r="F6" s="159">
        <v>895</v>
      </c>
      <c r="I6" s="125" t="s">
        <v>133</v>
      </c>
      <c r="J6" s="2">
        <v>2</v>
      </c>
      <c r="K6" s="2">
        <v>6</v>
      </c>
      <c r="L6" s="2">
        <v>1240</v>
      </c>
      <c r="M6" s="2">
        <v>52</v>
      </c>
      <c r="N6" s="2">
        <v>83</v>
      </c>
      <c r="V6" s="262" t="s">
        <v>133</v>
      </c>
      <c r="W6" s="255"/>
      <c r="X6" s="255"/>
      <c r="Y6" s="247"/>
      <c r="Z6" s="252">
        <v>0</v>
      </c>
      <c r="AA6" s="252"/>
      <c r="AB6" s="247"/>
      <c r="AC6" s="252">
        <v>0</v>
      </c>
      <c r="AD6" s="263"/>
      <c r="AE6" s="278"/>
      <c r="AL6" s="172" t="s">
        <v>217</v>
      </c>
      <c r="AM6" s="163" t="s">
        <v>216</v>
      </c>
    </row>
    <row r="7" spans="1:39" ht="15" thickBot="1" x14ac:dyDescent="0.35">
      <c r="A7" s="152"/>
      <c r="B7" s="159"/>
      <c r="C7" s="159"/>
      <c r="D7" s="159"/>
      <c r="E7" s="159"/>
      <c r="F7" s="159"/>
      <c r="I7" s="125" t="s">
        <v>139</v>
      </c>
      <c r="J7" s="2">
        <v>0</v>
      </c>
      <c r="K7" s="2">
        <v>0</v>
      </c>
      <c r="L7" s="2">
        <v>0</v>
      </c>
      <c r="M7" s="2">
        <v>0</v>
      </c>
      <c r="N7" s="2">
        <v>91</v>
      </c>
      <c r="V7" s="262" t="s">
        <v>139</v>
      </c>
      <c r="W7" s="255"/>
      <c r="X7" s="255"/>
      <c r="Y7" s="247"/>
      <c r="Z7" s="252">
        <v>0</v>
      </c>
      <c r="AA7" s="252"/>
      <c r="AB7" s="247"/>
      <c r="AC7" s="252">
        <v>0</v>
      </c>
      <c r="AD7" s="263"/>
      <c r="AE7" s="278"/>
      <c r="AL7" s="164" t="s">
        <v>124</v>
      </c>
      <c r="AM7" s="165"/>
    </row>
    <row r="8" spans="1:39" ht="15" thickBot="1" x14ac:dyDescent="0.35">
      <c r="A8" s="152" t="s">
        <v>128</v>
      </c>
      <c r="B8" s="159">
        <v>-11</v>
      </c>
      <c r="C8" s="159">
        <v>-11</v>
      </c>
      <c r="D8" s="159">
        <v>-9</v>
      </c>
      <c r="E8" s="159">
        <v>-9</v>
      </c>
      <c r="F8" s="159">
        <v>-7</v>
      </c>
      <c r="I8" s="125" t="s">
        <v>136</v>
      </c>
      <c r="J8" s="2">
        <v>229</v>
      </c>
      <c r="K8" s="2">
        <v>281</v>
      </c>
      <c r="L8" s="2">
        <v>5</v>
      </c>
      <c r="M8" s="2">
        <v>366</v>
      </c>
      <c r="N8" s="2">
        <v>770</v>
      </c>
      <c r="V8" s="262" t="s">
        <v>136</v>
      </c>
      <c r="W8" s="255">
        <f>103637*X41</f>
        <v>86288.166200000007</v>
      </c>
      <c r="X8" s="255">
        <v>86</v>
      </c>
      <c r="Y8" s="247">
        <f>X8/'IS(Forcasted)'!$D$30</f>
        <v>4.4375644994840042E-2</v>
      </c>
      <c r="Z8" s="252">
        <f>101163*X42</f>
        <v>88325.415299999993</v>
      </c>
      <c r="AA8" s="252">
        <v>88</v>
      </c>
      <c r="AB8" s="247">
        <f>AA8/'IS(Forcasted)'!$E$30</f>
        <v>3.7430880476393022E-2</v>
      </c>
      <c r="AC8" s="252">
        <f>87348*X43</f>
        <v>80264.0772</v>
      </c>
      <c r="AD8" s="263">
        <v>80</v>
      </c>
      <c r="AE8" s="278">
        <f>AD8/'IS(Forcasted)'!$F$30</f>
        <v>3.9486673247778874E-2</v>
      </c>
      <c r="AL8" s="164" t="s">
        <v>127</v>
      </c>
      <c r="AM8" s="166"/>
    </row>
    <row r="9" spans="1:39" ht="15" thickBot="1" x14ac:dyDescent="0.35">
      <c r="A9" s="152"/>
      <c r="B9" s="159"/>
      <c r="C9" s="159"/>
      <c r="D9" s="159"/>
      <c r="E9" s="159"/>
      <c r="F9" s="159"/>
      <c r="I9" s="125" t="s">
        <v>257</v>
      </c>
      <c r="J9" s="2">
        <v>0</v>
      </c>
      <c r="K9" s="2">
        <v>0</v>
      </c>
      <c r="L9" s="2">
        <v>23</v>
      </c>
      <c r="M9" s="2">
        <v>11</v>
      </c>
      <c r="N9" s="2">
        <v>12</v>
      </c>
      <c r="V9" s="262" t="s">
        <v>257</v>
      </c>
      <c r="W9" s="255"/>
      <c r="X9" s="255"/>
      <c r="Y9" s="247"/>
      <c r="Z9" s="252">
        <f>13510*X42</f>
        <v>11795.581</v>
      </c>
      <c r="AA9" s="252">
        <v>12</v>
      </c>
      <c r="AB9" s="247">
        <f>AA9/'IS(Forcasted)'!$E$30</f>
        <v>5.1042109740535944E-3</v>
      </c>
      <c r="AC9" s="252">
        <v>0</v>
      </c>
      <c r="AD9" s="263"/>
      <c r="AE9" s="278">
        <f>AD9/'IS(Forcasted)'!$F$30</f>
        <v>0</v>
      </c>
      <c r="AL9" s="164" t="s">
        <v>269</v>
      </c>
      <c r="AM9" s="167"/>
    </row>
    <row r="10" spans="1:39" ht="15" thickBot="1" x14ac:dyDescent="0.35">
      <c r="A10" s="152" t="s">
        <v>129</v>
      </c>
      <c r="B10" s="159">
        <v>43</v>
      </c>
      <c r="C10" s="159" t="s">
        <v>76</v>
      </c>
      <c r="D10" s="159" t="s">
        <v>76</v>
      </c>
      <c r="E10" s="159" t="s">
        <v>76</v>
      </c>
      <c r="F10" s="159" t="s">
        <v>76</v>
      </c>
      <c r="I10" s="123" t="s">
        <v>256</v>
      </c>
      <c r="J10" s="123">
        <v>1129</v>
      </c>
      <c r="K10" s="123">
        <v>1191</v>
      </c>
      <c r="L10" s="123">
        <v>300</v>
      </c>
      <c r="M10" s="123">
        <v>1480</v>
      </c>
      <c r="N10" s="123">
        <v>1701</v>
      </c>
      <c r="O10" s="123"/>
      <c r="P10" s="123"/>
      <c r="Q10" s="123"/>
      <c r="R10" s="123"/>
      <c r="S10" s="123"/>
      <c r="V10" s="246" t="s">
        <v>256</v>
      </c>
      <c r="W10" s="255">
        <f>272127*X41</f>
        <v>226572.94020000001</v>
      </c>
      <c r="X10" s="255">
        <v>227</v>
      </c>
      <c r="Y10" s="247">
        <f>X10/'IS(Forcasted)'!$D$30</f>
        <v>0.11713106295149639</v>
      </c>
      <c r="Z10" s="252">
        <f>292093*X42</f>
        <v>255026.3983</v>
      </c>
      <c r="AA10" s="252">
        <v>255</v>
      </c>
      <c r="AB10" s="247">
        <f>AA10/'IS(Forcasted)'!$E$30</f>
        <v>0.10846448319863888</v>
      </c>
      <c r="AC10" s="252">
        <f>297904*X43</f>
        <v>273743.98560000001</v>
      </c>
      <c r="AD10" s="263">
        <v>274</v>
      </c>
      <c r="AE10" s="278">
        <f>AD10/'IS(Forcasted)'!$F$30</f>
        <v>0.13524185587364265</v>
      </c>
      <c r="AL10" s="164" t="s">
        <v>234</v>
      </c>
      <c r="AM10" s="168"/>
    </row>
    <row r="11" spans="1:39" ht="15" thickBot="1" x14ac:dyDescent="0.35">
      <c r="A11" s="152" t="s">
        <v>130</v>
      </c>
      <c r="B11" s="159">
        <v>98</v>
      </c>
      <c r="C11" s="159">
        <v>111</v>
      </c>
      <c r="D11" s="159">
        <v>131</v>
      </c>
      <c r="E11" s="159">
        <v>166</v>
      </c>
      <c r="F11" s="159">
        <v>205</v>
      </c>
      <c r="I11" s="241" t="s">
        <v>233</v>
      </c>
      <c r="J11" s="243">
        <f>SUM(J3:J10)</f>
        <v>4115</v>
      </c>
      <c r="K11" s="243">
        <f t="shared" ref="K11:S11" si="0">SUM(K3:K10)</f>
        <v>4492</v>
      </c>
      <c r="L11" s="243">
        <f t="shared" si="0"/>
        <v>4871</v>
      </c>
      <c r="M11" s="243">
        <f t="shared" si="0"/>
        <v>5423</v>
      </c>
      <c r="N11" s="243">
        <f t="shared" si="0"/>
        <v>7324</v>
      </c>
      <c r="O11" s="243">
        <f t="shared" si="0"/>
        <v>0</v>
      </c>
      <c r="P11" s="243">
        <f t="shared" si="0"/>
        <v>0</v>
      </c>
      <c r="Q11" s="243">
        <f t="shared" si="0"/>
        <v>0</v>
      </c>
      <c r="R11" s="243">
        <f t="shared" si="0"/>
        <v>0</v>
      </c>
      <c r="S11" s="243">
        <f t="shared" si="0"/>
        <v>0</v>
      </c>
      <c r="V11" s="264" t="s">
        <v>233</v>
      </c>
      <c r="W11" s="251">
        <f>W10+W8+W5+W3</f>
        <v>685522.04260000004</v>
      </c>
      <c r="X11" s="251"/>
      <c r="Y11" s="257"/>
      <c r="Z11" s="253">
        <f>SUM(Z3:Z10)</f>
        <v>887733.15599999996</v>
      </c>
      <c r="AA11" s="253">
        <v>888</v>
      </c>
      <c r="AB11" s="257"/>
      <c r="AC11" s="253">
        <f>SUM(AC3:AC10)</f>
        <v>1013058.7641</v>
      </c>
      <c r="AD11" s="265">
        <v>1013</v>
      </c>
      <c r="AE11" s="278"/>
      <c r="AL11" s="164" t="s">
        <v>136</v>
      </c>
      <c r="AM11" s="167"/>
    </row>
    <row r="12" spans="1:39" ht="15" thickBot="1" x14ac:dyDescent="0.35">
      <c r="A12" s="152" t="s">
        <v>131</v>
      </c>
      <c r="B12" s="159">
        <v>649</v>
      </c>
      <c r="C12" s="159">
        <v>701</v>
      </c>
      <c r="D12" s="159">
        <v>749</v>
      </c>
      <c r="E12" s="159">
        <v>895</v>
      </c>
      <c r="F12" s="159">
        <v>1093</v>
      </c>
      <c r="G12" s="194"/>
      <c r="I12" s="2" t="s">
        <v>235</v>
      </c>
      <c r="J12" s="2">
        <v>2093</v>
      </c>
      <c r="K12" s="2">
        <v>2119</v>
      </c>
      <c r="L12" s="2">
        <v>2659</v>
      </c>
      <c r="M12" s="2">
        <v>3038</v>
      </c>
      <c r="N12" s="2">
        <v>3510</v>
      </c>
      <c r="V12" s="246" t="s">
        <v>235</v>
      </c>
      <c r="W12" s="255">
        <f>289554*X41</f>
        <v>241082.66039999999</v>
      </c>
      <c r="X12" s="255">
        <v>241</v>
      </c>
      <c r="Y12" s="247"/>
      <c r="Z12" s="252">
        <f>282986*X42</f>
        <v>247075.0766</v>
      </c>
      <c r="AA12" s="252">
        <v>247</v>
      </c>
      <c r="AB12" s="247"/>
      <c r="AC12" s="252">
        <f>258748*X43</f>
        <v>237763.53720000002</v>
      </c>
      <c r="AD12" s="263">
        <v>238</v>
      </c>
      <c r="AE12" s="278"/>
      <c r="AL12" s="164" t="s">
        <v>138</v>
      </c>
      <c r="AM12" s="167"/>
    </row>
    <row r="13" spans="1:39" ht="15" thickBot="1" x14ac:dyDescent="0.35">
      <c r="A13" s="152" t="s">
        <v>132</v>
      </c>
      <c r="B13" s="159">
        <v>382</v>
      </c>
      <c r="C13" s="159">
        <v>379</v>
      </c>
      <c r="D13" s="159">
        <v>360</v>
      </c>
      <c r="E13" s="159">
        <v>419</v>
      </c>
      <c r="F13" s="159">
        <v>403</v>
      </c>
      <c r="H13" s="194"/>
      <c r="I13" s="2" t="s">
        <v>236</v>
      </c>
      <c r="J13" s="2">
        <v>1738</v>
      </c>
      <c r="K13" s="2">
        <v>1656</v>
      </c>
      <c r="L13" s="2">
        <v>1586</v>
      </c>
      <c r="M13" s="2">
        <v>1596</v>
      </c>
      <c r="N13" s="2">
        <v>1805</v>
      </c>
      <c r="V13" s="246" t="s">
        <v>259</v>
      </c>
      <c r="W13" s="255"/>
      <c r="X13" s="255"/>
      <c r="Y13" s="247"/>
      <c r="Z13" s="252">
        <v>0</v>
      </c>
      <c r="AA13" s="252"/>
      <c r="AB13" s="247"/>
      <c r="AC13" s="252">
        <f>42941*X43</f>
        <v>39458.484900000003</v>
      </c>
      <c r="AD13" s="263">
        <v>39</v>
      </c>
      <c r="AE13" s="278"/>
      <c r="AL13" s="169"/>
      <c r="AM13" s="171"/>
    </row>
    <row r="14" spans="1:39" ht="15" thickBot="1" x14ac:dyDescent="0.35">
      <c r="A14" s="152" t="s">
        <v>133</v>
      </c>
      <c r="B14" s="159">
        <v>2</v>
      </c>
      <c r="C14" s="159">
        <v>6</v>
      </c>
      <c r="D14" s="159">
        <v>5</v>
      </c>
      <c r="E14" s="159">
        <v>52</v>
      </c>
      <c r="F14" s="159">
        <v>83</v>
      </c>
      <c r="I14" s="2" t="s">
        <v>241</v>
      </c>
      <c r="J14" s="2">
        <v>33</v>
      </c>
      <c r="K14" s="2">
        <v>32</v>
      </c>
      <c r="L14" s="2">
        <v>28</v>
      </c>
      <c r="M14" s="2">
        <v>37</v>
      </c>
      <c r="N14" s="2">
        <v>29</v>
      </c>
      <c r="V14" s="246" t="s">
        <v>236</v>
      </c>
      <c r="W14" s="255">
        <f>1439472*X41</f>
        <v>1198504.3872</v>
      </c>
      <c r="X14" s="255">
        <v>1199</v>
      </c>
      <c r="Y14" s="247"/>
      <c r="Z14" s="252">
        <f>1373750*X42</f>
        <v>1199421.125</v>
      </c>
      <c r="AA14" s="252">
        <v>120</v>
      </c>
      <c r="AB14" s="247"/>
      <c r="AC14" s="252">
        <f>1373750*X43</f>
        <v>1262338.875</v>
      </c>
      <c r="AD14" s="263">
        <v>1262</v>
      </c>
      <c r="AE14" s="278"/>
      <c r="AL14" s="173" t="s">
        <v>218</v>
      </c>
      <c r="AM14" s="163" t="s">
        <v>216</v>
      </c>
    </row>
    <row r="15" spans="1:39" ht="15" thickBot="1" x14ac:dyDescent="0.35">
      <c r="A15" s="152" t="s">
        <v>134</v>
      </c>
      <c r="B15" s="159">
        <v>98</v>
      </c>
      <c r="C15" s="159" t="s">
        <v>76</v>
      </c>
      <c r="D15" s="159" t="s">
        <v>76</v>
      </c>
      <c r="E15" s="159" t="s">
        <v>76</v>
      </c>
      <c r="F15" s="159" t="s">
        <v>76</v>
      </c>
      <c r="I15" s="2" t="s">
        <v>237</v>
      </c>
      <c r="J15" s="2">
        <v>3</v>
      </c>
      <c r="K15" s="2">
        <v>3</v>
      </c>
      <c r="L15" s="2">
        <v>0</v>
      </c>
      <c r="M15" s="2">
        <v>0</v>
      </c>
      <c r="V15" s="246" t="s">
        <v>260</v>
      </c>
      <c r="W15" s="255">
        <f>715120*X41</f>
        <v>595408.91200000001</v>
      </c>
      <c r="X15" s="255">
        <v>595</v>
      </c>
      <c r="Y15" s="247"/>
      <c r="Z15" s="252">
        <f>490590*X42</f>
        <v>428334.12900000002</v>
      </c>
      <c r="AA15" s="252">
        <v>428</v>
      </c>
      <c r="AB15" s="247"/>
      <c r="AC15" s="252">
        <f>283183*X43</f>
        <v>260216.85870000001</v>
      </c>
      <c r="AD15" s="263">
        <v>260</v>
      </c>
      <c r="AE15" s="278"/>
      <c r="AL15" s="164" t="s">
        <v>175</v>
      </c>
      <c r="AM15" s="167"/>
    </row>
    <row r="16" spans="1:39" ht="15" thickBot="1" x14ac:dyDescent="0.35">
      <c r="A16" s="152" t="s">
        <v>135</v>
      </c>
      <c r="B16" s="159">
        <v>53</v>
      </c>
      <c r="C16" s="159" t="s">
        <v>76</v>
      </c>
      <c r="D16" s="159" t="s">
        <v>76</v>
      </c>
      <c r="E16" s="159" t="s">
        <v>76</v>
      </c>
      <c r="F16" s="159" t="s">
        <v>76</v>
      </c>
      <c r="I16" s="2" t="s">
        <v>238</v>
      </c>
      <c r="J16" s="2">
        <v>604</v>
      </c>
      <c r="K16" s="2">
        <v>623</v>
      </c>
      <c r="L16" s="2">
        <v>612</v>
      </c>
      <c r="M16" s="2">
        <v>648</v>
      </c>
      <c r="N16" s="2">
        <v>599</v>
      </c>
      <c r="V16" s="246" t="s">
        <v>261</v>
      </c>
      <c r="W16" s="255">
        <f>122514*X41</f>
        <v>102005.15640000001</v>
      </c>
      <c r="X16" s="255">
        <v>102</v>
      </c>
      <c r="Y16" s="247"/>
      <c r="Z16" s="252">
        <f>65145*X42</f>
        <v>56878.099499999997</v>
      </c>
      <c r="AA16" s="252">
        <v>57</v>
      </c>
      <c r="AB16" s="247"/>
      <c r="AC16" s="252">
        <f>31644*X43</f>
        <v>29077.671600000001</v>
      </c>
      <c r="AD16" s="263">
        <v>29</v>
      </c>
      <c r="AE16" s="278"/>
      <c r="AL16" s="164" t="s">
        <v>219</v>
      </c>
      <c r="AM16" s="166"/>
    </row>
    <row r="17" spans="1:39" ht="15" thickBot="1" x14ac:dyDescent="0.35">
      <c r="A17" s="152" t="s">
        <v>136</v>
      </c>
      <c r="B17" s="159">
        <v>34</v>
      </c>
      <c r="C17" s="159" t="s">
        <v>76</v>
      </c>
      <c r="D17" s="159" t="s">
        <v>76</v>
      </c>
      <c r="E17" s="159" t="s">
        <v>76</v>
      </c>
      <c r="F17" s="159" t="s">
        <v>76</v>
      </c>
      <c r="I17" s="2" t="s">
        <v>239</v>
      </c>
      <c r="J17" s="2">
        <v>155</v>
      </c>
      <c r="K17" s="2">
        <v>162</v>
      </c>
      <c r="L17" s="2">
        <v>189</v>
      </c>
      <c r="M17" s="2">
        <v>137</v>
      </c>
      <c r="N17" s="2">
        <v>145</v>
      </c>
      <c r="V17" s="246" t="s">
        <v>238</v>
      </c>
      <c r="W17" s="255"/>
      <c r="X17" s="255"/>
      <c r="Y17" s="247"/>
      <c r="Z17" s="252">
        <f>339679*X42</f>
        <v>296573.73489999998</v>
      </c>
      <c r="AA17" s="252">
        <v>297</v>
      </c>
      <c r="AB17" s="247"/>
      <c r="AC17" s="252">
        <f>348622*X43</f>
        <v>320348.75580000004</v>
      </c>
      <c r="AD17" s="263">
        <v>320</v>
      </c>
      <c r="AE17" s="278"/>
      <c r="AL17" s="169"/>
      <c r="AM17" s="170"/>
    </row>
    <row r="18" spans="1:39" ht="15" thickBot="1" x14ac:dyDescent="0.35">
      <c r="A18" s="152" t="s">
        <v>137</v>
      </c>
      <c r="B18" s="159">
        <v>1</v>
      </c>
      <c r="C18" s="159" t="s">
        <v>76</v>
      </c>
      <c r="D18" s="159" t="s">
        <v>76</v>
      </c>
      <c r="E18" s="159" t="s">
        <v>76</v>
      </c>
      <c r="F18" s="159" t="s">
        <v>76</v>
      </c>
      <c r="I18" s="241" t="s">
        <v>240</v>
      </c>
      <c r="J18" s="242">
        <f>SUM(J12:J17)</f>
        <v>4626</v>
      </c>
      <c r="K18" s="242">
        <f t="shared" ref="K18:S18" si="1">SUM(K12:K17)</f>
        <v>4595</v>
      </c>
      <c r="L18" s="242">
        <f t="shared" si="1"/>
        <v>5074</v>
      </c>
      <c r="M18" s="242">
        <f t="shared" si="1"/>
        <v>5456</v>
      </c>
      <c r="N18" s="242">
        <f t="shared" si="1"/>
        <v>6088</v>
      </c>
      <c r="O18" s="242">
        <f t="shared" si="1"/>
        <v>0</v>
      </c>
      <c r="P18" s="242">
        <f t="shared" si="1"/>
        <v>0</v>
      </c>
      <c r="Q18" s="242">
        <f t="shared" si="1"/>
        <v>0</v>
      </c>
      <c r="R18" s="242">
        <f t="shared" si="1"/>
        <v>0</v>
      </c>
      <c r="S18" s="242">
        <f t="shared" si="1"/>
        <v>0</v>
      </c>
      <c r="V18" s="246" t="s">
        <v>239</v>
      </c>
      <c r="W18" s="255">
        <f>147039*X41</f>
        <v>122424.67140000001</v>
      </c>
      <c r="X18" s="255">
        <v>122</v>
      </c>
      <c r="Y18" s="247"/>
      <c r="Z18" s="252">
        <f>124305*X42</f>
        <v>108530.6955</v>
      </c>
      <c r="AA18" s="252">
        <v>109</v>
      </c>
      <c r="AB18" s="247"/>
      <c r="AC18" s="252">
        <f>114757*X43</f>
        <v>105450.20730000001</v>
      </c>
      <c r="AD18" s="263">
        <v>105</v>
      </c>
      <c r="AE18" s="278"/>
    </row>
    <row r="19" spans="1:39" ht="15" thickBot="1" x14ac:dyDescent="0.35">
      <c r="A19" s="152" t="s">
        <v>136</v>
      </c>
      <c r="B19" s="159" t="s">
        <v>76</v>
      </c>
      <c r="C19" s="159">
        <v>281</v>
      </c>
      <c r="D19" s="159">
        <v>300</v>
      </c>
      <c r="E19" s="159">
        <v>366</v>
      </c>
      <c r="F19" s="159">
        <v>770</v>
      </c>
      <c r="I19" s="244" t="s">
        <v>171</v>
      </c>
      <c r="J19" s="244">
        <f>J11+J18</f>
        <v>8741</v>
      </c>
      <c r="K19" s="244">
        <f t="shared" ref="K19:S19" si="2">K11+K18</f>
        <v>9087</v>
      </c>
      <c r="L19" s="244">
        <f t="shared" si="2"/>
        <v>9945</v>
      </c>
      <c r="M19" s="244">
        <f t="shared" si="2"/>
        <v>10879</v>
      </c>
      <c r="N19" s="244">
        <f t="shared" si="2"/>
        <v>13412</v>
      </c>
      <c r="O19" s="244">
        <f t="shared" si="2"/>
        <v>0</v>
      </c>
      <c r="P19" s="244">
        <f t="shared" si="2"/>
        <v>0</v>
      </c>
      <c r="Q19" s="244">
        <f t="shared" si="2"/>
        <v>0</v>
      </c>
      <c r="R19" s="244">
        <f t="shared" si="2"/>
        <v>0</v>
      </c>
      <c r="S19" s="244">
        <f t="shared" si="2"/>
        <v>0</v>
      </c>
      <c r="V19" s="264" t="s">
        <v>240</v>
      </c>
      <c r="W19" s="251">
        <f>SUM(W12:W18)</f>
        <v>2259425.7873999998</v>
      </c>
      <c r="X19" s="251">
        <v>2259</v>
      </c>
      <c r="Y19" s="257"/>
      <c r="Z19" s="253">
        <f>SUM(Z12:Z18)</f>
        <v>2336812.8605</v>
      </c>
      <c r="AA19" s="253">
        <v>2337</v>
      </c>
      <c r="AB19" s="257"/>
      <c r="AC19" s="253">
        <f>SUM(AC12:AC18)</f>
        <v>2254654.3904999997</v>
      </c>
      <c r="AD19" s="265">
        <v>2255</v>
      </c>
      <c r="AE19" s="278"/>
      <c r="AG19" s="44"/>
      <c r="AH19" s="250"/>
    </row>
    <row r="20" spans="1:39" ht="15" thickBot="1" x14ac:dyDescent="0.35">
      <c r="A20" s="152" t="s">
        <v>138</v>
      </c>
      <c r="B20" s="159" t="s">
        <v>76</v>
      </c>
      <c r="C20" s="159" t="s">
        <v>76</v>
      </c>
      <c r="D20" s="159">
        <v>23</v>
      </c>
      <c r="E20" s="159">
        <v>11</v>
      </c>
      <c r="F20" s="159">
        <v>12</v>
      </c>
      <c r="H20" s="2">
        <f>(K12-J12)+'Cashflow Statement'!C5</f>
        <v>859</v>
      </c>
      <c r="I20" s="58" t="s">
        <v>242</v>
      </c>
      <c r="V20" s="266" t="s">
        <v>171</v>
      </c>
      <c r="W20" s="256">
        <f>SUM(W11,W19)</f>
        <v>2944947.83</v>
      </c>
      <c r="X20" s="256">
        <v>2945</v>
      </c>
      <c r="Y20" s="247"/>
      <c r="Z20" s="254">
        <f>Z11+Z19</f>
        <v>3224546.0164999999</v>
      </c>
      <c r="AA20" s="254">
        <v>3225</v>
      </c>
      <c r="AB20" s="247"/>
      <c r="AC20" s="254">
        <f>SUM(AC11,AC19)</f>
        <v>3267713.1546</v>
      </c>
      <c r="AD20" s="267">
        <v>3268</v>
      </c>
      <c r="AE20" s="278"/>
    </row>
    <row r="21" spans="1:39" x14ac:dyDescent="0.3">
      <c r="A21" s="152" t="s">
        <v>139</v>
      </c>
      <c r="B21" s="159" t="s">
        <v>76</v>
      </c>
      <c r="C21" s="159" t="s">
        <v>76</v>
      </c>
      <c r="D21" s="159" t="s">
        <v>76</v>
      </c>
      <c r="E21" s="159" t="s">
        <v>76</v>
      </c>
      <c r="F21" s="159">
        <v>91</v>
      </c>
      <c r="I21" s="2" t="s">
        <v>243</v>
      </c>
      <c r="J21" s="2">
        <v>33</v>
      </c>
      <c r="K21" s="2">
        <v>17</v>
      </c>
      <c r="L21" s="2">
        <v>323</v>
      </c>
      <c r="M21" s="2">
        <v>25</v>
      </c>
      <c r="N21" s="2">
        <v>22</v>
      </c>
      <c r="V21" s="268" t="s">
        <v>242</v>
      </c>
      <c r="W21" s="123"/>
      <c r="X21" s="123"/>
      <c r="Y21" s="247"/>
      <c r="Z21" s="248"/>
      <c r="AA21" s="248"/>
      <c r="AB21" s="247"/>
      <c r="AC21" s="252"/>
      <c r="AD21" s="263"/>
      <c r="AE21" s="278"/>
    </row>
    <row r="22" spans="1:39" ht="15" thickBot="1" x14ac:dyDescent="0.35">
      <c r="A22" s="157" t="s">
        <v>140</v>
      </c>
      <c r="B22" s="160">
        <v>4115</v>
      </c>
      <c r="C22" s="160">
        <v>4492</v>
      </c>
      <c r="D22" s="160">
        <v>4871</v>
      </c>
      <c r="E22" s="160">
        <v>5423</v>
      </c>
      <c r="F22" s="160">
        <v>7324</v>
      </c>
      <c r="I22" s="2" t="s">
        <v>244</v>
      </c>
      <c r="J22" s="2">
        <v>802</v>
      </c>
      <c r="K22" s="2">
        <v>857</v>
      </c>
      <c r="L22" s="2">
        <v>1020</v>
      </c>
      <c r="M22" s="2">
        <v>1181</v>
      </c>
      <c r="N22" s="2">
        <v>1089</v>
      </c>
      <c r="V22" s="246" t="s">
        <v>262</v>
      </c>
      <c r="W22" s="255">
        <f>79275*X41</f>
        <v>66004.365000000005</v>
      </c>
      <c r="X22" s="255">
        <v>66</v>
      </c>
      <c r="Y22" s="247">
        <f>X22/'IS(Forcasted)'!$D$30</f>
        <v>3.4055727554179564E-2</v>
      </c>
      <c r="Z22" s="252">
        <f>61994*X42</f>
        <v>54126.9614</v>
      </c>
      <c r="AA22" s="252">
        <v>54</v>
      </c>
      <c r="AB22" s="247">
        <f>AA22/'IS(Forcasted)'!$E$30</f>
        <v>2.2968949383241174E-2</v>
      </c>
      <c r="AC22" s="252">
        <f>54245*X43</f>
        <v>49845.730500000005</v>
      </c>
      <c r="AD22" s="263">
        <v>49.8</v>
      </c>
      <c r="AE22" s="278">
        <f>AD22/'IS(Forcasted)'!$F$30</f>
        <v>2.4580454096742348E-2</v>
      </c>
    </row>
    <row r="23" spans="1:39" ht="15" thickBot="1" x14ac:dyDescent="0.35">
      <c r="A23" s="154"/>
      <c r="B23" s="154"/>
      <c r="C23" s="154"/>
      <c r="D23" s="154"/>
      <c r="E23" s="154"/>
      <c r="F23" s="154"/>
      <c r="I23" s="2" t="s">
        <v>253</v>
      </c>
      <c r="J23" s="2">
        <v>402</v>
      </c>
      <c r="K23" s="2">
        <v>327</v>
      </c>
      <c r="L23" s="2">
        <v>422</v>
      </c>
      <c r="M23" s="2">
        <v>590</v>
      </c>
      <c r="N23" s="2">
        <v>383</v>
      </c>
      <c r="V23" s="246" t="s">
        <v>244</v>
      </c>
      <c r="W23" s="255">
        <f>213101*X41</f>
        <v>177427.89259999999</v>
      </c>
      <c r="X23" s="255">
        <v>177</v>
      </c>
      <c r="Y23" s="247">
        <f>X23/'IS(Forcasted)'!$D$30</f>
        <v>9.1331269349845201E-2</v>
      </c>
      <c r="Z23" s="252">
        <f>210715*X42</f>
        <v>183975.2665</v>
      </c>
      <c r="AA23" s="252">
        <v>184</v>
      </c>
      <c r="AB23" s="247">
        <f>AA23/'IS(Forcasted)'!$E$30</f>
        <v>7.8264568268821777E-2</v>
      </c>
      <c r="AC23" s="252">
        <f>151393*X43</f>
        <v>139115.02770000001</v>
      </c>
      <c r="AD23" s="263">
        <v>139.1</v>
      </c>
      <c r="AE23" s="278">
        <f>AD23/'IS(Forcasted)'!$F$30</f>
        <v>6.8657453109575509E-2</v>
      </c>
    </row>
    <row r="24" spans="1:39" ht="15" thickBot="1" x14ac:dyDescent="0.35">
      <c r="A24" s="152" t="s">
        <v>141</v>
      </c>
      <c r="B24" s="159">
        <v>419</v>
      </c>
      <c r="C24" s="159">
        <v>517</v>
      </c>
      <c r="D24" s="159">
        <v>643</v>
      </c>
      <c r="E24" s="159">
        <v>769</v>
      </c>
      <c r="F24" s="159">
        <v>894</v>
      </c>
      <c r="I24" s="2" t="s">
        <v>252</v>
      </c>
      <c r="J24" s="2">
        <v>123</v>
      </c>
      <c r="K24" s="2">
        <v>120</v>
      </c>
      <c r="L24" s="2">
        <v>103</v>
      </c>
      <c r="M24" s="2">
        <v>117</v>
      </c>
      <c r="N24" s="2">
        <v>144</v>
      </c>
      <c r="V24" s="246" t="s">
        <v>253</v>
      </c>
      <c r="W24" s="255"/>
      <c r="X24" s="255"/>
      <c r="Y24" s="247"/>
      <c r="Z24" s="252"/>
      <c r="AA24" s="252"/>
      <c r="AB24" s="247"/>
      <c r="AC24" s="252"/>
      <c r="AD24" s="263"/>
      <c r="AE24" s="278"/>
      <c r="AG24" s="44"/>
    </row>
    <row r="25" spans="1:39" ht="15" thickBot="1" x14ac:dyDescent="0.35">
      <c r="A25" s="152" t="s">
        <v>142</v>
      </c>
      <c r="B25" s="159">
        <v>395</v>
      </c>
      <c r="C25" s="159">
        <v>396</v>
      </c>
      <c r="D25" s="159">
        <v>392</v>
      </c>
      <c r="E25" s="159">
        <v>396</v>
      </c>
      <c r="F25" s="159">
        <v>406</v>
      </c>
      <c r="I25" s="2" t="s">
        <v>254</v>
      </c>
      <c r="J25" s="123">
        <v>225</v>
      </c>
      <c r="K25" s="123">
        <v>209</v>
      </c>
      <c r="L25" s="123">
        <v>230</v>
      </c>
      <c r="M25" s="123">
        <v>269</v>
      </c>
      <c r="N25" s="123">
        <v>406</v>
      </c>
      <c r="O25" s="123"/>
      <c r="P25" s="123"/>
      <c r="Q25" s="123"/>
      <c r="R25" s="123"/>
      <c r="S25" s="123"/>
      <c r="V25" s="246" t="s">
        <v>254</v>
      </c>
      <c r="W25" s="255">
        <f>143485*X41</f>
        <v>119465.611</v>
      </c>
      <c r="X25" s="255">
        <v>119</v>
      </c>
      <c r="Y25" s="247">
        <f>X25/'IS(Forcasted)'!$D$30</f>
        <v>6.1403508771929821E-2</v>
      </c>
      <c r="Z25" s="252">
        <f>138064*X42</f>
        <v>120543.6784</v>
      </c>
      <c r="AA25" s="252">
        <v>121</v>
      </c>
      <c r="AB25" s="247">
        <f>AA25/'IS(Forcasted)'!$E$30</f>
        <v>5.146746065504041E-2</v>
      </c>
      <c r="AC25" s="252">
        <f>124164*X43</f>
        <v>114094.29960000001</v>
      </c>
      <c r="AD25" s="263">
        <v>114</v>
      </c>
      <c r="AE25" s="278">
        <f>AD25/'IS(Forcasted)'!$F$30</f>
        <v>5.6268509378084898E-2</v>
      </c>
    </row>
    <row r="26" spans="1:39" ht="15" thickBot="1" x14ac:dyDescent="0.35">
      <c r="A26" s="152" t="s">
        <v>143</v>
      </c>
      <c r="B26" s="159">
        <v>294</v>
      </c>
      <c r="C26" s="159">
        <v>283</v>
      </c>
      <c r="D26" s="159">
        <v>275</v>
      </c>
      <c r="E26" s="159">
        <v>288</v>
      </c>
      <c r="F26" s="159">
        <v>338</v>
      </c>
      <c r="I26" s="241" t="s">
        <v>245</v>
      </c>
      <c r="J26" s="242">
        <f>SUM(J21:J25)</f>
        <v>1585</v>
      </c>
      <c r="K26" s="242">
        <f t="shared" ref="K26:S26" si="3">SUM(K21:K25)</f>
        <v>1530</v>
      </c>
      <c r="L26" s="242">
        <f t="shared" si="3"/>
        <v>2098</v>
      </c>
      <c r="M26" s="242">
        <f t="shared" si="3"/>
        <v>2182</v>
      </c>
      <c r="N26" s="242">
        <f t="shared" si="3"/>
        <v>2044</v>
      </c>
      <c r="O26" s="242">
        <f t="shared" si="3"/>
        <v>0</v>
      </c>
      <c r="P26" s="242">
        <f t="shared" si="3"/>
        <v>0</v>
      </c>
      <c r="Q26" s="242">
        <f t="shared" si="3"/>
        <v>0</v>
      </c>
      <c r="R26" s="242">
        <f t="shared" si="3"/>
        <v>0</v>
      </c>
      <c r="S26" s="242">
        <f t="shared" si="3"/>
        <v>0</v>
      </c>
      <c r="V26" s="264" t="s">
        <v>245</v>
      </c>
      <c r="W26" s="251"/>
      <c r="X26" s="251"/>
      <c r="Y26" s="249"/>
      <c r="Z26" s="253"/>
      <c r="AA26" s="253"/>
      <c r="AB26" s="249"/>
      <c r="AC26" s="253"/>
      <c r="AD26" s="265"/>
      <c r="AE26" s="279"/>
    </row>
    <row r="27" spans="1:39" ht="15" thickBot="1" x14ac:dyDescent="0.35">
      <c r="A27" s="152" t="s">
        <v>144</v>
      </c>
      <c r="B27" s="159">
        <v>201</v>
      </c>
      <c r="C27" s="159">
        <v>212</v>
      </c>
      <c r="D27" s="159">
        <v>219</v>
      </c>
      <c r="E27" s="159">
        <v>227</v>
      </c>
      <c r="F27" s="159">
        <v>260</v>
      </c>
      <c r="I27" s="2" t="s">
        <v>246</v>
      </c>
      <c r="J27" s="2">
        <v>1760</v>
      </c>
      <c r="K27" s="2">
        <v>1752</v>
      </c>
      <c r="L27" s="2">
        <v>1511</v>
      </c>
      <c r="M27" s="2">
        <v>1507</v>
      </c>
      <c r="N27" s="2">
        <v>1534</v>
      </c>
      <c r="V27" s="246" t="s">
        <v>246</v>
      </c>
      <c r="W27" s="255"/>
      <c r="X27" s="255"/>
      <c r="Y27" s="248"/>
      <c r="Z27" s="252">
        <f>874235*X42</f>
        <v>763294.57849999995</v>
      </c>
      <c r="AA27" s="252">
        <v>763</v>
      </c>
      <c r="AB27" s="248"/>
      <c r="AC27" s="252">
        <f>712808*X43</f>
        <v>654999.27120000008</v>
      </c>
      <c r="AD27" s="263">
        <v>655</v>
      </c>
      <c r="AE27" s="279"/>
    </row>
    <row r="28" spans="1:39" ht="15" thickBot="1" x14ac:dyDescent="0.35">
      <c r="A28" s="152" t="s">
        <v>145</v>
      </c>
      <c r="B28" s="159">
        <v>18</v>
      </c>
      <c r="C28" s="159">
        <v>18</v>
      </c>
      <c r="D28" s="159">
        <v>18</v>
      </c>
      <c r="E28" s="159">
        <v>18</v>
      </c>
      <c r="F28" s="159">
        <v>18</v>
      </c>
      <c r="I28" s="2" t="s">
        <v>247</v>
      </c>
      <c r="J28" s="2">
        <v>426</v>
      </c>
      <c r="K28" s="2">
        <v>604</v>
      </c>
      <c r="L28" s="2">
        <v>503</v>
      </c>
      <c r="M28" s="2">
        <v>552</v>
      </c>
      <c r="N28" s="2">
        <v>733</v>
      </c>
      <c r="V28" s="246" t="s">
        <v>247</v>
      </c>
      <c r="W28" s="255"/>
      <c r="X28" s="255"/>
      <c r="Y28" s="248"/>
      <c r="Z28" s="252"/>
      <c r="AA28" s="252"/>
      <c r="AB28" s="248"/>
      <c r="AC28" s="252"/>
      <c r="AD28" s="263"/>
      <c r="AE28" s="279"/>
    </row>
    <row r="29" spans="1:39" ht="15" thickBot="1" x14ac:dyDescent="0.35">
      <c r="A29" s="152" t="s">
        <v>146</v>
      </c>
      <c r="B29" s="159">
        <v>-159</v>
      </c>
      <c r="C29" s="159">
        <v>-205</v>
      </c>
      <c r="D29" s="159">
        <v>-247</v>
      </c>
      <c r="E29" s="159">
        <v>-294</v>
      </c>
      <c r="F29" s="159">
        <v>-351</v>
      </c>
      <c r="I29" s="2" t="s">
        <v>248</v>
      </c>
      <c r="J29" s="2">
        <v>147</v>
      </c>
      <c r="K29" s="2">
        <v>10</v>
      </c>
      <c r="L29" s="2">
        <v>18</v>
      </c>
      <c r="M29" s="2">
        <v>9</v>
      </c>
      <c r="N29" s="2">
        <v>20</v>
      </c>
      <c r="V29" s="246" t="s">
        <v>248</v>
      </c>
      <c r="W29" s="255"/>
      <c r="X29" s="255"/>
      <c r="Y29" s="248"/>
      <c r="Z29" s="252"/>
      <c r="AA29" s="252"/>
      <c r="AB29" s="248"/>
      <c r="AC29" s="252"/>
      <c r="AD29" s="263"/>
      <c r="AE29" s="279"/>
    </row>
    <row r="30" spans="1:39" ht="15" thickBot="1" x14ac:dyDescent="0.35">
      <c r="A30" s="152" t="s">
        <v>147</v>
      </c>
      <c r="B30" s="159">
        <v>-53</v>
      </c>
      <c r="C30" s="159">
        <v>-121</v>
      </c>
      <c r="D30" s="159">
        <v>-179</v>
      </c>
      <c r="E30" s="159">
        <v>-229</v>
      </c>
      <c r="F30" s="159">
        <v>-276</v>
      </c>
      <c r="I30" s="2" t="s">
        <v>249</v>
      </c>
      <c r="J30" s="2">
        <v>72</v>
      </c>
      <c r="K30" s="2">
        <v>76</v>
      </c>
      <c r="L30" s="2">
        <v>67</v>
      </c>
      <c r="M30" s="2">
        <v>46</v>
      </c>
      <c r="N30" s="2">
        <v>283</v>
      </c>
      <c r="V30" s="246" t="s">
        <v>249</v>
      </c>
      <c r="W30" s="255"/>
      <c r="X30" s="255"/>
      <c r="Y30" s="248"/>
      <c r="Z30" s="252"/>
      <c r="AA30" s="252"/>
      <c r="AB30" s="248"/>
      <c r="AC30" s="252"/>
      <c r="AD30" s="263"/>
      <c r="AE30" s="279"/>
    </row>
    <row r="31" spans="1:39" ht="15" thickBot="1" x14ac:dyDescent="0.35">
      <c r="A31" s="152" t="s">
        <v>148</v>
      </c>
      <c r="B31" s="159">
        <v>-32</v>
      </c>
      <c r="C31" s="159">
        <v>-70</v>
      </c>
      <c r="D31" s="159">
        <v>-109</v>
      </c>
      <c r="E31" s="159">
        <v>-151</v>
      </c>
      <c r="F31" s="159">
        <v>-188</v>
      </c>
      <c r="I31" s="2" t="s">
        <v>250</v>
      </c>
      <c r="J31" s="2">
        <v>86</v>
      </c>
      <c r="K31" s="2">
        <v>92</v>
      </c>
      <c r="L31" s="2">
        <v>112</v>
      </c>
      <c r="M31" s="2">
        <v>137</v>
      </c>
      <c r="N31" s="2">
        <v>165</v>
      </c>
      <c r="V31" s="246" t="s">
        <v>250</v>
      </c>
      <c r="W31" s="255"/>
      <c r="X31" s="255"/>
      <c r="Y31" s="248"/>
      <c r="Z31" s="252"/>
      <c r="AA31" s="252"/>
      <c r="AB31" s="248"/>
      <c r="AC31" s="252"/>
      <c r="AD31" s="263"/>
      <c r="AE31" s="279"/>
    </row>
    <row r="32" spans="1:39" ht="15" thickBot="1" x14ac:dyDescent="0.35">
      <c r="A32" s="152" t="s">
        <v>149</v>
      </c>
      <c r="B32" s="159">
        <v>-144</v>
      </c>
      <c r="C32" s="159">
        <v>-163</v>
      </c>
      <c r="D32" s="159">
        <v>-174</v>
      </c>
      <c r="E32" s="159">
        <v>-180</v>
      </c>
      <c r="F32" s="159">
        <v>-192</v>
      </c>
      <c r="I32" s="241" t="s">
        <v>251</v>
      </c>
      <c r="J32" s="242">
        <f>SUM(J27:J31)</f>
        <v>2491</v>
      </c>
      <c r="K32" s="242">
        <f t="shared" ref="K32:S32" si="4">SUM(K27:K31)</f>
        <v>2534</v>
      </c>
      <c r="L32" s="242">
        <f t="shared" si="4"/>
        <v>2211</v>
      </c>
      <c r="M32" s="242">
        <f t="shared" si="4"/>
        <v>2251</v>
      </c>
      <c r="N32" s="242">
        <f t="shared" si="4"/>
        <v>2735</v>
      </c>
      <c r="O32" s="242">
        <f t="shared" si="4"/>
        <v>0</v>
      </c>
      <c r="P32" s="242">
        <f t="shared" si="4"/>
        <v>0</v>
      </c>
      <c r="Q32" s="242">
        <f t="shared" si="4"/>
        <v>0</v>
      </c>
      <c r="R32" s="242">
        <f t="shared" si="4"/>
        <v>0</v>
      </c>
      <c r="S32" s="242">
        <f t="shared" si="4"/>
        <v>0</v>
      </c>
      <c r="V32" s="264" t="s">
        <v>251</v>
      </c>
      <c r="W32" s="251"/>
      <c r="X32" s="251"/>
      <c r="Y32" s="249"/>
      <c r="Z32" s="253"/>
      <c r="AA32" s="253"/>
      <c r="AB32" s="249"/>
      <c r="AC32" s="253"/>
      <c r="AD32" s="265"/>
      <c r="AE32" s="279"/>
      <c r="AG32" s="44"/>
    </row>
    <row r="33" spans="1:31" ht="15" thickBot="1" x14ac:dyDescent="0.35">
      <c r="A33" s="152" t="s">
        <v>150</v>
      </c>
      <c r="B33" s="159">
        <v>-4</v>
      </c>
      <c r="C33" s="159">
        <v>-10</v>
      </c>
      <c r="D33" s="159">
        <v>-11</v>
      </c>
      <c r="E33" s="159">
        <v>-12</v>
      </c>
      <c r="F33" s="159">
        <v>-13</v>
      </c>
      <c r="I33" s="244" t="s">
        <v>196</v>
      </c>
      <c r="J33" s="2">
        <f>J26+J32</f>
        <v>4076</v>
      </c>
      <c r="K33" s="2">
        <f t="shared" ref="K33:S33" si="5">K26+K32</f>
        <v>4064</v>
      </c>
      <c r="L33" s="2">
        <f t="shared" si="5"/>
        <v>4309</v>
      </c>
      <c r="M33" s="2">
        <f t="shared" si="5"/>
        <v>4433</v>
      </c>
      <c r="N33" s="2">
        <f t="shared" si="5"/>
        <v>4779</v>
      </c>
      <c r="O33" s="2">
        <f t="shared" si="5"/>
        <v>0</v>
      </c>
      <c r="P33" s="2">
        <f t="shared" si="5"/>
        <v>0</v>
      </c>
      <c r="Q33" s="2">
        <f t="shared" si="5"/>
        <v>0</v>
      </c>
      <c r="R33" s="2">
        <f t="shared" si="5"/>
        <v>0</v>
      </c>
      <c r="S33" s="2">
        <f t="shared" si="5"/>
        <v>0</v>
      </c>
      <c r="V33" s="269" t="s">
        <v>196</v>
      </c>
      <c r="W33" s="255">
        <f>1719458*X41</f>
        <v>1431620.7308</v>
      </c>
      <c r="X33" s="255">
        <v>1432</v>
      </c>
      <c r="Y33" s="248"/>
      <c r="Z33" s="252">
        <f>1576176*X42</f>
        <v>1376159.2656</v>
      </c>
      <c r="AA33" s="252">
        <v>1376</v>
      </c>
      <c r="AB33" s="248"/>
      <c r="AC33" s="252">
        <f>1455859*X43</f>
        <v>1337788.8351</v>
      </c>
      <c r="AD33" s="263">
        <v>1338</v>
      </c>
      <c r="AE33" s="279"/>
    </row>
    <row r="34" spans="1:31" ht="15" thickBot="1" x14ac:dyDescent="0.35">
      <c r="A34" s="152" t="s">
        <v>151</v>
      </c>
      <c r="B34" s="159">
        <v>1003</v>
      </c>
      <c r="C34" s="159">
        <v>1095</v>
      </c>
      <c r="D34" s="159">
        <v>1501</v>
      </c>
      <c r="E34" s="159">
        <v>1593</v>
      </c>
      <c r="F34" s="159">
        <v>1660</v>
      </c>
      <c r="I34" s="2" t="s">
        <v>207</v>
      </c>
      <c r="J34" s="2">
        <v>4665</v>
      </c>
      <c r="K34" s="2">
        <v>5023</v>
      </c>
      <c r="L34" s="2">
        <v>5636</v>
      </c>
      <c r="M34" s="2">
        <v>6446</v>
      </c>
      <c r="N34" s="2">
        <v>8633</v>
      </c>
      <c r="O34" s="44">
        <f>N34*(1+$K$36)</f>
        <v>9295.5110396570199</v>
      </c>
      <c r="P34" s="44">
        <f t="shared" ref="P34:Q34" si="6">O34*(1+$K$36)</f>
        <v>10008.864298434557</v>
      </c>
      <c r="Q34" s="44">
        <f t="shared" si="6"/>
        <v>10776.961494327285</v>
      </c>
      <c r="R34" s="44">
        <f>Q34*(1+0.06)</f>
        <v>11423.579183986922</v>
      </c>
      <c r="S34" s="44">
        <f>R34*(1+$K$36)</f>
        <v>12300.243995962766</v>
      </c>
      <c r="V34" s="246" t="s">
        <v>207</v>
      </c>
      <c r="W34" s="255">
        <f>1817592*X41</f>
        <v>1513327.0992000001</v>
      </c>
      <c r="X34" s="255">
        <v>1513</v>
      </c>
      <c r="Y34" s="248"/>
      <c r="Z34" s="252">
        <f>2117039*X42</f>
        <v>1848386.7508999999</v>
      </c>
      <c r="AA34" s="252">
        <v>1848</v>
      </c>
      <c r="AB34" s="248"/>
      <c r="AC34" s="252">
        <f>2100255*X43</f>
        <v>1929924.3195000002</v>
      </c>
      <c r="AD34" s="263">
        <v>1930</v>
      </c>
      <c r="AE34" s="279"/>
    </row>
    <row r="35" spans="1:31" ht="15" thickBot="1" x14ac:dyDescent="0.35">
      <c r="A35" s="152" t="s">
        <v>152</v>
      </c>
      <c r="B35" s="159">
        <v>7220</v>
      </c>
      <c r="C35" s="159">
        <v>7648</v>
      </c>
      <c r="D35" s="159">
        <v>8146</v>
      </c>
      <c r="E35" s="159">
        <v>8845</v>
      </c>
      <c r="F35" s="159">
        <v>9652</v>
      </c>
      <c r="I35" s="244" t="s">
        <v>255</v>
      </c>
      <c r="J35" s="244">
        <f>J33+J34</f>
        <v>8741</v>
      </c>
      <c r="K35" s="244">
        <f t="shared" ref="K35:S35" si="7">K33+K34</f>
        <v>9087</v>
      </c>
      <c r="L35" s="244">
        <f t="shared" si="7"/>
        <v>9945</v>
      </c>
      <c r="M35" s="244">
        <f t="shared" si="7"/>
        <v>10879</v>
      </c>
      <c r="N35" s="244">
        <f t="shared" si="7"/>
        <v>13412</v>
      </c>
      <c r="O35" s="791">
        <f t="shared" si="7"/>
        <v>9295.5110396570199</v>
      </c>
      <c r="P35" s="791">
        <f t="shared" si="7"/>
        <v>10008.864298434557</v>
      </c>
      <c r="Q35" s="791">
        <f t="shared" si="7"/>
        <v>10776.961494327285</v>
      </c>
      <c r="R35" s="791">
        <f t="shared" si="7"/>
        <v>11423.579183986922</v>
      </c>
      <c r="S35" s="791">
        <f t="shared" si="7"/>
        <v>12300.243995962766</v>
      </c>
      <c r="V35" s="270" t="s">
        <v>255</v>
      </c>
      <c r="W35" s="271">
        <f>W33+W34</f>
        <v>2944947.83</v>
      </c>
      <c r="X35" s="271">
        <v>2945</v>
      </c>
      <c r="Y35" s="272"/>
      <c r="Z35" s="273">
        <f>Z33+Z34</f>
        <v>3224546.0164999999</v>
      </c>
      <c r="AA35" s="273">
        <v>3225</v>
      </c>
      <c r="AB35" s="272"/>
      <c r="AC35" s="273">
        <f>AC33+AC34</f>
        <v>3267713.1546</v>
      </c>
      <c r="AD35" s="274">
        <v>3268</v>
      </c>
      <c r="AE35" s="280"/>
    </row>
    <row r="36" spans="1:31" ht="15" thickBot="1" x14ac:dyDescent="0.35">
      <c r="A36" s="152" t="s">
        <v>153</v>
      </c>
      <c r="B36" s="159">
        <v>1175</v>
      </c>
      <c r="C36" s="159">
        <v>1210</v>
      </c>
      <c r="D36" s="159">
        <v>1227</v>
      </c>
      <c r="E36" s="159">
        <v>1248</v>
      </c>
      <c r="F36" s="159">
        <v>1311</v>
      </c>
      <c r="K36" s="43">
        <f>(K34-J34)/J34</f>
        <v>7.67416934619507E-2</v>
      </c>
      <c r="L36" s="43">
        <f t="shared" ref="L36:N36" si="8">(L34-K34)/K34</f>
        <v>0.12203862233724866</v>
      </c>
      <c r="M36" s="43">
        <f t="shared" si="8"/>
        <v>0.14371894960965223</v>
      </c>
      <c r="N36" s="43">
        <f t="shared" si="8"/>
        <v>0.33928017375116354</v>
      </c>
    </row>
    <row r="37" spans="1:31" ht="15" thickBot="1" x14ac:dyDescent="0.35">
      <c r="A37" s="152" t="s">
        <v>154</v>
      </c>
      <c r="B37" s="159">
        <v>314</v>
      </c>
      <c r="C37" s="159">
        <v>284</v>
      </c>
      <c r="D37" s="159">
        <v>332</v>
      </c>
      <c r="E37" s="159">
        <v>352</v>
      </c>
      <c r="F37" s="159">
        <v>525</v>
      </c>
    </row>
    <row r="38" spans="1:31" ht="15" thickBot="1" x14ac:dyDescent="0.35">
      <c r="A38" s="152" t="s">
        <v>155</v>
      </c>
      <c r="B38" s="159">
        <v>-693</v>
      </c>
      <c r="C38" s="159">
        <v>-731</v>
      </c>
      <c r="D38" s="159">
        <v>-771</v>
      </c>
      <c r="E38" s="159">
        <v>-822</v>
      </c>
      <c r="F38" s="159">
        <v>-885</v>
      </c>
      <c r="I38" s="58" t="s">
        <v>267</v>
      </c>
      <c r="J38" s="238">
        <v>2015</v>
      </c>
      <c r="K38" s="238">
        <v>2016</v>
      </c>
      <c r="L38" s="238">
        <v>2017</v>
      </c>
      <c r="M38" s="238">
        <v>2018</v>
      </c>
      <c r="N38" s="238">
        <v>2019</v>
      </c>
      <c r="O38" s="239" t="s">
        <v>46</v>
      </c>
      <c r="P38" s="239" t="s">
        <v>47</v>
      </c>
      <c r="Q38" s="239" t="s">
        <v>48</v>
      </c>
      <c r="R38" s="239" t="s">
        <v>49</v>
      </c>
      <c r="S38" s="239" t="s">
        <v>56</v>
      </c>
      <c r="W38" s="275" t="s">
        <v>224</v>
      </c>
      <c r="X38" s="276" t="s">
        <v>223</v>
      </c>
    </row>
    <row r="39" spans="1:31" ht="15" thickBot="1" x14ac:dyDescent="0.35">
      <c r="A39" s="152" t="s">
        <v>156</v>
      </c>
      <c r="B39" s="159">
        <v>-5867</v>
      </c>
      <c r="C39" s="159">
        <v>-6305</v>
      </c>
      <c r="D39" s="159">
        <v>-6669</v>
      </c>
      <c r="E39" s="159">
        <v>-7069</v>
      </c>
      <c r="F39" s="159">
        <v>-7602</v>
      </c>
      <c r="I39" s="125" t="s">
        <v>124</v>
      </c>
      <c r="J39" s="2">
        <v>673</v>
      </c>
      <c r="K39" s="2">
        <v>625</v>
      </c>
      <c r="L39" s="2">
        <v>860</v>
      </c>
      <c r="M39" s="2">
        <v>732</v>
      </c>
      <c r="N39" s="2">
        <v>1021</v>
      </c>
      <c r="W39" s="198">
        <v>2015</v>
      </c>
      <c r="X39" s="185">
        <v>0.91890000000000005</v>
      </c>
    </row>
    <row r="40" spans="1:31" ht="15" thickBot="1" x14ac:dyDescent="0.35">
      <c r="A40" s="152" t="s">
        <v>157</v>
      </c>
      <c r="B40" s="159">
        <v>-1059</v>
      </c>
      <c r="C40" s="159">
        <v>-1082</v>
      </c>
      <c r="D40" s="159">
        <v>-1107</v>
      </c>
      <c r="E40" s="159">
        <v>-1109</v>
      </c>
      <c r="F40" s="159">
        <v>-1151</v>
      </c>
      <c r="I40" s="125" t="s">
        <v>232</v>
      </c>
      <c r="J40" s="2">
        <v>742</v>
      </c>
      <c r="K40" s="2">
        <v>774</v>
      </c>
      <c r="L40" s="2">
        <v>851</v>
      </c>
      <c r="M40" s="2">
        <v>971</v>
      </c>
      <c r="N40" s="2">
        <v>888</v>
      </c>
      <c r="W40" s="198">
        <v>2016</v>
      </c>
      <c r="X40" s="185">
        <v>0.94640000000000002</v>
      </c>
    </row>
    <row r="41" spans="1:31" ht="15" thickBot="1" x14ac:dyDescent="0.35">
      <c r="A41" s="152" t="s">
        <v>158</v>
      </c>
      <c r="B41" s="159">
        <v>0</v>
      </c>
      <c r="C41" s="159">
        <v>0</v>
      </c>
      <c r="D41" s="159">
        <v>0</v>
      </c>
      <c r="E41" s="159">
        <v>0</v>
      </c>
      <c r="F41" s="159">
        <v>0</v>
      </c>
      <c r="I41" s="125" t="s">
        <v>136</v>
      </c>
      <c r="J41" s="2">
        <v>229</v>
      </c>
      <c r="K41" s="2">
        <v>281</v>
      </c>
      <c r="L41" s="2">
        <v>5</v>
      </c>
      <c r="M41" s="2">
        <v>366</v>
      </c>
      <c r="N41" s="2">
        <v>770</v>
      </c>
      <c r="W41" s="198">
        <v>2017</v>
      </c>
      <c r="X41" s="185">
        <v>0.83260000000000001</v>
      </c>
    </row>
    <row r="42" spans="1:31" ht="15" thickBot="1" x14ac:dyDescent="0.35">
      <c r="A42" s="152" t="s">
        <v>159</v>
      </c>
      <c r="B42" s="159">
        <v>33</v>
      </c>
      <c r="C42" s="159">
        <v>32</v>
      </c>
      <c r="D42" s="159">
        <v>28</v>
      </c>
      <c r="E42" s="159">
        <v>37</v>
      </c>
      <c r="F42" s="159">
        <v>29</v>
      </c>
      <c r="I42" s="125" t="s">
        <v>257</v>
      </c>
      <c r="J42" s="2">
        <v>0</v>
      </c>
      <c r="K42" s="2">
        <v>0</v>
      </c>
      <c r="L42" s="2">
        <v>23</v>
      </c>
      <c r="M42" s="2">
        <v>11</v>
      </c>
      <c r="N42" s="2">
        <v>12</v>
      </c>
      <c r="W42" s="198">
        <v>2018</v>
      </c>
      <c r="X42" s="185">
        <v>0.87309999999999999</v>
      </c>
    </row>
    <row r="43" spans="1:31" ht="15" thickBot="1" x14ac:dyDescent="0.35">
      <c r="A43" s="152" t="s">
        <v>160</v>
      </c>
      <c r="B43" s="159">
        <v>18</v>
      </c>
      <c r="C43" s="159" t="s">
        <v>76</v>
      </c>
      <c r="D43" s="159" t="s">
        <v>76</v>
      </c>
      <c r="E43" s="159" t="s">
        <v>76</v>
      </c>
      <c r="F43" s="159" t="s">
        <v>76</v>
      </c>
      <c r="I43" s="123" t="s">
        <v>256</v>
      </c>
      <c r="J43" s="123">
        <v>1129</v>
      </c>
      <c r="K43" s="123">
        <v>1191</v>
      </c>
      <c r="L43" s="123">
        <v>300</v>
      </c>
      <c r="M43" s="123">
        <v>1480</v>
      </c>
      <c r="N43" s="123">
        <v>1701</v>
      </c>
      <c r="W43" s="199">
        <v>2019</v>
      </c>
      <c r="X43" s="200">
        <v>0.91890000000000005</v>
      </c>
    </row>
    <row r="44" spans="1:31" ht="15" thickBot="1" x14ac:dyDescent="0.35">
      <c r="A44" s="152" t="s">
        <v>161</v>
      </c>
      <c r="B44" s="159">
        <v>1</v>
      </c>
      <c r="C44" s="159" t="s">
        <v>76</v>
      </c>
      <c r="D44" s="159" t="s">
        <v>76</v>
      </c>
      <c r="E44" s="159" t="s">
        <v>76</v>
      </c>
      <c r="F44" s="159" t="s">
        <v>76</v>
      </c>
      <c r="I44" s="125" t="s">
        <v>257</v>
      </c>
      <c r="J44" s="2">
        <v>0</v>
      </c>
      <c r="K44" s="2">
        <v>0</v>
      </c>
      <c r="L44" s="2">
        <v>23</v>
      </c>
      <c r="M44" s="2">
        <v>11</v>
      </c>
      <c r="N44" s="2">
        <v>12</v>
      </c>
      <c r="P44" s="125"/>
      <c r="Q44" s="281"/>
      <c r="R44" s="281"/>
      <c r="S44" s="281"/>
      <c r="T44" s="281"/>
      <c r="U44" s="281"/>
    </row>
    <row r="45" spans="1:31" ht="15" thickBot="1" x14ac:dyDescent="0.35">
      <c r="A45" s="152" t="s">
        <v>162</v>
      </c>
      <c r="B45" s="159">
        <v>76</v>
      </c>
      <c r="C45" s="159" t="s">
        <v>76</v>
      </c>
      <c r="D45" s="159" t="s">
        <v>76</v>
      </c>
      <c r="E45" s="159" t="s">
        <v>76</v>
      </c>
      <c r="F45" s="159" t="s">
        <v>76</v>
      </c>
      <c r="I45" s="58" t="s">
        <v>268</v>
      </c>
      <c r="P45" s="125"/>
      <c r="Q45" s="281"/>
      <c r="R45" s="281"/>
      <c r="S45" s="281"/>
      <c r="T45" s="281"/>
      <c r="U45" s="281"/>
    </row>
    <row r="46" spans="1:31" ht="15" thickBot="1" x14ac:dyDescent="0.35">
      <c r="A46" s="152" t="s">
        <v>163</v>
      </c>
      <c r="B46" s="159">
        <v>604</v>
      </c>
      <c r="C46" s="159">
        <v>623</v>
      </c>
      <c r="D46" s="159">
        <v>612</v>
      </c>
      <c r="E46" s="159">
        <v>648</v>
      </c>
      <c r="F46" s="159">
        <v>599</v>
      </c>
      <c r="I46" s="2" t="s">
        <v>244</v>
      </c>
      <c r="J46" s="2">
        <v>802</v>
      </c>
      <c r="K46" s="2">
        <v>857</v>
      </c>
      <c r="L46" s="2">
        <v>1020</v>
      </c>
      <c r="M46" s="2">
        <v>1181</v>
      </c>
      <c r="N46" s="2">
        <v>1089</v>
      </c>
    </row>
    <row r="47" spans="1:31" ht="15" thickBot="1" x14ac:dyDescent="0.35">
      <c r="A47" s="152" t="s">
        <v>164</v>
      </c>
      <c r="B47" s="159">
        <v>28</v>
      </c>
      <c r="C47" s="159" t="s">
        <v>76</v>
      </c>
      <c r="D47" s="159" t="s">
        <v>76</v>
      </c>
      <c r="E47" s="159" t="s">
        <v>76</v>
      </c>
      <c r="F47" s="159" t="s">
        <v>76</v>
      </c>
      <c r="I47" s="2" t="s">
        <v>254</v>
      </c>
      <c r="J47" s="123">
        <v>225</v>
      </c>
      <c r="K47" s="123">
        <v>209</v>
      </c>
      <c r="L47" s="123">
        <v>230</v>
      </c>
      <c r="M47" s="123">
        <v>269</v>
      </c>
      <c r="N47" s="123">
        <v>406</v>
      </c>
    </row>
    <row r="48" spans="1:31" ht="15" thickBot="1" x14ac:dyDescent="0.35">
      <c r="A48" s="152" t="s">
        <v>165</v>
      </c>
      <c r="B48" s="159" t="s">
        <v>76</v>
      </c>
      <c r="C48" s="159">
        <v>162</v>
      </c>
      <c r="D48" s="159">
        <v>189</v>
      </c>
      <c r="E48" s="159">
        <v>137</v>
      </c>
      <c r="F48" s="159">
        <v>145</v>
      </c>
    </row>
    <row r="49" spans="1:6" ht="15" thickBot="1" x14ac:dyDescent="0.35">
      <c r="A49" s="152" t="s">
        <v>166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</row>
    <row r="50" spans="1:6" ht="15" thickBot="1" x14ac:dyDescent="0.35">
      <c r="A50" s="152" t="s">
        <v>167</v>
      </c>
      <c r="B50" s="159">
        <v>803</v>
      </c>
      <c r="C50" s="159">
        <v>799</v>
      </c>
      <c r="D50" s="159">
        <v>759</v>
      </c>
      <c r="E50" s="159">
        <v>764</v>
      </c>
      <c r="F50" s="159">
        <v>909</v>
      </c>
    </row>
    <row r="51" spans="1:6" ht="15" thickBot="1" x14ac:dyDescent="0.35">
      <c r="A51" s="152" t="s">
        <v>168</v>
      </c>
      <c r="B51" s="159">
        <v>26</v>
      </c>
      <c r="C51" s="159" t="s">
        <v>76</v>
      </c>
      <c r="D51" s="159" t="s">
        <v>76</v>
      </c>
      <c r="E51" s="159" t="s">
        <v>76</v>
      </c>
      <c r="F51" s="159" t="s">
        <v>76</v>
      </c>
    </row>
    <row r="52" spans="1:6" ht="15" thickBot="1" x14ac:dyDescent="0.35">
      <c r="A52" s="152" t="s">
        <v>169</v>
      </c>
      <c r="B52" s="159">
        <v>3</v>
      </c>
      <c r="C52" s="159">
        <v>3</v>
      </c>
      <c r="D52" s="159">
        <v>0</v>
      </c>
      <c r="E52" s="159" t="s">
        <v>76</v>
      </c>
      <c r="F52" s="159" t="s">
        <v>76</v>
      </c>
    </row>
    <row r="53" spans="1:6" x14ac:dyDescent="0.3">
      <c r="A53" s="152" t="s">
        <v>170</v>
      </c>
      <c r="B53" s="159">
        <v>6</v>
      </c>
      <c r="C53" s="159" t="s">
        <v>76</v>
      </c>
      <c r="D53" s="159" t="s">
        <v>76</v>
      </c>
      <c r="E53" s="159" t="s">
        <v>76</v>
      </c>
      <c r="F53" s="159" t="s">
        <v>76</v>
      </c>
    </row>
    <row r="54" spans="1:6" ht="15" thickBot="1" x14ac:dyDescent="0.35">
      <c r="A54" s="157" t="s">
        <v>171</v>
      </c>
      <c r="B54" s="160">
        <v>8741</v>
      </c>
      <c r="C54" s="160">
        <v>9087</v>
      </c>
      <c r="D54" s="160">
        <v>9945</v>
      </c>
      <c r="E54" s="160">
        <v>10879</v>
      </c>
      <c r="F54" s="160">
        <v>13412</v>
      </c>
    </row>
    <row r="55" spans="1:6" x14ac:dyDescent="0.3">
      <c r="A55" s="154"/>
      <c r="B55" s="154"/>
      <c r="C55" s="154"/>
      <c r="D55" s="154"/>
      <c r="E55" s="154"/>
      <c r="F55" s="154"/>
    </row>
    <row r="56" spans="1:6" ht="15" thickBot="1" x14ac:dyDescent="0.35">
      <c r="A56" s="151" t="s">
        <v>172</v>
      </c>
      <c r="B56" s="151"/>
      <c r="C56" s="151"/>
      <c r="D56" s="151"/>
      <c r="E56" s="151"/>
      <c r="F56" s="151"/>
    </row>
    <row r="57" spans="1:6" ht="15" thickBot="1" x14ac:dyDescent="0.35">
      <c r="A57" s="152" t="s">
        <v>173</v>
      </c>
      <c r="B57" s="159" t="s">
        <v>76</v>
      </c>
      <c r="C57" s="159" t="s">
        <v>76</v>
      </c>
      <c r="D57" s="159" t="s">
        <v>76</v>
      </c>
      <c r="E57" s="159">
        <v>25</v>
      </c>
      <c r="F57" s="159">
        <v>22</v>
      </c>
    </row>
    <row r="58" spans="1:6" ht="15" thickBot="1" x14ac:dyDescent="0.35">
      <c r="A58" s="152" t="s">
        <v>174</v>
      </c>
      <c r="B58" s="159">
        <v>33</v>
      </c>
      <c r="C58" s="159">
        <v>17</v>
      </c>
      <c r="D58" s="159">
        <v>323</v>
      </c>
      <c r="E58" s="159" t="s">
        <v>76</v>
      </c>
      <c r="F58" s="159" t="s">
        <v>76</v>
      </c>
    </row>
    <row r="59" spans="1:6" ht="15" thickBot="1" x14ac:dyDescent="0.35">
      <c r="A59" s="152" t="s">
        <v>175</v>
      </c>
      <c r="B59" s="159">
        <v>802</v>
      </c>
      <c r="C59" s="159">
        <v>857</v>
      </c>
      <c r="D59" s="159">
        <v>1020</v>
      </c>
      <c r="E59" s="159">
        <v>1181</v>
      </c>
      <c r="F59" s="159">
        <v>1089</v>
      </c>
    </row>
    <row r="60" spans="1:6" ht="15" thickBot="1" x14ac:dyDescent="0.35">
      <c r="A60" s="152" t="s">
        <v>176</v>
      </c>
      <c r="B60" s="159">
        <v>34</v>
      </c>
      <c r="C60" s="159" t="s">
        <v>76</v>
      </c>
      <c r="D60" s="159" t="s">
        <v>76</v>
      </c>
      <c r="E60" s="159" t="s">
        <v>76</v>
      </c>
      <c r="F60" s="159" t="s">
        <v>76</v>
      </c>
    </row>
    <row r="61" spans="1:6" ht="15" thickBot="1" x14ac:dyDescent="0.35">
      <c r="A61" s="152" t="s">
        <v>177</v>
      </c>
      <c r="B61" s="159">
        <v>9</v>
      </c>
      <c r="C61" s="159" t="s">
        <v>76</v>
      </c>
      <c r="D61" s="159" t="s">
        <v>76</v>
      </c>
      <c r="E61" s="159" t="s">
        <v>76</v>
      </c>
      <c r="F61" s="159" t="s">
        <v>76</v>
      </c>
    </row>
    <row r="62" spans="1:6" ht="15" thickBot="1" x14ac:dyDescent="0.35">
      <c r="A62" s="152" t="s">
        <v>178</v>
      </c>
      <c r="B62" s="159">
        <v>4</v>
      </c>
      <c r="C62" s="159" t="s">
        <v>76</v>
      </c>
      <c r="D62" s="159" t="s">
        <v>76</v>
      </c>
      <c r="E62" s="159" t="s">
        <v>76</v>
      </c>
      <c r="F62" s="159" t="s">
        <v>76</v>
      </c>
    </row>
    <row r="63" spans="1:6" ht="15" thickBot="1" x14ac:dyDescent="0.35">
      <c r="A63" s="152" t="s">
        <v>179</v>
      </c>
      <c r="B63" s="159">
        <v>402</v>
      </c>
      <c r="C63" s="159">
        <v>327</v>
      </c>
      <c r="D63" s="159">
        <v>422</v>
      </c>
      <c r="E63" s="159">
        <v>590</v>
      </c>
      <c r="F63" s="159">
        <v>383</v>
      </c>
    </row>
    <row r="64" spans="1:6" ht="15" thickBot="1" x14ac:dyDescent="0.35">
      <c r="A64" s="152" t="s">
        <v>180</v>
      </c>
      <c r="B64" s="159">
        <v>123</v>
      </c>
      <c r="C64" s="159">
        <v>120</v>
      </c>
      <c r="D64" s="159">
        <v>103</v>
      </c>
      <c r="E64" s="159">
        <v>117</v>
      </c>
      <c r="F64" s="159">
        <v>144</v>
      </c>
    </row>
    <row r="65" spans="1:6" ht="15" thickBot="1" x14ac:dyDescent="0.35">
      <c r="A65" s="152" t="s">
        <v>181</v>
      </c>
      <c r="B65" s="159">
        <v>14</v>
      </c>
      <c r="C65" s="159" t="s">
        <v>76</v>
      </c>
      <c r="D65" s="159" t="s">
        <v>76</v>
      </c>
      <c r="E65" s="159" t="s">
        <v>76</v>
      </c>
      <c r="F65" s="159" t="s">
        <v>76</v>
      </c>
    </row>
    <row r="66" spans="1:6" ht="15" thickBot="1" x14ac:dyDescent="0.35">
      <c r="A66" s="152" t="s">
        <v>182</v>
      </c>
      <c r="B66" s="159">
        <v>135</v>
      </c>
      <c r="C66" s="159" t="s">
        <v>76</v>
      </c>
      <c r="D66" s="159" t="s">
        <v>76</v>
      </c>
      <c r="E66" s="159" t="s">
        <v>76</v>
      </c>
      <c r="F66" s="159" t="s">
        <v>76</v>
      </c>
    </row>
    <row r="67" spans="1:6" ht="15" thickBot="1" x14ac:dyDescent="0.35">
      <c r="A67" s="152" t="s">
        <v>183</v>
      </c>
      <c r="B67" s="159">
        <v>16</v>
      </c>
      <c r="C67" s="159" t="s">
        <v>76</v>
      </c>
      <c r="D67" s="159" t="s">
        <v>76</v>
      </c>
      <c r="E67" s="159" t="s">
        <v>76</v>
      </c>
      <c r="F67" s="159" t="s">
        <v>76</v>
      </c>
    </row>
    <row r="68" spans="1:6" ht="15" thickBot="1" x14ac:dyDescent="0.35">
      <c r="A68" s="152" t="s">
        <v>184</v>
      </c>
      <c r="B68" s="159">
        <v>13</v>
      </c>
      <c r="C68" s="159" t="s">
        <v>76</v>
      </c>
      <c r="D68" s="159" t="s">
        <v>76</v>
      </c>
      <c r="E68" s="159" t="s">
        <v>76</v>
      </c>
      <c r="F68" s="159" t="s">
        <v>76</v>
      </c>
    </row>
    <row r="69" spans="1:6" x14ac:dyDescent="0.3">
      <c r="A69" s="152" t="s">
        <v>185</v>
      </c>
      <c r="B69" s="159" t="s">
        <v>76</v>
      </c>
      <c r="C69" s="159">
        <v>209</v>
      </c>
      <c r="D69" s="159">
        <v>230</v>
      </c>
      <c r="E69" s="159">
        <v>269</v>
      </c>
      <c r="F69" s="159">
        <v>406</v>
      </c>
    </row>
    <row r="70" spans="1:6" ht="15" thickBot="1" x14ac:dyDescent="0.35">
      <c r="A70" s="157" t="s">
        <v>186</v>
      </c>
      <c r="B70" s="160">
        <v>1585</v>
      </c>
      <c r="C70" s="160">
        <v>1530</v>
      </c>
      <c r="D70" s="160">
        <v>2098</v>
      </c>
      <c r="E70" s="160">
        <v>2182</v>
      </c>
      <c r="F70" s="160">
        <v>2044</v>
      </c>
    </row>
    <row r="71" spans="1:6" ht="15" thickBot="1" x14ac:dyDescent="0.35">
      <c r="A71" s="154"/>
      <c r="B71" s="154"/>
      <c r="C71" s="154"/>
      <c r="D71" s="154"/>
      <c r="E71" s="154"/>
      <c r="F71" s="154"/>
    </row>
    <row r="72" spans="1:6" ht="15" thickBot="1" x14ac:dyDescent="0.35">
      <c r="A72" s="152" t="s">
        <v>187</v>
      </c>
      <c r="B72" s="159">
        <v>1760</v>
      </c>
      <c r="C72" s="159">
        <v>1752</v>
      </c>
      <c r="D72" s="159">
        <v>1511</v>
      </c>
      <c r="E72" s="159">
        <v>1507</v>
      </c>
      <c r="F72" s="159">
        <v>1534</v>
      </c>
    </row>
    <row r="73" spans="1:6" ht="15" thickBot="1" x14ac:dyDescent="0.35">
      <c r="A73" s="152" t="s">
        <v>188</v>
      </c>
      <c r="B73" s="159">
        <v>1760</v>
      </c>
      <c r="C73" s="159">
        <v>1752</v>
      </c>
      <c r="D73" s="159">
        <v>1511</v>
      </c>
      <c r="E73" s="159">
        <v>1507</v>
      </c>
      <c r="F73" s="159">
        <v>1534</v>
      </c>
    </row>
    <row r="74" spans="1:6" ht="15" thickBot="1" x14ac:dyDescent="0.35">
      <c r="A74" s="152" t="s">
        <v>189</v>
      </c>
      <c r="B74" s="159">
        <v>426</v>
      </c>
      <c r="C74" s="159">
        <v>604</v>
      </c>
      <c r="D74" s="159">
        <v>503</v>
      </c>
      <c r="E74" s="159">
        <v>552</v>
      </c>
      <c r="F74" s="159">
        <v>733</v>
      </c>
    </row>
    <row r="75" spans="1:6" ht="15" thickBot="1" x14ac:dyDescent="0.35">
      <c r="A75" s="152" t="s">
        <v>190</v>
      </c>
      <c r="B75" s="159">
        <v>72</v>
      </c>
      <c r="C75" s="159" t="s">
        <v>76</v>
      </c>
      <c r="D75" s="159" t="s">
        <v>76</v>
      </c>
      <c r="E75" s="159" t="s">
        <v>76</v>
      </c>
      <c r="F75" s="159" t="s">
        <v>76</v>
      </c>
    </row>
    <row r="76" spans="1:6" ht="15" thickBot="1" x14ac:dyDescent="0.35">
      <c r="A76" s="152" t="s">
        <v>191</v>
      </c>
      <c r="B76" s="159">
        <v>14</v>
      </c>
      <c r="C76" s="159" t="s">
        <v>76</v>
      </c>
      <c r="D76" s="159" t="s">
        <v>76</v>
      </c>
      <c r="E76" s="159" t="s">
        <v>76</v>
      </c>
      <c r="F76" s="159" t="s">
        <v>76</v>
      </c>
    </row>
    <row r="77" spans="1:6" ht="15" thickBot="1" x14ac:dyDescent="0.35">
      <c r="A77" s="152" t="s">
        <v>192</v>
      </c>
      <c r="B77" s="159">
        <v>147</v>
      </c>
      <c r="C77" s="159">
        <v>10</v>
      </c>
      <c r="D77" s="159">
        <v>18</v>
      </c>
      <c r="E77" s="159">
        <v>9</v>
      </c>
      <c r="F77" s="159">
        <v>20</v>
      </c>
    </row>
    <row r="78" spans="1:6" ht="15" thickBot="1" x14ac:dyDescent="0.35">
      <c r="A78" s="152" t="s">
        <v>193</v>
      </c>
      <c r="B78" s="159">
        <v>72</v>
      </c>
      <c r="C78" s="159">
        <v>76</v>
      </c>
      <c r="D78" s="159">
        <v>67</v>
      </c>
      <c r="E78" s="159">
        <v>46</v>
      </c>
      <c r="F78" s="159">
        <v>283</v>
      </c>
    </row>
    <row r="79" spans="1:6" ht="15" thickBot="1" x14ac:dyDescent="0.35">
      <c r="A79" s="152" t="s">
        <v>194</v>
      </c>
      <c r="B79" s="159" t="s">
        <v>76</v>
      </c>
      <c r="C79" s="159">
        <v>92</v>
      </c>
      <c r="D79" s="159">
        <v>112</v>
      </c>
      <c r="E79" s="159">
        <v>137</v>
      </c>
      <c r="F79" s="159">
        <v>165</v>
      </c>
    </row>
    <row r="80" spans="1:6" x14ac:dyDescent="0.3">
      <c r="A80" s="152" t="s">
        <v>195</v>
      </c>
      <c r="B80" s="159">
        <v>1</v>
      </c>
      <c r="C80" s="159">
        <v>0</v>
      </c>
      <c r="D80" s="159">
        <v>0</v>
      </c>
      <c r="E80" s="159" t="s">
        <v>76</v>
      </c>
      <c r="F80" s="159" t="s">
        <v>76</v>
      </c>
    </row>
    <row r="81" spans="1:6" ht="15" thickBot="1" x14ac:dyDescent="0.35">
      <c r="A81" s="157" t="s">
        <v>196</v>
      </c>
      <c r="B81" s="160">
        <v>4077</v>
      </c>
      <c r="C81" s="160">
        <v>4064</v>
      </c>
      <c r="D81" s="160">
        <v>4309</v>
      </c>
      <c r="E81" s="160">
        <v>4433</v>
      </c>
      <c r="F81" s="160">
        <v>4779</v>
      </c>
    </row>
    <row r="82" spans="1:6" x14ac:dyDescent="0.3">
      <c r="A82" s="154"/>
      <c r="B82" s="154"/>
      <c r="C82" s="154"/>
      <c r="D82" s="154"/>
      <c r="E82" s="154"/>
      <c r="F82" s="154"/>
    </row>
    <row r="83" spans="1:6" ht="15" thickBot="1" x14ac:dyDescent="0.35">
      <c r="A83" s="151" t="s">
        <v>197</v>
      </c>
      <c r="B83" s="151"/>
      <c r="C83" s="151"/>
      <c r="D83" s="151"/>
      <c r="E83" s="151"/>
      <c r="F83" s="151"/>
    </row>
    <row r="84" spans="1:6" ht="15" thickBot="1" x14ac:dyDescent="0.35">
      <c r="A84" s="152" t="s">
        <v>198</v>
      </c>
      <c r="B84" s="159" t="s">
        <v>76</v>
      </c>
      <c r="C84" s="159" t="s">
        <v>76</v>
      </c>
      <c r="D84" s="159" t="s">
        <v>76</v>
      </c>
      <c r="E84" s="159" t="s">
        <v>76</v>
      </c>
      <c r="F84" s="159">
        <v>-42</v>
      </c>
    </row>
    <row r="85" spans="1:6" ht="15" thickBot="1" x14ac:dyDescent="0.35">
      <c r="A85" s="152" t="s">
        <v>199</v>
      </c>
      <c r="B85" s="159">
        <v>1</v>
      </c>
      <c r="C85" s="159">
        <v>-5</v>
      </c>
      <c r="D85" s="159">
        <v>-1</v>
      </c>
      <c r="E85" s="159">
        <v>-3</v>
      </c>
      <c r="F85" s="159">
        <v>152</v>
      </c>
    </row>
    <row r="86" spans="1:6" ht="15" thickBot="1" x14ac:dyDescent="0.35">
      <c r="A86" s="152" t="s">
        <v>200</v>
      </c>
      <c r="B86" s="159">
        <v>2259</v>
      </c>
      <c r="C86" s="159">
        <v>2265</v>
      </c>
      <c r="D86" s="159">
        <v>2272</v>
      </c>
      <c r="E86" s="159">
        <v>2274</v>
      </c>
      <c r="F86" s="159">
        <v>2501</v>
      </c>
    </row>
    <row r="87" spans="1:6" ht="15" thickBot="1" x14ac:dyDescent="0.35">
      <c r="A87" s="152" t="s">
        <v>201</v>
      </c>
      <c r="B87" s="159">
        <v>5213</v>
      </c>
      <c r="C87" s="159">
        <v>5016</v>
      </c>
      <c r="D87" s="159">
        <v>4774</v>
      </c>
      <c r="E87" s="159">
        <v>4486</v>
      </c>
      <c r="F87" s="159">
        <v>5494</v>
      </c>
    </row>
    <row r="88" spans="1:6" ht="15" thickBot="1" x14ac:dyDescent="0.35">
      <c r="A88" s="152" t="s">
        <v>202</v>
      </c>
      <c r="B88" s="159">
        <v>-2897</v>
      </c>
      <c r="C88" s="159">
        <v>-2312</v>
      </c>
      <c r="D88" s="159">
        <v>-1404</v>
      </c>
      <c r="E88" s="159">
        <v>-333</v>
      </c>
      <c r="F88" s="159">
        <v>421</v>
      </c>
    </row>
    <row r="89" spans="1:6" ht="15" thickBot="1" x14ac:dyDescent="0.35">
      <c r="A89" s="152" t="s">
        <v>203</v>
      </c>
      <c r="B89" s="159">
        <v>126</v>
      </c>
      <c r="C89" s="159">
        <v>98</v>
      </c>
      <c r="D89" s="159">
        <v>32</v>
      </c>
      <c r="E89" s="159">
        <v>59</v>
      </c>
      <c r="F89" s="159">
        <v>144</v>
      </c>
    </row>
    <row r="90" spans="1:6" ht="15" thickBot="1" x14ac:dyDescent="0.35">
      <c r="A90" s="152" t="s">
        <v>204</v>
      </c>
      <c r="B90" s="159">
        <v>-1</v>
      </c>
      <c r="C90" s="159">
        <v>-2</v>
      </c>
      <c r="D90" s="159">
        <v>0</v>
      </c>
      <c r="E90" s="159" t="s">
        <v>76</v>
      </c>
      <c r="F90" s="159" t="s">
        <v>76</v>
      </c>
    </row>
    <row r="91" spans="1:6" ht="15" thickBot="1" x14ac:dyDescent="0.35">
      <c r="A91" s="152" t="s">
        <v>205</v>
      </c>
      <c r="B91" s="159">
        <v>-37</v>
      </c>
      <c r="C91" s="159">
        <v>-37</v>
      </c>
      <c r="D91" s="159">
        <v>-37</v>
      </c>
      <c r="E91" s="159">
        <v>-37</v>
      </c>
      <c r="F91" s="159">
        <v>-37</v>
      </c>
    </row>
    <row r="92" spans="1:6" x14ac:dyDescent="0.3">
      <c r="A92" s="152" t="s">
        <v>206</v>
      </c>
      <c r="B92" s="159">
        <v>0</v>
      </c>
      <c r="C92" s="159" t="s">
        <v>76</v>
      </c>
      <c r="D92" s="159" t="s">
        <v>76</v>
      </c>
      <c r="E92" s="159" t="s">
        <v>76</v>
      </c>
      <c r="F92" s="159" t="s">
        <v>76</v>
      </c>
    </row>
    <row r="93" spans="1:6" ht="15" thickBot="1" x14ac:dyDescent="0.35">
      <c r="A93" s="157" t="s">
        <v>207</v>
      </c>
      <c r="B93" s="160">
        <v>4664</v>
      </c>
      <c r="C93" s="160">
        <v>5023</v>
      </c>
      <c r="D93" s="160">
        <v>5636</v>
      </c>
      <c r="E93" s="160">
        <v>6446</v>
      </c>
      <c r="F93" s="160">
        <v>8633</v>
      </c>
    </row>
    <row r="94" spans="1:6" x14ac:dyDescent="0.3">
      <c r="A94" s="154"/>
      <c r="B94" s="154"/>
      <c r="C94" s="154"/>
      <c r="D94" s="154"/>
      <c r="E94" s="154"/>
      <c r="F94" s="154"/>
    </row>
    <row r="95" spans="1:6" x14ac:dyDescent="0.3">
      <c r="A95" s="161" t="s">
        <v>208</v>
      </c>
      <c r="B95" s="162">
        <v>8741</v>
      </c>
      <c r="C95" s="162">
        <v>9087</v>
      </c>
      <c r="D95" s="162">
        <v>9945</v>
      </c>
      <c r="E95" s="162">
        <v>10879</v>
      </c>
      <c r="F95" s="162">
        <v>13412</v>
      </c>
    </row>
    <row r="96" spans="1:6" x14ac:dyDescent="0.3">
      <c r="A96"/>
      <c r="B96"/>
      <c r="C96"/>
      <c r="D96"/>
      <c r="E96"/>
      <c r="F96"/>
    </row>
  </sheetData>
  <mergeCells count="1">
    <mergeCell ref="V1:A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133"/>
  <sheetViews>
    <sheetView topLeftCell="Y11" workbookViewId="0">
      <selection activeCell="AO39" sqref="AO39"/>
    </sheetView>
  </sheetViews>
  <sheetFormatPr defaultRowHeight="14.4" x14ac:dyDescent="0.3"/>
  <cols>
    <col min="3" max="3" width="15.88671875" customWidth="1"/>
    <col min="12" max="12" width="1.33203125" style="39" customWidth="1"/>
    <col min="14" max="14" width="22.33203125" customWidth="1"/>
    <col min="17" max="17" width="1.21875" style="39" customWidth="1"/>
    <col min="18" max="18" width="15.5546875" customWidth="1"/>
    <col min="19" max="19" width="21.109375" customWidth="1"/>
    <col min="20" max="20" width="26.44140625" customWidth="1"/>
    <col min="22" max="22" width="1.44140625" style="39" customWidth="1"/>
    <col min="24" max="24" width="19.21875" customWidth="1"/>
    <col min="34" max="34" width="1.33203125" style="39" customWidth="1"/>
  </cols>
  <sheetData>
    <row r="1" spans="3:25" x14ac:dyDescent="0.3">
      <c r="R1" t="s">
        <v>576</v>
      </c>
      <c r="S1" t="s">
        <v>574</v>
      </c>
      <c r="T1" t="s">
        <v>575</v>
      </c>
      <c r="X1" t="s">
        <v>577</v>
      </c>
    </row>
    <row r="2" spans="3:25" x14ac:dyDescent="0.3">
      <c r="N2" t="s">
        <v>568</v>
      </c>
      <c r="R2">
        <v>2015</v>
      </c>
      <c r="S2">
        <v>4665</v>
      </c>
      <c r="T2" s="330">
        <f>1129*13.5</f>
        <v>15241.5</v>
      </c>
    </row>
    <row r="3" spans="3:25" x14ac:dyDescent="0.3">
      <c r="R3">
        <v>2016</v>
      </c>
      <c r="S3">
        <v>5023</v>
      </c>
      <c r="T3" s="330">
        <f>1133*16.51</f>
        <v>18705.830000000002</v>
      </c>
      <c r="X3" t="s">
        <v>578</v>
      </c>
      <c r="Y3" s="331">
        <v>0.248</v>
      </c>
    </row>
    <row r="4" spans="3:25" x14ac:dyDescent="0.3">
      <c r="C4" t="s">
        <v>558</v>
      </c>
      <c r="D4" s="316">
        <v>0.08</v>
      </c>
      <c r="N4" t="s">
        <v>569</v>
      </c>
      <c r="O4" s="316">
        <v>0.35</v>
      </c>
      <c r="R4" s="1">
        <v>2017</v>
      </c>
      <c r="S4">
        <v>5636</v>
      </c>
      <c r="T4" s="330">
        <f>1136*22.83</f>
        <v>25934.879999999997</v>
      </c>
      <c r="X4" t="s">
        <v>579</v>
      </c>
      <c r="Y4" s="331">
        <v>0.24299999999999999</v>
      </c>
    </row>
    <row r="5" spans="3:25" x14ac:dyDescent="0.3">
      <c r="C5" t="s">
        <v>559</v>
      </c>
      <c r="D5" s="316">
        <v>0.3</v>
      </c>
      <c r="N5" t="s">
        <v>570</v>
      </c>
      <c r="O5" s="316">
        <v>0.15</v>
      </c>
      <c r="R5" s="1">
        <v>2018</v>
      </c>
      <c r="S5">
        <v>6446</v>
      </c>
      <c r="T5" s="330">
        <f>1137*17.36</f>
        <v>19738.32</v>
      </c>
      <c r="X5" t="s">
        <v>580</v>
      </c>
      <c r="Y5" s="331">
        <v>0.17399999999999999</v>
      </c>
    </row>
    <row r="6" spans="3:25" x14ac:dyDescent="0.3">
      <c r="C6" t="s">
        <v>560</v>
      </c>
      <c r="D6" s="316">
        <v>0.44</v>
      </c>
      <c r="N6" t="s">
        <v>571</v>
      </c>
      <c r="O6" s="316">
        <v>0.11</v>
      </c>
      <c r="R6" s="1">
        <v>2019</v>
      </c>
      <c r="S6">
        <v>8633</v>
      </c>
      <c r="T6" s="330">
        <f>1251*20.31</f>
        <v>25407.809999999998</v>
      </c>
      <c r="X6" t="s">
        <v>581</v>
      </c>
      <c r="Y6" s="331">
        <v>0.105</v>
      </c>
    </row>
    <row r="7" spans="3:25" x14ac:dyDescent="0.3">
      <c r="C7" t="s">
        <v>561</v>
      </c>
      <c r="D7" s="316">
        <v>0.18</v>
      </c>
      <c r="N7" t="s">
        <v>572</v>
      </c>
      <c r="O7" s="316">
        <v>0.12</v>
      </c>
      <c r="X7" t="s">
        <v>582</v>
      </c>
      <c r="Y7" s="331">
        <v>8.5000000000000006E-2</v>
      </c>
    </row>
    <row r="8" spans="3:25" x14ac:dyDescent="0.3">
      <c r="D8" s="316">
        <f>SUM(D4:D7)</f>
        <v>1</v>
      </c>
      <c r="N8" t="s">
        <v>573</v>
      </c>
      <c r="O8" s="316">
        <v>0.27</v>
      </c>
      <c r="Y8" s="316"/>
    </row>
    <row r="9" spans="3:25" x14ac:dyDescent="0.3">
      <c r="D9" s="316"/>
      <c r="O9" s="316"/>
    </row>
    <row r="10" spans="3:25" x14ac:dyDescent="0.3">
      <c r="D10" s="316"/>
    </row>
    <row r="11" spans="3:25" x14ac:dyDescent="0.3">
      <c r="D11" s="316"/>
    </row>
    <row r="12" spans="3:25" x14ac:dyDescent="0.3">
      <c r="D12" s="316"/>
      <c r="X12" t="s">
        <v>589</v>
      </c>
      <c r="Y12" s="316"/>
    </row>
    <row r="13" spans="3:25" x14ac:dyDescent="0.3">
      <c r="D13" s="316"/>
      <c r="Y13" s="316"/>
    </row>
    <row r="14" spans="3:25" x14ac:dyDescent="0.3">
      <c r="D14" s="316"/>
      <c r="X14" s="1" t="s">
        <v>579</v>
      </c>
      <c r="Y14" s="331">
        <v>0.27700000000000002</v>
      </c>
    </row>
    <row r="15" spans="3:25" x14ac:dyDescent="0.3">
      <c r="C15" t="s">
        <v>562</v>
      </c>
      <c r="D15" s="316">
        <v>0.03</v>
      </c>
      <c r="X15" s="1" t="s">
        <v>581</v>
      </c>
      <c r="Y15" s="331">
        <v>0.08</v>
      </c>
    </row>
    <row r="16" spans="3:25" x14ac:dyDescent="0.3">
      <c r="C16" t="s">
        <v>563</v>
      </c>
      <c r="D16" s="316">
        <v>0.38</v>
      </c>
      <c r="X16" t="s">
        <v>583</v>
      </c>
      <c r="Y16" s="331">
        <v>0.13100000000000001</v>
      </c>
    </row>
    <row r="17" spans="3:37" x14ac:dyDescent="0.3">
      <c r="C17" t="s">
        <v>564</v>
      </c>
      <c r="D17" s="316">
        <v>0.18</v>
      </c>
      <c r="X17" t="s">
        <v>584</v>
      </c>
      <c r="Y17" s="331">
        <v>7.0000000000000007E-2</v>
      </c>
    </row>
    <row r="18" spans="3:37" x14ac:dyDescent="0.3">
      <c r="C18" t="s">
        <v>565</v>
      </c>
      <c r="D18" s="316">
        <v>0.04</v>
      </c>
      <c r="X18" t="s">
        <v>585</v>
      </c>
      <c r="Y18" s="331">
        <v>7.0000000000000007E-2</v>
      </c>
    </row>
    <row r="19" spans="3:37" x14ac:dyDescent="0.3">
      <c r="C19" t="s">
        <v>566</v>
      </c>
      <c r="D19" s="316">
        <v>0.17</v>
      </c>
      <c r="Y19" s="316"/>
    </row>
    <row r="20" spans="3:37" x14ac:dyDescent="0.3">
      <c r="C20" t="s">
        <v>567</v>
      </c>
      <c r="D20" s="316">
        <v>0.2</v>
      </c>
    </row>
    <row r="21" spans="3:37" x14ac:dyDescent="0.3">
      <c r="D21" s="316">
        <f>SUM(D15:D20)</f>
        <v>1.0000000000000002</v>
      </c>
    </row>
    <row r="25" spans="3:37" x14ac:dyDescent="0.3">
      <c r="X25" t="s">
        <v>588</v>
      </c>
      <c r="Y25" s="316"/>
    </row>
    <row r="26" spans="3:37" x14ac:dyDescent="0.3">
      <c r="Y26" s="316"/>
    </row>
    <row r="27" spans="3:37" x14ac:dyDescent="0.3">
      <c r="X27" s="1" t="s">
        <v>578</v>
      </c>
      <c r="Y27" s="331">
        <v>0.12</v>
      </c>
    </row>
    <row r="28" spans="3:37" x14ac:dyDescent="0.3">
      <c r="X28" s="1" t="s">
        <v>581</v>
      </c>
      <c r="Y28" s="331">
        <v>7.5999999999999998E-2</v>
      </c>
      <c r="AI28" t="s">
        <v>576</v>
      </c>
      <c r="AJ28" t="s">
        <v>594</v>
      </c>
    </row>
    <row r="29" spans="3:37" x14ac:dyDescent="0.3">
      <c r="X29" s="1" t="s">
        <v>579</v>
      </c>
      <c r="Y29" s="331">
        <v>0.112</v>
      </c>
      <c r="AI29">
        <v>2010</v>
      </c>
      <c r="AJ29">
        <v>10</v>
      </c>
    </row>
    <row r="30" spans="3:37" x14ac:dyDescent="0.3">
      <c r="X30" s="1" t="s">
        <v>585</v>
      </c>
      <c r="Y30" s="331">
        <v>8.8999999999999996E-2</v>
      </c>
      <c r="AI30">
        <v>2011</v>
      </c>
      <c r="AJ30">
        <v>12</v>
      </c>
      <c r="AK30" s="314"/>
    </row>
    <row r="31" spans="3:37" x14ac:dyDescent="0.3">
      <c r="X31" t="s">
        <v>587</v>
      </c>
      <c r="Y31" s="331">
        <v>8.2000000000000003E-2</v>
      </c>
      <c r="AI31" s="1">
        <v>2012</v>
      </c>
      <c r="AJ31">
        <v>12</v>
      </c>
      <c r="AK31" s="314"/>
    </row>
    <row r="32" spans="3:37" x14ac:dyDescent="0.3">
      <c r="Y32" s="316"/>
      <c r="AI32" s="1">
        <v>2013</v>
      </c>
      <c r="AJ32">
        <v>12</v>
      </c>
      <c r="AK32" s="314"/>
    </row>
    <row r="33" spans="24:37" x14ac:dyDescent="0.3">
      <c r="AI33" s="1">
        <v>2014</v>
      </c>
      <c r="AJ33">
        <v>18</v>
      </c>
      <c r="AK33" s="314"/>
    </row>
    <row r="34" spans="24:37" x14ac:dyDescent="0.3">
      <c r="AI34" s="1">
        <v>2015</v>
      </c>
      <c r="AJ34">
        <v>20</v>
      </c>
      <c r="AK34" s="314"/>
    </row>
    <row r="35" spans="24:37" x14ac:dyDescent="0.3">
      <c r="AI35" s="1">
        <v>2016</v>
      </c>
      <c r="AJ35">
        <v>22</v>
      </c>
      <c r="AK35" s="314"/>
    </row>
    <row r="36" spans="24:37" x14ac:dyDescent="0.3">
      <c r="AI36" s="1">
        <v>2017</v>
      </c>
      <c r="AJ36">
        <v>25</v>
      </c>
      <c r="AK36" s="314"/>
    </row>
    <row r="37" spans="24:37" x14ac:dyDescent="0.3">
      <c r="AI37" s="1">
        <v>2018</v>
      </c>
      <c r="AJ37">
        <v>27</v>
      </c>
      <c r="AK37" s="314"/>
    </row>
    <row r="38" spans="24:37" x14ac:dyDescent="0.3">
      <c r="AI38" s="1">
        <v>2019</v>
      </c>
      <c r="AJ38">
        <v>27</v>
      </c>
      <c r="AK38" s="314"/>
    </row>
    <row r="39" spans="24:37" x14ac:dyDescent="0.3">
      <c r="Y39" s="316"/>
    </row>
    <row r="40" spans="24:37" x14ac:dyDescent="0.3">
      <c r="X40" t="s">
        <v>586</v>
      </c>
      <c r="Y40" s="316"/>
    </row>
    <row r="41" spans="24:37" x14ac:dyDescent="0.3">
      <c r="X41" t="s">
        <v>590</v>
      </c>
      <c r="Y41" s="331">
        <v>0.32300000000000001</v>
      </c>
    </row>
    <row r="42" spans="24:37" x14ac:dyDescent="0.3">
      <c r="X42" t="s">
        <v>591</v>
      </c>
      <c r="Y42" s="331">
        <v>0.189</v>
      </c>
    </row>
    <row r="43" spans="24:37" x14ac:dyDescent="0.3">
      <c r="X43" t="s">
        <v>432</v>
      </c>
      <c r="Y43" s="331">
        <v>0.12</v>
      </c>
    </row>
    <row r="44" spans="24:37" x14ac:dyDescent="0.3">
      <c r="X44" t="s">
        <v>592</v>
      </c>
      <c r="Y44" s="331">
        <v>0.1</v>
      </c>
    </row>
    <row r="45" spans="24:37" x14ac:dyDescent="0.3">
      <c r="X45" t="s">
        <v>593</v>
      </c>
      <c r="Y45" s="331">
        <v>5.8000000000000003E-2</v>
      </c>
    </row>
    <row r="46" spans="24:37" x14ac:dyDescent="0.3">
      <c r="Y46" s="316"/>
    </row>
    <row r="47" spans="24:37" x14ac:dyDescent="0.3">
      <c r="Y47" s="316"/>
    </row>
    <row r="48" spans="24:37" x14ac:dyDescent="0.3">
      <c r="Y48" s="316"/>
    </row>
    <row r="49" spans="25:25" x14ac:dyDescent="0.3">
      <c r="Y49" s="316"/>
    </row>
    <row r="50" spans="25:25" x14ac:dyDescent="0.3">
      <c r="Y50" s="316"/>
    </row>
    <row r="51" spans="25:25" x14ac:dyDescent="0.3">
      <c r="Y51" s="316"/>
    </row>
    <row r="52" spans="25:25" x14ac:dyDescent="0.3">
      <c r="Y52" s="316"/>
    </row>
    <row r="53" spans="25:25" x14ac:dyDescent="0.3">
      <c r="Y53" s="316"/>
    </row>
    <row r="54" spans="25:25" x14ac:dyDescent="0.3">
      <c r="Y54" s="316"/>
    </row>
    <row r="55" spans="25:25" x14ac:dyDescent="0.3">
      <c r="Y55" s="316"/>
    </row>
    <row r="56" spans="25:25" x14ac:dyDescent="0.3">
      <c r="Y56" s="316"/>
    </row>
    <row r="57" spans="25:25" x14ac:dyDescent="0.3">
      <c r="Y57" s="316"/>
    </row>
    <row r="58" spans="25:25" x14ac:dyDescent="0.3">
      <c r="Y58" s="316"/>
    </row>
    <row r="59" spans="25:25" x14ac:dyDescent="0.3">
      <c r="Y59" s="316"/>
    </row>
    <row r="60" spans="25:25" x14ac:dyDescent="0.3">
      <c r="Y60" s="316"/>
    </row>
    <row r="61" spans="25:25" x14ac:dyDescent="0.3">
      <c r="Y61" s="316"/>
    </row>
    <row r="62" spans="25:25" x14ac:dyDescent="0.3">
      <c r="Y62" s="316"/>
    </row>
    <row r="63" spans="25:25" x14ac:dyDescent="0.3">
      <c r="Y63" s="316"/>
    </row>
    <row r="64" spans="25:25" x14ac:dyDescent="0.3">
      <c r="Y64" s="316"/>
    </row>
    <row r="65" spans="25:25" x14ac:dyDescent="0.3">
      <c r="Y65" s="316"/>
    </row>
    <row r="66" spans="25:25" x14ac:dyDescent="0.3">
      <c r="Y66" s="316"/>
    </row>
    <row r="67" spans="25:25" x14ac:dyDescent="0.3">
      <c r="Y67" s="316"/>
    </row>
    <row r="68" spans="25:25" x14ac:dyDescent="0.3">
      <c r="Y68" s="316"/>
    </row>
    <row r="69" spans="25:25" x14ac:dyDescent="0.3">
      <c r="Y69" s="316"/>
    </row>
    <row r="70" spans="25:25" x14ac:dyDescent="0.3">
      <c r="Y70" s="316"/>
    </row>
    <row r="71" spans="25:25" x14ac:dyDescent="0.3">
      <c r="Y71" s="316"/>
    </row>
    <row r="72" spans="25:25" x14ac:dyDescent="0.3">
      <c r="Y72" s="316"/>
    </row>
    <row r="73" spans="25:25" x14ac:dyDescent="0.3">
      <c r="Y73" s="316"/>
    </row>
    <row r="74" spans="25:25" x14ac:dyDescent="0.3">
      <c r="Y74" s="316"/>
    </row>
    <row r="75" spans="25:25" x14ac:dyDescent="0.3">
      <c r="Y75" s="316"/>
    </row>
    <row r="76" spans="25:25" x14ac:dyDescent="0.3">
      <c r="Y76" s="316"/>
    </row>
    <row r="77" spans="25:25" x14ac:dyDescent="0.3">
      <c r="Y77" s="316"/>
    </row>
    <row r="78" spans="25:25" x14ac:dyDescent="0.3">
      <c r="Y78" s="316"/>
    </row>
    <row r="79" spans="25:25" x14ac:dyDescent="0.3">
      <c r="Y79" s="316"/>
    </row>
    <row r="80" spans="25:25" x14ac:dyDescent="0.3">
      <c r="Y80" s="316"/>
    </row>
    <row r="81" spans="25:25" x14ac:dyDescent="0.3">
      <c r="Y81" s="316"/>
    </row>
    <row r="82" spans="25:25" x14ac:dyDescent="0.3">
      <c r="Y82" s="316"/>
    </row>
    <row r="83" spans="25:25" x14ac:dyDescent="0.3">
      <c r="Y83" s="316"/>
    </row>
    <row r="84" spans="25:25" x14ac:dyDescent="0.3">
      <c r="Y84" s="316"/>
    </row>
    <row r="85" spans="25:25" x14ac:dyDescent="0.3">
      <c r="Y85" s="316"/>
    </row>
    <row r="86" spans="25:25" x14ac:dyDescent="0.3">
      <c r="Y86" s="316"/>
    </row>
    <row r="87" spans="25:25" x14ac:dyDescent="0.3">
      <c r="Y87" s="316"/>
    </row>
    <row r="88" spans="25:25" x14ac:dyDescent="0.3">
      <c r="Y88" s="316"/>
    </row>
    <row r="89" spans="25:25" x14ac:dyDescent="0.3">
      <c r="Y89" s="316"/>
    </row>
    <row r="90" spans="25:25" x14ac:dyDescent="0.3">
      <c r="Y90" s="316"/>
    </row>
    <row r="91" spans="25:25" x14ac:dyDescent="0.3">
      <c r="Y91" s="316"/>
    </row>
    <row r="92" spans="25:25" x14ac:dyDescent="0.3">
      <c r="Y92" s="316"/>
    </row>
    <row r="93" spans="25:25" x14ac:dyDescent="0.3">
      <c r="Y93" s="316"/>
    </row>
    <row r="94" spans="25:25" x14ac:dyDescent="0.3">
      <c r="Y94" s="316"/>
    </row>
    <row r="95" spans="25:25" x14ac:dyDescent="0.3">
      <c r="Y95" s="316"/>
    </row>
    <row r="96" spans="25:25" x14ac:dyDescent="0.3">
      <c r="Y96" s="316"/>
    </row>
    <row r="97" spans="25:25" x14ac:dyDescent="0.3">
      <c r="Y97" s="316"/>
    </row>
    <row r="98" spans="25:25" x14ac:dyDescent="0.3">
      <c r="Y98" s="316"/>
    </row>
    <row r="99" spans="25:25" x14ac:dyDescent="0.3">
      <c r="Y99" s="316"/>
    </row>
    <row r="100" spans="25:25" x14ac:dyDescent="0.3">
      <c r="Y100" s="316"/>
    </row>
    <row r="101" spans="25:25" x14ac:dyDescent="0.3">
      <c r="Y101" s="316"/>
    </row>
    <row r="102" spans="25:25" x14ac:dyDescent="0.3">
      <c r="Y102" s="316"/>
    </row>
    <row r="103" spans="25:25" x14ac:dyDescent="0.3">
      <c r="Y103" s="316"/>
    </row>
    <row r="104" spans="25:25" x14ac:dyDescent="0.3">
      <c r="Y104" s="316"/>
    </row>
    <row r="105" spans="25:25" x14ac:dyDescent="0.3">
      <c r="Y105" s="316"/>
    </row>
    <row r="106" spans="25:25" x14ac:dyDescent="0.3">
      <c r="Y106" s="316"/>
    </row>
    <row r="107" spans="25:25" x14ac:dyDescent="0.3">
      <c r="Y107" s="316"/>
    </row>
    <row r="108" spans="25:25" x14ac:dyDescent="0.3">
      <c r="Y108" s="316"/>
    </row>
    <row r="109" spans="25:25" x14ac:dyDescent="0.3">
      <c r="Y109" s="316"/>
    </row>
    <row r="110" spans="25:25" x14ac:dyDescent="0.3">
      <c r="Y110" s="316"/>
    </row>
    <row r="111" spans="25:25" x14ac:dyDescent="0.3">
      <c r="Y111" s="316"/>
    </row>
    <row r="112" spans="25:25" x14ac:dyDescent="0.3">
      <c r="Y112" s="316"/>
    </row>
    <row r="113" spans="25:25" x14ac:dyDescent="0.3">
      <c r="Y113" s="316"/>
    </row>
    <row r="114" spans="25:25" x14ac:dyDescent="0.3">
      <c r="Y114" s="316"/>
    </row>
    <row r="115" spans="25:25" x14ac:dyDescent="0.3">
      <c r="Y115" s="316"/>
    </row>
    <row r="116" spans="25:25" x14ac:dyDescent="0.3">
      <c r="Y116" s="316"/>
    </row>
    <row r="117" spans="25:25" x14ac:dyDescent="0.3">
      <c r="Y117" s="316"/>
    </row>
    <row r="118" spans="25:25" x14ac:dyDescent="0.3">
      <c r="Y118" s="316"/>
    </row>
    <row r="119" spans="25:25" x14ac:dyDescent="0.3">
      <c r="Y119" s="316"/>
    </row>
    <row r="120" spans="25:25" x14ac:dyDescent="0.3">
      <c r="Y120" s="316"/>
    </row>
    <row r="121" spans="25:25" x14ac:dyDescent="0.3">
      <c r="Y121" s="316"/>
    </row>
    <row r="122" spans="25:25" x14ac:dyDescent="0.3">
      <c r="Y122" s="316"/>
    </row>
    <row r="123" spans="25:25" x14ac:dyDescent="0.3">
      <c r="Y123" s="316"/>
    </row>
    <row r="124" spans="25:25" x14ac:dyDescent="0.3">
      <c r="Y124" s="316"/>
    </row>
    <row r="125" spans="25:25" x14ac:dyDescent="0.3">
      <c r="Y125" s="316"/>
    </row>
    <row r="126" spans="25:25" x14ac:dyDescent="0.3">
      <c r="Y126" s="316"/>
    </row>
    <row r="127" spans="25:25" x14ac:dyDescent="0.3">
      <c r="Y127" s="316"/>
    </row>
    <row r="128" spans="25:25" x14ac:dyDescent="0.3">
      <c r="Y128" s="316"/>
    </row>
    <row r="129" spans="25:25" x14ac:dyDescent="0.3">
      <c r="Y129" s="316"/>
    </row>
    <row r="130" spans="25:25" x14ac:dyDescent="0.3">
      <c r="Y130" s="316"/>
    </row>
    <row r="131" spans="25:25" x14ac:dyDescent="0.3">
      <c r="Y131" s="316"/>
    </row>
    <row r="132" spans="25:25" x14ac:dyDescent="0.3">
      <c r="Y132" s="316"/>
    </row>
    <row r="133" spans="25:25" x14ac:dyDescent="0.3">
      <c r="Y133" s="31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B2" sqref="B2:G13"/>
    </sheetView>
  </sheetViews>
  <sheetFormatPr defaultRowHeight="14.4" x14ac:dyDescent="0.3"/>
  <cols>
    <col min="1" max="1" width="5.109375" style="2" customWidth="1"/>
    <col min="2" max="2" width="32.44140625" style="2" customWidth="1"/>
    <col min="3" max="3" width="13.109375" style="2" customWidth="1"/>
    <col min="4" max="4" width="11.33203125" style="2" customWidth="1"/>
    <col min="5" max="5" width="11.6640625" style="2" customWidth="1"/>
    <col min="6" max="6" width="13" style="2" customWidth="1"/>
    <col min="7" max="7" width="11.21875" style="2" customWidth="1"/>
    <col min="8" max="8" width="11.33203125" style="2" customWidth="1"/>
    <col min="9" max="16384" width="8.88671875" style="2"/>
  </cols>
  <sheetData>
    <row r="2" spans="2:7" x14ac:dyDescent="0.3">
      <c r="B2" s="707"/>
      <c r="C2" s="810">
        <v>2015</v>
      </c>
      <c r="D2" s="810">
        <v>2016</v>
      </c>
      <c r="E2" s="810">
        <v>2017</v>
      </c>
      <c r="F2" s="810">
        <v>2018</v>
      </c>
      <c r="G2" s="810">
        <v>2019</v>
      </c>
    </row>
    <row r="3" spans="2:7" ht="16.8" customHeight="1" x14ac:dyDescent="0.3">
      <c r="B3" s="615" t="s">
        <v>2</v>
      </c>
      <c r="C3" s="811">
        <v>5795</v>
      </c>
      <c r="D3" s="811">
        <v>6473</v>
      </c>
      <c r="E3" s="811">
        <v>7063</v>
      </c>
      <c r="F3" s="811">
        <v>7599</v>
      </c>
      <c r="G3" s="811">
        <v>8029</v>
      </c>
    </row>
    <row r="4" spans="2:7" ht="16.8" customHeight="1" x14ac:dyDescent="0.3">
      <c r="B4" s="58" t="s">
        <v>3</v>
      </c>
      <c r="C4" s="801">
        <v>2080</v>
      </c>
      <c r="D4" s="801">
        <v>2330</v>
      </c>
      <c r="E4" s="801">
        <v>2621</v>
      </c>
      <c r="F4" s="801">
        <v>2885</v>
      </c>
      <c r="G4" s="801">
        <v>2994</v>
      </c>
    </row>
    <row r="5" spans="2:7" ht="19.2" customHeight="1" x14ac:dyDescent="0.3">
      <c r="B5" s="615" t="s">
        <v>682</v>
      </c>
      <c r="C5" s="812">
        <f>C4/C3</f>
        <v>0.35893011216566006</v>
      </c>
      <c r="D5" s="812">
        <f t="shared" ref="D5:G5" si="0">D4/D3</f>
        <v>0.35995674339564343</v>
      </c>
      <c r="E5" s="812">
        <f t="shared" si="0"/>
        <v>0.37108877247628486</v>
      </c>
      <c r="F5" s="812">
        <f t="shared" si="0"/>
        <v>0.37965521779181471</v>
      </c>
      <c r="G5" s="812">
        <f t="shared" si="0"/>
        <v>0.3728982438659858</v>
      </c>
    </row>
    <row r="6" spans="2:7" ht="18.600000000000001" customHeight="1" x14ac:dyDescent="0.3">
      <c r="B6" s="58" t="s">
        <v>69</v>
      </c>
      <c r="C6" s="801">
        <v>634</v>
      </c>
      <c r="D6" s="801">
        <v>743</v>
      </c>
      <c r="E6" s="801">
        <v>790</v>
      </c>
      <c r="F6" s="801">
        <v>1075</v>
      </c>
      <c r="G6" s="801">
        <v>870</v>
      </c>
    </row>
    <row r="7" spans="2:7" ht="20.399999999999999" customHeight="1" x14ac:dyDescent="0.3">
      <c r="B7" s="615" t="s">
        <v>683</v>
      </c>
      <c r="C7" s="812">
        <f>C6/C3</f>
        <v>0.10940465918895599</v>
      </c>
      <c r="D7" s="812">
        <f t="shared" ref="D7:G7" si="1">D6/D3</f>
        <v>0.11478448941758072</v>
      </c>
      <c r="E7" s="812">
        <f t="shared" si="1"/>
        <v>0.11185048846099391</v>
      </c>
      <c r="F7" s="812">
        <f t="shared" si="1"/>
        <v>0.14146598236610081</v>
      </c>
      <c r="G7" s="812">
        <f t="shared" si="1"/>
        <v>0.10835720513139868</v>
      </c>
    </row>
    <row r="8" spans="2:7" ht="16.2" customHeight="1" x14ac:dyDescent="0.3">
      <c r="B8" s="58" t="s">
        <v>684</v>
      </c>
      <c r="C8" s="801">
        <v>1738</v>
      </c>
      <c r="D8" s="801">
        <v>1656</v>
      </c>
      <c r="E8" s="801">
        <v>1586</v>
      </c>
      <c r="F8" s="801">
        <v>1596</v>
      </c>
      <c r="G8" s="801">
        <v>1805</v>
      </c>
    </row>
    <row r="9" spans="2:7" ht="17.399999999999999" customHeight="1" x14ac:dyDescent="0.3">
      <c r="B9" s="615" t="s">
        <v>685</v>
      </c>
      <c r="C9" s="813">
        <v>0.13600000000000001</v>
      </c>
      <c r="D9" s="813">
        <v>0.14799999999999999</v>
      </c>
      <c r="E9" s="814">
        <v>0.14000000000000001</v>
      </c>
      <c r="F9" s="813">
        <v>0.16700000000000001</v>
      </c>
      <c r="G9" s="813">
        <v>0.10100000000000001</v>
      </c>
    </row>
    <row r="10" spans="2:7" ht="16.8" customHeight="1" x14ac:dyDescent="0.3">
      <c r="B10" s="58" t="s">
        <v>686</v>
      </c>
      <c r="C10" s="815">
        <v>0.122</v>
      </c>
      <c r="D10" s="815">
        <v>0.20499999999999999</v>
      </c>
      <c r="E10" s="816">
        <v>0.14899999999999999</v>
      </c>
      <c r="F10" s="815">
        <v>0.15</v>
      </c>
      <c r="G10" s="815">
        <v>0.128</v>
      </c>
    </row>
    <row r="11" spans="2:7" ht="16.8" customHeight="1" x14ac:dyDescent="0.3">
      <c r="B11" s="615" t="s">
        <v>688</v>
      </c>
      <c r="C11" s="811">
        <v>4665</v>
      </c>
      <c r="D11" s="811">
        <v>5023</v>
      </c>
      <c r="E11" s="811">
        <v>5636</v>
      </c>
      <c r="F11" s="811">
        <v>6446</v>
      </c>
      <c r="G11" s="811">
        <v>8633</v>
      </c>
    </row>
    <row r="12" spans="2:7" ht="17.399999999999999" customHeight="1" x14ac:dyDescent="0.3">
      <c r="B12" s="58" t="s">
        <v>687</v>
      </c>
      <c r="C12" s="801">
        <v>11294</v>
      </c>
      <c r="D12" s="801">
        <v>17892</v>
      </c>
      <c r="E12" s="801">
        <v>24039</v>
      </c>
      <c r="F12" s="801">
        <v>22134</v>
      </c>
      <c r="G12" s="801">
        <v>20552</v>
      </c>
    </row>
    <row r="13" spans="2:7" x14ac:dyDescent="0.3">
      <c r="B13" s="615" t="s">
        <v>689</v>
      </c>
      <c r="C13" s="811">
        <v>35425</v>
      </c>
      <c r="D13" s="811">
        <v>36299</v>
      </c>
      <c r="E13" s="811">
        <v>37479</v>
      </c>
      <c r="F13" s="811">
        <v>40098</v>
      </c>
      <c r="G13" s="811">
        <v>41418</v>
      </c>
    </row>
    <row r="14" spans="2:7" x14ac:dyDescent="0.3">
      <c r="C14" s="124"/>
      <c r="D14" s="124"/>
      <c r="E14" s="124"/>
      <c r="F14" s="124"/>
      <c r="G14" s="124"/>
    </row>
    <row r="15" spans="2:7" x14ac:dyDescent="0.3">
      <c r="C15" s="124"/>
      <c r="D15" s="124"/>
      <c r="E15" s="124"/>
      <c r="F15" s="124"/>
      <c r="G15" s="124"/>
    </row>
    <row r="16" spans="2:7" x14ac:dyDescent="0.3">
      <c r="C16" s="124"/>
      <c r="D16" s="124"/>
      <c r="E16" s="124"/>
      <c r="F16" s="124"/>
      <c r="G16" s="124"/>
    </row>
    <row r="17" spans="3:7" x14ac:dyDescent="0.3">
      <c r="C17" s="124"/>
      <c r="D17" s="124"/>
      <c r="E17" s="124"/>
      <c r="F17" s="124"/>
      <c r="G17" s="124"/>
    </row>
    <row r="18" spans="3:7" x14ac:dyDescent="0.3">
      <c r="C18" s="124"/>
      <c r="D18" s="124"/>
      <c r="E18" s="124"/>
      <c r="F18" s="124"/>
      <c r="G18" s="124"/>
    </row>
    <row r="19" spans="3:7" x14ac:dyDescent="0.3">
      <c r="C19" s="124"/>
      <c r="D19" s="124"/>
      <c r="E19" s="124"/>
      <c r="F19" s="124"/>
      <c r="G19" s="1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B1" workbookViewId="0">
      <selection activeCell="J20" sqref="J20:P20"/>
    </sheetView>
  </sheetViews>
  <sheetFormatPr defaultRowHeight="14.4" x14ac:dyDescent="0.3"/>
  <cols>
    <col min="1" max="1" width="16.109375" customWidth="1"/>
    <col min="2" max="2" width="17.6640625" customWidth="1"/>
    <col min="3" max="3" width="20" customWidth="1"/>
    <col min="4" max="4" width="14.88671875" customWidth="1"/>
    <col min="5" max="5" width="17" customWidth="1"/>
    <col min="6" max="6" width="17.6640625" customWidth="1"/>
    <col min="7" max="8" width="2.5546875" style="39" customWidth="1"/>
    <col min="9" max="9" width="12.33203125" customWidth="1"/>
    <col min="10" max="10" width="12.33203125" style="1" customWidth="1"/>
    <col min="11" max="11" width="11.5546875" customWidth="1"/>
    <col min="12" max="12" width="14.77734375" customWidth="1"/>
    <col min="13" max="13" width="10.88671875" customWidth="1"/>
    <col min="14" max="14" width="16.109375" customWidth="1"/>
    <col min="15" max="15" width="11.77734375" customWidth="1"/>
    <col min="16" max="16" width="10.5546875" bestFit="1" customWidth="1"/>
  </cols>
  <sheetData>
    <row r="1" spans="1:16" x14ac:dyDescent="0.3">
      <c r="G1" s="39" t="s">
        <v>290</v>
      </c>
      <c r="I1" s="595">
        <v>0.08</v>
      </c>
      <c r="J1" s="595"/>
    </row>
    <row r="2" spans="1:16" x14ac:dyDescent="0.3">
      <c r="B2" s="594">
        <v>2019</v>
      </c>
      <c r="C2" s="594">
        <v>2020</v>
      </c>
      <c r="D2" s="594">
        <v>2021</v>
      </c>
      <c r="E2" s="594">
        <v>2022</v>
      </c>
      <c r="F2" s="594">
        <v>2023</v>
      </c>
      <c r="J2" s="594">
        <v>0</v>
      </c>
      <c r="K2" s="594">
        <v>1</v>
      </c>
      <c r="L2" s="594">
        <v>2</v>
      </c>
      <c r="M2" s="594">
        <v>3</v>
      </c>
      <c r="N2" s="594">
        <v>4</v>
      </c>
    </row>
    <row r="3" spans="1:16" x14ac:dyDescent="0.3">
      <c r="A3" t="s">
        <v>51</v>
      </c>
      <c r="B3">
        <v>2430</v>
      </c>
      <c r="C3">
        <v>2560</v>
      </c>
      <c r="D3">
        <v>2840</v>
      </c>
      <c r="E3">
        <v>3150</v>
      </c>
      <c r="F3">
        <v>3295</v>
      </c>
      <c r="I3" t="s">
        <v>51</v>
      </c>
      <c r="K3">
        <v>54</v>
      </c>
      <c r="L3">
        <v>64.8</v>
      </c>
      <c r="M3">
        <v>77.760000000000005</v>
      </c>
      <c r="N3">
        <v>93.31</v>
      </c>
    </row>
    <row r="4" spans="1:16" x14ac:dyDescent="0.3">
      <c r="A4" t="s">
        <v>628</v>
      </c>
      <c r="B4">
        <v>430</v>
      </c>
      <c r="C4">
        <v>450</v>
      </c>
      <c r="D4">
        <v>490</v>
      </c>
      <c r="E4">
        <v>515</v>
      </c>
      <c r="F4">
        <v>530</v>
      </c>
      <c r="I4" t="s">
        <v>632</v>
      </c>
      <c r="K4">
        <v>1.2</v>
      </c>
      <c r="L4">
        <v>1.44</v>
      </c>
      <c r="M4">
        <v>1.73</v>
      </c>
    </row>
    <row r="5" spans="1:16" x14ac:dyDescent="0.3">
      <c r="A5" t="s">
        <v>629</v>
      </c>
      <c r="B5">
        <v>560</v>
      </c>
      <c r="C5">
        <v>595</v>
      </c>
      <c r="D5">
        <v>615</v>
      </c>
      <c r="E5">
        <v>638</v>
      </c>
      <c r="F5">
        <v>652</v>
      </c>
      <c r="I5" s="593" t="s">
        <v>633</v>
      </c>
      <c r="J5" s="593"/>
      <c r="K5" s="593">
        <f>K3-K4</f>
        <v>52.8</v>
      </c>
      <c r="L5" s="593">
        <f>L3-L4</f>
        <v>63.36</v>
      </c>
      <c r="M5" s="593">
        <f>M3-M4</f>
        <v>76.03</v>
      </c>
      <c r="N5" s="593">
        <f>N3-N4</f>
        <v>93.31</v>
      </c>
    </row>
    <row r="6" spans="1:16" x14ac:dyDescent="0.3">
      <c r="A6" t="s">
        <v>630</v>
      </c>
      <c r="B6">
        <v>240</v>
      </c>
      <c r="C6">
        <v>280</v>
      </c>
      <c r="D6">
        <v>315</v>
      </c>
      <c r="E6">
        <v>334</v>
      </c>
      <c r="F6">
        <v>352</v>
      </c>
      <c r="I6" s="22" t="s">
        <v>621</v>
      </c>
      <c r="J6" s="597">
        <f>K5/(1+I1)+L5/(1+I1)^2+M5/(1+I1)^3+N5/(I1)/(1+I1)^3</f>
        <v>1089.4710219478736</v>
      </c>
      <c r="K6" s="597">
        <f>L5/(1+I1)+M5/(1+I1)^2+N5/I1/(1+I1)^2</f>
        <v>1123.8287037037035</v>
      </c>
    </row>
    <row r="7" spans="1:16" x14ac:dyDescent="0.3">
      <c r="B7" s="593">
        <f>B3+B4-B5-B6</f>
        <v>2060</v>
      </c>
      <c r="C7" s="593">
        <f t="shared" ref="C7:F7" si="0">C3+C4-C5-C6</f>
        <v>2135</v>
      </c>
      <c r="D7" s="593">
        <f>D3+D4-D5-D6</f>
        <v>2400</v>
      </c>
      <c r="E7" s="593">
        <f t="shared" si="0"/>
        <v>2693</v>
      </c>
      <c r="F7" s="593">
        <f t="shared" si="0"/>
        <v>2821</v>
      </c>
    </row>
    <row r="8" spans="1:16" x14ac:dyDescent="0.3">
      <c r="A8" t="s">
        <v>621</v>
      </c>
      <c r="B8" s="330">
        <f>C7/(1+I1)+D7/(1+I1)^2+E7/(1+I1)^3+F7/I1/(1+I1)^3</f>
        <v>34164.764644617178</v>
      </c>
      <c r="C8" s="330">
        <f>D7/(1+I1)+E7/(1+I1)^2+F7/I1/(1+I1)^2</f>
        <v>34762.945816186555</v>
      </c>
      <c r="D8" s="330">
        <f>E7/(1+I1)+F7/I1/(1+I1)</f>
        <v>35143.981481481474</v>
      </c>
      <c r="E8" s="330">
        <f>F7/(1+I1)+F7/(1+I1)/I1</f>
        <v>35262.5</v>
      </c>
      <c r="F8" s="330">
        <f>F7/I1</f>
        <v>35262.5</v>
      </c>
    </row>
    <row r="9" spans="1:16" s="1" customFormat="1" ht="12" customHeight="1" x14ac:dyDescent="0.3">
      <c r="A9" s="39"/>
      <c r="B9" s="599"/>
      <c r="C9" s="599"/>
      <c r="D9" s="599"/>
      <c r="E9" s="599"/>
      <c r="F9" s="599"/>
      <c r="G9" s="39"/>
      <c r="H9" s="39"/>
    </row>
    <row r="10" spans="1:16" x14ac:dyDescent="0.3">
      <c r="A10" t="s">
        <v>616</v>
      </c>
      <c r="B10" s="22">
        <v>29546</v>
      </c>
      <c r="C10">
        <f>B10-C4+C5+C6</f>
        <v>29971</v>
      </c>
      <c r="D10" s="1">
        <f>C10-D4+D5+D6</f>
        <v>30411</v>
      </c>
      <c r="E10" s="1">
        <f>D10-E4+E5+E6</f>
        <v>30868</v>
      </c>
      <c r="F10" s="1">
        <f>E10-F4+F5+F6</f>
        <v>31342</v>
      </c>
      <c r="I10" t="s">
        <v>616</v>
      </c>
      <c r="J10" s="1">
        <v>430</v>
      </c>
      <c r="K10">
        <f>J10+K4</f>
        <v>431.2</v>
      </c>
      <c r="L10">
        <f>K10+L4</f>
        <v>432.64</v>
      </c>
      <c r="M10">
        <f>L10+M4</f>
        <v>434.37</v>
      </c>
      <c r="N10">
        <f>M10+N4</f>
        <v>434.37</v>
      </c>
    </row>
    <row r="11" spans="1:16" x14ac:dyDescent="0.3">
      <c r="A11" t="s">
        <v>631</v>
      </c>
      <c r="B11" s="330">
        <f>B10*$I$1</f>
        <v>2363.6799999999998</v>
      </c>
      <c r="C11" s="330">
        <f>C10*$I$1</f>
        <v>2397.6799999999998</v>
      </c>
      <c r="D11" s="330">
        <f>D10*$I$1</f>
        <v>2432.88</v>
      </c>
      <c r="E11" s="330">
        <f>E10*$I$1</f>
        <v>2469.44</v>
      </c>
      <c r="F11" s="330">
        <f>F10*$I$1</f>
        <v>2507.36</v>
      </c>
      <c r="I11" s="1" t="s">
        <v>634</v>
      </c>
      <c r="K11" s="1">
        <f>J10*I1</f>
        <v>34.4</v>
      </c>
      <c r="L11" s="1">
        <f>K10*I1</f>
        <v>34.496000000000002</v>
      </c>
      <c r="M11" s="1">
        <f>L10*I1</f>
        <v>34.611199999999997</v>
      </c>
      <c r="N11" s="1">
        <f>M10*I1</f>
        <v>34.749600000000001</v>
      </c>
    </row>
    <row r="12" spans="1:16" x14ac:dyDescent="0.3">
      <c r="A12" t="s">
        <v>618</v>
      </c>
      <c r="B12" s="330">
        <f>B3-B11</f>
        <v>66.320000000000164</v>
      </c>
      <c r="C12" s="330">
        <f>C3-C11</f>
        <v>162.32000000000016</v>
      </c>
      <c r="D12" s="330">
        <f>D3-D11</f>
        <v>407.11999999999989</v>
      </c>
      <c r="E12" s="330">
        <f>E3-E11</f>
        <v>680.56</v>
      </c>
      <c r="F12" s="330">
        <f>F3-F11</f>
        <v>787.63999999999987</v>
      </c>
      <c r="I12" t="s">
        <v>635</v>
      </c>
      <c r="K12">
        <f>K3-K11</f>
        <v>19.600000000000001</v>
      </c>
      <c r="L12" s="1">
        <f>L3-L11</f>
        <v>30.303999999999995</v>
      </c>
      <c r="M12" s="1">
        <f>M3-M11</f>
        <v>43.148800000000008</v>
      </c>
      <c r="N12" s="1">
        <f>N3-N11</f>
        <v>58.560400000000001</v>
      </c>
    </row>
    <row r="13" spans="1:16" x14ac:dyDescent="0.3">
      <c r="A13" t="s">
        <v>619</v>
      </c>
      <c r="B13" s="330">
        <f>C12/(1+I1)+D12/(1+I1)^2+E12/(1+I1)^3+F12/I1/(1+I1)^3</f>
        <v>8855.2618757303226</v>
      </c>
      <c r="I13" t="s">
        <v>636</v>
      </c>
      <c r="J13" s="1">
        <f>K12/(1+I1)+L12/(1+I1)^2+M12/(1+I1)^3+N12/(I1)/(1+I1)^3</f>
        <v>659.47102194787362</v>
      </c>
      <c r="K13">
        <f>L12/(1+I1)+M12/(1+I1)^2+N12/I1/(1+I1)^2</f>
        <v>692.62870370370365</v>
      </c>
    </row>
    <row r="14" spans="1:16" x14ac:dyDescent="0.3">
      <c r="A14" t="s">
        <v>621</v>
      </c>
      <c r="B14" s="330">
        <f>B10+B13</f>
        <v>38401.261875730321</v>
      </c>
      <c r="I14" t="s">
        <v>621</v>
      </c>
      <c r="J14" s="1">
        <f>J13+J10</f>
        <v>1089.4710219478736</v>
      </c>
      <c r="K14" s="596">
        <f>K10+K13</f>
        <v>1123.8287037037037</v>
      </c>
      <c r="O14" t="s">
        <v>290</v>
      </c>
      <c r="P14" s="581">
        <f>WACC</f>
        <v>7.369996445375715E-2</v>
      </c>
    </row>
    <row r="16" spans="1:16" x14ac:dyDescent="0.3">
      <c r="K16">
        <v>2019</v>
      </c>
      <c r="L16">
        <v>2020</v>
      </c>
      <c r="M16">
        <v>2021</v>
      </c>
      <c r="N16">
        <v>2020</v>
      </c>
      <c r="O16">
        <v>2023</v>
      </c>
      <c r="P16">
        <v>2024</v>
      </c>
    </row>
    <row r="17" spans="10:16" x14ac:dyDescent="0.3">
      <c r="J17" s="1" t="s">
        <v>51</v>
      </c>
      <c r="L17" s="330">
        <f>'Residual Income'!I21</f>
        <v>1088.2455886846278</v>
      </c>
      <c r="M17" s="330">
        <f>'Residual Income'!J21</f>
        <v>1409.0196190382628</v>
      </c>
      <c r="N17" s="330">
        <f>'Residual Income'!K21</f>
        <v>1718.9478367441504</v>
      </c>
      <c r="O17" s="330">
        <f>'Residual Income'!L21</f>
        <v>1990.3237137647668</v>
      </c>
      <c r="P17" s="330">
        <f>'Residual Income'!M21</f>
        <v>2248.3350064505435</v>
      </c>
    </row>
    <row r="18" spans="10:16" x14ac:dyDescent="0.3">
      <c r="J18" s="1" t="s">
        <v>628</v>
      </c>
      <c r="L18" s="602">
        <f>'Residual Income'!I22</f>
        <v>1545.6792</v>
      </c>
      <c r="M18" s="602">
        <f>'Residual Income'!J22</f>
        <v>1685.5103999999999</v>
      </c>
      <c r="N18" s="602">
        <f>'Residual Income'!K22</f>
        <v>1842.9036000000001</v>
      </c>
      <c r="O18" s="602">
        <f>'Residual Income'!L22</f>
        <v>2006.42781408</v>
      </c>
      <c r="P18" s="602">
        <f>'Residual Income'!M22</f>
        <v>0</v>
      </c>
    </row>
    <row r="19" spans="10:16" x14ac:dyDescent="0.3">
      <c r="J19" s="1" t="s">
        <v>637</v>
      </c>
      <c r="L19" s="602">
        <f>'Residual Income'!I23</f>
        <v>1635.6792</v>
      </c>
      <c r="M19" s="602">
        <f>'Residual Income'!J23</f>
        <v>1811.7486676961369</v>
      </c>
      <c r="N19" s="602">
        <f>'Residual Income'!K23</f>
        <v>2119.4737138063015</v>
      </c>
      <c r="O19" s="602">
        <f>'Residual Income'!L23</f>
        <v>2435.2268976326486</v>
      </c>
      <c r="P19" s="602">
        <f>'Residual Income'!M23</f>
        <v>0</v>
      </c>
    </row>
    <row r="20" spans="10:16" x14ac:dyDescent="0.3">
      <c r="J20" s="1" t="s">
        <v>638</v>
      </c>
      <c r="L20" s="602">
        <f>'Residual Income'!I25</f>
        <v>216.67213938707573</v>
      </c>
      <c r="M20" s="602">
        <f>'Residual Income'!J25</f>
        <v>203.31646304132664</v>
      </c>
      <c r="N20" s="602">
        <f>'Residual Income'!K25</f>
        <v>253.93376462490687</v>
      </c>
      <c r="O20" s="602">
        <f>'Residual Income'!L25</f>
        <v>186.58637283904136</v>
      </c>
      <c r="P20" s="602">
        <f>'Residual Income'!M25</f>
        <v>0</v>
      </c>
    </row>
    <row r="21" spans="10:16" x14ac:dyDescent="0.3">
      <c r="J21" s="1" t="s">
        <v>639</v>
      </c>
      <c r="L21">
        <v>1</v>
      </c>
      <c r="M21">
        <v>2</v>
      </c>
      <c r="N21">
        <v>3</v>
      </c>
      <c r="O21">
        <v>4</v>
      </c>
      <c r="P21">
        <v>5</v>
      </c>
    </row>
    <row r="22" spans="10:16" x14ac:dyDescent="0.3">
      <c r="J22" s="1" t="s">
        <v>640</v>
      </c>
      <c r="L22" s="598">
        <f>L17+L18-L19-L20</f>
        <v>781.57344929755209</v>
      </c>
      <c r="M22" s="598">
        <f t="shared" ref="M22:P22" si="1">M17+M18-M19-M20</f>
        <v>1079.4648883007992</v>
      </c>
      <c r="N22" s="598">
        <f t="shared" si="1"/>
        <v>1188.443958312942</v>
      </c>
      <c r="O22" s="598">
        <f t="shared" si="1"/>
        <v>1374.9382573730768</v>
      </c>
      <c r="P22" s="598">
        <f t="shared" si="1"/>
        <v>2248.3350064505435</v>
      </c>
    </row>
    <row r="23" spans="10:16" x14ac:dyDescent="0.3">
      <c r="J23" s="1" t="s">
        <v>641</v>
      </c>
      <c r="K23" s="603">
        <f>L22/(1+P14)+M22/(1+P14)^2+N22/(1+P14)^3+O22/(1+P14)^4+P22/P14/(1+P14)^4</f>
        <v>26613.155389287997</v>
      </c>
      <c r="L23" s="603">
        <f>M22/(1+P14)+N22/(1+P14)^2+O22/(1+P14)^3+P22/P14/(1+P14)^3</f>
        <v>27792.970546183289</v>
      </c>
      <c r="M23" s="603">
        <f>N22/(1+P14)+O22/(1+P14)^2+P22/P14/(1+P14)^2</f>
        <v>28761.846599200522</v>
      </c>
      <c r="N23" s="603">
        <f>O22/(1+P14)+P22/P14/(1+P14)</f>
        <v>29693.149712873081</v>
      </c>
      <c r="O23" s="603">
        <f>P22/(1+P14)+P22/P14/(1+P14)</f>
        <v>30506.595533858839</v>
      </c>
      <c r="P23" s="603">
        <f>P22/P14</f>
        <v>30506.595533858843</v>
      </c>
    </row>
    <row r="25" spans="10:16" x14ac:dyDescent="0.3">
      <c r="J25" s="1" t="s">
        <v>616</v>
      </c>
      <c r="K25">
        <v>12589</v>
      </c>
      <c r="L25" s="602">
        <f>K25-L18+L19+L20</f>
        <v>12895.672139387076</v>
      </c>
      <c r="M25" s="602">
        <f t="shared" ref="M25:P25" si="2">L25-M18+M19+M20</f>
        <v>13225.226870124539</v>
      </c>
      <c r="N25" s="602">
        <f t="shared" si="2"/>
        <v>13755.730748555747</v>
      </c>
      <c r="O25" s="602">
        <f t="shared" si="2"/>
        <v>14371.116204947437</v>
      </c>
      <c r="P25" s="602">
        <f t="shared" si="2"/>
        <v>14371.116204947437</v>
      </c>
    </row>
    <row r="26" spans="10:16" x14ac:dyDescent="0.3">
      <c r="J26" s="1" t="s">
        <v>634</v>
      </c>
      <c r="L26" s="330">
        <f>K25*$P$14</f>
        <v>927.80885250834876</v>
      </c>
      <c r="M26" s="330">
        <f t="shared" ref="M26:P26" si="3">L25*$P$14</f>
        <v>950.4105782801339</v>
      </c>
      <c r="N26" s="330">
        <f t="shared" si="3"/>
        <v>974.69875022105248</v>
      </c>
      <c r="O26" s="330">
        <f t="shared" si="3"/>
        <v>1013.7968672040128</v>
      </c>
      <c r="P26" s="330">
        <f t="shared" si="3"/>
        <v>1059.1507534654395</v>
      </c>
    </row>
    <row r="27" spans="10:16" x14ac:dyDescent="0.3">
      <c r="J27" s="1" t="s">
        <v>618</v>
      </c>
      <c r="L27" s="330">
        <f>L17-L26</f>
        <v>160.43673617627906</v>
      </c>
      <c r="M27" s="330">
        <f t="shared" ref="M27:P27" si="4">M17-M26</f>
        <v>458.60904075812891</v>
      </c>
      <c r="N27" s="330">
        <f t="shared" si="4"/>
        <v>744.24908652309796</v>
      </c>
      <c r="O27" s="330">
        <f t="shared" si="4"/>
        <v>976.52684656075405</v>
      </c>
      <c r="P27" s="330">
        <f t="shared" si="4"/>
        <v>1189.184252985104</v>
      </c>
    </row>
    <row r="28" spans="10:16" x14ac:dyDescent="0.3">
      <c r="J28" s="1" t="s">
        <v>619</v>
      </c>
      <c r="K28" s="311">
        <f>L27/(1+P14)+M27/(1+P14)^2+N27/(1+P14)^3+O27/(1+P14)^4+P27/P14/(1+P14)^4</f>
        <v>14024.155389288006</v>
      </c>
      <c r="L28" s="311"/>
      <c r="M28" s="311"/>
      <c r="N28" s="311"/>
      <c r="O28" s="311"/>
      <c r="P28" s="311"/>
    </row>
    <row r="29" spans="10:16" x14ac:dyDescent="0.3">
      <c r="J29" s="1" t="s">
        <v>621</v>
      </c>
      <c r="K29" s="593">
        <f>K25+K28</f>
        <v>26613.155389288004</v>
      </c>
      <c r="L29" s="593"/>
      <c r="M29" s="593"/>
      <c r="N29" s="593"/>
      <c r="O29" s="593"/>
      <c r="P29" s="5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"/>
  <sheetViews>
    <sheetView tabSelected="1" zoomScale="74" zoomScaleNormal="74" workbookViewId="0">
      <selection activeCell="N7" sqref="N7"/>
    </sheetView>
  </sheetViews>
  <sheetFormatPr defaultRowHeight="14.4" x14ac:dyDescent="0.3"/>
  <cols>
    <col min="1" max="1" width="1.21875" style="2" customWidth="1"/>
    <col min="2" max="2" width="37.6640625" style="2" customWidth="1"/>
    <col min="3" max="3" width="15.88671875" style="2" hidden="1" customWidth="1"/>
    <col min="4" max="4" width="18" style="2" customWidth="1"/>
    <col min="5" max="5" width="15.88671875" style="2" customWidth="1"/>
    <col min="6" max="7" width="16.33203125" style="2" customWidth="1"/>
    <col min="8" max="8" width="18.33203125" style="2" customWidth="1"/>
    <col min="9" max="10" width="16.6640625" style="2" customWidth="1"/>
    <col min="11" max="11" width="14.77734375" style="2" customWidth="1"/>
    <col min="12" max="12" width="13.33203125" style="2" customWidth="1"/>
    <col min="13" max="16" width="16.6640625" style="2" customWidth="1"/>
    <col min="17" max="17" width="8.88671875" style="2"/>
    <col min="18" max="18" width="26.21875" style="2" customWidth="1"/>
    <col min="19" max="19" width="11.77734375" style="2" customWidth="1"/>
    <col min="20" max="16384" width="8.88671875" style="2"/>
  </cols>
  <sheetData>
    <row r="1" spans="2:20" x14ac:dyDescent="0.3">
      <c r="B1" s="125"/>
      <c r="C1" s="126"/>
      <c r="D1" s="841" t="s">
        <v>220</v>
      </c>
      <c r="E1" s="841"/>
      <c r="F1" s="841"/>
      <c r="G1" s="841"/>
      <c r="H1" s="843" t="s">
        <v>622</v>
      </c>
      <c r="I1" s="840" t="s">
        <v>221</v>
      </c>
      <c r="J1" s="840"/>
      <c r="K1" s="840"/>
      <c r="L1" s="840"/>
      <c r="M1" s="840"/>
      <c r="N1" s="124"/>
      <c r="O1" s="124"/>
      <c r="P1" s="124"/>
      <c r="Q1" s="124"/>
      <c r="R1" s="124"/>
      <c r="S1" s="124"/>
    </row>
    <row r="2" spans="2:20" ht="12" customHeight="1" thickBot="1" x14ac:dyDescent="0.35">
      <c r="B2" s="127"/>
      <c r="C2" s="128"/>
      <c r="D2" s="842"/>
      <c r="E2" s="842"/>
      <c r="F2" s="842"/>
      <c r="G2" s="842"/>
      <c r="H2" s="844"/>
      <c r="I2" s="840"/>
      <c r="J2" s="840"/>
      <c r="K2" s="840"/>
      <c r="L2" s="840"/>
      <c r="M2" s="840"/>
      <c r="N2" s="124"/>
      <c r="O2" s="124"/>
      <c r="P2" s="124"/>
      <c r="Q2" s="124"/>
      <c r="R2" s="124"/>
      <c r="S2" s="124"/>
    </row>
    <row r="3" spans="2:20" ht="23.4" customHeight="1" x14ac:dyDescent="0.3">
      <c r="B3" s="332" t="s">
        <v>12</v>
      </c>
      <c r="C3" s="333">
        <v>41912</v>
      </c>
      <c r="D3" s="334" t="s">
        <v>13</v>
      </c>
      <c r="E3" s="335">
        <v>42643</v>
      </c>
      <c r="F3" s="335">
        <v>43008</v>
      </c>
      <c r="G3" s="335">
        <v>43373</v>
      </c>
      <c r="H3" s="336">
        <v>43738</v>
      </c>
      <c r="I3" s="337" t="s">
        <v>41</v>
      </c>
      <c r="J3" s="338" t="s">
        <v>42</v>
      </c>
      <c r="K3" s="339" t="s">
        <v>43</v>
      </c>
      <c r="L3" s="339" t="s">
        <v>44</v>
      </c>
      <c r="M3" s="340" t="s">
        <v>45</v>
      </c>
      <c r="N3" s="188" t="s">
        <v>65</v>
      </c>
      <c r="O3" s="191" t="s">
        <v>66</v>
      </c>
      <c r="P3" s="40" t="s">
        <v>67</v>
      </c>
      <c r="Q3" s="129"/>
      <c r="R3" s="838" t="s">
        <v>32</v>
      </c>
      <c r="S3" s="839"/>
    </row>
    <row r="4" spans="2:20" ht="17.399999999999999" customHeight="1" thickBot="1" x14ac:dyDescent="0.35">
      <c r="B4" s="341" t="s">
        <v>595</v>
      </c>
      <c r="C4" s="342">
        <v>4320</v>
      </c>
      <c r="D4" s="343">
        <v>5795</v>
      </c>
      <c r="E4" s="344">
        <v>6473</v>
      </c>
      <c r="F4" s="344">
        <v>7063</v>
      </c>
      <c r="G4" s="344">
        <v>7599</v>
      </c>
      <c r="H4" s="345">
        <v>8029</v>
      </c>
      <c r="I4" s="49">
        <f>'Revenue Analysis by Segment'!I40</f>
        <v>8255.521467999999</v>
      </c>
      <c r="J4" s="67">
        <f>'Revenue Analysis by Segment'!J19+G30</f>
        <v>11423.201228090726</v>
      </c>
      <c r="K4" s="68">
        <f>'Revenue Analysis by Segment'!K19+I30</f>
        <v>12987.452506477573</v>
      </c>
      <c r="L4" s="68">
        <f>'Revenue Analysis by Segment'!L19+J30</f>
        <v>14631.656283297112</v>
      </c>
      <c r="M4" s="69">
        <f>'Revenue Analysis by Segment'!M19+K30</f>
        <v>16623.165368023198</v>
      </c>
      <c r="N4" s="189">
        <f>_xlfn.RRI(4,D4,H4)</f>
        <v>8.493071477443892E-2</v>
      </c>
      <c r="O4" s="192">
        <f>_xlfn.RRI(4,I4,M4)</f>
        <v>0.1912208973346694</v>
      </c>
      <c r="P4" s="131"/>
      <c r="Q4" s="124"/>
      <c r="R4" s="233" t="s">
        <v>33</v>
      </c>
      <c r="S4" s="234">
        <v>0.61350000000000005</v>
      </c>
    </row>
    <row r="5" spans="2:20" ht="18.600000000000001" customHeight="1" thickBot="1" x14ac:dyDescent="0.35">
      <c r="B5" s="346" t="s">
        <v>596</v>
      </c>
      <c r="C5" s="347"/>
      <c r="D5" s="348">
        <f t="shared" ref="D5:K5" si="0">(D4-C4)/C4</f>
        <v>0.34143518518518517</v>
      </c>
      <c r="E5" s="349">
        <f t="shared" si="0"/>
        <v>0.11699741156169112</v>
      </c>
      <c r="F5" s="349">
        <f t="shared" si="0"/>
        <v>9.1147844894175808E-2</v>
      </c>
      <c r="G5" s="349">
        <f t="shared" si="0"/>
        <v>7.5888432677332585E-2</v>
      </c>
      <c r="H5" s="350">
        <f t="shared" si="0"/>
        <v>5.6586392946440321E-2</v>
      </c>
      <c r="I5" s="349">
        <f t="shared" si="0"/>
        <v>2.821291169510512E-2</v>
      </c>
      <c r="J5" s="348">
        <f t="shared" si="0"/>
        <v>0.38370438165163367</v>
      </c>
      <c r="K5" s="349">
        <f t="shared" si="0"/>
        <v>0.13693633222009666</v>
      </c>
      <c r="L5" s="349">
        <f>(L4-K4)/K4</f>
        <v>0.126599406311552</v>
      </c>
      <c r="M5" s="350">
        <f>(M4-L4)/L4</f>
        <v>0.13610961371471725</v>
      </c>
      <c r="N5" s="190"/>
      <c r="O5" s="193"/>
      <c r="P5" s="132"/>
      <c r="Q5" s="124"/>
      <c r="R5" s="233" t="s">
        <v>59</v>
      </c>
      <c r="S5" s="234">
        <f>(E6-D6)/D6</f>
        <v>0.11520861372812921</v>
      </c>
    </row>
    <row r="6" spans="2:20" ht="18" customHeight="1" x14ac:dyDescent="0.3">
      <c r="B6" s="351" t="s">
        <v>597</v>
      </c>
      <c r="C6" s="352">
        <v>2673</v>
      </c>
      <c r="D6" s="353">
        <v>3715</v>
      </c>
      <c r="E6" s="354">
        <v>4143</v>
      </c>
      <c r="F6" s="354">
        <v>4442</v>
      </c>
      <c r="G6" s="354">
        <v>4714</v>
      </c>
      <c r="H6" s="355">
        <v>5035</v>
      </c>
      <c r="I6" s="356">
        <f>'Residual Income'!I6</f>
        <v>5081.273463554</v>
      </c>
      <c r="J6" s="605">
        <f>'Residual Income'!J6</f>
        <v>7144.6707784590299</v>
      </c>
      <c r="K6" s="356">
        <f>'Residual Income'!K6</f>
        <v>7993.7770177369475</v>
      </c>
      <c r="L6" s="356">
        <f>'Residual Income'!L6</f>
        <v>8969.2053016611299</v>
      </c>
      <c r="M6" s="606">
        <f>'Residual Income'!M6</f>
        <v>10231.55828401828</v>
      </c>
      <c r="N6" s="189">
        <f>_xlfn.RRI(4,D6,H6)</f>
        <v>7.8971974120392696E-2</v>
      </c>
      <c r="O6" s="192">
        <f t="shared" ref="O6:O21" si="1">_xlfn.RRI(4,I6,M6)</f>
        <v>0.1912208973346694</v>
      </c>
      <c r="P6" s="131"/>
      <c r="Q6" s="124"/>
      <c r="R6" s="233" t="s">
        <v>16</v>
      </c>
      <c r="S6" s="235">
        <f>I8/I4</f>
        <v>0.3844999999999999</v>
      </c>
    </row>
    <row r="7" spans="2:20" ht="16.8" customHeight="1" x14ac:dyDescent="0.3">
      <c r="B7" s="346" t="s">
        <v>598</v>
      </c>
      <c r="C7" s="357"/>
      <c r="D7" s="358">
        <f>D6/D4</f>
        <v>0.64106988783433994</v>
      </c>
      <c r="E7" s="359">
        <f>E6/E4</f>
        <v>0.64004325660435657</v>
      </c>
      <c r="F7" s="359">
        <f>F6/F4</f>
        <v>0.62891122752371509</v>
      </c>
      <c r="G7" s="359">
        <f>G6/G4</f>
        <v>0.62034478220818534</v>
      </c>
      <c r="H7" s="360">
        <f>H6/H4</f>
        <v>0.6271017561340142</v>
      </c>
      <c r="I7" s="64">
        <f>'Residual Income'!I7</f>
        <v>0.61550000000000005</v>
      </c>
      <c r="J7" s="72">
        <f>'Residual Income'!J7</f>
        <v>0.61350000000000005</v>
      </c>
      <c r="K7" s="73">
        <v>0.61550000000000005</v>
      </c>
      <c r="L7" s="73">
        <f>'Residual Income'!L7</f>
        <v>0.61299999999999999</v>
      </c>
      <c r="M7" s="74">
        <v>0.61550000000000005</v>
      </c>
      <c r="N7" s="190"/>
      <c r="O7" s="193"/>
      <c r="P7" s="132"/>
      <c r="Q7" s="124"/>
      <c r="R7" s="233" t="s">
        <v>60</v>
      </c>
      <c r="S7" s="235">
        <f>AVERAGE(D12:I12)</f>
        <v>-0.11551069335750153</v>
      </c>
      <c r="T7" s="5">
        <f>AVERAGE(F15:I15)</f>
        <v>-1.527210185500988E-2</v>
      </c>
    </row>
    <row r="8" spans="2:20" ht="18" customHeight="1" thickBot="1" x14ac:dyDescent="0.35">
      <c r="B8" s="341" t="s">
        <v>599</v>
      </c>
      <c r="C8" s="361">
        <f t="shared" ref="C8:M8" si="2">C4-C6</f>
        <v>1647</v>
      </c>
      <c r="D8" s="362">
        <f>D4-D6</f>
        <v>2080</v>
      </c>
      <c r="E8" s="363">
        <f t="shared" si="2"/>
        <v>2330</v>
      </c>
      <c r="F8" s="363">
        <f t="shared" si="2"/>
        <v>2621</v>
      </c>
      <c r="G8" s="363">
        <f t="shared" si="2"/>
        <v>2885</v>
      </c>
      <c r="H8" s="364">
        <f t="shared" si="2"/>
        <v>2994</v>
      </c>
      <c r="I8" s="365">
        <f t="shared" si="2"/>
        <v>3174.248004445999</v>
      </c>
      <c r="J8" s="362">
        <f>J4-J6</f>
        <v>4278.5304496316958</v>
      </c>
      <c r="K8" s="363">
        <f t="shared" si="2"/>
        <v>4993.675488740626</v>
      </c>
      <c r="L8" s="363">
        <f t="shared" si="2"/>
        <v>5662.4509816359823</v>
      </c>
      <c r="M8" s="364">
        <f t="shared" si="2"/>
        <v>6391.6070840049179</v>
      </c>
      <c r="N8" s="189">
        <f>_xlfn.RRI(4,D8,H8)</f>
        <v>9.5335378458491382E-2</v>
      </c>
      <c r="O8" s="192">
        <f t="shared" si="1"/>
        <v>0.1912208973346694</v>
      </c>
      <c r="P8" s="131"/>
      <c r="Q8" s="124"/>
      <c r="R8" s="236" t="s">
        <v>62</v>
      </c>
      <c r="S8" s="237">
        <f>AVERAGE(I16,H16,F16,E16,D16)</f>
        <v>-24</v>
      </c>
    </row>
    <row r="9" spans="2:20" ht="19.2" customHeight="1" x14ac:dyDescent="0.3">
      <c r="B9" s="346" t="s">
        <v>600</v>
      </c>
      <c r="C9" s="357"/>
      <c r="D9" s="72">
        <f t="shared" ref="D9:M9" si="3">(D8-C8)/C8</f>
        <v>0.26290224650880389</v>
      </c>
      <c r="E9" s="73">
        <f t="shared" si="3"/>
        <v>0.1201923076923077</v>
      </c>
      <c r="F9" s="73">
        <f t="shared" si="3"/>
        <v>0.12489270386266095</v>
      </c>
      <c r="G9" s="73">
        <f t="shared" si="3"/>
        <v>0.10072491415490271</v>
      </c>
      <c r="H9" s="74">
        <f t="shared" si="3"/>
        <v>3.7781629116117849E-2</v>
      </c>
      <c r="I9" s="64">
        <f t="shared" si="3"/>
        <v>6.0203074297260843E-2</v>
      </c>
      <c r="J9" s="72">
        <f t="shared" si="3"/>
        <v>0.34788789144357579</v>
      </c>
      <c r="K9" s="73">
        <f t="shared" si="3"/>
        <v>0.16714735293527974</v>
      </c>
      <c r="L9" s="73">
        <f t="shared" si="3"/>
        <v>0.13392449998067804</v>
      </c>
      <c r="M9" s="74">
        <f t="shared" si="3"/>
        <v>0.12877040432379502</v>
      </c>
      <c r="N9" s="190"/>
      <c r="O9" s="193"/>
      <c r="P9" s="132"/>
      <c r="Q9" s="124"/>
      <c r="R9" s="328" t="s">
        <v>50</v>
      </c>
      <c r="S9" s="329">
        <f>AVERAGE(F20:H20)</f>
        <v>-0.14764499001431847</v>
      </c>
    </row>
    <row r="10" spans="2:20" ht="17.399999999999999" customHeight="1" x14ac:dyDescent="0.3">
      <c r="B10" s="351" t="s">
        <v>601</v>
      </c>
      <c r="C10" s="366"/>
      <c r="D10" s="75">
        <f t="shared" ref="D10:M10" si="4">D8/D4</f>
        <v>0.35893011216566006</v>
      </c>
      <c r="E10" s="57">
        <f t="shared" si="4"/>
        <v>0.35995674339564343</v>
      </c>
      <c r="F10" s="57">
        <f t="shared" si="4"/>
        <v>0.37108877247628486</v>
      </c>
      <c r="G10" s="57">
        <f t="shared" si="4"/>
        <v>0.37965521779181471</v>
      </c>
      <c r="H10" s="76">
        <f t="shared" si="4"/>
        <v>0.3728982438659858</v>
      </c>
      <c r="I10" s="57">
        <f t="shared" si="4"/>
        <v>0.3844999999999999</v>
      </c>
      <c r="J10" s="75">
        <f t="shared" si="4"/>
        <v>0.37454741137802838</v>
      </c>
      <c r="K10" s="57">
        <f t="shared" si="4"/>
        <v>0.3844999999999999</v>
      </c>
      <c r="L10" s="57">
        <f t="shared" si="4"/>
        <v>0.38700000000000001</v>
      </c>
      <c r="M10" s="76">
        <f t="shared" si="4"/>
        <v>0.3844999999999999</v>
      </c>
      <c r="N10" s="189"/>
      <c r="O10" s="192"/>
      <c r="P10" s="131"/>
      <c r="Q10" s="124"/>
      <c r="R10" s="124"/>
      <c r="S10" s="124"/>
    </row>
    <row r="11" spans="2:20" ht="18.600000000000001" customHeight="1" x14ac:dyDescent="0.3">
      <c r="B11" s="346" t="s">
        <v>602</v>
      </c>
      <c r="C11" s="367"/>
      <c r="D11" s="368">
        <v>-717</v>
      </c>
      <c r="E11" s="369">
        <v>-770</v>
      </c>
      <c r="F11" s="369">
        <v>-776</v>
      </c>
      <c r="G11" s="369">
        <v>-836</v>
      </c>
      <c r="H11" s="370">
        <v>-945</v>
      </c>
      <c r="I11" s="371">
        <f>I4*I12</f>
        <v>-931.22282159039992</v>
      </c>
      <c r="J11" s="372">
        <f>J4*J12</f>
        <v>-1319.5018942190227</v>
      </c>
      <c r="K11" s="373">
        <f>K4*K12</f>
        <v>-1500.1896439708455</v>
      </c>
      <c r="L11" s="373">
        <f>L4*L12</f>
        <v>-1698.5633260635545</v>
      </c>
      <c r="M11" s="374">
        <f>M4*M12</f>
        <v>-1939.4028948652701</v>
      </c>
      <c r="N11" s="190">
        <f>_xlfn.RRI(4,D11,H11)</f>
        <v>7.1465429458865026E-2</v>
      </c>
      <c r="O11" s="193">
        <f t="shared" si="1"/>
        <v>0.20130589213576044</v>
      </c>
      <c r="P11" s="132"/>
      <c r="Q11" s="124"/>
      <c r="R11" s="124"/>
      <c r="S11" s="124"/>
    </row>
    <row r="12" spans="2:20" ht="18" customHeight="1" x14ac:dyDescent="0.3">
      <c r="B12" s="351" t="s">
        <v>598</v>
      </c>
      <c r="C12" s="375"/>
      <c r="D12" s="99">
        <f>D11/D4</f>
        <v>-0.12372735116479724</v>
      </c>
      <c r="E12" s="100">
        <f>E11/E4</f>
        <v>-0.11895566198053453</v>
      </c>
      <c r="F12" s="100">
        <f>F11/F4</f>
        <v>-0.10986832790598895</v>
      </c>
      <c r="G12" s="100">
        <f>G11/G4</f>
        <v>-0.11001447558889328</v>
      </c>
      <c r="H12" s="101">
        <f>H11/H4</f>
        <v>-0.11769834350479512</v>
      </c>
      <c r="I12" s="376">
        <f>'Residual Income'!I12</f>
        <v>-0.1128</v>
      </c>
      <c r="J12" s="377">
        <f>S7</f>
        <v>-0.11551069335750153</v>
      </c>
      <c r="K12" s="378">
        <f>S7</f>
        <v>-0.11551069335750153</v>
      </c>
      <c r="L12" s="378">
        <f>K12*(1+0.005)</f>
        <v>-0.11608824682428902</v>
      </c>
      <c r="M12" s="379">
        <f>L12*(1+0.005)</f>
        <v>-0.11666868805841045</v>
      </c>
      <c r="N12" s="189"/>
      <c r="O12" s="192"/>
      <c r="P12" s="131"/>
      <c r="Q12" s="124"/>
      <c r="R12" s="124"/>
      <c r="S12" s="124"/>
    </row>
    <row r="13" spans="2:20" ht="17.399999999999999" customHeight="1" x14ac:dyDescent="0.3">
      <c r="B13" s="346" t="s">
        <v>603</v>
      </c>
      <c r="C13" s="380"/>
      <c r="D13" s="368">
        <v>-778</v>
      </c>
      <c r="E13" s="369">
        <v>-791</v>
      </c>
      <c r="F13" s="369">
        <v>-819</v>
      </c>
      <c r="G13" s="369">
        <v>-850</v>
      </c>
      <c r="H13" s="370">
        <v>-865</v>
      </c>
      <c r="I13" s="371">
        <f>I4*I14</f>
        <v>-944.73625499133095</v>
      </c>
      <c r="J13" s="372">
        <f>J4*J14</f>
        <v>-1287.2714588459189</v>
      </c>
      <c r="K13" s="373">
        <f>K4*K14</f>
        <v>-1441.1942721296032</v>
      </c>
      <c r="L13" s="373">
        <f>L4*L14</f>
        <v>-1598.8520843913723</v>
      </c>
      <c r="M13" s="374">
        <f>M4*M14</f>
        <v>-1788.7298904354611</v>
      </c>
      <c r="N13" s="190">
        <f>_xlfn.RRI(4,D13,H13)</f>
        <v>2.6855012975239623E-2</v>
      </c>
      <c r="O13" s="193">
        <f t="shared" si="1"/>
        <v>0.17302845045875803</v>
      </c>
      <c r="P13" s="132"/>
    </row>
    <row r="14" spans="2:20" ht="18.600000000000001" customHeight="1" x14ac:dyDescent="0.3">
      <c r="B14" s="351" t="s">
        <v>598</v>
      </c>
      <c r="C14" s="381"/>
      <c r="D14" s="99">
        <f>D13/D4</f>
        <v>-0.13425366695427093</v>
      </c>
      <c r="E14" s="100">
        <f>E13/E4</f>
        <v>-0.12219990730727638</v>
      </c>
      <c r="F14" s="100">
        <f>F13/F4</f>
        <v>-0.1159563924677899</v>
      </c>
      <c r="G14" s="100">
        <f>G13/G4</f>
        <v>-0.11185682326621924</v>
      </c>
      <c r="H14" s="101">
        <f>H13/H4</f>
        <v>-0.10773446257317225</v>
      </c>
      <c r="I14" s="376">
        <f>AVERAGE(E14:H14)</f>
        <v>-0.11443689640361444</v>
      </c>
      <c r="J14" s="377">
        <f>I14*(1+T7)</f>
        <v>-0.11268920446576722</v>
      </c>
      <c r="K14" s="378">
        <f>J14*(1+T7)</f>
        <v>-0.11096820345720598</v>
      </c>
      <c r="L14" s="378">
        <f>K14*(1+T7)</f>
        <v>-0.10927348575134006</v>
      </c>
      <c r="M14" s="379">
        <f>L14*(1+T7)</f>
        <v>-0.10760464994689362</v>
      </c>
      <c r="N14" s="189"/>
      <c r="O14" s="192"/>
      <c r="P14" s="131"/>
    </row>
    <row r="15" spans="2:20" hidden="1" x14ac:dyDescent="0.3">
      <c r="B15" s="382" t="s">
        <v>61</v>
      </c>
      <c r="C15" s="383"/>
      <c r="D15" s="102"/>
      <c r="E15" s="103">
        <f t="shared" ref="E15:M15" si="5">(E14-D14)/D14</f>
        <v>-8.9783466779348869E-2</v>
      </c>
      <c r="F15" s="103">
        <f t="shared" si="5"/>
        <v>-5.1092631549931759E-2</v>
      </c>
      <c r="G15" s="103">
        <f t="shared" si="5"/>
        <v>-3.5354404481921335E-2</v>
      </c>
      <c r="H15" s="104">
        <f t="shared" si="5"/>
        <v>-3.6853904595840058E-2</v>
      </c>
      <c r="I15" s="45">
        <f t="shared" si="5"/>
        <v>6.2212533207653624E-2</v>
      </c>
      <c r="J15" s="77">
        <f t="shared" si="5"/>
        <v>-1.527210185500999E-2</v>
      </c>
      <c r="K15" s="78">
        <f t="shared" si="5"/>
        <v>-1.5272101855009913E-2</v>
      </c>
      <c r="L15" s="78">
        <f t="shared" si="5"/>
        <v>-1.5272101855009974E-2</v>
      </c>
      <c r="M15" s="79">
        <f t="shared" si="5"/>
        <v>-1.5272101855009983E-2</v>
      </c>
      <c r="N15" s="189" t="e">
        <f>_xlfn.RRI(4,D15,H15)</f>
        <v>#NUM!</v>
      </c>
      <c r="O15" s="192" t="e">
        <f t="shared" si="1"/>
        <v>#NUM!</v>
      </c>
      <c r="P15" s="131"/>
    </row>
    <row r="16" spans="2:20" ht="18.600000000000001" customHeight="1" x14ac:dyDescent="0.3">
      <c r="B16" s="346" t="s">
        <v>604</v>
      </c>
      <c r="C16" s="380"/>
      <c r="D16" s="368">
        <v>-30</v>
      </c>
      <c r="E16" s="369">
        <v>-6</v>
      </c>
      <c r="F16" s="369">
        <v>-43</v>
      </c>
      <c r="G16" s="369">
        <v>270</v>
      </c>
      <c r="H16" s="370">
        <v>-23</v>
      </c>
      <c r="I16" s="384">
        <v>-18</v>
      </c>
      <c r="J16" s="372">
        <f>I16*(1+I17)</f>
        <v>-14.086956521739131</v>
      </c>
      <c r="K16" s="373">
        <v>-30</v>
      </c>
      <c r="L16" s="373">
        <f>K16*(1+I17)</f>
        <v>-23.478260869565219</v>
      </c>
      <c r="M16" s="374">
        <f>L16*(1+I17)</f>
        <v>-18.374291115311912</v>
      </c>
      <c r="N16" s="190"/>
      <c r="O16" s="193"/>
      <c r="P16" s="132"/>
    </row>
    <row r="17" spans="2:16" ht="10.199999999999999" hidden="1" customHeight="1" x14ac:dyDescent="0.3">
      <c r="B17" s="382" t="s">
        <v>63</v>
      </c>
      <c r="C17" s="383"/>
      <c r="D17" s="385"/>
      <c r="E17" s="106">
        <f t="shared" ref="E17:M17" si="6">(E16-D16)/D16</f>
        <v>-0.8</v>
      </c>
      <c r="F17" s="106">
        <f t="shared" si="6"/>
        <v>6.166666666666667</v>
      </c>
      <c r="G17" s="106">
        <f t="shared" si="6"/>
        <v>-7.2790697674418601</v>
      </c>
      <c r="H17" s="107">
        <f t="shared" si="6"/>
        <v>-1.0851851851851853</v>
      </c>
      <c r="I17" s="46">
        <f t="shared" si="6"/>
        <v>-0.21739130434782608</v>
      </c>
      <c r="J17" s="80">
        <f t="shared" si="6"/>
        <v>-0.21739130434782605</v>
      </c>
      <c r="K17" s="81">
        <f>(K16-J16)/J16</f>
        <v>1.1296296296296295</v>
      </c>
      <c r="L17" s="81">
        <f t="shared" si="6"/>
        <v>-0.21739130434782605</v>
      </c>
      <c r="M17" s="82">
        <f t="shared" si="6"/>
        <v>-0.217391304347826</v>
      </c>
      <c r="N17" s="189" t="e">
        <f>_xlfn.RRI(4,D17,H17)</f>
        <v>#NUM!</v>
      </c>
      <c r="O17" s="192">
        <f t="shared" si="1"/>
        <v>-1.1102230246251565E-16</v>
      </c>
      <c r="P17" s="131"/>
    </row>
    <row r="18" spans="2:16" ht="19.8" customHeight="1" x14ac:dyDescent="0.3">
      <c r="B18" s="341" t="s">
        <v>605</v>
      </c>
      <c r="C18" s="386"/>
      <c r="D18" s="83">
        <f t="shared" ref="D18:M18" si="7">D8+(D11+D13+D16)</f>
        <v>555</v>
      </c>
      <c r="E18" s="60">
        <f t="shared" si="7"/>
        <v>763</v>
      </c>
      <c r="F18" s="60">
        <f t="shared" si="7"/>
        <v>983</v>
      </c>
      <c r="G18" s="60">
        <f t="shared" si="7"/>
        <v>1469</v>
      </c>
      <c r="H18" s="84">
        <f t="shared" si="7"/>
        <v>1161</v>
      </c>
      <c r="I18" s="60">
        <f t="shared" si="7"/>
        <v>1280.2889278642681</v>
      </c>
      <c r="J18" s="83">
        <f t="shared" si="7"/>
        <v>1657.6701400450152</v>
      </c>
      <c r="K18" s="60">
        <f t="shared" si="7"/>
        <v>2022.291572640177</v>
      </c>
      <c r="L18" s="60">
        <f t="shared" si="7"/>
        <v>2341.5573103114903</v>
      </c>
      <c r="M18" s="84">
        <f t="shared" si="7"/>
        <v>2645.1000075888746</v>
      </c>
      <c r="N18" s="189">
        <f>_xlfn.RRI(4,D18,H18)</f>
        <v>0.20263768690508854</v>
      </c>
      <c r="O18" s="192">
        <f t="shared" si="1"/>
        <v>0.19890156407656301</v>
      </c>
      <c r="P18" s="131"/>
    </row>
    <row r="19" spans="2:16" ht="19.2" customHeight="1" x14ac:dyDescent="0.3">
      <c r="B19" s="346" t="s">
        <v>606</v>
      </c>
      <c r="C19" s="380"/>
      <c r="D19" s="387">
        <v>102</v>
      </c>
      <c r="E19" s="357">
        <v>36</v>
      </c>
      <c r="F19" s="357">
        <v>-142</v>
      </c>
      <c r="G19" s="373">
        <v>-193</v>
      </c>
      <c r="H19" s="388">
        <v>-194</v>
      </c>
      <c r="I19" s="371">
        <f>I18*I20</f>
        <v>-192.04333917964021</v>
      </c>
      <c r="J19" s="372">
        <f>J18*J20</f>
        <v>-248.65052100675226</v>
      </c>
      <c r="K19" s="373">
        <f>K18*K20</f>
        <v>-303.34373589602654</v>
      </c>
      <c r="L19" s="373">
        <f>L18*L20</f>
        <v>-351.2335965467235</v>
      </c>
      <c r="M19" s="374">
        <f>M18*M20</f>
        <v>-396.76500113833117</v>
      </c>
      <c r="N19" s="190"/>
      <c r="O19" s="193"/>
      <c r="P19" s="132"/>
    </row>
    <row r="20" spans="2:16" ht="19.8" customHeight="1" x14ac:dyDescent="0.3">
      <c r="B20" s="351" t="s">
        <v>607</v>
      </c>
      <c r="C20" s="381"/>
      <c r="D20" s="85">
        <f>D19/D18</f>
        <v>0.18378378378378379</v>
      </c>
      <c r="E20" s="86">
        <f>E19/E18</f>
        <v>4.7182175622542594E-2</v>
      </c>
      <c r="F20" s="86">
        <f>F19/F18</f>
        <v>-0.14445574771108852</v>
      </c>
      <c r="G20" s="86">
        <f>G19/G18</f>
        <v>-0.13138189244383935</v>
      </c>
      <c r="H20" s="87">
        <f>H19/H18</f>
        <v>-0.16709732988802756</v>
      </c>
      <c r="I20" s="61">
        <v>-0.15</v>
      </c>
      <c r="J20" s="85">
        <v>-0.15</v>
      </c>
      <c r="K20" s="86">
        <v>-0.15</v>
      </c>
      <c r="L20" s="86">
        <v>-0.15</v>
      </c>
      <c r="M20" s="87">
        <v>-0.15</v>
      </c>
      <c r="N20" s="189"/>
      <c r="O20" s="192"/>
      <c r="P20" s="131"/>
    </row>
    <row r="21" spans="2:16" ht="19.8" customHeight="1" thickBot="1" x14ac:dyDescent="0.35">
      <c r="B21" s="389" t="s">
        <v>608</v>
      </c>
      <c r="C21" s="65"/>
      <c r="D21" s="88">
        <f t="shared" ref="D21:M21" si="8">D18+D19</f>
        <v>657</v>
      </c>
      <c r="E21" s="89">
        <f t="shared" si="8"/>
        <v>799</v>
      </c>
      <c r="F21" s="89">
        <f t="shared" si="8"/>
        <v>841</v>
      </c>
      <c r="G21" s="89">
        <f t="shared" si="8"/>
        <v>1276</v>
      </c>
      <c r="H21" s="90">
        <f t="shared" si="8"/>
        <v>967</v>
      </c>
      <c r="I21" s="66">
        <f t="shared" si="8"/>
        <v>1088.2455886846278</v>
      </c>
      <c r="J21" s="88">
        <f t="shared" si="8"/>
        <v>1409.0196190382628</v>
      </c>
      <c r="K21" s="89">
        <f t="shared" si="8"/>
        <v>1718.9478367441504</v>
      </c>
      <c r="L21" s="89">
        <f t="shared" si="8"/>
        <v>1990.3237137647668</v>
      </c>
      <c r="M21" s="90">
        <f t="shared" si="8"/>
        <v>2248.3350064505435</v>
      </c>
      <c r="N21" s="190">
        <f>_xlfn.RRI(4,D21,H21)</f>
        <v>0.1014512398573395</v>
      </c>
      <c r="O21" s="193">
        <f t="shared" si="1"/>
        <v>0.19890156407656301</v>
      </c>
      <c r="P21" s="132"/>
    </row>
    <row r="22" spans="2:16" ht="15" thickBot="1" x14ac:dyDescent="0.35">
      <c r="B22" s="123"/>
      <c r="E22" s="226"/>
      <c r="H22" s="226"/>
    </row>
    <row r="23" spans="2:16" ht="15" thickBot="1" x14ac:dyDescent="0.35">
      <c r="B23" s="227" t="s">
        <v>53</v>
      </c>
      <c r="C23" s="118"/>
      <c r="D23" s="576">
        <v>-151</v>
      </c>
      <c r="E23" s="576">
        <v>-116</v>
      </c>
      <c r="F23" s="576">
        <v>-125</v>
      </c>
      <c r="G23" s="576">
        <v>-211</v>
      </c>
      <c r="H23" s="577">
        <v>-135</v>
      </c>
    </row>
    <row r="24" spans="2:16" x14ac:dyDescent="0.3">
      <c r="B24" s="120" t="s">
        <v>54</v>
      </c>
      <c r="C24" s="121"/>
      <c r="D24" s="109">
        <v>253</v>
      </c>
      <c r="E24" s="109">
        <v>152</v>
      </c>
      <c r="F24" s="109">
        <v>-17</v>
      </c>
      <c r="G24" s="109">
        <v>18</v>
      </c>
      <c r="H24" s="578">
        <v>-59</v>
      </c>
      <c r="M24" s="196" t="s">
        <v>224</v>
      </c>
      <c r="N24" s="197" t="s">
        <v>223</v>
      </c>
    </row>
    <row r="25" spans="2:16" ht="15" thickBot="1" x14ac:dyDescent="0.35">
      <c r="B25" s="230" t="s">
        <v>55</v>
      </c>
      <c r="C25" s="122"/>
      <c r="D25" s="579">
        <v>102</v>
      </c>
      <c r="E25" s="579">
        <v>36</v>
      </c>
      <c r="F25" s="579">
        <v>-142</v>
      </c>
      <c r="G25" s="579">
        <v>-193</v>
      </c>
      <c r="H25" s="580">
        <v>-194</v>
      </c>
      <c r="M25" s="198">
        <v>2015</v>
      </c>
      <c r="N25" s="185">
        <v>0.91890000000000005</v>
      </c>
    </row>
    <row r="26" spans="2:16" ht="15" thickBot="1" x14ac:dyDescent="0.35">
      <c r="B26" s="123"/>
      <c r="D26" s="123"/>
      <c r="G26" s="123"/>
      <c r="H26" s="123"/>
      <c r="M26" s="198">
        <v>2016</v>
      </c>
      <c r="N26" s="185">
        <v>0.94640000000000002</v>
      </c>
    </row>
    <row r="27" spans="2:16" x14ac:dyDescent="0.3">
      <c r="B27" s="202" t="s">
        <v>230</v>
      </c>
      <c r="C27" s="203"/>
      <c r="D27" s="203">
        <v>2017</v>
      </c>
      <c r="E27" s="203">
        <v>2018</v>
      </c>
      <c r="F27" s="203">
        <v>2019</v>
      </c>
      <c r="G27" s="204">
        <v>2020</v>
      </c>
      <c r="H27" s="204">
        <v>2021</v>
      </c>
      <c r="I27" s="204">
        <v>2022</v>
      </c>
      <c r="J27" s="204">
        <v>2023</v>
      </c>
      <c r="K27" s="205">
        <v>2024</v>
      </c>
      <c r="M27" s="198">
        <v>2017</v>
      </c>
      <c r="N27" s="185">
        <v>0.83260000000000001</v>
      </c>
    </row>
    <row r="28" spans="2:16" x14ac:dyDescent="0.3">
      <c r="B28" s="206" t="s">
        <v>2</v>
      </c>
      <c r="C28" s="119"/>
      <c r="D28" s="207">
        <f>2327771*N27</f>
        <v>1938102.1346</v>
      </c>
      <c r="E28" s="207">
        <f>2483840*N28</f>
        <v>2168640.7039999999</v>
      </c>
      <c r="F28" s="207">
        <f>2205314*0.9189</f>
        <v>2026463.0346000001</v>
      </c>
      <c r="G28" s="208">
        <f>F28*(1+G45)</f>
        <v>2188580.0773680001</v>
      </c>
      <c r="H28" s="208">
        <f t="shared" ref="H28:K28" si="9">G28*(1+H45)</f>
        <v>2377673.3960525952</v>
      </c>
      <c r="I28" s="208">
        <f t="shared" si="9"/>
        <v>2593375.9265424865</v>
      </c>
      <c r="J28" s="208">
        <f t="shared" si="9"/>
        <v>2840410.5438012178</v>
      </c>
      <c r="K28" s="209">
        <f t="shared" si="9"/>
        <v>3124504.9978995631</v>
      </c>
      <c r="M28" s="198">
        <v>2018</v>
      </c>
      <c r="N28" s="185">
        <v>0.87309999999999999</v>
      </c>
    </row>
    <row r="29" spans="2:16" ht="15" hidden="1" customHeight="1" x14ac:dyDescent="0.3">
      <c r="B29" s="210" t="s">
        <v>36</v>
      </c>
      <c r="C29" s="123"/>
      <c r="D29" s="211"/>
      <c r="E29" s="211">
        <f>(E28-D28)/D28</f>
        <v>0.11895068133113645</v>
      </c>
      <c r="F29" s="211">
        <f>(F28-E28)/E28</f>
        <v>-6.5560730801444825E-2</v>
      </c>
      <c r="G29" s="211"/>
      <c r="H29" s="123"/>
      <c r="I29" s="123"/>
      <c r="J29" s="123"/>
      <c r="K29" s="212"/>
      <c r="M29" s="246"/>
      <c r="N29" s="212"/>
    </row>
    <row r="30" spans="2:16" ht="15" thickBot="1" x14ac:dyDescent="0.35">
      <c r="B30" s="210" t="s">
        <v>227</v>
      </c>
      <c r="C30" s="121"/>
      <c r="D30" s="213">
        <v>1938</v>
      </c>
      <c r="E30" s="213">
        <v>2351</v>
      </c>
      <c r="F30" s="213">
        <v>2026</v>
      </c>
      <c r="G30" s="213">
        <v>2186</v>
      </c>
      <c r="H30" s="178">
        <v>2378</v>
      </c>
      <c r="I30" s="178">
        <v>2593</v>
      </c>
      <c r="J30" s="178">
        <v>2840</v>
      </c>
      <c r="K30" s="179">
        <v>3125</v>
      </c>
      <c r="M30" s="199">
        <v>2019</v>
      </c>
      <c r="N30" s="200">
        <v>0.91890000000000005</v>
      </c>
    </row>
    <row r="31" spans="2:16" x14ac:dyDescent="0.3">
      <c r="B31" s="214" t="s">
        <v>14</v>
      </c>
      <c r="C31" s="119"/>
      <c r="D31" s="215">
        <f>1545837*N27</f>
        <v>1287063.8862000001</v>
      </c>
      <c r="E31" s="215">
        <f>1552385*N28</f>
        <v>1355387.3435</v>
      </c>
      <c r="F31" s="215">
        <f>1375289*0.9189</f>
        <v>1263753.0621</v>
      </c>
      <c r="G31" s="216">
        <f>G28*$G$46</f>
        <v>1395368.3609200467</v>
      </c>
      <c r="H31" s="216">
        <f>H28*$G$46</f>
        <v>1515928.1873035387</v>
      </c>
      <c r="I31" s="216">
        <f>I28*$G$46</f>
        <v>1653453.1924557157</v>
      </c>
      <c r="J31" s="216">
        <f>J28*$G$46</f>
        <v>1810954.5297562773</v>
      </c>
      <c r="K31" s="217">
        <f>K28*$G$46</f>
        <v>1992084.0286770647</v>
      </c>
    </row>
    <row r="32" spans="2:16" hidden="1" x14ac:dyDescent="0.3">
      <c r="B32" s="210" t="s">
        <v>34</v>
      </c>
      <c r="C32" s="123"/>
      <c r="D32" s="211">
        <f>D31/D28</f>
        <v>0.66408465437536601</v>
      </c>
      <c r="E32" s="211">
        <f>E31/E28</f>
        <v>0.62499396096366922</v>
      </c>
      <c r="F32" s="211">
        <f>F31/F28</f>
        <v>0.62362502573329692</v>
      </c>
      <c r="G32" s="211"/>
      <c r="H32" s="211"/>
      <c r="I32" s="211"/>
      <c r="J32" s="211"/>
      <c r="K32" s="218"/>
    </row>
    <row r="33" spans="2:11" x14ac:dyDescent="0.3">
      <c r="B33" s="219" t="s">
        <v>3</v>
      </c>
      <c r="C33" s="121"/>
      <c r="D33" s="201">
        <f t="shared" ref="D33:K33" si="10">D28-D31</f>
        <v>651038.24839999992</v>
      </c>
      <c r="E33" s="201">
        <f t="shared" si="10"/>
        <v>813253.36049999995</v>
      </c>
      <c r="F33" s="201">
        <f t="shared" si="10"/>
        <v>762709.97250000015</v>
      </c>
      <c r="G33" s="201">
        <f t="shared" si="10"/>
        <v>793211.71644795337</v>
      </c>
      <c r="H33" s="201">
        <f t="shared" si="10"/>
        <v>861745.20874905656</v>
      </c>
      <c r="I33" s="201">
        <f t="shared" si="10"/>
        <v>939922.7340867708</v>
      </c>
      <c r="J33" s="201">
        <f t="shared" si="10"/>
        <v>1029456.0140449405</v>
      </c>
      <c r="K33" s="220">
        <f t="shared" si="10"/>
        <v>1132420.9692224984</v>
      </c>
    </row>
    <row r="34" spans="2:11" hidden="1" x14ac:dyDescent="0.3">
      <c r="B34" s="210" t="s">
        <v>15</v>
      </c>
      <c r="C34" s="123"/>
      <c r="D34" s="211"/>
      <c r="E34" s="211"/>
      <c r="F34" s="211"/>
      <c r="G34" s="221"/>
      <c r="H34" s="211"/>
      <c r="I34" s="211"/>
      <c r="J34" s="211"/>
      <c r="K34" s="218"/>
    </row>
    <row r="35" spans="2:11" hidden="1" x14ac:dyDescent="0.3">
      <c r="B35" s="214" t="s">
        <v>16</v>
      </c>
      <c r="C35" s="123"/>
      <c r="D35" s="211">
        <f t="shared" ref="D35:K35" si="11">D33/D28</f>
        <v>0.33591534562463399</v>
      </c>
      <c r="E35" s="211">
        <f t="shared" si="11"/>
        <v>0.37500603903633084</v>
      </c>
      <c r="F35" s="211">
        <f t="shared" si="11"/>
        <v>0.37637497426670313</v>
      </c>
      <c r="G35" s="211">
        <f t="shared" si="11"/>
        <v>0.36243211964255595</v>
      </c>
      <c r="H35" s="211">
        <f t="shared" si="11"/>
        <v>0.36243211964255595</v>
      </c>
      <c r="I35" s="211">
        <f t="shared" si="11"/>
        <v>0.36243211964255595</v>
      </c>
      <c r="J35" s="211">
        <f t="shared" si="11"/>
        <v>0.36243211964255601</v>
      </c>
      <c r="K35" s="218">
        <f t="shared" si="11"/>
        <v>0.36243211964255589</v>
      </c>
    </row>
    <row r="36" spans="2:11" x14ac:dyDescent="0.3">
      <c r="B36" s="214" t="s">
        <v>37</v>
      </c>
      <c r="C36" s="119"/>
      <c r="D36" s="215">
        <f>362931*N27</f>
        <v>302176.35060000001</v>
      </c>
      <c r="E36" s="215">
        <f>363996*N28</f>
        <v>317804.90759999998</v>
      </c>
      <c r="F36" s="215">
        <f>362716*0.9189</f>
        <v>333299.73240000004</v>
      </c>
      <c r="G36" s="216">
        <f>G28*$G$47</f>
        <v>340639.96632472641</v>
      </c>
      <c r="H36" s="216">
        <f>H28*$G$47</f>
        <v>370071.25941518275</v>
      </c>
      <c r="I36" s="216">
        <f>I28*$G$47</f>
        <v>403644.12406932813</v>
      </c>
      <c r="J36" s="216">
        <f>J28*$G$47</f>
        <v>442093.64875167608</v>
      </c>
      <c r="K36" s="217">
        <f>K28*$G$47</f>
        <v>486311.3249874402</v>
      </c>
    </row>
    <row r="37" spans="2:11" hidden="1" x14ac:dyDescent="0.3">
      <c r="B37" s="214" t="s">
        <v>34</v>
      </c>
      <c r="C37" s="123"/>
      <c r="D37" s="211">
        <f>D36/D28</f>
        <v>0.15591353273152728</v>
      </c>
      <c r="E37" s="211">
        <f>E36/E28</f>
        <v>0.14654567121875806</v>
      </c>
      <c r="F37" s="211">
        <f>F36/F28</f>
        <v>0.16447363051248032</v>
      </c>
      <c r="G37" s="123"/>
      <c r="H37" s="123"/>
      <c r="I37" s="123"/>
      <c r="J37" s="123"/>
      <c r="K37" s="212"/>
    </row>
    <row r="38" spans="2:11" x14ac:dyDescent="0.3">
      <c r="B38" s="210" t="s">
        <v>38</v>
      </c>
      <c r="C38" s="121"/>
      <c r="D38" s="222">
        <f>340910*N27</f>
        <v>283841.66600000003</v>
      </c>
      <c r="E38" s="222">
        <f>403031*0.9464</f>
        <v>381428.53840000002</v>
      </c>
      <c r="F38" s="222">
        <f>344046*0.9189</f>
        <v>316143.86940000003</v>
      </c>
      <c r="G38" s="178">
        <f>G28*$G$48</f>
        <v>348965.31425939937</v>
      </c>
      <c r="H38" s="178">
        <f>H28*$G$48</f>
        <v>379115.91741141147</v>
      </c>
      <c r="I38" s="178">
        <f>I28*$G$48</f>
        <v>413509.31343897467</v>
      </c>
      <c r="J38" s="178">
        <f>J28*$G$48</f>
        <v>452898.55659991765</v>
      </c>
      <c r="K38" s="179">
        <f>K28*$G$48</f>
        <v>498196.92675277352</v>
      </c>
    </row>
    <row r="39" spans="2:11" hidden="1" x14ac:dyDescent="0.3">
      <c r="B39" s="214" t="s">
        <v>34</v>
      </c>
      <c r="C39" s="123"/>
      <c r="D39" s="211">
        <f>D38/D28</f>
        <v>0.14645340972114526</v>
      </c>
      <c r="E39" s="211">
        <f>E38/E28</f>
        <v>0.17588369419446256</v>
      </c>
      <c r="F39" s="211">
        <f>F38/F28</f>
        <v>0.15600771590802942</v>
      </c>
      <c r="G39" s="211"/>
      <c r="H39" s="211"/>
      <c r="I39" s="211"/>
      <c r="J39" s="211"/>
      <c r="K39" s="218"/>
    </row>
    <row r="40" spans="2:11" hidden="1" x14ac:dyDescent="0.3">
      <c r="B40" s="210" t="s">
        <v>61</v>
      </c>
      <c r="C40" s="123"/>
      <c r="D40" s="211"/>
      <c r="E40" s="211">
        <f t="shared" ref="E40:K40" si="12">(E38-D38)/D38</f>
        <v>0.3438074253693254</v>
      </c>
      <c r="F40" s="211">
        <f t="shared" si="12"/>
        <v>-0.17115832306060083</v>
      </c>
      <c r="G40" s="211">
        <f t="shared" si="12"/>
        <v>0.10381806524254347</v>
      </c>
      <c r="H40" s="211">
        <f t="shared" si="12"/>
        <v>8.6399999999999991E-2</v>
      </c>
      <c r="I40" s="211">
        <f t="shared" si="12"/>
        <v>9.071999999999987E-2</v>
      </c>
      <c r="J40" s="211">
        <f t="shared" si="12"/>
        <v>9.5256000000000007E-2</v>
      </c>
      <c r="K40" s="218">
        <f t="shared" si="12"/>
        <v>0.10001880000000007</v>
      </c>
    </row>
    <row r="41" spans="2:11" ht="15" thickBot="1" x14ac:dyDescent="0.35">
      <c r="B41" s="223" t="s">
        <v>40</v>
      </c>
      <c r="C41" s="122"/>
      <c r="D41" s="224">
        <f>D33-(D36+D38)</f>
        <v>65020.23179999995</v>
      </c>
      <c r="E41" s="224">
        <f t="shared" ref="E41:K41" si="13">E33-(E36+E38)</f>
        <v>114019.91449999996</v>
      </c>
      <c r="F41" s="224">
        <f t="shared" si="13"/>
        <v>113266.37070000009</v>
      </c>
      <c r="G41" s="224">
        <f t="shared" si="13"/>
        <v>103606.43586382759</v>
      </c>
      <c r="H41" s="224">
        <f>H33-(H36+H38)</f>
        <v>112558.0319224624</v>
      </c>
      <c r="I41" s="224">
        <f t="shared" si="13"/>
        <v>122769.29657846806</v>
      </c>
      <c r="J41" s="224">
        <f t="shared" si="13"/>
        <v>134463.8086933468</v>
      </c>
      <c r="K41" s="225">
        <f t="shared" si="13"/>
        <v>147912.71748228464</v>
      </c>
    </row>
    <row r="42" spans="2:11" x14ac:dyDescent="0.3">
      <c r="B42" s="195"/>
    </row>
    <row r="43" spans="2:11" x14ac:dyDescent="0.3">
      <c r="D43" s="2">
        <f>D41*(1/N27)</f>
        <v>78092.999999999927</v>
      </c>
      <c r="E43" s="2">
        <f>E41*(1/0.9464)</f>
        <v>120477.50898140317</v>
      </c>
      <c r="F43" s="44">
        <f>F41*(1/0.9189)</f>
        <v>123263.00000000009</v>
      </c>
    </row>
    <row r="45" spans="2:11" x14ac:dyDescent="0.3">
      <c r="F45" s="2" t="s">
        <v>228</v>
      </c>
      <c r="G45" s="5">
        <v>0.08</v>
      </c>
      <c r="H45" s="174">
        <f>G45*(1+0.08)</f>
        <v>8.6400000000000005E-2</v>
      </c>
      <c r="I45" s="174">
        <f t="shared" ref="I45:K45" si="14">H45*(1+0.05)</f>
        <v>9.0720000000000009E-2</v>
      </c>
      <c r="J45" s="174">
        <f t="shared" si="14"/>
        <v>9.5256000000000007E-2</v>
      </c>
      <c r="K45" s="174">
        <f t="shared" si="14"/>
        <v>0.10001880000000002</v>
      </c>
    </row>
    <row r="46" spans="2:11" x14ac:dyDescent="0.3">
      <c r="F46" s="2" t="s">
        <v>229</v>
      </c>
      <c r="G46" s="42">
        <f>AVERAGE(D32:F32)</f>
        <v>0.63756788035744405</v>
      </c>
    </row>
    <row r="47" spans="2:11" x14ac:dyDescent="0.3">
      <c r="F47" s="2" t="s">
        <v>225</v>
      </c>
      <c r="G47" s="42">
        <f>AVERAGE(D37:F37)</f>
        <v>0.15564427815425522</v>
      </c>
    </row>
    <row r="48" spans="2:11" x14ac:dyDescent="0.3">
      <c r="F48" s="2" t="s">
        <v>226</v>
      </c>
      <c r="G48" s="42">
        <f>AVERAGE(D39:F39)</f>
        <v>0.15944827327454575</v>
      </c>
    </row>
  </sheetData>
  <mergeCells count="4">
    <mergeCell ref="R3:S3"/>
    <mergeCell ref="I1:M2"/>
    <mergeCell ref="D1:G2"/>
    <mergeCell ref="H1:H2"/>
  </mergeCells>
  <pageMargins left="0.7" right="0.7" top="0.75" bottom="0.75" header="0.3" footer="0.3"/>
  <ignoredErrors>
    <ignoredError sqref="J16 L16:M16" formula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'IS(Forcasted)'!D21:H21</xm:f>
              <xm:sqref>P21</xm:sqref>
            </x14:sparkline>
          </x14:sparklines>
        </x14:sparklineGroup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'IS(Forcasted)'!D18:H18</xm:f>
              <xm:sqref>P18</xm:sqref>
            </x14:sparkline>
          </x14:sparklines>
        </x14:sparklineGroup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'IS(Forcasted)'!D13:H13</xm:f>
              <xm:sqref>P13</xm:sqref>
            </x14:sparkline>
          </x14:sparklines>
        </x14:sparklineGroup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'IS(Forcasted)'!D11:H11</xm:f>
              <xm:sqref>P11</xm:sqref>
            </x14:sparkline>
          </x14:sparklines>
        </x14:sparklineGroup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'IS(Forcasted)'!D8:H8</xm:f>
              <xm:sqref>P8</xm:sqref>
            </x14:sparkline>
          </x14:sparklines>
        </x14:sparklineGroup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'IS(Forcasted)'!D6:H6</xm:f>
              <xm:sqref>P6</xm:sqref>
            </x14:sparkline>
          </x14:sparklines>
        </x14:sparklineGroup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'IS(Forcasted)'!D4:H4</xm:f>
              <xm:sqref>P4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0"/>
  <sheetViews>
    <sheetView zoomScaleNormal="100" workbookViewId="0">
      <selection activeCell="B22" sqref="B22:B27"/>
    </sheetView>
  </sheetViews>
  <sheetFormatPr defaultRowHeight="14.4" x14ac:dyDescent="0.3"/>
  <cols>
    <col min="1" max="1" width="1.109375" style="2" customWidth="1"/>
    <col min="2" max="2" width="32.6640625" style="2" customWidth="1"/>
    <col min="3" max="3" width="22.33203125" style="2" hidden="1" customWidth="1"/>
    <col min="4" max="4" width="22.44140625" style="2" customWidth="1"/>
    <col min="5" max="5" width="21.5546875" style="2" customWidth="1"/>
    <col min="6" max="6" width="20.5546875" style="2" customWidth="1"/>
    <col min="7" max="7" width="18.109375" style="2" customWidth="1"/>
    <col min="8" max="8" width="17.109375" style="2" customWidth="1"/>
    <col min="9" max="9" width="11.88671875" style="2" customWidth="1"/>
    <col min="10" max="10" width="13.21875" style="2" customWidth="1"/>
    <col min="11" max="11" width="11.5546875" style="2" customWidth="1"/>
    <col min="12" max="12" width="11.88671875" style="2" customWidth="1"/>
    <col min="13" max="13" width="13.33203125" style="2" customWidth="1"/>
    <col min="14" max="14" width="5.109375" style="2" customWidth="1"/>
    <col min="15" max="15" width="32.109375" style="2" customWidth="1"/>
    <col min="16" max="16" width="20.21875" style="2" bestFit="1" customWidth="1"/>
    <col min="17" max="17" width="28.77734375" style="2" customWidth="1"/>
    <col min="18" max="18" width="23.77734375" style="2" customWidth="1"/>
    <col min="19" max="19" width="20.21875" style="2" bestFit="1" customWidth="1"/>
    <col min="20" max="16384" width="8.88671875" style="2"/>
  </cols>
  <sheetData>
    <row r="1" spans="2:24" ht="15" thickBot="1" x14ac:dyDescent="0.35">
      <c r="O1" s="41" t="s">
        <v>35</v>
      </c>
      <c r="Q1" s="2" t="s">
        <v>222</v>
      </c>
      <c r="R1" s="2" t="s">
        <v>57</v>
      </c>
    </row>
    <row r="2" spans="2:24" ht="15" thickBot="1" x14ac:dyDescent="0.35">
      <c r="B2"/>
      <c r="C2" s="110">
        <v>2014</v>
      </c>
      <c r="D2" s="749">
        <v>2015</v>
      </c>
      <c r="E2" s="750">
        <v>2016</v>
      </c>
      <c r="F2" s="750">
        <v>2017</v>
      </c>
      <c r="G2" s="750">
        <v>2018</v>
      </c>
      <c r="H2" s="753">
        <v>2019</v>
      </c>
      <c r="I2" s="751" t="s">
        <v>46</v>
      </c>
      <c r="J2" s="751" t="s">
        <v>47</v>
      </c>
      <c r="K2" s="751" t="s">
        <v>48</v>
      </c>
      <c r="L2" s="751" t="s">
        <v>49</v>
      </c>
      <c r="M2" s="752" t="s">
        <v>56</v>
      </c>
      <c r="N2" s="507"/>
      <c r="O2" s="112" t="s">
        <v>18</v>
      </c>
      <c r="P2" s="5">
        <f>AVERAGE(D6:H6)</f>
        <v>0.12338004161334315</v>
      </c>
      <c r="Q2" s="42">
        <v>4.3999999999999997E-2</v>
      </c>
      <c r="R2" s="5">
        <f>P2+Q2</f>
        <v>0.16738004161334313</v>
      </c>
      <c r="S2" s="5">
        <f>R2*(1+$Q$2)</f>
        <v>0.17474476344433024</v>
      </c>
      <c r="T2" s="5">
        <f t="shared" ref="T2:X2" si="0">S2*(1+$Q$2)</f>
        <v>0.18243353303588078</v>
      </c>
      <c r="U2" s="5">
        <f t="shared" si="0"/>
        <v>0.19046060848945953</v>
      </c>
      <c r="V2" s="5">
        <f t="shared" si="0"/>
        <v>0.19884087526299576</v>
      </c>
      <c r="W2" s="5">
        <f t="shared" si="0"/>
        <v>0.20758987377456758</v>
      </c>
      <c r="X2" s="5">
        <f t="shared" si="0"/>
        <v>0.21672382822064856</v>
      </c>
    </row>
    <row r="3" spans="2:24" x14ac:dyDescent="0.3">
      <c r="B3" s="390" t="s">
        <v>17</v>
      </c>
      <c r="C3" s="391"/>
      <c r="D3" s="392"/>
      <c r="E3" s="392"/>
      <c r="F3" s="392"/>
      <c r="G3" s="392"/>
      <c r="H3" s="392"/>
      <c r="I3" s="421"/>
      <c r="J3" s="392"/>
      <c r="K3" s="392"/>
      <c r="L3" s="392"/>
      <c r="M3" s="393"/>
      <c r="N3" s="755"/>
      <c r="O3" s="112" t="s">
        <v>19</v>
      </c>
      <c r="P3" s="5">
        <f>AVERAGE(E9:H9)</f>
        <v>9.9459475902235445E-2</v>
      </c>
      <c r="Q3" s="174">
        <v>6.5000000000000002E-2</v>
      </c>
      <c r="R3" s="5">
        <f>P3</f>
        <v>9.9459475902235445E-2</v>
      </c>
      <c r="S3" s="411">
        <f>R3*(1+$Q$3)</f>
        <v>0.10592434183588074</v>
      </c>
      <c r="T3" s="411">
        <f t="shared" ref="T3:X3" si="1">S3*(1+$Q$3)</f>
        <v>0.11280942405521299</v>
      </c>
      <c r="U3" s="411">
        <f t="shared" si="1"/>
        <v>0.12014203661880184</v>
      </c>
      <c r="V3" s="411">
        <f t="shared" si="1"/>
        <v>0.12795126899902395</v>
      </c>
      <c r="W3" s="411">
        <f t="shared" si="1"/>
        <v>0.13626810148396051</v>
      </c>
      <c r="X3" s="411">
        <f t="shared" si="1"/>
        <v>0.14512552808041793</v>
      </c>
    </row>
    <row r="4" spans="2:24" ht="19.2" customHeight="1" x14ac:dyDescent="0.3">
      <c r="B4" s="394" t="s">
        <v>18</v>
      </c>
      <c r="C4" s="395">
        <v>1965</v>
      </c>
      <c r="D4" s="395">
        <v>2350</v>
      </c>
      <c r="E4" s="395">
        <v>2656</v>
      </c>
      <c r="F4" s="395">
        <v>2989</v>
      </c>
      <c r="G4" s="395">
        <v>3284</v>
      </c>
      <c r="H4" s="395">
        <v>3503</v>
      </c>
      <c r="I4" s="396">
        <f>I24</f>
        <v>3480.3098560000003</v>
      </c>
      <c r="J4" s="397">
        <f>I4*(1+R2)</f>
        <v>4062.8442645246082</v>
      </c>
      <c r="K4" s="397">
        <f>J4*(1+S2)</f>
        <v>4772.8050244401147</v>
      </c>
      <c r="L4" s="397">
        <f>K4*(1+T2)</f>
        <v>5643.5247075401285</v>
      </c>
      <c r="M4" s="398">
        <f>L4*(1+U2)</f>
        <v>6718.3938573635205</v>
      </c>
      <c r="N4" s="756"/>
      <c r="O4" s="112" t="s">
        <v>20</v>
      </c>
      <c r="P4" s="5">
        <f>AVERAGE(E12:I12)</f>
        <v>7.2795875400336857E-2</v>
      </c>
      <c r="Q4" s="5">
        <v>4.4999999999999998E-2</v>
      </c>
      <c r="R4" s="5">
        <f>P4</f>
        <v>7.2795875400336857E-2</v>
      </c>
      <c r="S4" s="411">
        <f>R4*(1+Q4)</f>
        <v>7.6071689793352007E-2</v>
      </c>
      <c r="T4" s="411">
        <f t="shared" ref="T4:X4" si="2">S4*(1+R4)</f>
        <v>8.160939504504193E-2</v>
      </c>
      <c r="U4" s="411">
        <f t="shared" si="2"/>
        <v>8.7817559629131473E-2</v>
      </c>
      <c r="V4" s="411">
        <f t="shared" si="2"/>
        <v>9.4984297544796786E-2</v>
      </c>
      <c r="W4" s="411">
        <f t="shared" si="2"/>
        <v>0.10332558675826815</v>
      </c>
      <c r="X4" s="411">
        <f t="shared" si="2"/>
        <v>0.11313989503490621</v>
      </c>
    </row>
    <row r="5" spans="2:24" ht="19.2" customHeight="1" x14ac:dyDescent="0.3">
      <c r="B5" s="399" t="s">
        <v>34</v>
      </c>
      <c r="C5" s="111">
        <f t="shared" ref="C5:M5" si="3">C4/C19</f>
        <v>0.4548611111111111</v>
      </c>
      <c r="D5" s="111">
        <f t="shared" si="3"/>
        <v>0.40552200172562552</v>
      </c>
      <c r="E5" s="111">
        <f t="shared" si="3"/>
        <v>0.40993980552554404</v>
      </c>
      <c r="F5" s="111">
        <f t="shared" si="3"/>
        <v>0.42319127849355798</v>
      </c>
      <c r="G5" s="111">
        <f t="shared" si="3"/>
        <v>0.43216212659560471</v>
      </c>
      <c r="H5" s="111">
        <f t="shared" si="3"/>
        <v>0.43629343629343631</v>
      </c>
      <c r="I5" s="130">
        <f t="shared" si="3"/>
        <v>0.42157359404737249</v>
      </c>
      <c r="J5" s="111">
        <f t="shared" si="3"/>
        <v>0.4398349851001756</v>
      </c>
      <c r="K5" s="111">
        <f t="shared" si="3"/>
        <v>0.45916848640809288</v>
      </c>
      <c r="L5" s="111">
        <f t="shared" si="3"/>
        <v>0.47860322349576834</v>
      </c>
      <c r="M5" s="113">
        <f t="shared" si="3"/>
        <v>0.49772644460848153</v>
      </c>
      <c r="N5" s="635"/>
      <c r="O5" s="112" t="s">
        <v>21</v>
      </c>
      <c r="P5" s="5">
        <f>AVERAGE(D15:H15)</f>
        <v>6.3025931210856451E-2</v>
      </c>
      <c r="Q5" s="174">
        <v>4.8000000000000001E-2</v>
      </c>
      <c r="R5" s="5">
        <f>P5</f>
        <v>6.3025931210856451E-2</v>
      </c>
      <c r="S5" s="411">
        <f>R5*(1+Q5)</f>
        <v>6.6051175908977564E-2</v>
      </c>
      <c r="T5" s="411">
        <f t="shared" ref="T5:X5" si="4">S5*(1+R5)</f>
        <v>7.0214112778212961E-2</v>
      </c>
      <c r="U5" s="411">
        <f t="shared" si="4"/>
        <v>7.4851837492619491E-2</v>
      </c>
      <c r="V5" s="411">
        <f t="shared" si="4"/>
        <v>8.0107492851982751E-2</v>
      </c>
      <c r="W5" s="411">
        <f t="shared" si="4"/>
        <v>8.6103685888880538E-2</v>
      </c>
      <c r="X5" s="411">
        <f t="shared" si="4"/>
        <v>9.3001236290753395E-2</v>
      </c>
    </row>
    <row r="6" spans="2:24" ht="18" customHeight="1" x14ac:dyDescent="0.3">
      <c r="B6" s="399" t="s">
        <v>58</v>
      </c>
      <c r="C6" s="111"/>
      <c r="D6" s="111">
        <f t="shared" ref="D6:I6" si="5">(D4-C4)/C4</f>
        <v>0.19592875318066158</v>
      </c>
      <c r="E6" s="111">
        <f t="shared" si="5"/>
        <v>0.1302127659574468</v>
      </c>
      <c r="F6" s="111">
        <f t="shared" si="5"/>
        <v>0.12537650602409639</v>
      </c>
      <c r="G6" s="111">
        <f t="shared" si="5"/>
        <v>9.8695215791234525E-2</v>
      </c>
      <c r="H6" s="111">
        <f t="shared" si="5"/>
        <v>6.6686967113276485E-2</v>
      </c>
      <c r="I6" s="130">
        <f t="shared" si="5"/>
        <v>-6.477346274621665E-3</v>
      </c>
      <c r="J6" s="400">
        <f>R2</f>
        <v>0.16738004161334313</v>
      </c>
      <c r="K6" s="400">
        <f t="shared" ref="K6:M6" si="6">S2</f>
        <v>0.17474476344433024</v>
      </c>
      <c r="L6" s="400">
        <f t="shared" si="6"/>
        <v>0.18243353303588078</v>
      </c>
      <c r="M6" s="401">
        <f t="shared" si="6"/>
        <v>0.19046060848945953</v>
      </c>
      <c r="N6" s="757"/>
      <c r="O6" s="112" t="s">
        <v>22</v>
      </c>
      <c r="P6" s="44">
        <f>AVERAGE(G16:I16)</f>
        <v>29.666666666666668</v>
      </c>
      <c r="Q6" s="43"/>
      <c r="R6" s="43"/>
    </row>
    <row r="7" spans="2:24" ht="19.8" customHeight="1" x14ac:dyDescent="0.3">
      <c r="B7" s="394" t="s">
        <v>19</v>
      </c>
      <c r="C7" s="395">
        <v>783</v>
      </c>
      <c r="D7" s="395">
        <v>971</v>
      </c>
      <c r="E7" s="395">
        <v>1072</v>
      </c>
      <c r="F7" s="395">
        <v>1206</v>
      </c>
      <c r="G7" s="395">
        <v>1323</v>
      </c>
      <c r="H7" s="395">
        <v>1418</v>
      </c>
      <c r="I7" s="396">
        <f>I28</f>
        <v>1500.7420480000001</v>
      </c>
      <c r="J7" s="397">
        <f>I7*(1+J9)</f>
        <v>1650.0050655585273</v>
      </c>
      <c r="K7" s="397">
        <f>J7*(1+K9)</f>
        <v>1824.7807661536838</v>
      </c>
      <c r="L7" s="397">
        <f>K7*(1+L9)</f>
        <v>2030.6332334105114</v>
      </c>
      <c r="M7" s="398">
        <f>L7*(1+M9)</f>
        <v>2274.597645698273</v>
      </c>
      <c r="N7" s="756"/>
      <c r="P7" s="42">
        <f>AVERAGE(D17:I17)</f>
        <v>0.38430134680134681</v>
      </c>
    </row>
    <row r="8" spans="2:24" ht="18" customHeight="1" x14ac:dyDescent="0.3">
      <c r="B8" s="399" t="s">
        <v>34</v>
      </c>
      <c r="C8" s="111">
        <f t="shared" ref="C8:M8" si="7">C7/C19</f>
        <v>0.18124999999999999</v>
      </c>
      <c r="D8" s="111">
        <f t="shared" si="7"/>
        <v>0.16755823986194995</v>
      </c>
      <c r="E8" s="111">
        <f t="shared" si="7"/>
        <v>0.1654576323506714</v>
      </c>
      <c r="F8" s="111">
        <f t="shared" si="7"/>
        <v>0.17074897352399829</v>
      </c>
      <c r="G8" s="111">
        <f t="shared" si="7"/>
        <v>0.17410185550730359</v>
      </c>
      <c r="H8" s="111">
        <f t="shared" si="7"/>
        <v>0.17660978951301531</v>
      </c>
      <c r="I8" s="130">
        <f t="shared" si="7"/>
        <v>0.18178646301353185</v>
      </c>
      <c r="J8" s="111">
        <v>0.2</v>
      </c>
      <c r="K8" s="111">
        <f>K7/K19</f>
        <v>0.17555333145411209</v>
      </c>
      <c r="L8" s="111">
        <f>L7/L19</f>
        <v>0.17220933044723366</v>
      </c>
      <c r="M8" s="113">
        <f t="shared" si="7"/>
        <v>0.16851161499967512</v>
      </c>
      <c r="N8" s="635"/>
    </row>
    <row r="9" spans="2:24" ht="19.2" customHeight="1" x14ac:dyDescent="0.3">
      <c r="B9" s="399" t="s">
        <v>58</v>
      </c>
      <c r="C9" s="111"/>
      <c r="D9" s="111">
        <f t="shared" ref="D9:I9" si="8">(D7-C7)/C7</f>
        <v>0.24010217113665389</v>
      </c>
      <c r="E9" s="111">
        <f t="shared" si="8"/>
        <v>0.10401647785787847</v>
      </c>
      <c r="F9" s="111">
        <f t="shared" si="8"/>
        <v>0.125</v>
      </c>
      <c r="G9" s="111">
        <f t="shared" si="8"/>
        <v>9.7014925373134331E-2</v>
      </c>
      <c r="H9" s="111">
        <f t="shared" si="8"/>
        <v>7.1806500377928947E-2</v>
      </c>
      <c r="I9" s="130">
        <f t="shared" si="8"/>
        <v>5.835123272214391E-2</v>
      </c>
      <c r="J9" s="400">
        <f>R3</f>
        <v>9.9459475902235445E-2</v>
      </c>
      <c r="K9" s="400">
        <f t="shared" ref="K9:M9" si="9">S3</f>
        <v>0.10592434183588074</v>
      </c>
      <c r="L9" s="400">
        <f t="shared" si="9"/>
        <v>0.11280942405521299</v>
      </c>
      <c r="M9" s="401">
        <f t="shared" si="9"/>
        <v>0.12014203661880184</v>
      </c>
      <c r="N9" s="757"/>
      <c r="P9" s="42"/>
    </row>
    <row r="10" spans="2:24" ht="19.8" customHeight="1" x14ac:dyDescent="0.3">
      <c r="B10" s="394" t="s">
        <v>20</v>
      </c>
      <c r="C10" s="395">
        <v>1061</v>
      </c>
      <c r="D10" s="395">
        <v>1796</v>
      </c>
      <c r="E10" s="395">
        <v>2041</v>
      </c>
      <c r="F10" s="395">
        <v>2148</v>
      </c>
      <c r="G10" s="395">
        <v>2318</v>
      </c>
      <c r="H10" s="395">
        <v>2445</v>
      </c>
      <c r="I10" s="396">
        <f>I32</f>
        <v>2545.7531719999997</v>
      </c>
      <c r="J10" s="397">
        <f>I10*(1+J12)</f>
        <v>2731.073502708924</v>
      </c>
      <c r="K10" s="397">
        <f>J10*(1+K12)</f>
        <v>2938.8308790098404</v>
      </c>
      <c r="L10" s="397">
        <f>K10*(1+L12)</f>
        <v>3178.6670891855219</v>
      </c>
      <c r="M10" s="398">
        <f>L10*(1+M12)</f>
        <v>3457.8098758312294</v>
      </c>
      <c r="N10" s="756"/>
      <c r="O10" s="43">
        <f>(E6-D6)/D6</f>
        <v>-0.33540757115225206</v>
      </c>
      <c r="P10" s="43">
        <f>(F6-E6)/E6</f>
        <v>-3.7141211906449201E-2</v>
      </c>
      <c r="Q10" s="43">
        <f>(G6-F6)/F6</f>
        <v>-0.21280932990534868</v>
      </c>
      <c r="R10" s="43">
        <f>(H6-G6)/G6</f>
        <v>-0.32431408575734433</v>
      </c>
      <c r="S10" s="43"/>
    </row>
    <row r="11" spans="2:24" ht="18" customHeight="1" x14ac:dyDescent="0.3">
      <c r="B11" s="399" t="s">
        <v>34</v>
      </c>
      <c r="C11" s="111">
        <f t="shared" ref="C11:I11" si="10">C10/C19</f>
        <v>0.24560185185185185</v>
      </c>
      <c r="D11" s="111">
        <f t="shared" si="10"/>
        <v>0.30992234685073339</v>
      </c>
      <c r="E11" s="111">
        <f t="shared" si="10"/>
        <v>0.31501774965272417</v>
      </c>
      <c r="F11" s="111">
        <f t="shared" si="10"/>
        <v>0.30412006229647459</v>
      </c>
      <c r="G11" s="111">
        <f t="shared" si="10"/>
        <v>0.30504013686011316</v>
      </c>
      <c r="H11" s="111">
        <f t="shared" si="10"/>
        <v>0.30452111097272389</v>
      </c>
      <c r="I11" s="130">
        <f t="shared" si="10"/>
        <v>0.30836975978656617</v>
      </c>
      <c r="J11" s="111">
        <f>J10/J19</f>
        <v>0.2956602801293981</v>
      </c>
      <c r="K11" s="111">
        <f>K10/K19</f>
        <v>0.28273070440010489</v>
      </c>
      <c r="L11" s="111">
        <f>L10/L19</f>
        <v>0.26956917779973844</v>
      </c>
      <c r="M11" s="113">
        <f>M10/M19</f>
        <v>0.25616887788489329</v>
      </c>
      <c r="N11" s="635"/>
    </row>
    <row r="12" spans="2:24" ht="19.2" customHeight="1" x14ac:dyDescent="0.3">
      <c r="B12" s="399" t="s">
        <v>58</v>
      </c>
      <c r="C12" s="111"/>
      <c r="D12" s="111">
        <f t="shared" ref="D12:I12" si="11">(D10-C10)/C10</f>
        <v>0.69274269557021673</v>
      </c>
      <c r="E12" s="111">
        <f t="shared" si="11"/>
        <v>0.1364142538975501</v>
      </c>
      <c r="F12" s="111">
        <f t="shared" si="11"/>
        <v>5.2425281724644779E-2</v>
      </c>
      <c r="G12" s="111">
        <f t="shared" si="11"/>
        <v>7.9143389199255121E-2</v>
      </c>
      <c r="H12" s="111">
        <f t="shared" si="11"/>
        <v>5.47886108714409E-2</v>
      </c>
      <c r="I12" s="130">
        <f t="shared" si="11"/>
        <v>4.120784130879334E-2</v>
      </c>
      <c r="J12" s="400">
        <f>R4</f>
        <v>7.2795875400336857E-2</v>
      </c>
      <c r="K12" s="400">
        <f t="shared" ref="K12:M12" si="12">S4</f>
        <v>7.6071689793352007E-2</v>
      </c>
      <c r="L12" s="400">
        <f t="shared" si="12"/>
        <v>8.160939504504193E-2</v>
      </c>
      <c r="M12" s="401">
        <f t="shared" si="12"/>
        <v>8.7817559629131473E-2</v>
      </c>
      <c r="N12" s="757"/>
    </row>
    <row r="13" spans="2:24" ht="16.8" customHeight="1" x14ac:dyDescent="0.3">
      <c r="B13" s="394" t="s">
        <v>21</v>
      </c>
      <c r="C13" s="395">
        <v>494</v>
      </c>
      <c r="D13" s="395">
        <v>665</v>
      </c>
      <c r="E13" s="395">
        <v>703</v>
      </c>
      <c r="F13" s="395">
        <v>708</v>
      </c>
      <c r="G13" s="395">
        <v>664</v>
      </c>
      <c r="H13" s="395">
        <v>642</v>
      </c>
      <c r="I13" s="396">
        <f>I36</f>
        <v>670.71639200000004</v>
      </c>
      <c r="J13" s="397">
        <f>I13*(1+J15)</f>
        <v>712.98891718418588</v>
      </c>
      <c r="K13" s="397">
        <f>J13*(1+K15)</f>
        <v>760.08267357426996</v>
      </c>
      <c r="L13" s="397">
        <f>K13*(1+L15)</f>
        <v>813.45120413737936</v>
      </c>
      <c r="M13" s="398">
        <f>L13*(1+M15)</f>
        <v>874.33952147764614</v>
      </c>
      <c r="N13" s="756"/>
      <c r="P13" s="42">
        <f>AVERAGE(P10:R10)</f>
        <v>-0.19142154252304741</v>
      </c>
    </row>
    <row r="14" spans="2:24" ht="16.2" customHeight="1" x14ac:dyDescent="0.3">
      <c r="B14" s="399" t="s">
        <v>34</v>
      </c>
      <c r="C14" s="111">
        <f>C13/C19</f>
        <v>0.11435185185185186</v>
      </c>
      <c r="D14" s="111">
        <f t="shared" ref="D14:M14" si="13">D13/D19</f>
        <v>0.11475409836065574</v>
      </c>
      <c r="E14" s="111">
        <f t="shared" si="13"/>
        <v>0.10850439882697947</v>
      </c>
      <c r="F14" s="111">
        <f t="shared" si="13"/>
        <v>0.10024069092453632</v>
      </c>
      <c r="G14" s="111">
        <f t="shared" si="13"/>
        <v>8.7379918410317142E-2</v>
      </c>
      <c r="H14" s="111">
        <f t="shared" si="13"/>
        <v>7.9960144476273504E-2</v>
      </c>
      <c r="I14" s="130">
        <f t="shared" si="13"/>
        <v>8.1244582138127408E-2</v>
      </c>
      <c r="J14" s="111">
        <f t="shared" si="13"/>
        <v>7.7186682370408474E-2</v>
      </c>
      <c r="K14" s="111">
        <f>K13/K19</f>
        <v>7.3123877674231008E-2</v>
      </c>
      <c r="L14" s="111">
        <f>L13/L19</f>
        <v>6.8985321874555777E-2</v>
      </c>
      <c r="M14" s="113">
        <f t="shared" si="13"/>
        <v>6.4774693274164047E-2</v>
      </c>
      <c r="N14" s="635"/>
    </row>
    <row r="15" spans="2:24" ht="18" customHeight="1" x14ac:dyDescent="0.3">
      <c r="B15" s="399" t="s">
        <v>58</v>
      </c>
      <c r="C15" s="111"/>
      <c r="D15" s="111">
        <f>(D13-C13)/C13</f>
        <v>0.34615384615384615</v>
      </c>
      <c r="E15" s="111">
        <f>(E13-D13)/D13</f>
        <v>5.7142857142857141E-2</v>
      </c>
      <c r="F15" s="111">
        <f>(F13-E13)/E13</f>
        <v>7.1123755334281651E-3</v>
      </c>
      <c r="G15" s="111">
        <f>(G13-F13)/F13</f>
        <v>-6.2146892655367235E-2</v>
      </c>
      <c r="H15" s="111">
        <f>(H13-G13)/G13</f>
        <v>-3.313253012048193E-2</v>
      </c>
      <c r="I15" s="130"/>
      <c r="J15" s="400">
        <f>R5</f>
        <v>6.3025931210856451E-2</v>
      </c>
      <c r="K15" s="400">
        <f>S5</f>
        <v>6.6051175908977564E-2</v>
      </c>
      <c r="L15" s="400">
        <f t="shared" ref="L15:M15" si="14">T5</f>
        <v>7.0214112778212961E-2</v>
      </c>
      <c r="M15" s="401">
        <f t="shared" si="14"/>
        <v>7.4851837492619491E-2</v>
      </c>
      <c r="N15" s="757"/>
    </row>
    <row r="16" spans="2:24" ht="18" customHeight="1" x14ac:dyDescent="0.3">
      <c r="B16" s="394" t="s">
        <v>22</v>
      </c>
      <c r="C16" s="395">
        <v>22</v>
      </c>
      <c r="D16" s="395">
        <v>14</v>
      </c>
      <c r="E16" s="395">
        <v>8</v>
      </c>
      <c r="F16" s="395">
        <v>9</v>
      </c>
      <c r="G16" s="395">
        <v>10</v>
      </c>
      <c r="H16" s="395">
        <v>21</v>
      </c>
      <c r="I16" s="402">
        <f>I38</f>
        <v>58</v>
      </c>
      <c r="J16" s="397">
        <f>I16*(1+P7)</f>
        <v>80.289478114478115</v>
      </c>
      <c r="K16" s="397">
        <f>J16*(1+K17)</f>
        <v>97.953163299663302</v>
      </c>
      <c r="L16" s="397">
        <f>K16*(1+L17)</f>
        <v>125.38004902356903</v>
      </c>
      <c r="M16" s="398">
        <f>L16*(1+M17)</f>
        <v>173.02446765252526</v>
      </c>
      <c r="N16" s="756"/>
    </row>
    <row r="17" spans="2:14" ht="20.399999999999999" customHeight="1" x14ac:dyDescent="0.3">
      <c r="B17" s="399" t="s">
        <v>58</v>
      </c>
      <c r="C17" s="403"/>
      <c r="D17" s="111">
        <f t="shared" ref="D17:J17" si="15">(D16-C16)/C16</f>
        <v>-0.36363636363636365</v>
      </c>
      <c r="E17" s="111">
        <f t="shared" si="15"/>
        <v>-0.42857142857142855</v>
      </c>
      <c r="F17" s="111">
        <f t="shared" si="15"/>
        <v>0.125</v>
      </c>
      <c r="G17" s="111">
        <f t="shared" si="15"/>
        <v>0.1111111111111111</v>
      </c>
      <c r="H17" s="111">
        <f t="shared" si="15"/>
        <v>1.1000000000000001</v>
      </c>
      <c r="I17" s="130">
        <f t="shared" si="15"/>
        <v>1.7619047619047619</v>
      </c>
      <c r="J17" s="111">
        <f t="shared" si="15"/>
        <v>0.38430134680134681</v>
      </c>
      <c r="K17" s="111">
        <v>0.22</v>
      </c>
      <c r="L17" s="111">
        <v>0.28000000000000003</v>
      </c>
      <c r="M17" s="113">
        <v>0.38</v>
      </c>
      <c r="N17" s="635"/>
    </row>
    <row r="18" spans="2:14" ht="18" customHeight="1" thickBot="1" x14ac:dyDescent="0.35">
      <c r="B18" s="394" t="s">
        <v>23</v>
      </c>
      <c r="C18" s="395">
        <v>-5</v>
      </c>
      <c r="D18" s="395">
        <v>-1</v>
      </c>
      <c r="E18" s="395">
        <v>-1</v>
      </c>
      <c r="F18" s="395">
        <v>3</v>
      </c>
      <c r="G18" s="395">
        <v>0</v>
      </c>
      <c r="H18" s="395">
        <v>0</v>
      </c>
      <c r="I18" s="404"/>
      <c r="J18" s="395"/>
      <c r="K18" s="395"/>
      <c r="L18" s="395"/>
      <c r="M18" s="405"/>
      <c r="N18" s="755"/>
    </row>
    <row r="19" spans="2:14" ht="20.399999999999999" customHeight="1" thickBot="1" x14ac:dyDescent="0.35">
      <c r="B19" s="114" t="s">
        <v>2</v>
      </c>
      <c r="C19" s="115">
        <f t="shared" ref="C19:M19" si="16">SUM(C4+C7+C10+C13+C16+C18)</f>
        <v>4320</v>
      </c>
      <c r="D19" s="115">
        <f t="shared" si="16"/>
        <v>5795</v>
      </c>
      <c r="E19" s="115">
        <f t="shared" si="16"/>
        <v>6479</v>
      </c>
      <c r="F19" s="115">
        <f t="shared" si="16"/>
        <v>7063</v>
      </c>
      <c r="G19" s="115">
        <f t="shared" si="16"/>
        <v>7599</v>
      </c>
      <c r="H19" s="115">
        <f t="shared" si="16"/>
        <v>8029</v>
      </c>
      <c r="I19" s="422">
        <f t="shared" si="16"/>
        <v>8255.521467999999</v>
      </c>
      <c r="J19" s="116">
        <f t="shared" si="16"/>
        <v>9237.2012280907256</v>
      </c>
      <c r="K19" s="116">
        <f>SUM(K4+K7+K10+K13+K16+K18)</f>
        <v>10394.452506477573</v>
      </c>
      <c r="L19" s="116">
        <f t="shared" si="16"/>
        <v>11791.656283297112</v>
      </c>
      <c r="M19" s="117">
        <f t="shared" si="16"/>
        <v>13498.165368023196</v>
      </c>
      <c r="N19" s="754"/>
    </row>
    <row r="20" spans="2:14" s="39" customFormat="1" ht="10.199999999999999" customHeight="1" x14ac:dyDescent="0.3"/>
    <row r="21" spans="2:14" ht="15" thickBot="1" x14ac:dyDescent="0.35"/>
    <row r="22" spans="2:14" x14ac:dyDescent="0.3">
      <c r="B22" s="15" t="s">
        <v>18</v>
      </c>
      <c r="C22" s="16"/>
      <c r="D22" s="16"/>
      <c r="E22" s="16"/>
      <c r="F22" s="16"/>
      <c r="G22" s="16"/>
      <c r="H22" s="16"/>
      <c r="I22" s="17"/>
    </row>
    <row r="23" spans="2:14" x14ac:dyDescent="0.3">
      <c r="B23" s="18" t="s">
        <v>24</v>
      </c>
      <c r="C23" s="19" t="s">
        <v>25</v>
      </c>
      <c r="D23" s="19" t="s">
        <v>26</v>
      </c>
      <c r="E23" s="19" t="s">
        <v>27</v>
      </c>
      <c r="F23" s="19" t="s">
        <v>28</v>
      </c>
      <c r="G23" s="20" t="s">
        <v>29</v>
      </c>
      <c r="H23" s="13" t="s">
        <v>30</v>
      </c>
      <c r="I23" s="415" t="s">
        <v>32</v>
      </c>
      <c r="J23" s="123"/>
    </row>
    <row r="24" spans="2:14" x14ac:dyDescent="0.3">
      <c r="B24" s="21">
        <v>875</v>
      </c>
      <c r="C24" s="22">
        <v>888</v>
      </c>
      <c r="D24" s="22">
        <v>893</v>
      </c>
      <c r="E24" s="22">
        <v>829</v>
      </c>
      <c r="F24" s="22">
        <v>846</v>
      </c>
      <c r="G24" s="23">
        <f>F24*(1+G25)</f>
        <v>883.22400000000005</v>
      </c>
      <c r="H24" s="7">
        <f>G24*(1+H25)</f>
        <v>922.08585600000004</v>
      </c>
      <c r="I24" s="24">
        <f>E24+F24+G24+H24</f>
        <v>3480.3098560000003</v>
      </c>
    </row>
    <row r="25" spans="2:14" x14ac:dyDescent="0.3">
      <c r="B25" s="21"/>
      <c r="C25" s="25">
        <f>(C24-B24)/B24</f>
        <v>1.4857142857142857E-2</v>
      </c>
      <c r="D25" s="25">
        <f>(D24-C24)/C24</f>
        <v>5.6306306306306304E-3</v>
      </c>
      <c r="E25" s="25">
        <f>(E24-D24)/D24</f>
        <v>-7.1668533034714446E-2</v>
      </c>
      <c r="F25" s="25">
        <f>(F24-E24)/E24</f>
        <v>2.0506634499396863E-2</v>
      </c>
      <c r="G25" s="417">
        <v>4.3999999999999997E-2</v>
      </c>
      <c r="H25" s="418">
        <v>4.3999999999999997E-2</v>
      </c>
      <c r="I25" s="24"/>
      <c r="K25" s="44"/>
    </row>
    <row r="26" spans="2:14" x14ac:dyDescent="0.3">
      <c r="B26" s="26" t="s">
        <v>19</v>
      </c>
      <c r="C26" s="22"/>
      <c r="D26" s="22"/>
      <c r="E26" s="22"/>
      <c r="F26" s="22"/>
      <c r="G26" s="22"/>
      <c r="H26" s="8"/>
      <c r="I26" s="24"/>
    </row>
    <row r="27" spans="2:14" x14ac:dyDescent="0.3">
      <c r="B27" s="18" t="s">
        <v>24</v>
      </c>
      <c r="C27" s="19" t="s">
        <v>25</v>
      </c>
      <c r="D27" s="19" t="s">
        <v>26</v>
      </c>
      <c r="E27" s="19" t="s">
        <v>27</v>
      </c>
      <c r="F27" s="19" t="s">
        <v>28</v>
      </c>
      <c r="G27" s="20" t="s">
        <v>29</v>
      </c>
      <c r="H27" s="13" t="s">
        <v>30</v>
      </c>
      <c r="I27" s="24"/>
      <c r="K27" s="44"/>
    </row>
    <row r="28" spans="2:14" x14ac:dyDescent="0.3">
      <c r="B28" s="21">
        <v>347</v>
      </c>
      <c r="C28" s="27">
        <v>357</v>
      </c>
      <c r="D28" s="27">
        <v>362</v>
      </c>
      <c r="E28" s="27">
        <v>334</v>
      </c>
      <c r="F28" s="27">
        <v>358</v>
      </c>
      <c r="G28" s="28">
        <f>F28*(1+G29)</f>
        <v>388.072</v>
      </c>
      <c r="H28" s="9">
        <f>G28*(1+H29)</f>
        <v>420.67004800000001</v>
      </c>
      <c r="I28" s="24">
        <f>E28+F28+G28+H28</f>
        <v>1500.7420480000001</v>
      </c>
      <c r="J28" s="2" t="s">
        <v>64</v>
      </c>
    </row>
    <row r="29" spans="2:14" x14ac:dyDescent="0.3">
      <c r="B29" s="21"/>
      <c r="C29" s="29">
        <f>(C28-B28)/B28</f>
        <v>2.8818443804034581E-2</v>
      </c>
      <c r="D29" s="29">
        <f>(D28-C28)/C28</f>
        <v>1.4005602240896359E-2</v>
      </c>
      <c r="E29" s="29">
        <f>(E28-D28)/D28</f>
        <v>-7.7348066298342538E-2</v>
      </c>
      <c r="F29" s="29">
        <f>(F28-E28)/E28</f>
        <v>7.1856287425149698E-2</v>
      </c>
      <c r="G29" s="419">
        <v>8.4000000000000005E-2</v>
      </c>
      <c r="H29" s="420">
        <v>8.4000000000000005E-2</v>
      </c>
      <c r="I29" s="24"/>
    </row>
    <row r="30" spans="2:14" x14ac:dyDescent="0.3">
      <c r="B30" s="30" t="s">
        <v>31</v>
      </c>
      <c r="C30" s="27"/>
      <c r="D30" s="27"/>
      <c r="E30" s="27"/>
      <c r="F30" s="27"/>
      <c r="G30" s="27"/>
      <c r="H30" s="10"/>
      <c r="I30" s="24"/>
    </row>
    <row r="31" spans="2:14" x14ac:dyDescent="0.3">
      <c r="B31" s="18" t="s">
        <v>24</v>
      </c>
      <c r="C31" s="31" t="s">
        <v>25</v>
      </c>
      <c r="D31" s="31" t="s">
        <v>26</v>
      </c>
      <c r="E31" s="31" t="s">
        <v>27</v>
      </c>
      <c r="F31" s="31" t="s">
        <v>28</v>
      </c>
      <c r="G31" s="32" t="s">
        <v>29</v>
      </c>
      <c r="H31" s="14" t="s">
        <v>30</v>
      </c>
      <c r="I31" s="24"/>
    </row>
    <row r="32" spans="2:14" x14ac:dyDescent="0.3">
      <c r="B32" s="21">
        <v>591</v>
      </c>
      <c r="C32" s="27">
        <v>598</v>
      </c>
      <c r="D32" s="27">
        <v>639</v>
      </c>
      <c r="E32" s="27">
        <v>593</v>
      </c>
      <c r="F32" s="27">
        <v>617</v>
      </c>
      <c r="G32" s="28">
        <f>(F32*(1+G33))</f>
        <v>650.31799999999998</v>
      </c>
      <c r="H32" s="9">
        <f>(G32*(1+H33))</f>
        <v>685.43517199999997</v>
      </c>
      <c r="I32" s="24">
        <f>E32+F32+G32+H32</f>
        <v>2545.7531719999997</v>
      </c>
    </row>
    <row r="33" spans="2:9" x14ac:dyDescent="0.3">
      <c r="B33" s="21"/>
      <c r="C33" s="29">
        <f>(C32-B32)/B32</f>
        <v>1.1844331641285956E-2</v>
      </c>
      <c r="D33" s="29">
        <f>(D32-C32)/C32</f>
        <v>6.8561872909698993E-2</v>
      </c>
      <c r="E33" s="29">
        <f>(E32-D32)/D32</f>
        <v>-7.1987480438184662E-2</v>
      </c>
      <c r="F33" s="29">
        <f>(F32-E32)/E32</f>
        <v>4.0472175379426642E-2</v>
      </c>
      <c r="G33" s="29">
        <v>5.3999999999999999E-2</v>
      </c>
      <c r="H33" s="11">
        <v>5.3999999999999999E-2</v>
      </c>
      <c r="I33" s="24"/>
    </row>
    <row r="34" spans="2:9" x14ac:dyDescent="0.3">
      <c r="B34" s="26" t="s">
        <v>21</v>
      </c>
      <c r="C34" s="27"/>
      <c r="D34" s="27"/>
      <c r="E34" s="27"/>
      <c r="F34" s="27"/>
      <c r="G34" s="27"/>
      <c r="H34" s="10"/>
      <c r="I34" s="24"/>
    </row>
    <row r="35" spans="2:9" x14ac:dyDescent="0.3">
      <c r="B35" s="18" t="s">
        <v>24</v>
      </c>
      <c r="C35" s="31" t="s">
        <v>25</v>
      </c>
      <c r="D35" s="31" t="s">
        <v>26</v>
      </c>
      <c r="E35" s="31" t="s">
        <v>27</v>
      </c>
      <c r="F35" s="31" t="s">
        <v>28</v>
      </c>
      <c r="G35" s="32" t="s">
        <v>29</v>
      </c>
      <c r="H35" s="14" t="s">
        <v>30</v>
      </c>
      <c r="I35" s="24"/>
    </row>
    <row r="36" spans="2:9" x14ac:dyDescent="0.3">
      <c r="B36" s="21">
        <v>164</v>
      </c>
      <c r="C36" s="27">
        <v>167</v>
      </c>
      <c r="D36" s="27">
        <v>162</v>
      </c>
      <c r="E36" s="27">
        <v>158</v>
      </c>
      <c r="F36" s="27">
        <v>162</v>
      </c>
      <c r="G36" s="33">
        <f>F36*(1+G37)</f>
        <v>170.74800000000002</v>
      </c>
      <c r="H36" s="12">
        <f>G36*(1+H37)</f>
        <v>179.96839200000002</v>
      </c>
      <c r="I36" s="24">
        <f>E36+F36+G36+H36</f>
        <v>670.71639200000004</v>
      </c>
    </row>
    <row r="37" spans="2:9" x14ac:dyDescent="0.3">
      <c r="B37" s="34"/>
      <c r="C37" s="29">
        <f>(C36-B36)/B36</f>
        <v>1.8292682926829267E-2</v>
      </c>
      <c r="D37" s="29">
        <f>(D36-C36)/C36</f>
        <v>-2.9940119760479042E-2</v>
      </c>
      <c r="E37" s="29">
        <f>(E36-D36)/D36</f>
        <v>-2.4691358024691357E-2</v>
      </c>
      <c r="F37" s="29">
        <f>(F36-E36)/E36</f>
        <v>2.5316455696202531E-2</v>
      </c>
      <c r="G37" s="419">
        <v>5.3999999999999999E-2</v>
      </c>
      <c r="H37" s="420">
        <v>5.3999999999999999E-2</v>
      </c>
      <c r="I37" s="35"/>
    </row>
    <row r="38" spans="2:9" x14ac:dyDescent="0.3">
      <c r="B38" s="26" t="s">
        <v>22</v>
      </c>
      <c r="C38" s="27"/>
      <c r="D38" s="27"/>
      <c r="E38" s="27"/>
      <c r="F38" s="27"/>
      <c r="G38" s="27"/>
      <c r="H38" s="10"/>
      <c r="I38" s="414">
        <v>58</v>
      </c>
    </row>
    <row r="39" spans="2:9" ht="15" thickBot="1" x14ac:dyDescent="0.35">
      <c r="B39" s="21"/>
      <c r="C39" s="27"/>
      <c r="D39" s="27"/>
      <c r="E39" s="27"/>
      <c r="F39" s="27"/>
      <c r="G39" s="27"/>
      <c r="H39" s="10"/>
      <c r="I39" s="36"/>
    </row>
    <row r="40" spans="2:9" ht="15" thickBot="1" x14ac:dyDescent="0.35">
      <c r="B40" s="37"/>
      <c r="C40" s="38"/>
      <c r="D40" s="38"/>
      <c r="E40" s="38"/>
      <c r="F40" s="38"/>
      <c r="G40" s="133"/>
      <c r="H40" s="133"/>
      <c r="I40" s="416">
        <f>I24+I28+I32+I36+I38</f>
        <v>8255.521467999999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9"/>
  <sheetViews>
    <sheetView zoomScale="80" zoomScaleNormal="80" workbookViewId="0">
      <selection activeCell="N75" sqref="N75"/>
    </sheetView>
  </sheetViews>
  <sheetFormatPr defaultRowHeight="14.4" x14ac:dyDescent="0.3"/>
  <cols>
    <col min="1" max="1" width="3" style="2" customWidth="1"/>
    <col min="2" max="2" width="44.44140625" style="2" customWidth="1"/>
    <col min="3" max="3" width="15.88671875" style="2" hidden="1" customWidth="1"/>
    <col min="4" max="4" width="18" style="2" hidden="1" customWidth="1"/>
    <col min="5" max="5" width="15.88671875" style="2" hidden="1" customWidth="1"/>
    <col min="6" max="6" width="25" style="2" hidden="1" customWidth="1"/>
    <col min="7" max="7" width="17.33203125" style="2" hidden="1" customWidth="1"/>
    <col min="8" max="8" width="21.6640625" style="2" customWidth="1"/>
    <col min="9" max="9" width="19.33203125" style="2" customWidth="1"/>
    <col min="10" max="10" width="16.6640625" style="2" customWidth="1"/>
    <col min="11" max="11" width="14.77734375" style="2" customWidth="1"/>
    <col min="12" max="12" width="23.6640625" style="2" customWidth="1"/>
    <col min="13" max="13" width="16.6640625" style="2" customWidth="1"/>
    <col min="14" max="14" width="28.77734375" style="2" customWidth="1"/>
    <col min="15" max="15" width="25.109375" style="2" hidden="1" customWidth="1"/>
    <col min="16" max="16" width="17.88671875" style="2" hidden="1" customWidth="1"/>
    <col min="17" max="17" width="21.6640625" style="2" customWidth="1"/>
    <col min="18" max="18" width="20.21875" style="2" customWidth="1"/>
    <col min="19" max="19" width="18.88671875" style="2" customWidth="1"/>
    <col min="20" max="20" width="20.5546875" style="2" customWidth="1"/>
    <col min="21" max="21" width="21.6640625" style="2" customWidth="1"/>
    <col min="22" max="22" width="22.33203125" style="2" customWidth="1"/>
    <col min="23" max="23" width="21.88671875" style="2" customWidth="1"/>
    <col min="24" max="24" width="16" style="2" customWidth="1"/>
    <col min="25" max="25" width="15.21875" style="2" customWidth="1"/>
    <col min="26" max="16384" width="8.88671875" style="2"/>
  </cols>
  <sheetData>
    <row r="1" spans="2:20" x14ac:dyDescent="0.3">
      <c r="B1" s="125"/>
      <c r="C1" s="126"/>
      <c r="D1" s="841" t="s">
        <v>220</v>
      </c>
      <c r="E1" s="841"/>
      <c r="F1" s="841"/>
      <c r="G1" s="841"/>
      <c r="H1" s="841"/>
      <c r="I1" s="840" t="s">
        <v>221</v>
      </c>
      <c r="J1" s="840"/>
      <c r="K1" s="840"/>
      <c r="L1" s="840"/>
      <c r="M1" s="840"/>
      <c r="N1" s="124"/>
      <c r="O1" s="124"/>
      <c r="P1" s="124"/>
      <c r="Q1" s="124"/>
      <c r="R1" s="124"/>
    </row>
    <row r="2" spans="2:20" ht="12" customHeight="1" thickBot="1" x14ac:dyDescent="0.35">
      <c r="B2" s="127"/>
      <c r="C2" s="128"/>
      <c r="D2" s="845"/>
      <c r="E2" s="845"/>
      <c r="F2" s="845"/>
      <c r="G2" s="845"/>
      <c r="H2" s="845"/>
      <c r="I2" s="840"/>
      <c r="J2" s="840"/>
      <c r="K2" s="840"/>
      <c r="L2" s="840"/>
      <c r="M2" s="840"/>
      <c r="N2" s="124"/>
      <c r="O2" s="124"/>
      <c r="P2" s="124"/>
      <c r="Q2" s="124"/>
      <c r="R2" s="124"/>
    </row>
    <row r="3" spans="2:20" ht="23.4" customHeight="1" x14ac:dyDescent="0.3">
      <c r="B3" s="509" t="s">
        <v>12</v>
      </c>
      <c r="C3" s="510">
        <v>41912</v>
      </c>
      <c r="D3" s="92" t="s">
        <v>13</v>
      </c>
      <c r="E3" s="93">
        <v>42643</v>
      </c>
      <c r="F3" s="517">
        <v>43008</v>
      </c>
      <c r="G3" s="518">
        <v>43373</v>
      </c>
      <c r="H3" s="518">
        <v>43738</v>
      </c>
      <c r="I3" s="519" t="s">
        <v>41</v>
      </c>
      <c r="J3" s="519" t="s">
        <v>42</v>
      </c>
      <c r="K3" s="519" t="s">
        <v>43</v>
      </c>
      <c r="L3" s="519" t="s">
        <v>44</v>
      </c>
      <c r="M3" s="520" t="s">
        <v>45</v>
      </c>
      <c r="N3" s="507"/>
      <c r="O3" s="507"/>
      <c r="P3" s="129"/>
      <c r="Q3" s="838" t="s">
        <v>32</v>
      </c>
      <c r="R3" s="839"/>
      <c r="T3" s="2">
        <f>1-(336/870)*(870/8633)</f>
        <v>0.9610795783620989</v>
      </c>
    </row>
    <row r="4" spans="2:20" ht="19.8" customHeight="1" thickBot="1" x14ac:dyDescent="0.35">
      <c r="B4" s="206" t="s">
        <v>2</v>
      </c>
      <c r="C4" s="47">
        <v>4320</v>
      </c>
      <c r="D4" s="94">
        <v>5795</v>
      </c>
      <c r="E4" s="48">
        <v>6473</v>
      </c>
      <c r="F4" s="48">
        <v>7063</v>
      </c>
      <c r="G4" s="521">
        <v>7599</v>
      </c>
      <c r="H4" s="521">
        <v>8029</v>
      </c>
      <c r="I4" s="522">
        <f>'IS(Forcasted)'!I4</f>
        <v>8255.521467999999</v>
      </c>
      <c r="J4" s="522">
        <f>'IS(Forcasted)'!J4</f>
        <v>11423.201228090726</v>
      </c>
      <c r="K4" s="522">
        <f>'IS(Forcasted)'!K4</f>
        <v>12987.452506477573</v>
      </c>
      <c r="L4" s="522">
        <f>'IS(Forcasted)'!L4</f>
        <v>14631.656283297112</v>
      </c>
      <c r="M4" s="523">
        <f>'IS(Forcasted)'!M4</f>
        <v>16623.165368023198</v>
      </c>
      <c r="N4" s="504"/>
      <c r="O4" s="505"/>
      <c r="P4" s="124"/>
      <c r="Q4" s="233" t="s">
        <v>33</v>
      </c>
      <c r="R4" s="234">
        <f>SUM(F7:H7)/3</f>
        <v>0.62545258862197162</v>
      </c>
    </row>
    <row r="5" spans="2:20" ht="23.4" customHeight="1" thickBot="1" x14ac:dyDescent="0.35">
      <c r="B5" s="210" t="s">
        <v>36</v>
      </c>
      <c r="C5" s="50"/>
      <c r="D5" s="70">
        <f t="shared" ref="D5:M5" si="0">(D4-C4)/C4</f>
        <v>0.34143518518518517</v>
      </c>
      <c r="E5" s="51">
        <f t="shared" si="0"/>
        <v>0.11699741156169112</v>
      </c>
      <c r="F5" s="63">
        <f t="shared" si="0"/>
        <v>9.1147844894175808E-2</v>
      </c>
      <c r="G5" s="524">
        <f t="shared" si="0"/>
        <v>7.5888432677332585E-2</v>
      </c>
      <c r="H5" s="524">
        <f t="shared" si="0"/>
        <v>5.6586392946440321E-2</v>
      </c>
      <c r="I5" s="524">
        <f t="shared" si="0"/>
        <v>2.821291169510512E-2</v>
      </c>
      <c r="J5" s="524">
        <f t="shared" si="0"/>
        <v>0.38370438165163367</v>
      </c>
      <c r="K5" s="524">
        <f t="shared" si="0"/>
        <v>0.13693633222009666</v>
      </c>
      <c r="L5" s="524">
        <f t="shared" si="0"/>
        <v>0.126599406311552</v>
      </c>
      <c r="M5" s="525">
        <f t="shared" si="0"/>
        <v>0.13610961371471725</v>
      </c>
      <c r="N5" s="504"/>
      <c r="O5" s="505"/>
      <c r="P5" s="124"/>
      <c r="Q5" s="233" t="s">
        <v>59</v>
      </c>
      <c r="R5" s="234">
        <f>(E6-D6)/D6</f>
        <v>0.11520861372812921</v>
      </c>
    </row>
    <row r="6" spans="2:20" ht="20.399999999999999" customHeight="1" x14ac:dyDescent="0.3">
      <c r="B6" s="214" t="s">
        <v>14</v>
      </c>
      <c r="C6" s="52">
        <v>2673</v>
      </c>
      <c r="D6" s="95">
        <v>3715</v>
      </c>
      <c r="E6" s="53">
        <v>4143</v>
      </c>
      <c r="F6" s="54">
        <v>4442</v>
      </c>
      <c r="G6" s="526">
        <v>4714</v>
      </c>
      <c r="H6" s="526">
        <v>5035</v>
      </c>
      <c r="I6" s="526">
        <f>I4*I7</f>
        <v>5081.273463554</v>
      </c>
      <c r="J6" s="527">
        <f>J4*R4</f>
        <v>7144.6707784590299</v>
      </c>
      <c r="K6" s="527">
        <f>K4*K7</f>
        <v>7993.7770177369475</v>
      </c>
      <c r="L6" s="527">
        <f>L4*L7</f>
        <v>8969.2053016611299</v>
      </c>
      <c r="M6" s="528">
        <f>M4*M7</f>
        <v>10231.55828401828</v>
      </c>
      <c r="N6" s="504"/>
      <c r="O6" s="505"/>
      <c r="P6" s="124"/>
      <c r="Q6" s="233" t="s">
        <v>16</v>
      </c>
      <c r="R6" s="235">
        <f>I8/I4</f>
        <v>0.3844999999999999</v>
      </c>
    </row>
    <row r="7" spans="2:20" ht="18" customHeight="1" x14ac:dyDescent="0.3">
      <c r="B7" s="210" t="s">
        <v>34</v>
      </c>
      <c r="C7" s="62"/>
      <c r="D7" s="96">
        <f>D6/D4</f>
        <v>0.64106988783433994</v>
      </c>
      <c r="E7" s="63">
        <f>E6/E4</f>
        <v>0.64004325660435657</v>
      </c>
      <c r="F7" s="63">
        <f>F6/F4</f>
        <v>0.62891122752371509</v>
      </c>
      <c r="G7" s="524">
        <f>G6/G4</f>
        <v>0.62034478220818534</v>
      </c>
      <c r="H7" s="524">
        <f>H6/H4</f>
        <v>0.6271017561340142</v>
      </c>
      <c r="I7" s="529">
        <v>0.61550000000000005</v>
      </c>
      <c r="J7" s="529">
        <v>0.61350000000000005</v>
      </c>
      <c r="K7" s="529">
        <f>'IS(Forcasted)'!K7</f>
        <v>0.61550000000000005</v>
      </c>
      <c r="L7" s="529">
        <v>0.61299999999999999</v>
      </c>
      <c r="M7" s="530">
        <f>'IS(Forcasted)'!M7</f>
        <v>0.61550000000000005</v>
      </c>
      <c r="N7" s="504"/>
      <c r="O7" s="505"/>
      <c r="P7" s="124"/>
      <c r="Q7" s="233" t="s">
        <v>60</v>
      </c>
      <c r="R7" s="235">
        <f>AVERAGE(D12:I12)</f>
        <v>-0.11551069335750153</v>
      </c>
      <c r="S7" s="5">
        <f>AVERAGE(F15:I15)</f>
        <v>-1.527210185500988E-2</v>
      </c>
    </row>
    <row r="8" spans="2:20" ht="19.8" customHeight="1" thickBot="1" x14ac:dyDescent="0.35">
      <c r="B8" s="206" t="s">
        <v>3</v>
      </c>
      <c r="C8" s="91">
        <f t="shared" ref="C8:M8" si="1">C4-C6</f>
        <v>1647</v>
      </c>
      <c r="D8" s="71">
        <f>D4-D6</f>
        <v>2080</v>
      </c>
      <c r="E8" s="55">
        <f t="shared" si="1"/>
        <v>2330</v>
      </c>
      <c r="F8" s="48">
        <f t="shared" si="1"/>
        <v>2621</v>
      </c>
      <c r="G8" s="521">
        <f t="shared" si="1"/>
        <v>2885</v>
      </c>
      <c r="H8" s="521">
        <f t="shared" si="1"/>
        <v>2994</v>
      </c>
      <c r="I8" s="521">
        <f t="shared" si="1"/>
        <v>3174.248004445999</v>
      </c>
      <c r="J8" s="521">
        <f>J4-J6</f>
        <v>4278.5304496316958</v>
      </c>
      <c r="K8" s="521">
        <f t="shared" si="1"/>
        <v>4993.675488740626</v>
      </c>
      <c r="L8" s="521">
        <f t="shared" si="1"/>
        <v>5662.4509816359823</v>
      </c>
      <c r="M8" s="531">
        <f t="shared" si="1"/>
        <v>6391.6070840049179</v>
      </c>
      <c r="N8" s="504"/>
      <c r="O8" s="505"/>
      <c r="P8" s="124"/>
      <c r="Q8" s="236" t="s">
        <v>62</v>
      </c>
      <c r="R8" s="237">
        <f>AVERAGE(I16,H16,F16,E16,D16)</f>
        <v>-24</v>
      </c>
    </row>
    <row r="9" spans="2:20" ht="20.399999999999999" customHeight="1" x14ac:dyDescent="0.3">
      <c r="B9" s="210" t="s">
        <v>15</v>
      </c>
      <c r="C9" s="62"/>
      <c r="D9" s="72">
        <f t="shared" ref="D9:M9" si="2">(D8-C8)/C8</f>
        <v>0.26290224650880389</v>
      </c>
      <c r="E9" s="73">
        <f t="shared" si="2"/>
        <v>0.1201923076923077</v>
      </c>
      <c r="F9" s="73">
        <f t="shared" si="2"/>
        <v>0.12489270386266095</v>
      </c>
      <c r="G9" s="529">
        <f t="shared" si="2"/>
        <v>0.10072491415490271</v>
      </c>
      <c r="H9" s="529">
        <f t="shared" si="2"/>
        <v>3.7781629116117849E-2</v>
      </c>
      <c r="I9" s="529">
        <f t="shared" si="2"/>
        <v>6.0203074297260843E-2</v>
      </c>
      <c r="J9" s="529">
        <f t="shared" si="2"/>
        <v>0.34788789144357579</v>
      </c>
      <c r="K9" s="529">
        <f t="shared" si="2"/>
        <v>0.16714735293527974</v>
      </c>
      <c r="L9" s="529">
        <f t="shared" si="2"/>
        <v>0.13392449998067804</v>
      </c>
      <c r="M9" s="530">
        <f t="shared" si="2"/>
        <v>0.12877040432379502</v>
      </c>
      <c r="N9" s="504"/>
      <c r="O9" s="505"/>
      <c r="P9" s="124"/>
      <c r="Q9" s="124"/>
      <c r="R9" s="124"/>
    </row>
    <row r="10" spans="2:20" ht="24.6" customHeight="1" x14ac:dyDescent="0.3">
      <c r="B10" s="214" t="s">
        <v>16</v>
      </c>
      <c r="C10" s="56"/>
      <c r="D10" s="75">
        <f t="shared" ref="D10:M10" si="3">D8/D4</f>
        <v>0.35893011216566006</v>
      </c>
      <c r="E10" s="57">
        <f t="shared" si="3"/>
        <v>0.35995674339564343</v>
      </c>
      <c r="F10" s="515">
        <f t="shared" si="3"/>
        <v>0.37108877247628486</v>
      </c>
      <c r="G10" s="532">
        <f t="shared" si="3"/>
        <v>0.37965521779181471</v>
      </c>
      <c r="H10" s="532">
        <f t="shared" si="3"/>
        <v>0.3728982438659858</v>
      </c>
      <c r="I10" s="532">
        <f t="shared" si="3"/>
        <v>0.3844999999999999</v>
      </c>
      <c r="J10" s="532">
        <f t="shared" si="3"/>
        <v>0.37454741137802838</v>
      </c>
      <c r="K10" s="532">
        <f t="shared" si="3"/>
        <v>0.3844999999999999</v>
      </c>
      <c r="L10" s="532">
        <f t="shared" si="3"/>
        <v>0.38700000000000001</v>
      </c>
      <c r="M10" s="533">
        <f t="shared" si="3"/>
        <v>0.3844999999999999</v>
      </c>
      <c r="N10" s="504"/>
      <c r="O10" s="505"/>
      <c r="P10" s="124"/>
      <c r="Q10" s="124"/>
      <c r="R10" s="124"/>
    </row>
    <row r="11" spans="2:20" ht="22.2" customHeight="1" x14ac:dyDescent="0.3">
      <c r="B11" s="210" t="s">
        <v>37</v>
      </c>
      <c r="C11" s="109"/>
      <c r="D11" s="97">
        <v>-717</v>
      </c>
      <c r="E11" s="98">
        <v>-770</v>
      </c>
      <c r="F11" s="98">
        <v>-776</v>
      </c>
      <c r="G11" s="590">
        <v>-836</v>
      </c>
      <c r="H11" s="590">
        <v>-945</v>
      </c>
      <c r="I11" s="591">
        <f>I4*I12</f>
        <v>-931.22282159039992</v>
      </c>
      <c r="J11" s="591">
        <f>J4*J12</f>
        <v>-1319.5018942190227</v>
      </c>
      <c r="K11" s="591">
        <f>K4*K12</f>
        <v>-1500.1896439708455</v>
      </c>
      <c r="L11" s="591">
        <f>L4*L12</f>
        <v>-1698.5633260635545</v>
      </c>
      <c r="M11" s="592">
        <f>M4*M12</f>
        <v>-1939.4028948652701</v>
      </c>
      <c r="N11" s="504"/>
      <c r="O11" s="505"/>
      <c r="P11" s="124"/>
      <c r="Q11" s="124"/>
      <c r="R11" s="124"/>
    </row>
    <row r="12" spans="2:20" ht="23.4" customHeight="1" x14ac:dyDescent="0.3">
      <c r="B12" s="214" t="s">
        <v>34</v>
      </c>
      <c r="C12" s="146"/>
      <c r="D12" s="99">
        <f>D11/D4</f>
        <v>-0.12372735116479724</v>
      </c>
      <c r="E12" s="100">
        <f>E11/E4</f>
        <v>-0.11895566198053453</v>
      </c>
      <c r="F12" s="100">
        <f>F11/F4</f>
        <v>-0.10986832790598895</v>
      </c>
      <c r="G12" s="535">
        <f>G11/G4</f>
        <v>-0.11001447558889328</v>
      </c>
      <c r="H12" s="535">
        <f>H11/H4</f>
        <v>-0.11769834350479512</v>
      </c>
      <c r="I12" s="536">
        <v>-0.1128</v>
      </c>
      <c r="J12" s="536">
        <f>R7</f>
        <v>-0.11551069335750153</v>
      </c>
      <c r="K12" s="536">
        <f>R7</f>
        <v>-0.11551069335750153</v>
      </c>
      <c r="L12" s="536">
        <f>K12*(1+0.005)</f>
        <v>-0.11608824682428902</v>
      </c>
      <c r="M12" s="537">
        <f>L12*(1+0.005)</f>
        <v>-0.11666868805841045</v>
      </c>
      <c r="N12" s="504"/>
      <c r="O12" s="505"/>
      <c r="P12" s="124"/>
      <c r="Q12" s="408"/>
      <c r="R12" s="124"/>
    </row>
    <row r="13" spans="2:20" ht="20.399999999999999" customHeight="1" x14ac:dyDescent="0.3">
      <c r="B13" s="210" t="s">
        <v>38</v>
      </c>
      <c r="C13" s="121"/>
      <c r="D13" s="97">
        <v>-778</v>
      </c>
      <c r="E13" s="98">
        <v>-791</v>
      </c>
      <c r="F13" s="98">
        <v>-819</v>
      </c>
      <c r="G13" s="590">
        <v>-850</v>
      </c>
      <c r="H13" s="590">
        <v>-865</v>
      </c>
      <c r="I13" s="591">
        <f>I4*I14</f>
        <v>-944.73625499133095</v>
      </c>
      <c r="J13" s="591">
        <f>J4*J14</f>
        <v>-1287.2714588459189</v>
      </c>
      <c r="K13" s="591">
        <f>K4*K14</f>
        <v>-1441.1942721296032</v>
      </c>
      <c r="L13" s="591">
        <f>L4*L14</f>
        <v>-1598.8520843913723</v>
      </c>
      <c r="M13" s="592">
        <f>M4*M14</f>
        <v>-1788.7298904354611</v>
      </c>
      <c r="N13" s="504"/>
      <c r="O13" s="505"/>
    </row>
    <row r="14" spans="2:20" ht="21" customHeight="1" x14ac:dyDescent="0.3">
      <c r="B14" s="214" t="s">
        <v>34</v>
      </c>
      <c r="C14" s="119"/>
      <c r="D14" s="99">
        <f>D13/D4</f>
        <v>-0.13425366695427093</v>
      </c>
      <c r="E14" s="100">
        <f>E13/E4</f>
        <v>-0.12219990730727638</v>
      </c>
      <c r="F14" s="100">
        <f>F13/F4</f>
        <v>-0.1159563924677899</v>
      </c>
      <c r="G14" s="535">
        <f>G13/G4</f>
        <v>-0.11185682326621924</v>
      </c>
      <c r="H14" s="535">
        <f>H13/H4</f>
        <v>-0.10773446257317225</v>
      </c>
      <c r="I14" s="536">
        <f>AVERAGE(E14:H14)</f>
        <v>-0.11443689640361444</v>
      </c>
      <c r="J14" s="536">
        <f>I14*(1+S7)</f>
        <v>-0.11268920446576722</v>
      </c>
      <c r="K14" s="536">
        <f>J14*(1+S7)</f>
        <v>-0.11096820345720598</v>
      </c>
      <c r="L14" s="536">
        <f>K14*(1+S7)</f>
        <v>-0.10927348575134006</v>
      </c>
      <c r="M14" s="537">
        <f>L14*(1+S7)</f>
        <v>-0.10760464994689362</v>
      </c>
      <c r="N14" s="504"/>
      <c r="O14" s="505"/>
      <c r="R14" s="5"/>
    </row>
    <row r="15" spans="2:20" ht="15.6" hidden="1" x14ac:dyDescent="0.3">
      <c r="B15" s="511" t="s">
        <v>61</v>
      </c>
      <c r="C15" s="512"/>
      <c r="D15" s="102"/>
      <c r="E15" s="103">
        <f t="shared" ref="E15:M15" si="4">(E14-D14)/D14</f>
        <v>-8.9783466779348869E-2</v>
      </c>
      <c r="F15" s="103">
        <f t="shared" si="4"/>
        <v>-5.1092631549931759E-2</v>
      </c>
      <c r="G15" s="538">
        <f t="shared" si="4"/>
        <v>-3.5354404481921335E-2</v>
      </c>
      <c r="H15" s="538">
        <f t="shared" si="4"/>
        <v>-3.6853904595840058E-2</v>
      </c>
      <c r="I15" s="539">
        <f t="shared" si="4"/>
        <v>6.2212533207653624E-2</v>
      </c>
      <c r="J15" s="540">
        <f t="shared" si="4"/>
        <v>-1.527210185500999E-2</v>
      </c>
      <c r="K15" s="540">
        <f t="shared" si="4"/>
        <v>-1.5272101855009913E-2</v>
      </c>
      <c r="L15" s="540">
        <f t="shared" si="4"/>
        <v>-1.5272101855009974E-2</v>
      </c>
      <c r="M15" s="541">
        <f t="shared" si="4"/>
        <v>-1.5272101855009983E-2</v>
      </c>
      <c r="N15" s="504"/>
      <c r="O15" s="505"/>
    </row>
    <row r="16" spans="2:20" ht="19.2" customHeight="1" x14ac:dyDescent="0.3">
      <c r="B16" s="210" t="s">
        <v>39</v>
      </c>
      <c r="C16" s="121"/>
      <c r="D16" s="97">
        <v>-30</v>
      </c>
      <c r="E16" s="98">
        <v>-6</v>
      </c>
      <c r="F16" s="98">
        <v>-43</v>
      </c>
      <c r="G16" s="498">
        <v>270</v>
      </c>
      <c r="H16" s="498">
        <v>-23</v>
      </c>
      <c r="I16" s="542">
        <f>'IS(Forcasted)'!I16</f>
        <v>-18</v>
      </c>
      <c r="J16" s="542">
        <f>'IS(Forcasted)'!J16</f>
        <v>-14.086956521739131</v>
      </c>
      <c r="K16" s="542">
        <f>'IS(Forcasted)'!K16</f>
        <v>-30</v>
      </c>
      <c r="L16" s="542">
        <f>'IS(Forcasted)'!L16</f>
        <v>-23.478260869565219</v>
      </c>
      <c r="M16" s="543">
        <f>'IS(Forcasted)'!M16</f>
        <v>-18.374291115311912</v>
      </c>
      <c r="N16" s="504"/>
      <c r="O16" s="505"/>
      <c r="Q16" s="2" t="s">
        <v>612</v>
      </c>
      <c r="R16" s="42">
        <v>0.12</v>
      </c>
    </row>
    <row r="17" spans="2:18" ht="15.6" hidden="1" x14ac:dyDescent="0.3">
      <c r="B17" s="511" t="s">
        <v>63</v>
      </c>
      <c r="C17" s="512"/>
      <c r="D17" s="105"/>
      <c r="E17" s="106">
        <f>(E16-D16)/D16</f>
        <v>-0.8</v>
      </c>
      <c r="F17" s="106">
        <f t="shared" ref="F17:M17" si="5">(F16-E16)/E16</f>
        <v>6.166666666666667</v>
      </c>
      <c r="G17" s="544">
        <f t="shared" si="5"/>
        <v>-7.2790697674418601</v>
      </c>
      <c r="H17" s="544">
        <f t="shared" si="5"/>
        <v>-1.0851851851851853</v>
      </c>
      <c r="I17" s="545">
        <f t="shared" si="5"/>
        <v>-0.21739130434782608</v>
      </c>
      <c r="J17" s="546">
        <f t="shared" si="5"/>
        <v>-0.21739130434782605</v>
      </c>
      <c r="K17" s="546">
        <f t="shared" si="5"/>
        <v>1.1296296296296295</v>
      </c>
      <c r="L17" s="546">
        <f t="shared" si="5"/>
        <v>-0.21739130434782605</v>
      </c>
      <c r="M17" s="547">
        <f t="shared" si="5"/>
        <v>-0.217391304347826</v>
      </c>
      <c r="N17" s="504"/>
      <c r="O17" s="505"/>
    </row>
    <row r="18" spans="2:18" ht="19.8" customHeight="1" x14ac:dyDescent="0.3">
      <c r="B18" s="648" t="s">
        <v>40</v>
      </c>
      <c r="C18" s="649"/>
      <c r="D18" s="650">
        <f>D8+(D11+D13+D16)</f>
        <v>555</v>
      </c>
      <c r="E18" s="651">
        <f t="shared" ref="E18:M18" si="6">E8+(E11+E13+E16)</f>
        <v>763</v>
      </c>
      <c r="F18" s="652">
        <f t="shared" si="6"/>
        <v>983</v>
      </c>
      <c r="G18" s="653">
        <f t="shared" si="6"/>
        <v>1469</v>
      </c>
      <c r="H18" s="653">
        <f t="shared" si="6"/>
        <v>1161</v>
      </c>
      <c r="I18" s="653">
        <f t="shared" si="6"/>
        <v>1280.2889278642681</v>
      </c>
      <c r="J18" s="653">
        <f t="shared" si="6"/>
        <v>1657.6701400450152</v>
      </c>
      <c r="K18" s="653">
        <f t="shared" si="6"/>
        <v>2022.291572640177</v>
      </c>
      <c r="L18" s="653">
        <f t="shared" si="6"/>
        <v>2341.5573103114903</v>
      </c>
      <c r="M18" s="654">
        <f t="shared" si="6"/>
        <v>2645.1000075888746</v>
      </c>
      <c r="N18" s="504"/>
      <c r="O18" s="505"/>
    </row>
    <row r="19" spans="2:18" ht="17.399999999999999" customHeight="1" x14ac:dyDescent="0.3">
      <c r="B19" s="206" t="s">
        <v>660</v>
      </c>
      <c r="C19" s="119"/>
      <c r="D19" s="647"/>
      <c r="E19" s="516"/>
      <c r="F19" s="516"/>
      <c r="G19" s="499">
        <v>15</v>
      </c>
      <c r="H19" s="548">
        <v>26</v>
      </c>
      <c r="I19" s="548">
        <v>26</v>
      </c>
      <c r="J19" s="548">
        <v>26</v>
      </c>
      <c r="K19" s="548">
        <v>26</v>
      </c>
      <c r="L19" s="548">
        <v>26</v>
      </c>
      <c r="M19" s="549">
        <v>26</v>
      </c>
      <c r="N19" s="504"/>
      <c r="O19" s="505"/>
    </row>
    <row r="20" spans="2:18" ht="19.8" customHeight="1" x14ac:dyDescent="0.3">
      <c r="B20" s="648" t="s">
        <v>661</v>
      </c>
      <c r="C20" s="655"/>
      <c r="D20" s="656"/>
      <c r="E20" s="652"/>
      <c r="F20" s="652"/>
      <c r="G20" s="658">
        <v>-73</v>
      </c>
      <c r="H20" s="653">
        <v>-104</v>
      </c>
      <c r="I20" s="653">
        <v>-104</v>
      </c>
      <c r="J20" s="653">
        <v>-104</v>
      </c>
      <c r="K20" s="653">
        <v>-104</v>
      </c>
      <c r="L20" s="653">
        <v>-104</v>
      </c>
      <c r="M20" s="654">
        <v>-150</v>
      </c>
      <c r="N20" s="504"/>
      <c r="O20" s="505"/>
    </row>
    <row r="21" spans="2:18" ht="19.2" customHeight="1" x14ac:dyDescent="0.3">
      <c r="B21" s="210" t="s">
        <v>50</v>
      </c>
      <c r="C21" s="121"/>
      <c r="D21" s="108">
        <v>102</v>
      </c>
      <c r="E21" s="109">
        <v>36</v>
      </c>
      <c r="F21" s="109">
        <v>-142</v>
      </c>
      <c r="G21" s="534">
        <v>-193</v>
      </c>
      <c r="H21" s="550">
        <v>-194</v>
      </c>
      <c r="I21" s="534">
        <f>I18*I22</f>
        <v>-192.04333917964021</v>
      </c>
      <c r="J21" s="534">
        <f>J18*J22</f>
        <v>-248.65052100675226</v>
      </c>
      <c r="K21" s="534">
        <f>K18*K22</f>
        <v>-303.34373589602654</v>
      </c>
      <c r="L21" s="534">
        <f>L18*L22</f>
        <v>-351.2335965467235</v>
      </c>
      <c r="M21" s="450">
        <f>M18*M22</f>
        <v>-396.76500113833117</v>
      </c>
      <c r="N21" s="504"/>
      <c r="O21" s="505"/>
    </row>
    <row r="22" spans="2:18" ht="19.8" customHeight="1" x14ac:dyDescent="0.3">
      <c r="B22" s="214" t="s">
        <v>52</v>
      </c>
      <c r="C22" s="119"/>
      <c r="D22" s="85">
        <f>D21/D18</f>
        <v>0.18378378378378379</v>
      </c>
      <c r="E22" s="86">
        <f>E21/E18</f>
        <v>4.7182175622542594E-2</v>
      </c>
      <c r="F22" s="86">
        <f>F21/F18</f>
        <v>-0.14445574771108852</v>
      </c>
      <c r="G22" s="551">
        <f>G21/G18</f>
        <v>-0.13138189244383935</v>
      </c>
      <c r="H22" s="551">
        <f>H21/H18</f>
        <v>-0.16709732988802756</v>
      </c>
      <c r="I22" s="551">
        <v>-0.15</v>
      </c>
      <c r="J22" s="551">
        <v>-0.15</v>
      </c>
      <c r="K22" s="551">
        <v>-0.15</v>
      </c>
      <c r="L22" s="551">
        <v>-0.15</v>
      </c>
      <c r="M22" s="552">
        <v>-0.15</v>
      </c>
      <c r="N22" s="504"/>
      <c r="O22" s="505"/>
      <c r="Q22" s="311" t="s">
        <v>290</v>
      </c>
      <c r="R22" s="581">
        <f>WACC!C3</f>
        <v>7.369996445375715E-2</v>
      </c>
    </row>
    <row r="23" spans="2:18" ht="19.8" customHeight="1" thickBot="1" x14ac:dyDescent="0.35">
      <c r="B23" s="214"/>
      <c r="C23" s="119"/>
      <c r="D23" s="85"/>
      <c r="E23" s="86"/>
      <c r="F23" s="86"/>
      <c r="G23" s="551"/>
      <c r="H23" s="551"/>
      <c r="I23" s="551"/>
      <c r="J23" s="551"/>
      <c r="K23" s="551"/>
      <c r="L23" s="551"/>
      <c r="M23" s="552"/>
      <c r="N23" s="504"/>
      <c r="O23" s="505"/>
      <c r="Q23" s="311"/>
      <c r="R23" s="581"/>
    </row>
    <row r="24" spans="2:18" ht="18.600000000000001" customHeight="1" thickBot="1" x14ac:dyDescent="0.35">
      <c r="B24" s="771" t="s">
        <v>51</v>
      </c>
      <c r="C24" s="772"/>
      <c r="D24" s="773">
        <f t="shared" ref="D24:M24" si="7">D18+D21</f>
        <v>657</v>
      </c>
      <c r="E24" s="774">
        <f t="shared" si="7"/>
        <v>799</v>
      </c>
      <c r="F24" s="768">
        <f t="shared" si="7"/>
        <v>841</v>
      </c>
      <c r="G24" s="768">
        <f t="shared" si="7"/>
        <v>1276</v>
      </c>
      <c r="H24" s="768">
        <f t="shared" si="7"/>
        <v>967</v>
      </c>
      <c r="I24" s="768">
        <f>I18+I21</f>
        <v>1088.2455886846278</v>
      </c>
      <c r="J24" s="768">
        <f t="shared" si="7"/>
        <v>1409.0196190382628</v>
      </c>
      <c r="K24" s="768">
        <f t="shared" si="7"/>
        <v>1718.9478367441504</v>
      </c>
      <c r="L24" s="768">
        <f t="shared" si="7"/>
        <v>1990.3237137647668</v>
      </c>
      <c r="M24" s="769">
        <f t="shared" si="7"/>
        <v>2248.3350064505435</v>
      </c>
      <c r="N24" s="504"/>
      <c r="O24" s="505"/>
      <c r="Q24" s="311" t="s">
        <v>291</v>
      </c>
      <c r="R24" s="1">
        <v>1.1000000000000001</v>
      </c>
    </row>
    <row r="25" spans="2:18" ht="19.8" hidden="1" customHeight="1" x14ac:dyDescent="0.3">
      <c r="B25" s="775" t="s">
        <v>662</v>
      </c>
      <c r="C25" s="776"/>
      <c r="D25" s="555"/>
      <c r="E25" s="555"/>
      <c r="F25" s="555"/>
      <c r="G25" s="659">
        <v>-143</v>
      </c>
      <c r="H25" s="555">
        <v>-19</v>
      </c>
      <c r="I25" s="555">
        <v>-19</v>
      </c>
      <c r="J25" s="555">
        <v>-19</v>
      </c>
      <c r="K25" s="555">
        <v>-19</v>
      </c>
      <c r="L25" s="555">
        <v>-19</v>
      </c>
      <c r="M25" s="566">
        <v>-30</v>
      </c>
      <c r="N25" s="504"/>
      <c r="O25" s="505"/>
      <c r="Q25" s="311"/>
      <c r="R25" s="1"/>
    </row>
    <row r="26" spans="2:18" ht="15.6" customHeight="1" x14ac:dyDescent="0.3">
      <c r="B26" s="777" t="s">
        <v>69</v>
      </c>
      <c r="C26" s="778"/>
      <c r="D26" s="657"/>
      <c r="E26" s="657"/>
      <c r="F26" s="657"/>
      <c r="G26" s="657">
        <f>G18+G19+G20+G21+G25</f>
        <v>1075</v>
      </c>
      <c r="H26" s="657">
        <f>H18+H19+H20+H21+H25</f>
        <v>870</v>
      </c>
      <c r="I26" s="657">
        <f t="shared" ref="I26:M26" si="8">I18+I19+I20+I21+I25</f>
        <v>991.24558868462782</v>
      </c>
      <c r="J26" s="657">
        <f t="shared" si="8"/>
        <v>1312.0196190382628</v>
      </c>
      <c r="K26" s="657">
        <f t="shared" si="8"/>
        <v>1621.9478367441504</v>
      </c>
      <c r="L26" s="657">
        <f t="shared" si="8"/>
        <v>1893.3237137647668</v>
      </c>
      <c r="M26" s="758">
        <f t="shared" si="8"/>
        <v>2094.3350064505435</v>
      </c>
      <c r="N26" s="504"/>
      <c r="O26" s="505"/>
      <c r="Q26" s="311"/>
      <c r="R26" s="1"/>
    </row>
    <row r="27" spans="2:18" ht="19.8" customHeight="1" x14ac:dyDescent="0.3">
      <c r="B27" s="775" t="s">
        <v>282</v>
      </c>
      <c r="C27" s="776"/>
      <c r="D27" s="555"/>
      <c r="E27" s="555"/>
      <c r="F27" s="555"/>
      <c r="G27" s="555"/>
      <c r="H27" s="556"/>
      <c r="I27" s="556">
        <f>'Cashflow Statement'!G5</f>
        <v>1545.6792</v>
      </c>
      <c r="J27" s="556">
        <f>'Cashflow Statement'!H5</f>
        <v>1685.5103999999999</v>
      </c>
      <c r="K27" s="556">
        <f>'Cashflow Statement'!I5</f>
        <v>1842.9036000000001</v>
      </c>
      <c r="L27" s="556">
        <f>'Cashflow Statement'!J5</f>
        <v>2006.42781408</v>
      </c>
      <c r="M27" s="557"/>
      <c r="N27" s="504"/>
      <c r="O27" s="505"/>
      <c r="Q27" s="312" t="s">
        <v>292</v>
      </c>
      <c r="R27" s="1"/>
    </row>
    <row r="28" spans="2:18" ht="19.8" customHeight="1" x14ac:dyDescent="0.3">
      <c r="B28" s="779" t="s">
        <v>283</v>
      </c>
      <c r="C28" s="780"/>
      <c r="D28" s="553"/>
      <c r="E28" s="553"/>
      <c r="F28" s="553"/>
      <c r="G28" s="558"/>
      <c r="H28" s="559"/>
      <c r="I28" s="560">
        <f>'Investment Analysis'!H10</f>
        <v>1635.6792</v>
      </c>
      <c r="J28" s="560">
        <f>'Investment Analysis'!I10</f>
        <v>1811.7486676961369</v>
      </c>
      <c r="K28" s="560">
        <f>'Investment Analysis'!J10</f>
        <v>2119.4737138063015</v>
      </c>
      <c r="L28" s="560">
        <f>'Investment Analysis'!K10</f>
        <v>2435.2268976326486</v>
      </c>
      <c r="M28" s="561"/>
      <c r="N28" s="504"/>
      <c r="O28" s="505"/>
      <c r="Q28" s="313" t="s">
        <v>293</v>
      </c>
      <c r="R28" s="1"/>
    </row>
    <row r="29" spans="2:18" ht="19.8" hidden="1" customHeight="1" x14ac:dyDescent="0.3">
      <c r="B29" s="779"/>
      <c r="C29" s="780"/>
      <c r="D29" s="553"/>
      <c r="E29" s="553"/>
      <c r="F29" s="553"/>
      <c r="G29" s="553"/>
      <c r="H29" s="562"/>
      <c r="I29" s="562"/>
      <c r="J29" s="562"/>
      <c r="K29" s="562"/>
      <c r="L29" s="562"/>
      <c r="M29" s="563"/>
      <c r="N29" s="504"/>
      <c r="O29" s="505"/>
      <c r="Q29" s="313" t="s">
        <v>294</v>
      </c>
      <c r="R29" s="315">
        <v>2E-3</v>
      </c>
    </row>
    <row r="30" spans="2:18" ht="19.8" customHeight="1" x14ac:dyDescent="0.3">
      <c r="B30" s="781" t="s">
        <v>284</v>
      </c>
      <c r="C30" s="776"/>
      <c r="D30" s="782"/>
      <c r="E30" s="556">
        <v>15.928677563149904</v>
      </c>
      <c r="F30" s="556">
        <v>-1015.5526775631499</v>
      </c>
      <c r="G30" s="770"/>
      <c r="H30" s="770"/>
      <c r="I30" s="556">
        <f>'Working Capital Analysis'!M15</f>
        <v>216.67213938707573</v>
      </c>
      <c r="J30" s="556">
        <f>'Working Capital Analysis'!N15</f>
        <v>203.31646304132664</v>
      </c>
      <c r="K30" s="556">
        <f>'Working Capital Analysis'!O15</f>
        <v>253.93376462490687</v>
      </c>
      <c r="L30" s="556">
        <f>'Working Capital Analysis'!P15</f>
        <v>186.58637283904136</v>
      </c>
      <c r="M30" s="557"/>
      <c r="N30" s="504"/>
      <c r="O30" s="505"/>
      <c r="Q30" s="313" t="s">
        <v>295</v>
      </c>
      <c r="R30" s="315">
        <v>0.01</v>
      </c>
    </row>
    <row r="31" spans="2:18" ht="19.8" customHeight="1" x14ac:dyDescent="0.3">
      <c r="B31" s="779"/>
      <c r="C31" s="780"/>
      <c r="D31" s="783"/>
      <c r="E31" s="564"/>
      <c r="F31" s="564"/>
      <c r="G31" s="564"/>
      <c r="H31" s="564"/>
      <c r="I31" s="564">
        <v>1</v>
      </c>
      <c r="J31" s="564">
        <v>2</v>
      </c>
      <c r="K31" s="564">
        <v>3</v>
      </c>
      <c r="L31" s="564">
        <v>4</v>
      </c>
      <c r="M31" s="565">
        <v>5</v>
      </c>
      <c r="N31" s="504"/>
      <c r="O31" s="505"/>
      <c r="Q31" s="313" t="s">
        <v>296</v>
      </c>
      <c r="R31" s="315">
        <v>7.1999999999999995E-2</v>
      </c>
    </row>
    <row r="32" spans="2:18" ht="19.8" customHeight="1" x14ac:dyDescent="0.3">
      <c r="B32" s="775" t="s">
        <v>122</v>
      </c>
      <c r="C32" s="776"/>
      <c r="D32" s="555"/>
      <c r="E32" s="555"/>
      <c r="F32" s="555"/>
      <c r="G32" s="555"/>
      <c r="H32" s="555"/>
      <c r="I32" s="555">
        <f>I24+I27-I28-I30</f>
        <v>781.57344929755209</v>
      </c>
      <c r="J32" s="555">
        <f>J24+J27-J28-J30</f>
        <v>1079.4648883007992</v>
      </c>
      <c r="K32" s="555">
        <f>K24+K27-K28-K30</f>
        <v>1188.443958312942</v>
      </c>
      <c r="L32" s="555">
        <f>L24+L27-L28-L30</f>
        <v>1374.9382573730768</v>
      </c>
      <c r="M32" s="566">
        <f>M24+M27-M28-M30</f>
        <v>2248.3350064505435</v>
      </c>
      <c r="N32" s="504"/>
      <c r="O32" s="505"/>
      <c r="Q32" s="313" t="s">
        <v>297</v>
      </c>
      <c r="R32" s="314">
        <v>0.17</v>
      </c>
    </row>
    <row r="33" spans="2:23" ht="19.8" customHeight="1" x14ac:dyDescent="0.3">
      <c r="B33" s="779" t="s">
        <v>614</v>
      </c>
      <c r="C33" s="780"/>
      <c r="D33" s="553"/>
      <c r="E33" s="553"/>
      <c r="F33" s="553"/>
      <c r="G33" s="553"/>
      <c r="H33" s="553"/>
      <c r="I33" s="586">
        <f>I32/(1+$R$22)</f>
        <v>727.92537503265737</v>
      </c>
      <c r="J33" s="586">
        <f>J32/(1+$R$22)^2</f>
        <v>936.35954765868428</v>
      </c>
      <c r="K33" s="586">
        <f>K32/(1+$R$22)^3</f>
        <v>960.12967104169047</v>
      </c>
      <c r="L33" s="586">
        <f>L32/(1+$R$22)^4</f>
        <v>1034.5498959364934</v>
      </c>
      <c r="M33" s="587">
        <f>M32/(1+$R$22)^4</f>
        <v>1691.7230533666373</v>
      </c>
      <c r="N33" s="504"/>
      <c r="O33" s="505"/>
      <c r="Q33" s="313" t="s">
        <v>298</v>
      </c>
      <c r="R33" s="314">
        <v>0.12</v>
      </c>
    </row>
    <row r="34" spans="2:23" ht="19.8" customHeight="1" x14ac:dyDescent="0.3">
      <c r="B34" s="775" t="s">
        <v>610</v>
      </c>
      <c r="C34" s="776"/>
      <c r="D34" s="555"/>
      <c r="E34" s="555"/>
      <c r="F34" s="555"/>
      <c r="G34" s="555"/>
      <c r="H34" s="555">
        <f>I32/(1+WACC)+J32/(1+WACC)^2+K32/(1+WACC)^3+L32/(1+WACC)^4+M32/(WACC-R14)/(1+WACC)^4</f>
        <v>26613.155389287997</v>
      </c>
      <c r="I34" s="555">
        <f>J32/(1+R22)^1+K32/(1+R22)^2+L32/(1+R22)^3+M32/(R22-R14)/(1+R22)^3</f>
        <v>27792.970546183289</v>
      </c>
      <c r="J34" s="555">
        <f>K32/(1+R22)+L32/(1+R22)^2+M32/(R22-R14)/(1+R22)^2</f>
        <v>28761.846599200522</v>
      </c>
      <c r="K34" s="555">
        <f>L32/(1+R22)+M32/(R22-R14)/(1+R22)</f>
        <v>29693.149712873081</v>
      </c>
      <c r="L34" s="555">
        <f>M32/(1+R22)+(M32/(R22-R14)/(1+R22))</f>
        <v>30506.595533858839</v>
      </c>
      <c r="M34" s="566">
        <f>M32/(R22-R14)</f>
        <v>30506.595533858843</v>
      </c>
      <c r="N34" s="506"/>
      <c r="O34" s="505"/>
      <c r="Q34" s="313" t="s">
        <v>299</v>
      </c>
      <c r="R34" s="314">
        <v>0.88</v>
      </c>
    </row>
    <row r="35" spans="2:23" ht="19.8" customHeight="1" thickBot="1" x14ac:dyDescent="0.35">
      <c r="B35" s="784" t="s">
        <v>613</v>
      </c>
      <c r="C35" s="785"/>
      <c r="D35" s="569"/>
      <c r="E35" s="569"/>
      <c r="F35" s="569"/>
      <c r="G35" s="569"/>
      <c r="H35" s="569">
        <f>H34*(1-$R$16)</f>
        <v>23419.576742573438</v>
      </c>
      <c r="I35" s="569"/>
      <c r="J35" s="569"/>
      <c r="K35" s="569"/>
      <c r="L35" s="569"/>
      <c r="M35" s="570"/>
      <c r="N35" s="504"/>
      <c r="O35" s="505"/>
    </row>
    <row r="36" spans="2:23" ht="15" customHeight="1" x14ac:dyDescent="0.3">
      <c r="B36" s="412"/>
      <c r="C36" s="294"/>
      <c r="D36" s="571"/>
      <c r="E36" s="571"/>
      <c r="F36" s="571"/>
      <c r="G36" s="572"/>
      <c r="H36" s="572"/>
      <c r="I36" s="572"/>
      <c r="J36" s="572"/>
      <c r="K36" s="572"/>
      <c r="L36" s="572"/>
      <c r="M36" s="572"/>
      <c r="N36" s="504"/>
      <c r="O36" s="505"/>
    </row>
    <row r="37" spans="2:23" ht="19.2" customHeight="1" thickBot="1" x14ac:dyDescent="0.35">
      <c r="B37" s="123" t="s">
        <v>690</v>
      </c>
      <c r="E37" s="123"/>
      <c r="H37" s="508">
        <f>H35/1251</f>
        <v>18.720684846181804</v>
      </c>
      <c r="I37" s="409"/>
    </row>
    <row r="38" spans="2:23" ht="15" thickBot="1" x14ac:dyDescent="0.35">
      <c r="B38" s="227" t="s">
        <v>53</v>
      </c>
      <c r="C38" s="118"/>
      <c r="D38" s="118">
        <v>-151</v>
      </c>
      <c r="E38" s="118">
        <v>-116</v>
      </c>
      <c r="F38" s="118">
        <v>-125</v>
      </c>
      <c r="G38" s="118">
        <v>-211</v>
      </c>
      <c r="H38" s="228">
        <v>-135</v>
      </c>
    </row>
    <row r="39" spans="2:23" x14ac:dyDescent="0.3">
      <c r="B39" s="120" t="s">
        <v>54</v>
      </c>
      <c r="C39" s="121"/>
      <c r="D39" s="121">
        <v>253</v>
      </c>
      <c r="E39" s="121">
        <v>152</v>
      </c>
      <c r="F39" s="121">
        <v>-17</v>
      </c>
      <c r="G39" s="121">
        <v>18</v>
      </c>
      <c r="H39" s="229">
        <v>-59</v>
      </c>
      <c r="L39" s="196" t="s">
        <v>224</v>
      </c>
      <c r="M39" s="197" t="s">
        <v>223</v>
      </c>
    </row>
    <row r="40" spans="2:23" ht="15" thickBot="1" x14ac:dyDescent="0.35">
      <c r="B40" s="230" t="s">
        <v>55</v>
      </c>
      <c r="C40" s="122"/>
      <c r="D40" s="231">
        <v>102</v>
      </c>
      <c r="E40" s="231">
        <v>36</v>
      </c>
      <c r="F40" s="231">
        <v>-142</v>
      </c>
      <c r="G40" s="231">
        <v>-193</v>
      </c>
      <c r="H40" s="232">
        <v>-194</v>
      </c>
      <c r="L40" s="198">
        <v>2015</v>
      </c>
      <c r="M40" s="185">
        <v>0.91890000000000005</v>
      </c>
    </row>
    <row r="41" spans="2:23" ht="15" thickBot="1" x14ac:dyDescent="0.35">
      <c r="B41" s="123"/>
      <c r="D41" s="123"/>
      <c r="G41" s="123"/>
      <c r="H41" s="123"/>
      <c r="L41" s="198">
        <v>2016</v>
      </c>
      <c r="M41" s="185">
        <v>0.94640000000000002</v>
      </c>
    </row>
    <row r="42" spans="2:23" x14ac:dyDescent="0.3">
      <c r="B42" s="202" t="s">
        <v>230</v>
      </c>
      <c r="C42" s="203"/>
      <c r="D42" s="203">
        <v>2017</v>
      </c>
      <c r="E42" s="203">
        <v>2018</v>
      </c>
      <c r="F42" s="203">
        <v>2019</v>
      </c>
      <c r="G42" s="633">
        <v>2020</v>
      </c>
      <c r="H42" s="633">
        <v>2021</v>
      </c>
      <c r="I42" s="633">
        <v>2022</v>
      </c>
      <c r="J42" s="633">
        <v>2023</v>
      </c>
      <c r="K42" s="634">
        <v>2024</v>
      </c>
      <c r="L42" s="198">
        <v>2017</v>
      </c>
      <c r="M42" s="185">
        <v>0.83260000000000001</v>
      </c>
    </row>
    <row r="43" spans="2:23" x14ac:dyDescent="0.3">
      <c r="B43" s="206" t="s">
        <v>2</v>
      </c>
      <c r="C43" s="119"/>
      <c r="D43" s="207">
        <f>2327771*M42</f>
        <v>1938102.1346</v>
      </c>
      <c r="E43" s="207">
        <f>2483840*M43</f>
        <v>2168640.7039999999</v>
      </c>
      <c r="F43" s="207">
        <f>2205314*0.9189</f>
        <v>2026463.0346000001</v>
      </c>
      <c r="G43" s="68">
        <f>F43*(1+$O$46)</f>
        <v>2080559.4151837714</v>
      </c>
      <c r="H43" s="68">
        <f>G43*(1+$O$46)</f>
        <v>2136099.897309144</v>
      </c>
      <c r="I43" s="68">
        <f>H43*(1+$O$46)</f>
        <v>2193123.0312310513</v>
      </c>
      <c r="J43" s="68">
        <f>I43*(1+$O$46)</f>
        <v>2251668.3963025277</v>
      </c>
      <c r="K43" s="69">
        <f>J43*(1+$O$46)</f>
        <v>2311776.6284464588</v>
      </c>
      <c r="L43" s="198">
        <v>2018</v>
      </c>
      <c r="M43" s="185">
        <v>0.87309999999999999</v>
      </c>
    </row>
    <row r="44" spans="2:23" hidden="1" x14ac:dyDescent="0.3">
      <c r="B44" s="210" t="s">
        <v>36</v>
      </c>
      <c r="C44" s="123"/>
      <c r="D44" s="211"/>
      <c r="E44" s="211">
        <f>(E43-D43)/D43</f>
        <v>0.11895068133113645</v>
      </c>
      <c r="F44" s="211">
        <f>(F43-E43)/E43</f>
        <v>-6.5560730801444825E-2</v>
      </c>
      <c r="G44" s="635"/>
      <c r="H44" s="129"/>
      <c r="I44" s="129"/>
      <c r="J44" s="129"/>
      <c r="K44" s="636"/>
      <c r="L44" s="246"/>
      <c r="M44" s="212"/>
    </row>
    <row r="45" spans="2:23" ht="15" thickBot="1" x14ac:dyDescent="0.35">
      <c r="B45" s="210" t="s">
        <v>227</v>
      </c>
      <c r="C45" s="121"/>
      <c r="D45" s="213">
        <v>1938</v>
      </c>
      <c r="E45" s="213">
        <v>2351</v>
      </c>
      <c r="F45" s="213">
        <v>2026</v>
      </c>
      <c r="G45" s="637">
        <v>2102.4110000000001</v>
      </c>
      <c r="H45" s="623">
        <v>2181.1999999999998</v>
      </c>
      <c r="I45" s="623">
        <v>2262.9499999999998</v>
      </c>
      <c r="J45" s="623">
        <v>2347.7600000000002</v>
      </c>
      <c r="K45" s="624">
        <v>2435.75</v>
      </c>
      <c r="L45" s="199">
        <v>2019</v>
      </c>
      <c r="M45" s="200">
        <v>0.91890000000000005</v>
      </c>
    </row>
    <row r="46" spans="2:23" ht="15.6" x14ac:dyDescent="0.3">
      <c r="B46" s="214" t="s">
        <v>14</v>
      </c>
      <c r="C46" s="119"/>
      <c r="D46" s="215">
        <f>1545837*M42</f>
        <v>1287063.8862000001</v>
      </c>
      <c r="E46" s="215">
        <f>1552385*M43</f>
        <v>1355387.3435</v>
      </c>
      <c r="F46" s="215">
        <f>1375289*0.9189</f>
        <v>1263753.0621</v>
      </c>
      <c r="G46" s="621">
        <f>G43*$O$47</f>
        <v>1326497.8562964406</v>
      </c>
      <c r="H46" s="621">
        <f>H43*$O$47</f>
        <v>1361908.683759145</v>
      </c>
      <c r="I46" s="621">
        <f>I43*$O$47</f>
        <v>1398264.8023850739</v>
      </c>
      <c r="J46" s="621">
        <f>J43*$O$47</f>
        <v>1435591.4466984479</v>
      </c>
      <c r="K46" s="622">
        <f>K43*$O$47</f>
        <v>1473914.5248584873</v>
      </c>
      <c r="O46" s="486">
        <f>AVERAGE(E44:F44)</f>
        <v>2.6694975264845815E-2</v>
      </c>
      <c r="Q46" s="490"/>
      <c r="R46" s="717">
        <v>43738</v>
      </c>
      <c r="S46" s="493" t="s">
        <v>41</v>
      </c>
      <c r="T46" s="493" t="s">
        <v>42</v>
      </c>
      <c r="U46" s="493" t="s">
        <v>43</v>
      </c>
      <c r="V46" s="493" t="s">
        <v>44</v>
      </c>
      <c r="W46" s="494" t="s">
        <v>45</v>
      </c>
    </row>
    <row r="47" spans="2:23" hidden="1" x14ac:dyDescent="0.3">
      <c r="B47" s="210" t="s">
        <v>34</v>
      </c>
      <c r="C47" s="123"/>
      <c r="D47" s="211">
        <f>D46/D43</f>
        <v>0.66408465437536601</v>
      </c>
      <c r="E47" s="211">
        <f>E46/E43</f>
        <v>0.62499396096366922</v>
      </c>
      <c r="F47" s="211">
        <f>F46/F43</f>
        <v>0.62362502573329692</v>
      </c>
      <c r="G47" s="635"/>
      <c r="H47" s="635"/>
      <c r="I47" s="635"/>
      <c r="J47" s="635"/>
      <c r="K47" s="638"/>
      <c r="O47" s="488">
        <f>AVERAGE(D47:F47)</f>
        <v>0.63756788035744405</v>
      </c>
      <c r="Q47" s="786"/>
      <c r="R47" s="123"/>
      <c r="S47" s="123"/>
      <c r="T47" s="123"/>
      <c r="U47" s="123"/>
      <c r="V47" s="123"/>
      <c r="W47" s="212"/>
    </row>
    <row r="48" spans="2:23" ht="16.2" thickBot="1" x14ac:dyDescent="0.35">
      <c r="B48" s="219" t="s">
        <v>3</v>
      </c>
      <c r="C48" s="121"/>
      <c r="D48" s="201">
        <f t="shared" ref="D48:K48" si="9">D43-D46</f>
        <v>651038.24839999992</v>
      </c>
      <c r="E48" s="201">
        <f t="shared" si="9"/>
        <v>813253.36049999995</v>
      </c>
      <c r="F48" s="201">
        <f t="shared" si="9"/>
        <v>762709.97250000015</v>
      </c>
      <c r="G48" s="639">
        <f t="shared" si="9"/>
        <v>754061.55888733082</v>
      </c>
      <c r="H48" s="639">
        <f t="shared" si="9"/>
        <v>774191.21354999905</v>
      </c>
      <c r="I48" s="639">
        <f t="shared" si="9"/>
        <v>794858.22884597746</v>
      </c>
      <c r="J48" s="639">
        <f t="shared" si="9"/>
        <v>816076.94960407983</v>
      </c>
      <c r="K48" s="640">
        <f t="shared" si="9"/>
        <v>837862.10358797153</v>
      </c>
      <c r="O48" s="489">
        <f>AVERAGE(D52:F52)</f>
        <v>0.15564427815425522</v>
      </c>
      <c r="Q48" s="485" t="s">
        <v>616</v>
      </c>
      <c r="R48" s="497">
        <v>11178</v>
      </c>
      <c r="S48" s="497">
        <f>R57</f>
        <v>12067</v>
      </c>
      <c r="T48" s="497">
        <f t="shared" ref="T48:W48" si="10">S57</f>
        <v>12373.672139387076</v>
      </c>
      <c r="U48" s="497">
        <f t="shared" si="10"/>
        <v>12703.226870124539</v>
      </c>
      <c r="V48" s="497">
        <f t="shared" si="10"/>
        <v>13233.730748555747</v>
      </c>
      <c r="W48" s="503">
        <f t="shared" si="10"/>
        <v>13849.116204947437</v>
      </c>
    </row>
    <row r="49" spans="2:23" hidden="1" x14ac:dyDescent="0.3">
      <c r="B49" s="210" t="s">
        <v>15</v>
      </c>
      <c r="C49" s="123"/>
      <c r="D49" s="211"/>
      <c r="E49" s="211"/>
      <c r="F49" s="211"/>
      <c r="G49" s="641"/>
      <c r="H49" s="635"/>
      <c r="I49" s="635"/>
      <c r="J49" s="635"/>
      <c r="K49" s="638"/>
      <c r="Q49" s="786"/>
      <c r="R49" s="123"/>
      <c r="S49" s="123"/>
      <c r="T49" s="123"/>
      <c r="U49" s="123"/>
      <c r="V49" s="123"/>
      <c r="W49" s="212"/>
    </row>
    <row r="50" spans="2:23" hidden="1" x14ac:dyDescent="0.3">
      <c r="B50" s="214" t="s">
        <v>16</v>
      </c>
      <c r="C50" s="123"/>
      <c r="D50" s="211">
        <f t="shared" ref="D50:K50" si="11">D48/D43</f>
        <v>0.33591534562463399</v>
      </c>
      <c r="E50" s="211">
        <f t="shared" si="11"/>
        <v>0.37500603903633084</v>
      </c>
      <c r="F50" s="211">
        <f t="shared" si="11"/>
        <v>0.37637497426670313</v>
      </c>
      <c r="G50" s="635">
        <f t="shared" si="11"/>
        <v>0.36243211964255589</v>
      </c>
      <c r="H50" s="635">
        <f t="shared" si="11"/>
        <v>0.36243211964255589</v>
      </c>
      <c r="I50" s="635">
        <f t="shared" si="11"/>
        <v>0.36243211964255601</v>
      </c>
      <c r="J50" s="635">
        <f t="shared" si="11"/>
        <v>0.36243211964255595</v>
      </c>
      <c r="K50" s="638">
        <f t="shared" si="11"/>
        <v>0.36243211964255595</v>
      </c>
      <c r="Q50" s="786"/>
      <c r="R50" s="123"/>
      <c r="S50" s="123"/>
      <c r="T50" s="123"/>
      <c r="U50" s="123"/>
      <c r="V50" s="123"/>
      <c r="W50" s="212"/>
    </row>
    <row r="51" spans="2:23" x14ac:dyDescent="0.3">
      <c r="B51" s="214" t="s">
        <v>37</v>
      </c>
      <c r="C51" s="119"/>
      <c r="D51" s="215">
        <f>362931*M42</f>
        <v>302176.35060000001</v>
      </c>
      <c r="E51" s="215">
        <f>363996*M43</f>
        <v>317804.90759999998</v>
      </c>
      <c r="F51" s="215">
        <f>362716*0.9189</f>
        <v>333299.73240000004</v>
      </c>
      <c r="G51" s="621">
        <f>G43*$O$48</f>
        <v>323827.1683333175</v>
      </c>
      <c r="H51" s="621">
        <f>H43*$O$48</f>
        <v>332471.72658206039</v>
      </c>
      <c r="I51" s="621">
        <f>I43*$O$48</f>
        <v>341347.05109942908</v>
      </c>
      <c r="J51" s="621">
        <f>J43*$O$48</f>
        <v>350459.30218525638</v>
      </c>
      <c r="K51" s="622">
        <f>K43*$O$48</f>
        <v>359814.80458842695</v>
      </c>
      <c r="Q51" s="484" t="s">
        <v>611</v>
      </c>
      <c r="R51" s="625">
        <v>945</v>
      </c>
      <c r="S51" s="625">
        <f>I27</f>
        <v>1545.6792</v>
      </c>
      <c r="T51" s="625">
        <f t="shared" ref="T51:W51" si="12">J27</f>
        <v>1685.5103999999999</v>
      </c>
      <c r="U51" s="625">
        <f t="shared" si="12"/>
        <v>1842.9036000000001</v>
      </c>
      <c r="V51" s="625">
        <f t="shared" si="12"/>
        <v>2006.42781408</v>
      </c>
      <c r="W51" s="626">
        <f t="shared" si="12"/>
        <v>0</v>
      </c>
    </row>
    <row r="52" spans="2:23" hidden="1" x14ac:dyDescent="0.3">
      <c r="B52" s="214" t="s">
        <v>34</v>
      </c>
      <c r="C52" s="123"/>
      <c r="D52" s="211">
        <f>D51/D43</f>
        <v>0.15591353273152728</v>
      </c>
      <c r="E52" s="211">
        <f>E51/E43</f>
        <v>0.14654567121875806</v>
      </c>
      <c r="F52" s="211">
        <f>F51/F43</f>
        <v>0.16447363051248032</v>
      </c>
      <c r="G52" s="129"/>
      <c r="H52" s="129"/>
      <c r="I52" s="129"/>
      <c r="J52" s="129"/>
      <c r="K52" s="636"/>
      <c r="Q52" s="786"/>
      <c r="R52" s="129"/>
      <c r="S52" s="129"/>
      <c r="T52" s="129"/>
      <c r="U52" s="129"/>
      <c r="V52" s="129"/>
      <c r="W52" s="636"/>
    </row>
    <row r="53" spans="2:23" x14ac:dyDescent="0.3">
      <c r="B53" s="210" t="s">
        <v>38</v>
      </c>
      <c r="C53" s="121"/>
      <c r="D53" s="222">
        <f>340910*M42</f>
        <v>283841.66600000003</v>
      </c>
      <c r="E53" s="222">
        <f>403031*0.9464</f>
        <v>381428.53840000002</v>
      </c>
      <c r="F53" s="222">
        <f>344046*0.9189</f>
        <v>316143.86940000003</v>
      </c>
      <c r="G53" s="623">
        <f>G43*$G$64</f>
        <v>331741.60619615106</v>
      </c>
      <c r="H53" s="623">
        <f>H43*$G$64</f>
        <v>340597.44016787753</v>
      </c>
      <c r="I53" s="623">
        <f>I43*$G$64</f>
        <v>349689.68040842877</v>
      </c>
      <c r="J53" s="623">
        <f>J43*$G$64</f>
        <v>359024.63777730364</v>
      </c>
      <c r="K53" s="624">
        <f>K43*$G$64</f>
        <v>368608.79160223895</v>
      </c>
      <c r="Q53" s="485" t="s">
        <v>287</v>
      </c>
      <c r="R53" s="109">
        <v>1417</v>
      </c>
      <c r="S53" s="627">
        <f>I28</f>
        <v>1635.6792</v>
      </c>
      <c r="T53" s="627">
        <f t="shared" ref="T53:W53" si="13">J28</f>
        <v>1811.7486676961369</v>
      </c>
      <c r="U53" s="627">
        <f t="shared" si="13"/>
        <v>2119.4737138063015</v>
      </c>
      <c r="V53" s="627">
        <f t="shared" si="13"/>
        <v>2435.2268976326486</v>
      </c>
      <c r="W53" s="628">
        <f t="shared" si="13"/>
        <v>0</v>
      </c>
    </row>
    <row r="54" spans="2:23" hidden="1" x14ac:dyDescent="0.3">
      <c r="B54" s="214" t="s">
        <v>34</v>
      </c>
      <c r="C54" s="123"/>
      <c r="D54" s="211">
        <f>D53/D43</f>
        <v>0.14645340972114526</v>
      </c>
      <c r="E54" s="211">
        <f>E53/E43</f>
        <v>0.17588369419446256</v>
      </c>
      <c r="F54" s="211">
        <f>F53/F43</f>
        <v>0.15600771590802942</v>
      </c>
      <c r="G54" s="635"/>
      <c r="H54" s="635"/>
      <c r="I54" s="635"/>
      <c r="J54" s="635"/>
      <c r="K54" s="638"/>
      <c r="Q54" s="786"/>
      <c r="R54" s="129"/>
      <c r="S54" s="129"/>
      <c r="T54" s="129"/>
      <c r="U54" s="129"/>
      <c r="V54" s="129"/>
      <c r="W54" s="636"/>
    </row>
    <row r="55" spans="2:23" hidden="1" x14ac:dyDescent="0.3">
      <c r="B55" s="210" t="s">
        <v>61</v>
      </c>
      <c r="C55" s="123"/>
      <c r="D55" s="211"/>
      <c r="E55" s="211">
        <f t="shared" ref="E55:K55" si="14">(E53-D53)/D53</f>
        <v>0.3438074253693254</v>
      </c>
      <c r="F55" s="211">
        <f t="shared" si="14"/>
        <v>-0.17115832306060083</v>
      </c>
      <c r="G55" s="635">
        <f t="shared" si="14"/>
        <v>4.9337464065817592E-2</v>
      </c>
      <c r="H55" s="635">
        <f t="shared" si="14"/>
        <v>2.6694975264845822E-2</v>
      </c>
      <c r="I55" s="635">
        <f t="shared" si="14"/>
        <v>2.6694975264845659E-2</v>
      </c>
      <c r="J55" s="635">
        <f t="shared" si="14"/>
        <v>2.6694975264845874E-2</v>
      </c>
      <c r="K55" s="638">
        <f t="shared" si="14"/>
        <v>2.6694975264845728E-2</v>
      </c>
      <c r="Q55" s="786"/>
      <c r="R55" s="129"/>
      <c r="S55" s="129"/>
      <c r="T55" s="129"/>
      <c r="U55" s="129"/>
      <c r="V55" s="129"/>
      <c r="W55" s="636"/>
    </row>
    <row r="56" spans="2:23" ht="15" thickBot="1" x14ac:dyDescent="0.35">
      <c r="B56" s="223" t="s">
        <v>40</v>
      </c>
      <c r="C56" s="122"/>
      <c r="D56" s="224">
        <f>D48-(D51+D53)</f>
        <v>65020.23179999995</v>
      </c>
      <c r="E56" s="224">
        <f t="shared" ref="E56:K56" si="15">E48-(E51+E53)</f>
        <v>114019.91449999996</v>
      </c>
      <c r="F56" s="224">
        <f t="shared" si="15"/>
        <v>113266.37070000009</v>
      </c>
      <c r="G56" s="642">
        <f t="shared" si="15"/>
        <v>98492.784357862314</v>
      </c>
      <c r="H56" s="642">
        <f>H48-(H51+H53)</f>
        <v>101122.04680006113</v>
      </c>
      <c r="I56" s="642">
        <f t="shared" si="15"/>
        <v>103821.49733811966</v>
      </c>
      <c r="J56" s="642">
        <f t="shared" si="15"/>
        <v>106593.00964151975</v>
      </c>
      <c r="K56" s="643">
        <f t="shared" si="15"/>
        <v>109438.50739730569</v>
      </c>
      <c r="Q56" s="491" t="s">
        <v>284</v>
      </c>
      <c r="R56" s="748">
        <v>417</v>
      </c>
      <c r="S56" s="788">
        <f>I30</f>
        <v>216.67213938707573</v>
      </c>
      <c r="T56" s="788">
        <f t="shared" ref="T56:W56" si="16">J30</f>
        <v>203.31646304132664</v>
      </c>
      <c r="U56" s="788">
        <f t="shared" si="16"/>
        <v>253.93376462490687</v>
      </c>
      <c r="V56" s="788">
        <f t="shared" si="16"/>
        <v>186.58637283904136</v>
      </c>
      <c r="W56" s="789">
        <f t="shared" si="16"/>
        <v>0</v>
      </c>
    </row>
    <row r="57" spans="2:23" ht="15" thickBot="1" x14ac:dyDescent="0.35">
      <c r="B57" s="412"/>
      <c r="C57" s="123"/>
      <c r="D57" s="413"/>
      <c r="E57" s="413"/>
      <c r="F57" s="413"/>
      <c r="G57" s="413"/>
      <c r="H57" s="600">
        <v>0</v>
      </c>
      <c r="I57" s="601">
        <v>1</v>
      </c>
      <c r="J57" s="601">
        <v>2</v>
      </c>
      <c r="K57" s="601">
        <v>3</v>
      </c>
      <c r="L57" s="601">
        <v>4</v>
      </c>
      <c r="M57" s="601">
        <v>5</v>
      </c>
      <c r="Q57" s="787" t="s">
        <v>616</v>
      </c>
      <c r="R57" s="670">
        <f>R48-R51+R53+R56</f>
        <v>12067</v>
      </c>
      <c r="S57" s="670">
        <f>S48-S51+S53+S56</f>
        <v>12373.672139387076</v>
      </c>
      <c r="T57" s="670">
        <f t="shared" ref="T57:W57" si="17">T48-T51+T53+T56</f>
        <v>12703.226870124539</v>
      </c>
      <c r="U57" s="670">
        <f t="shared" si="17"/>
        <v>13233.730748555747</v>
      </c>
      <c r="V57" s="670">
        <f t="shared" si="17"/>
        <v>13849.116204947437</v>
      </c>
      <c r="W57" s="790">
        <f t="shared" si="17"/>
        <v>13849.116204947437</v>
      </c>
    </row>
    <row r="58" spans="2:23" ht="22.2" customHeight="1" x14ac:dyDescent="0.3">
      <c r="B58" s="490"/>
      <c r="C58" s="226"/>
      <c r="D58" s="226">
        <f>D56*(1/M42)</f>
        <v>78092.999999999927</v>
      </c>
      <c r="E58" s="226">
        <f>E56*(1/0.9464)</f>
        <v>120477.50898140317</v>
      </c>
      <c r="F58" s="483">
        <f>F56*(1/0.9189)</f>
        <v>123263.00000000009</v>
      </c>
      <c r="G58" s="203"/>
      <c r="H58" s="492">
        <v>43738</v>
      </c>
      <c r="I58" s="493" t="s">
        <v>41</v>
      </c>
      <c r="J58" s="493" t="s">
        <v>42</v>
      </c>
      <c r="K58" s="493" t="s">
        <v>43</v>
      </c>
      <c r="L58" s="493" t="s">
        <v>44</v>
      </c>
      <c r="M58" s="494" t="s">
        <v>45</v>
      </c>
      <c r="O58" s="2">
        <v>19952.98</v>
      </c>
      <c r="Q58" s="645"/>
      <c r="S58" s="2">
        <v>12373.67</v>
      </c>
      <c r="T58" s="2">
        <v>12703.23</v>
      </c>
      <c r="U58" s="2">
        <v>13233.73</v>
      </c>
    </row>
    <row r="59" spans="2:23" ht="18" customHeight="1" thickBot="1" x14ac:dyDescent="0.35">
      <c r="B59" s="484" t="s">
        <v>616</v>
      </c>
      <c r="C59" s="119"/>
      <c r="D59" s="119"/>
      <c r="E59" s="119"/>
      <c r="F59" s="119"/>
      <c r="G59" s="119"/>
      <c r="H59" s="495">
        <v>12067</v>
      </c>
      <c r="I59" s="588">
        <f>H59-I27+I28+I30</f>
        <v>12373.672139387076</v>
      </c>
      <c r="J59" s="495">
        <f>I59-J27+J28+J30</f>
        <v>12703.226870124539</v>
      </c>
      <c r="K59" s="495">
        <f>J59-K27+K28+K30</f>
        <v>13233.730748555747</v>
      </c>
      <c r="L59" s="495">
        <f>K59-L27+L28+L30</f>
        <v>13849.116204947437</v>
      </c>
      <c r="M59" s="496">
        <f>L59-M27+M28+M30</f>
        <v>13849.116204947437</v>
      </c>
      <c r="Q59" s="645"/>
    </row>
    <row r="60" spans="2:23" ht="19.8" customHeight="1" x14ac:dyDescent="0.3">
      <c r="B60" s="485" t="s">
        <v>617</v>
      </c>
      <c r="C60" s="121"/>
      <c r="D60" s="121"/>
      <c r="E60" s="121"/>
      <c r="F60" s="121"/>
      <c r="G60" s="121"/>
      <c r="H60" s="497">
        <f>H59*WACC</f>
        <v>889.33747106348756</v>
      </c>
      <c r="I60" s="497">
        <f>H59*WACC</f>
        <v>889.33747106348756</v>
      </c>
      <c r="J60" s="497">
        <f>I59*WACC</f>
        <v>911.9391968352727</v>
      </c>
      <c r="K60" s="497">
        <f>J59*WACC</f>
        <v>936.22736877619127</v>
      </c>
      <c r="L60" s="497">
        <f>K59*WACC</f>
        <v>975.32548575915155</v>
      </c>
      <c r="M60" s="503">
        <f>L59*WACC</f>
        <v>1020.6793720205782</v>
      </c>
      <c r="Q60" s="663" t="s">
        <v>664</v>
      </c>
      <c r="R60" s="666">
        <v>1251</v>
      </c>
      <c r="S60" s="666">
        <v>1137</v>
      </c>
      <c r="T60" s="666">
        <v>1136</v>
      </c>
      <c r="U60" s="666">
        <v>1133</v>
      </c>
      <c r="V60" s="667">
        <v>1129</v>
      </c>
    </row>
    <row r="61" spans="2:23" ht="22.2" customHeight="1" x14ac:dyDescent="0.3">
      <c r="B61" s="484" t="s">
        <v>618</v>
      </c>
      <c r="C61" s="119"/>
      <c r="D61" s="119"/>
      <c r="E61" s="119"/>
      <c r="F61" s="119" t="s">
        <v>228</v>
      </c>
      <c r="G61" s="119"/>
      <c r="H61" s="499">
        <f>H24-H60</f>
        <v>77.662528936512444</v>
      </c>
      <c r="I61" s="499">
        <f>I24-I60</f>
        <v>198.90811762114026</v>
      </c>
      <c r="J61" s="499">
        <f>J24-J60</f>
        <v>497.08042220299012</v>
      </c>
      <c r="K61" s="499">
        <f>K24-K60</f>
        <v>782.72046796795917</v>
      </c>
      <c r="L61" s="499">
        <f>L24-L60</f>
        <v>1014.9982280056153</v>
      </c>
      <c r="M61" s="500">
        <f t="shared" ref="M61" si="18">M24-M60</f>
        <v>1227.6556344299652</v>
      </c>
      <c r="Q61" s="664" t="s">
        <v>303</v>
      </c>
      <c r="R61" s="668">
        <v>20.309999999999999</v>
      </c>
      <c r="S61" s="668">
        <v>17.45</v>
      </c>
      <c r="T61" s="668">
        <v>22.9</v>
      </c>
      <c r="U61" s="668">
        <v>17.45</v>
      </c>
      <c r="V61" s="669">
        <v>13.54</v>
      </c>
    </row>
    <row r="62" spans="2:23" ht="22.2" customHeight="1" thickBot="1" x14ac:dyDescent="0.35">
      <c r="B62" s="487" t="s">
        <v>619</v>
      </c>
      <c r="C62" s="121"/>
      <c r="D62" s="121"/>
      <c r="E62" s="121"/>
      <c r="F62" s="121" t="s">
        <v>229</v>
      </c>
      <c r="G62" s="121"/>
      <c r="H62" s="585">
        <f>I61/(1+WACC)+J61/(1+WACC)^2+K61/(1+WACC)^3+L61/(1+WACC)^4+M61/(WACC-R14)/(1+WACC)^4</f>
        <v>14546.155389288004</v>
      </c>
      <c r="I62" s="497">
        <f>J61/(1+WACC)+K61/(1+WACC)^2+L61/(1+WACC)^3+M61/(WACC-R14)/(1+WACC)^3</f>
        <v>15419.298406796219</v>
      </c>
      <c r="J62" s="497">
        <f>K61/(1+WACC)+L61/(1+WACC)^2+M61/WACC/(1+WACC)^2</f>
        <v>16058.619729075988</v>
      </c>
      <c r="K62" s="497">
        <f>L61/(1+WACC)+M61/WACC/(1+WACC)</f>
        <v>16459.418964317338</v>
      </c>
      <c r="L62" s="497">
        <f>M61/(1+WACC)+M61/WACC/(1+WACC)</f>
        <v>16657.479328911406</v>
      </c>
      <c r="M62" s="503">
        <f>M61/WACC</f>
        <v>16657.479328911406</v>
      </c>
      <c r="Q62" s="665" t="s">
        <v>653</v>
      </c>
      <c r="R62" s="670">
        <f>R60*R61</f>
        <v>25407.809999999998</v>
      </c>
      <c r="S62" s="670">
        <f t="shared" ref="S62:V62" si="19">S60*S61</f>
        <v>19840.649999999998</v>
      </c>
      <c r="T62" s="670">
        <f t="shared" si="19"/>
        <v>26014.399999999998</v>
      </c>
      <c r="U62" s="670">
        <f t="shared" si="19"/>
        <v>19770.849999999999</v>
      </c>
      <c r="V62" s="670">
        <f t="shared" si="19"/>
        <v>15286.66</v>
      </c>
    </row>
    <row r="63" spans="2:23" ht="23.4" customHeight="1" thickBot="1" x14ac:dyDescent="0.35">
      <c r="B63" s="491" t="s">
        <v>621</v>
      </c>
      <c r="C63" s="122"/>
      <c r="D63" s="122"/>
      <c r="E63" s="122"/>
      <c r="F63" s="122" t="s">
        <v>225</v>
      </c>
      <c r="G63" s="122"/>
      <c r="H63" s="501">
        <f>H59+H62</f>
        <v>26613.155389288004</v>
      </c>
      <c r="I63" s="589">
        <f>I59+I62</f>
        <v>27792.970546183293</v>
      </c>
      <c r="J63" s="501">
        <f t="shared" ref="J63:M63" si="20">J59+J62</f>
        <v>28761.846599200529</v>
      </c>
      <c r="K63" s="501">
        <f t="shared" si="20"/>
        <v>29693.149712873084</v>
      </c>
      <c r="L63" s="501">
        <f t="shared" si="20"/>
        <v>30506.595533858843</v>
      </c>
      <c r="M63" s="502">
        <f t="shared" si="20"/>
        <v>30506.595533858843</v>
      </c>
      <c r="Q63" s="646"/>
    </row>
    <row r="64" spans="2:23" hidden="1" x14ac:dyDescent="0.3">
      <c r="B64" s="2" t="s">
        <v>620</v>
      </c>
      <c r="F64" s="2" t="s">
        <v>226</v>
      </c>
      <c r="G64" s="42">
        <f>AVERAGE(D54:F54)</f>
        <v>0.15944827327454575</v>
      </c>
      <c r="H64" s="2">
        <f t="shared" ref="H64:M64" si="21">H24/H4</f>
        <v>0.1204384107609914</v>
      </c>
      <c r="I64" s="2">
        <f t="shared" si="21"/>
        <v>0.13182033296174914</v>
      </c>
      <c r="J64" s="2">
        <f t="shared" si="21"/>
        <v>0.12334717658420927</v>
      </c>
      <c r="K64" s="2">
        <f t="shared" si="21"/>
        <v>0.1323545041559778</v>
      </c>
      <c r="L64" s="2">
        <f t="shared" si="21"/>
        <v>0.13602859958081692</v>
      </c>
      <c r="M64" s="2">
        <f t="shared" si="21"/>
        <v>0.13525312157307331</v>
      </c>
      <c r="Q64" s="646"/>
    </row>
    <row r="65" spans="2:27" ht="15" thickBot="1" x14ac:dyDescent="0.35">
      <c r="G65" s="42"/>
      <c r="Q65" s="646"/>
    </row>
    <row r="66" spans="2:27" ht="20.399999999999999" customHeight="1" x14ac:dyDescent="0.3">
      <c r="B66" s="284"/>
      <c r="C66" s="226"/>
      <c r="D66" s="226"/>
      <c r="E66" s="226"/>
      <c r="F66" s="226"/>
      <c r="G66" s="226"/>
      <c r="H66" s="833"/>
      <c r="I66" s="834"/>
      <c r="J66" s="834"/>
      <c r="K66" s="834"/>
      <c r="L66" s="834"/>
      <c r="M66" s="835"/>
      <c r="N66" s="124"/>
      <c r="O66" s="124"/>
      <c r="P66" s="124"/>
      <c r="Q66" s="660"/>
      <c r="R66" s="661">
        <v>2015</v>
      </c>
      <c r="S66" s="661">
        <v>2016</v>
      </c>
      <c r="T66" s="661">
        <v>2017</v>
      </c>
      <c r="U66" s="661">
        <v>2018</v>
      </c>
      <c r="V66" s="661">
        <v>2019</v>
      </c>
      <c r="W66" s="661" t="s">
        <v>46</v>
      </c>
      <c r="X66" s="661" t="s">
        <v>47</v>
      </c>
      <c r="Y66" s="661" t="s">
        <v>48</v>
      </c>
      <c r="Z66" s="661" t="s">
        <v>49</v>
      </c>
      <c r="AA66" s="739" t="s">
        <v>56</v>
      </c>
    </row>
    <row r="67" spans="2:27" ht="21" customHeight="1" x14ac:dyDescent="0.3">
      <c r="B67" s="836"/>
      <c r="C67" s="123"/>
      <c r="D67" s="123"/>
      <c r="E67" s="123"/>
      <c r="F67" s="123"/>
      <c r="G67" s="123"/>
      <c r="H67" s="129"/>
      <c r="I67" s="129"/>
      <c r="J67" s="129"/>
      <c r="K67" s="129"/>
      <c r="L67" s="129"/>
      <c r="M67" s="636"/>
      <c r="N67" s="124"/>
      <c r="O67" s="124"/>
      <c r="P67" s="124"/>
      <c r="Q67" s="662" t="s">
        <v>653</v>
      </c>
      <c r="R67" s="621">
        <v>15286.66</v>
      </c>
      <c r="S67" s="621">
        <v>18807.800000000003</v>
      </c>
      <c r="T67" s="621">
        <f t="shared" ref="T67" si="22">T62</f>
        <v>26014.399999999998</v>
      </c>
      <c r="U67" s="621">
        <v>19840.649999999998</v>
      </c>
      <c r="V67" s="621">
        <v>25407.809999999998</v>
      </c>
      <c r="W67" s="742">
        <f>I72</f>
        <v>25407.809999999998</v>
      </c>
      <c r="X67" s="742">
        <f t="shared" ref="X67:AA67" si="23">J72</f>
        <v>25407.809999999998</v>
      </c>
      <c r="Y67" s="742">
        <f t="shared" si="23"/>
        <v>25407.809999999998</v>
      </c>
      <c r="Z67" s="742">
        <f t="shared" si="23"/>
        <v>25407.809999999998</v>
      </c>
      <c r="AA67" s="743">
        <f t="shared" si="23"/>
        <v>25407.809999999998</v>
      </c>
    </row>
    <row r="68" spans="2:27" ht="21.6" customHeight="1" thickBot="1" x14ac:dyDescent="0.35">
      <c r="B68" s="836"/>
      <c r="C68" s="123"/>
      <c r="D68" s="123"/>
      <c r="E68" s="123"/>
      <c r="F68" s="123"/>
      <c r="G68" s="123"/>
      <c r="H68" s="129"/>
      <c r="I68" s="129"/>
      <c r="J68" s="129"/>
      <c r="K68" s="129"/>
      <c r="L68" s="129"/>
      <c r="M68" s="636"/>
      <c r="N68" s="124"/>
      <c r="O68" s="124"/>
      <c r="P68" s="124"/>
      <c r="Q68" s="108" t="s">
        <v>663</v>
      </c>
      <c r="R68" s="623">
        <f>555/0.077</f>
        <v>7207.7922077922076</v>
      </c>
      <c r="S68" s="623">
        <f>743/0.07</f>
        <v>10614.285714285714</v>
      </c>
      <c r="T68" s="623">
        <f>790/0.077</f>
        <v>10259.74025974026</v>
      </c>
      <c r="U68" s="623">
        <f>1075/0.074</f>
        <v>14527.027027027028</v>
      </c>
      <c r="V68" s="623">
        <f>H26/CoE</f>
        <v>10998.735777496839</v>
      </c>
      <c r="W68" s="744">
        <f>I70</f>
        <v>12531.549793737393</v>
      </c>
      <c r="X68" s="744">
        <f>J70</f>
        <v>16586.847269763119</v>
      </c>
      <c r="Y68" s="744">
        <f t="shared" ref="Y68:AA68" si="24">K70</f>
        <v>20505.029541645392</v>
      </c>
      <c r="Z68" s="744">
        <f t="shared" si="24"/>
        <v>23935.824447089341</v>
      </c>
      <c r="AA68" s="745">
        <f t="shared" si="24"/>
        <v>26477.054443116856</v>
      </c>
    </row>
    <row r="69" spans="2:27" ht="20.399999999999999" customHeight="1" x14ac:dyDescent="0.3">
      <c r="B69" s="799" t="s">
        <v>650</v>
      </c>
      <c r="C69" s="686"/>
      <c r="D69" s="686"/>
      <c r="E69" s="686"/>
      <c r="F69" s="686"/>
      <c r="G69" s="686"/>
      <c r="H69" s="492">
        <v>43738</v>
      </c>
      <c r="I69" s="493" t="s">
        <v>41</v>
      </c>
      <c r="J69" s="493" t="s">
        <v>42</v>
      </c>
      <c r="K69" s="493" t="s">
        <v>43</v>
      </c>
      <c r="L69" s="493" t="s">
        <v>44</v>
      </c>
      <c r="M69" s="494" t="s">
        <v>45</v>
      </c>
      <c r="N69" s="124"/>
      <c r="O69" s="124"/>
      <c r="P69" s="124"/>
      <c r="Q69" s="662" t="s">
        <v>675</v>
      </c>
      <c r="R69" s="146">
        <v>4665</v>
      </c>
      <c r="S69" s="146">
        <v>5023</v>
      </c>
      <c r="T69" s="146">
        <v>5636</v>
      </c>
      <c r="U69" s="146">
        <v>6446</v>
      </c>
      <c r="V69" s="146">
        <v>8633</v>
      </c>
      <c r="W69" s="742">
        <f>'Balance Sheet'!O34</f>
        <v>9295.5110396570199</v>
      </c>
      <c r="X69" s="742">
        <f>'Balance Sheet'!P34</f>
        <v>10008.864298434557</v>
      </c>
      <c r="Y69" s="742">
        <f>'Balance Sheet'!Q34</f>
        <v>10776.961494327285</v>
      </c>
      <c r="Z69" s="742">
        <f>'Balance Sheet'!R34</f>
        <v>11423.579183986922</v>
      </c>
      <c r="AA69" s="742">
        <f>'Balance Sheet'!S34</f>
        <v>12300.243995962766</v>
      </c>
    </row>
    <row r="70" spans="2:27" ht="18" customHeight="1" thickBot="1" x14ac:dyDescent="0.35">
      <c r="B70" s="800" t="s">
        <v>681</v>
      </c>
      <c r="C70" s="119"/>
      <c r="D70" s="119"/>
      <c r="E70" s="119"/>
      <c r="F70" s="119"/>
      <c r="G70" s="119"/>
      <c r="H70" s="621">
        <f>H26/CoE</f>
        <v>10998.735777496839</v>
      </c>
      <c r="I70" s="621">
        <f>I26/CoE</f>
        <v>12531.549793737393</v>
      </c>
      <c r="J70" s="621">
        <f t="shared" ref="J70:L70" si="25">J26/CoE</f>
        <v>16586.847269763119</v>
      </c>
      <c r="K70" s="621">
        <f t="shared" si="25"/>
        <v>20505.029541645392</v>
      </c>
      <c r="L70" s="621">
        <f t="shared" si="25"/>
        <v>23935.824447089341</v>
      </c>
      <c r="M70" s="622">
        <f>M26/CoE</f>
        <v>26477.054443116856</v>
      </c>
      <c r="N70" s="124"/>
      <c r="O70" s="124"/>
      <c r="P70" s="124"/>
      <c r="Q70" s="740" t="s">
        <v>676</v>
      </c>
      <c r="R70" s="741">
        <f>R69+1738</f>
        <v>6403</v>
      </c>
      <c r="S70" s="741">
        <f>S69+1656</f>
        <v>6679</v>
      </c>
      <c r="T70" s="741">
        <f>T69+1586</f>
        <v>7222</v>
      </c>
      <c r="U70" s="741">
        <f>U69+1596</f>
        <v>8042</v>
      </c>
      <c r="V70" s="741">
        <f>V69+1805</f>
        <v>10438</v>
      </c>
      <c r="W70" s="746"/>
      <c r="X70" s="746"/>
      <c r="Y70" s="746"/>
      <c r="Z70" s="746"/>
      <c r="AA70" s="747"/>
    </row>
    <row r="71" spans="2:27" ht="18.600000000000001" customHeight="1" x14ac:dyDescent="0.3">
      <c r="B71" s="683" t="s">
        <v>652</v>
      </c>
      <c r="C71" s="121"/>
      <c r="D71" s="121"/>
      <c r="E71" s="121"/>
      <c r="F71" s="121"/>
      <c r="G71" s="121"/>
      <c r="H71" s="627">
        <f>H72-H70</f>
        <v>14409.074222503159</v>
      </c>
      <c r="I71" s="627">
        <f t="shared" ref="I71:M71" si="26">I72-I70</f>
        <v>12876.260206262605</v>
      </c>
      <c r="J71" s="627">
        <f t="shared" si="26"/>
        <v>8820.962730236879</v>
      </c>
      <c r="K71" s="627">
        <f t="shared" si="26"/>
        <v>4902.7804583546058</v>
      </c>
      <c r="L71" s="627">
        <f t="shared" si="26"/>
        <v>1471.9855529106571</v>
      </c>
      <c r="M71" s="628">
        <f t="shared" si="26"/>
        <v>-1069.2444431168587</v>
      </c>
      <c r="Q71" s="646"/>
      <c r="T71" s="672"/>
      <c r="U71" s="672"/>
      <c r="V71" s="672"/>
    </row>
    <row r="72" spans="2:27" ht="19.8" customHeight="1" x14ac:dyDescent="0.3">
      <c r="B72" s="682" t="s">
        <v>653</v>
      </c>
      <c r="C72" s="119"/>
      <c r="D72" s="119"/>
      <c r="E72" s="119"/>
      <c r="F72" s="119"/>
      <c r="G72" s="119"/>
      <c r="H72" s="625">
        <f t="shared" ref="H72:M72" si="27">MV</f>
        <v>25407.809999999998</v>
      </c>
      <c r="I72" s="625">
        <f t="shared" si="27"/>
        <v>25407.809999999998</v>
      </c>
      <c r="J72" s="625">
        <f t="shared" si="27"/>
        <v>25407.809999999998</v>
      </c>
      <c r="K72" s="625">
        <f t="shared" si="27"/>
        <v>25407.809999999998</v>
      </c>
      <c r="L72" s="625">
        <f t="shared" si="27"/>
        <v>25407.809999999998</v>
      </c>
      <c r="M72" s="626">
        <f t="shared" si="27"/>
        <v>25407.809999999998</v>
      </c>
      <c r="Q72" s="646"/>
    </row>
    <row r="73" spans="2:27" ht="18" customHeight="1" x14ac:dyDescent="0.3">
      <c r="B73" s="683" t="s">
        <v>654</v>
      </c>
      <c r="C73" s="121"/>
      <c r="D73" s="121"/>
      <c r="E73" s="121"/>
      <c r="F73" s="121"/>
      <c r="G73" s="121"/>
      <c r="H73" s="623">
        <v>8633</v>
      </c>
      <c r="I73" s="623">
        <f>W69</f>
        <v>9295.5110396570199</v>
      </c>
      <c r="J73" s="623">
        <f t="shared" ref="J73:M73" si="28">X69</f>
        <v>10008.864298434557</v>
      </c>
      <c r="K73" s="623">
        <f t="shared" si="28"/>
        <v>10776.961494327285</v>
      </c>
      <c r="L73" s="623">
        <f t="shared" si="28"/>
        <v>11423.579183986922</v>
      </c>
      <c r="M73" s="624">
        <f t="shared" si="28"/>
        <v>12300.243995962766</v>
      </c>
    </row>
    <row r="74" spans="2:27" ht="18" customHeight="1" x14ac:dyDescent="0.3">
      <c r="B74" s="683" t="s">
        <v>680</v>
      </c>
      <c r="C74" s="121"/>
      <c r="D74" s="121"/>
      <c r="E74" s="121"/>
      <c r="F74" s="121"/>
      <c r="G74" s="121"/>
      <c r="H74" s="793">
        <f>H72/H70</f>
        <v>2.3100664034482756</v>
      </c>
      <c r="I74" s="793">
        <f t="shared" ref="I74:M74" si="29">I72/I70</f>
        <v>2.0275074047662867</v>
      </c>
      <c r="J74" s="793">
        <f t="shared" si="29"/>
        <v>1.5318046634647076</v>
      </c>
      <c r="K74" s="793">
        <f t="shared" si="29"/>
        <v>1.2391013603953671</v>
      </c>
      <c r="L74" s="793">
        <f t="shared" si="29"/>
        <v>1.0614971736680521</v>
      </c>
      <c r="M74" s="794">
        <f t="shared" si="29"/>
        <v>0.95961618595399212</v>
      </c>
    </row>
    <row r="75" spans="2:27" ht="19.8" customHeight="1" x14ac:dyDescent="0.3">
      <c r="B75" s="682" t="s">
        <v>679</v>
      </c>
      <c r="C75" s="119"/>
      <c r="D75" s="119"/>
      <c r="E75" s="119"/>
      <c r="F75" s="119"/>
      <c r="G75" s="119"/>
      <c r="H75" s="792">
        <f>H72/H73</f>
        <v>2.9431032086180933</v>
      </c>
      <c r="I75" s="792">
        <f t="shared" ref="I75:M75" si="30">I72/I73</f>
        <v>2.7333419208049783</v>
      </c>
      <c r="J75" s="792">
        <f t="shared" si="30"/>
        <v>2.5385307705664393</v>
      </c>
      <c r="K75" s="792">
        <f t="shared" si="30"/>
        <v>2.3576042294828663</v>
      </c>
      <c r="L75" s="792">
        <f t="shared" si="30"/>
        <v>2.2241549334744022</v>
      </c>
      <c r="M75" s="795">
        <f t="shared" si="30"/>
        <v>2.0656346336169791</v>
      </c>
    </row>
    <row r="76" spans="2:27" ht="18" hidden="1" customHeight="1" x14ac:dyDescent="0.3">
      <c r="B76" s="683" t="s">
        <v>677</v>
      </c>
      <c r="C76" s="121"/>
      <c r="D76" s="121"/>
      <c r="E76" s="121"/>
      <c r="F76" s="121"/>
      <c r="G76" s="121"/>
      <c r="H76" s="623">
        <f t="shared" ref="H76:M76" si="31">H72*CoE</f>
        <v>2009.7577709999998</v>
      </c>
      <c r="I76" s="623">
        <f t="shared" si="31"/>
        <v>2009.7577709999998</v>
      </c>
      <c r="J76" s="623">
        <f t="shared" si="31"/>
        <v>2009.7577709999998</v>
      </c>
      <c r="K76" s="623">
        <f t="shared" si="31"/>
        <v>2009.7577709999998</v>
      </c>
      <c r="L76" s="623">
        <f t="shared" si="31"/>
        <v>2009.7577709999998</v>
      </c>
      <c r="M76" s="624">
        <f t="shared" si="31"/>
        <v>2009.7577709999998</v>
      </c>
      <c r="T76" s="671"/>
    </row>
    <row r="77" spans="2:27" ht="19.8" customHeight="1" x14ac:dyDescent="0.3">
      <c r="B77" s="682" t="s">
        <v>678</v>
      </c>
      <c r="C77" s="119"/>
      <c r="D77" s="119"/>
      <c r="E77" s="119"/>
      <c r="F77" s="119"/>
      <c r="G77" s="119"/>
      <c r="H77" s="625">
        <f>H26</f>
        <v>870</v>
      </c>
      <c r="I77" s="625">
        <f t="shared" ref="I77:M77" si="32">I26</f>
        <v>991.24558868462782</v>
      </c>
      <c r="J77" s="625">
        <f t="shared" si="32"/>
        <v>1312.0196190382628</v>
      </c>
      <c r="K77" s="625">
        <f t="shared" si="32"/>
        <v>1621.9478367441504</v>
      </c>
      <c r="L77" s="625">
        <f t="shared" si="32"/>
        <v>1893.3237137647668</v>
      </c>
      <c r="M77" s="626">
        <f t="shared" si="32"/>
        <v>2094.3350064505435</v>
      </c>
    </row>
    <row r="78" spans="2:27" ht="24" customHeight="1" x14ac:dyDescent="0.3">
      <c r="B78" s="683" t="s">
        <v>656</v>
      </c>
      <c r="C78" s="121"/>
      <c r="D78" s="121"/>
      <c r="E78" s="121"/>
      <c r="F78" s="121"/>
      <c r="G78" s="121"/>
      <c r="H78" s="704">
        <f>H72/H77</f>
        <v>29.204379310344827</v>
      </c>
      <c r="I78" s="704">
        <f t="shared" ref="I78:M78" si="33">I72/I77</f>
        <v>25.632204864301979</v>
      </c>
      <c r="J78" s="704">
        <f t="shared" si="33"/>
        <v>19.365419259983661</v>
      </c>
      <c r="K78" s="704">
        <f t="shared" si="33"/>
        <v>15.664998235086816</v>
      </c>
      <c r="L78" s="704">
        <f t="shared" si="33"/>
        <v>13.419686139924805</v>
      </c>
      <c r="M78" s="724">
        <f t="shared" si="33"/>
        <v>12.131683766801416</v>
      </c>
    </row>
    <row r="79" spans="2:27" ht="18.600000000000001" customHeight="1" x14ac:dyDescent="0.3">
      <c r="B79" s="682" t="s">
        <v>674</v>
      </c>
      <c r="C79" s="119"/>
      <c r="D79" s="119"/>
      <c r="E79" s="119"/>
      <c r="F79" s="119"/>
      <c r="G79" s="119"/>
      <c r="H79" s="86">
        <f>H26/H73</f>
        <v>0.10077609174099386</v>
      </c>
      <c r="I79" s="86">
        <f t="shared" ref="I79:M79" si="34">I26/I73</f>
        <v>0.10663701914351147</v>
      </c>
      <c r="J79" s="86">
        <f t="shared" si="34"/>
        <v>0.13108576357094481</v>
      </c>
      <c r="K79" s="86">
        <f t="shared" si="34"/>
        <v>0.1505014040922297</v>
      </c>
      <c r="L79" s="86">
        <f t="shared" si="34"/>
        <v>0.16573822295719243</v>
      </c>
      <c r="M79" s="87">
        <f t="shared" si="34"/>
        <v>0.17026776112229597</v>
      </c>
    </row>
    <row r="80" spans="2:27" ht="18" customHeight="1" x14ac:dyDescent="0.3">
      <c r="B80" s="796" t="s">
        <v>659</v>
      </c>
      <c r="C80" s="797"/>
      <c r="D80" s="797"/>
      <c r="E80" s="797"/>
      <c r="F80" s="797"/>
      <c r="G80" s="797"/>
      <c r="H80" s="798">
        <f>(H72/H73)*CoE</f>
        <v>0.2327994638016912</v>
      </c>
      <c r="I80" s="798">
        <f t="shared" ref="I80:M80" si="35">(I72/I73)*CoE</f>
        <v>0.21620734593567378</v>
      </c>
      <c r="J80" s="798">
        <f t="shared" si="35"/>
        <v>0.20079778395180536</v>
      </c>
      <c r="K80" s="798">
        <f t="shared" si="35"/>
        <v>0.18648649455209473</v>
      </c>
      <c r="L80" s="798">
        <f t="shared" si="35"/>
        <v>0.17593065523782522</v>
      </c>
      <c r="M80" s="798">
        <f t="shared" si="35"/>
        <v>0.16339169951910304</v>
      </c>
    </row>
    <row r="81" spans="2:15" ht="18" customHeight="1" thickBot="1" x14ac:dyDescent="0.35">
      <c r="B81" s="684" t="s">
        <v>658</v>
      </c>
      <c r="C81" s="122"/>
      <c r="D81" s="122"/>
      <c r="E81" s="122"/>
      <c r="F81" s="122"/>
      <c r="G81" s="122"/>
      <c r="H81" s="727">
        <f>H26/H72</f>
        <v>3.4241439935201033E-2</v>
      </c>
      <c r="I81" s="727">
        <f t="shared" ref="I81:M81" si="36">I26/I72</f>
        <v>3.9013421018365135E-2</v>
      </c>
      <c r="J81" s="727">
        <f t="shared" si="36"/>
        <v>5.163843790701611E-2</v>
      </c>
      <c r="K81" s="727">
        <f t="shared" si="36"/>
        <v>6.3836585551613881E-2</v>
      </c>
      <c r="L81" s="727">
        <f t="shared" si="36"/>
        <v>7.4517391060652888E-2</v>
      </c>
      <c r="M81" s="728">
        <f t="shared" si="36"/>
        <v>8.2428788882258783E-2</v>
      </c>
    </row>
    <row r="82" spans="2:15" ht="15" thickBot="1" x14ac:dyDescent="0.35"/>
    <row r="83" spans="2:15" x14ac:dyDescent="0.3">
      <c r="B83" s="616"/>
      <c r="C83" s="617"/>
      <c r="D83" s="617"/>
      <c r="E83" s="617"/>
      <c r="F83" s="617"/>
      <c r="G83" s="617"/>
      <c r="H83" s="618">
        <f t="shared" ref="H83:M83" si="37">H58</f>
        <v>43738</v>
      </c>
      <c r="I83" s="619" t="str">
        <f t="shared" si="37"/>
        <v>30-09-2020E</v>
      </c>
      <c r="J83" s="619" t="str">
        <f t="shared" si="37"/>
        <v>30-09-2021E</v>
      </c>
      <c r="K83" s="619" t="str">
        <f t="shared" si="37"/>
        <v>30-09-2022E</v>
      </c>
      <c r="L83" s="619" t="str">
        <f t="shared" si="37"/>
        <v>30-09-2023E</v>
      </c>
      <c r="M83" s="620" t="str">
        <f t="shared" si="37"/>
        <v>30-09-2024E</v>
      </c>
      <c r="N83" s="583"/>
      <c r="O83" s="582"/>
    </row>
    <row r="84" spans="2:15" x14ac:dyDescent="0.3">
      <c r="B84" s="682" t="str">
        <f>'EVA(BV)'!S3</f>
        <v>NOPAT</v>
      </c>
      <c r="C84" s="119">
        <f>'EVA(BV)'!T3</f>
        <v>967</v>
      </c>
      <c r="D84" s="119">
        <f>'EVA(BV)'!U3</f>
        <v>1088.2455886846278</v>
      </c>
      <c r="E84" s="119">
        <f>'EVA(BV)'!V3</f>
        <v>1409.0196190382628</v>
      </c>
      <c r="F84" s="119">
        <f>'EVA(BV)'!W3</f>
        <v>1718.9478367441504</v>
      </c>
      <c r="G84" s="119"/>
      <c r="H84" s="621">
        <f>'EVA(BV)'!T3</f>
        <v>967</v>
      </c>
      <c r="I84" s="621">
        <f>'EVA(BV)'!U3</f>
        <v>1088.2455886846278</v>
      </c>
      <c r="J84" s="621">
        <f>'EVA(BV)'!V3</f>
        <v>1409.0196190382628</v>
      </c>
      <c r="K84" s="621">
        <f>'EVA(BV)'!W3</f>
        <v>1718.9478367441504</v>
      </c>
      <c r="L84" s="621">
        <f>'EVA(BV)'!X3</f>
        <v>1990.3237137647668</v>
      </c>
      <c r="M84" s="622">
        <f>'EVA(BV)'!Y3</f>
        <v>2248.3350064505435</v>
      </c>
    </row>
    <row r="85" spans="2:15" x14ac:dyDescent="0.3">
      <c r="B85" s="683" t="str">
        <f>'EVA(BV)'!S4</f>
        <v>k*BIC</v>
      </c>
      <c r="C85" s="121"/>
      <c r="D85" s="121"/>
      <c r="E85" s="121"/>
      <c r="F85" s="121"/>
      <c r="G85" s="121"/>
      <c r="H85" s="623"/>
      <c r="I85" s="623">
        <f>'EVA(BV)'!U4</f>
        <v>889.33747106348756</v>
      </c>
      <c r="J85" s="623">
        <f>'EVA(BV)'!V4</f>
        <v>911.9391968352727</v>
      </c>
      <c r="K85" s="623">
        <f>'EVA(BV)'!W4</f>
        <v>936.22736877619127</v>
      </c>
      <c r="L85" s="623">
        <f>'EVA(BV)'!X4</f>
        <v>975.32548575915155</v>
      </c>
      <c r="M85" s="624">
        <f>'EVA(BV)'!Y4</f>
        <v>1020.6793720205782</v>
      </c>
      <c r="O85" s="584"/>
    </row>
    <row r="86" spans="2:15" x14ac:dyDescent="0.3">
      <c r="B86" s="682" t="str">
        <f>'EVA(BV)'!S5</f>
        <v>EVA(RP)</v>
      </c>
      <c r="C86" s="119"/>
      <c r="D86" s="119"/>
      <c r="E86" s="119"/>
      <c r="F86" s="119"/>
      <c r="G86" s="119"/>
      <c r="H86" s="625">
        <f>'EVA(BV)'!T5</f>
        <v>967</v>
      </c>
      <c r="I86" s="625">
        <f>'EVA(BV)'!U5</f>
        <v>198.90811762114026</v>
      </c>
      <c r="J86" s="625">
        <f>'EVA(BV)'!V5</f>
        <v>497.08042220299012</v>
      </c>
      <c r="K86" s="625">
        <f>'EVA(BV)'!W5</f>
        <v>782.72046796795917</v>
      </c>
      <c r="L86" s="625">
        <f>'EVA(BV)'!X5</f>
        <v>1014.9982280056153</v>
      </c>
      <c r="M86" s="626">
        <f>'EVA(BV)'!Y5</f>
        <v>1227.6556344299652</v>
      </c>
    </row>
    <row r="87" spans="2:15" x14ac:dyDescent="0.3">
      <c r="B87" s="683" t="str">
        <f>'EVA(BV)'!S6</f>
        <v>BIK</v>
      </c>
      <c r="C87" s="121"/>
      <c r="D87" s="121"/>
      <c r="E87" s="121"/>
      <c r="F87" s="121"/>
      <c r="G87" s="121"/>
      <c r="H87" s="627">
        <f>'EVA(BV)'!T6</f>
        <v>12067</v>
      </c>
      <c r="I87" s="627">
        <f>'EVA(BV)'!U6</f>
        <v>12373.672139387076</v>
      </c>
      <c r="J87" s="627">
        <f>'EVA(BV)'!V6</f>
        <v>12703.226870124539</v>
      </c>
      <c r="K87" s="627">
        <f>'EVA(BV)'!W6</f>
        <v>13233.730748555747</v>
      </c>
      <c r="L87" s="627">
        <f>'EVA(BV)'!X6</f>
        <v>13849.116204947437</v>
      </c>
      <c r="M87" s="628">
        <f>'EVA(BV)'!Y6</f>
        <v>13849.116204947437</v>
      </c>
    </row>
    <row r="88" spans="2:15" x14ac:dyDescent="0.3">
      <c r="B88" s="682" t="str">
        <f>'EVA(BV)'!S7</f>
        <v>TEV</v>
      </c>
      <c r="C88" s="119"/>
      <c r="D88" s="119"/>
      <c r="E88" s="119"/>
      <c r="F88" s="119"/>
      <c r="G88" s="119"/>
      <c r="H88" s="631">
        <f>'EVA(BV)'!T7</f>
        <v>26613.155389288004</v>
      </c>
      <c r="I88" s="631">
        <f>'EVA(BV)'!U7</f>
        <v>27792.970546183293</v>
      </c>
      <c r="J88" s="631">
        <f>'EVA(BV)'!V7</f>
        <v>28761.846599200526</v>
      </c>
      <c r="K88" s="631">
        <f>'EVA(BV)'!W7</f>
        <v>29693.149712873084</v>
      </c>
      <c r="L88" s="631">
        <f>'EVA(BV)'!X7</f>
        <v>30506.595533858839</v>
      </c>
      <c r="M88" s="632">
        <f>'EVA(BV)'!Y7</f>
        <v>30506.595533858843</v>
      </c>
    </row>
    <row r="89" spans="2:15" x14ac:dyDescent="0.3">
      <c r="B89" s="683"/>
      <c r="C89" s="121"/>
      <c r="D89" s="121"/>
      <c r="E89" s="121"/>
      <c r="F89" s="121"/>
      <c r="G89" s="121"/>
      <c r="H89" s="109"/>
      <c r="I89" s="109"/>
      <c r="J89" s="109"/>
      <c r="K89" s="109"/>
      <c r="L89" s="109"/>
      <c r="M89" s="578"/>
    </row>
    <row r="90" spans="2:15" ht="15" thickBot="1" x14ac:dyDescent="0.35">
      <c r="B90" s="684" t="str">
        <f>'EVA(BV)'!S9</f>
        <v>MVA</v>
      </c>
      <c r="C90" s="122"/>
      <c r="D90" s="122"/>
      <c r="E90" s="122"/>
      <c r="F90" s="122"/>
      <c r="G90" s="122"/>
      <c r="H90" s="629">
        <f>'EVA(BV)'!T9</f>
        <v>14546.155389288004</v>
      </c>
      <c r="I90" s="629">
        <f>'EVA(BV)'!U9</f>
        <v>15419.298406796217</v>
      </c>
      <c r="J90" s="629">
        <f>'EVA(BV)'!V9</f>
        <v>16058.619729075986</v>
      </c>
      <c r="K90" s="629">
        <f>'EVA(BV)'!W9</f>
        <v>16459.418964317338</v>
      </c>
      <c r="L90" s="629">
        <f>'EVA(BV)'!X9</f>
        <v>16657.479328911402</v>
      </c>
      <c r="M90" s="630">
        <f>'EVA(BV)'!Y9</f>
        <v>16657.479328911406</v>
      </c>
    </row>
    <row r="91" spans="2:15" x14ac:dyDescent="0.3">
      <c r="B91" s="328"/>
    </row>
    <row r="92" spans="2:15" x14ac:dyDescent="0.3">
      <c r="B92" s="646"/>
      <c r="C92" s="123"/>
      <c r="D92" s="123"/>
      <c r="E92" s="123"/>
      <c r="F92" s="123"/>
      <c r="G92" s="123"/>
      <c r="H92" s="507"/>
      <c r="I92" s="507"/>
      <c r="J92" s="507"/>
      <c r="K92" s="507"/>
      <c r="L92" s="507"/>
      <c r="M92" s="507"/>
    </row>
    <row r="93" spans="2:15" x14ac:dyDescent="0.3">
      <c r="B93" s="646"/>
      <c r="C93" s="123"/>
      <c r="D93" s="123"/>
      <c r="E93" s="123"/>
      <c r="F93" s="123"/>
      <c r="G93" s="123"/>
      <c r="H93" s="672"/>
      <c r="I93" s="672"/>
      <c r="J93" s="672"/>
      <c r="K93" s="672"/>
      <c r="L93" s="672"/>
      <c r="M93" s="672"/>
    </row>
    <row r="94" spans="2:15" x14ac:dyDescent="0.3">
      <c r="B94" s="646"/>
      <c r="C94" s="123"/>
      <c r="D94" s="123"/>
      <c r="E94" s="123"/>
      <c r="F94" s="123"/>
      <c r="G94" s="123"/>
      <c r="H94" s="129"/>
      <c r="I94" s="700"/>
      <c r="J94" s="129"/>
      <c r="K94" s="129"/>
      <c r="L94" s="129"/>
      <c r="M94" s="129"/>
    </row>
    <row r="95" spans="2:15" x14ac:dyDescent="0.3">
      <c r="B95" s="646"/>
      <c r="C95" s="123"/>
      <c r="D95" s="123"/>
      <c r="E95" s="123"/>
      <c r="F95" s="123"/>
      <c r="G95" s="123"/>
      <c r="H95" s="129"/>
      <c r="I95" s="129"/>
      <c r="J95" s="129"/>
      <c r="K95" s="129"/>
      <c r="L95" s="129"/>
      <c r="M95" s="129"/>
    </row>
    <row r="96" spans="2:15" x14ac:dyDescent="0.3">
      <c r="B96" s="646"/>
      <c r="C96" s="123"/>
      <c r="D96" s="123"/>
      <c r="E96" s="123"/>
      <c r="F96" s="123"/>
      <c r="G96" s="123"/>
      <c r="H96" s="701"/>
      <c r="I96" s="129"/>
      <c r="J96" s="129"/>
      <c r="K96" s="129"/>
      <c r="L96" s="129"/>
      <c r="M96" s="129"/>
    </row>
    <row r="97" spans="2:13" x14ac:dyDescent="0.3">
      <c r="B97" s="646"/>
      <c r="C97" s="123"/>
      <c r="D97" s="123"/>
      <c r="E97" s="123"/>
      <c r="F97" s="123"/>
      <c r="G97" s="123"/>
      <c r="H97" s="129"/>
      <c r="I97" s="129"/>
      <c r="J97" s="129"/>
      <c r="K97" s="129"/>
      <c r="L97" s="129"/>
      <c r="M97" s="129"/>
    </row>
    <row r="98" spans="2:13" x14ac:dyDescent="0.3">
      <c r="B98" s="646"/>
      <c r="C98" s="123"/>
      <c r="D98" s="123"/>
      <c r="E98" s="123"/>
      <c r="F98" s="123"/>
      <c r="G98" s="123"/>
      <c r="H98" s="129"/>
      <c r="I98" s="129"/>
      <c r="J98" s="129"/>
      <c r="K98" s="129"/>
      <c r="L98" s="129"/>
      <c r="M98" s="129"/>
    </row>
    <row r="99" spans="2:13" x14ac:dyDescent="0.3">
      <c r="B99" s="646"/>
    </row>
  </sheetData>
  <mergeCells count="3">
    <mergeCell ref="D1:H2"/>
    <mergeCell ref="I1:M2"/>
    <mergeCell ref="Q3:R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5"/>
  <sheetViews>
    <sheetView zoomScale="90" zoomScaleNormal="90" zoomScaleSheetLayoutView="70" workbookViewId="0">
      <selection activeCell="I101" sqref="I101"/>
    </sheetView>
  </sheetViews>
  <sheetFormatPr defaultRowHeight="14.4" x14ac:dyDescent="0.3"/>
  <cols>
    <col min="1" max="1" width="3" style="2" customWidth="1"/>
    <col min="2" max="2" width="34.77734375" style="2" customWidth="1"/>
    <col min="3" max="3" width="15.88671875" style="2" hidden="1" customWidth="1"/>
    <col min="4" max="4" width="18" style="2" hidden="1" customWidth="1"/>
    <col min="5" max="5" width="15.88671875" style="2" hidden="1" customWidth="1"/>
    <col min="6" max="6" width="25" style="2" hidden="1" customWidth="1"/>
    <col min="7" max="7" width="17.33203125" style="2" customWidth="1"/>
    <col min="8" max="8" width="28.109375" style="2" customWidth="1"/>
    <col min="9" max="10" width="16.6640625" style="2" customWidth="1"/>
    <col min="11" max="11" width="14.77734375" style="2" customWidth="1"/>
    <col min="12" max="12" width="23.6640625" style="2" customWidth="1"/>
    <col min="13" max="13" width="16.6640625" style="2" customWidth="1"/>
    <col min="14" max="14" width="28.77734375" style="2" customWidth="1"/>
    <col min="15" max="15" width="25.109375" style="2" hidden="1" customWidth="1"/>
    <col min="16" max="16" width="17.88671875" style="2" hidden="1" customWidth="1"/>
    <col min="17" max="17" width="36.6640625" style="2" customWidth="1"/>
    <col min="18" max="18" width="20.21875" style="2" customWidth="1"/>
    <col min="19" max="19" width="17.33203125" style="2" customWidth="1"/>
    <col min="20" max="20" width="17.109375" style="2" customWidth="1"/>
    <col min="21" max="21" width="16" style="2" customWidth="1"/>
    <col min="22" max="22" width="15.6640625" style="2" customWidth="1"/>
    <col min="23" max="23" width="14.77734375" style="2" customWidth="1"/>
    <col min="24" max="24" width="16" style="2" customWidth="1"/>
    <col min="25" max="25" width="15.21875" style="2" customWidth="1"/>
    <col min="26" max="16384" width="8.88671875" style="2"/>
  </cols>
  <sheetData>
    <row r="1" spans="2:20" x14ac:dyDescent="0.3">
      <c r="B1" s="125"/>
      <c r="C1" s="126"/>
      <c r="D1" s="841" t="s">
        <v>220</v>
      </c>
      <c r="E1" s="841"/>
      <c r="F1" s="841"/>
      <c r="G1" s="841"/>
      <c r="H1" s="841"/>
      <c r="I1" s="840" t="s">
        <v>221</v>
      </c>
      <c r="J1" s="840"/>
      <c r="K1" s="840"/>
      <c r="L1" s="840"/>
      <c r="M1" s="840"/>
      <c r="N1" s="124"/>
      <c r="O1" s="124"/>
      <c r="P1" s="124"/>
      <c r="Q1" s="124"/>
      <c r="R1" s="124"/>
    </row>
    <row r="2" spans="2:20" ht="12" customHeight="1" thickBot="1" x14ac:dyDescent="0.35">
      <c r="B2" s="127"/>
      <c r="C2" s="128"/>
      <c r="D2" s="845"/>
      <c r="E2" s="845"/>
      <c r="F2" s="845"/>
      <c r="G2" s="845"/>
      <c r="H2" s="845"/>
      <c r="I2" s="840"/>
      <c r="J2" s="840"/>
      <c r="K2" s="840"/>
      <c r="L2" s="840"/>
      <c r="M2" s="840"/>
      <c r="N2" s="124"/>
      <c r="O2" s="124"/>
      <c r="P2" s="124"/>
      <c r="Q2" s="124"/>
      <c r="R2" s="124"/>
    </row>
    <row r="3" spans="2:20" ht="23.4" customHeight="1" x14ac:dyDescent="0.3">
      <c r="B3" s="509" t="s">
        <v>12</v>
      </c>
      <c r="C3" s="510">
        <v>41912</v>
      </c>
      <c r="D3" s="92" t="s">
        <v>13</v>
      </c>
      <c r="E3" s="93">
        <v>42643</v>
      </c>
      <c r="F3" s="517">
        <v>43008</v>
      </c>
      <c r="G3" s="518">
        <v>43373</v>
      </c>
      <c r="H3" s="518">
        <v>43738</v>
      </c>
      <c r="I3" s="519" t="s">
        <v>41</v>
      </c>
      <c r="J3" s="519" t="s">
        <v>42</v>
      </c>
      <c r="K3" s="519" t="s">
        <v>43</v>
      </c>
      <c r="L3" s="519" t="s">
        <v>44</v>
      </c>
      <c r="M3" s="520" t="s">
        <v>45</v>
      </c>
      <c r="N3" s="507"/>
      <c r="O3" s="507"/>
      <c r="P3" s="129"/>
      <c r="Q3" s="838" t="s">
        <v>32</v>
      </c>
      <c r="R3" s="839"/>
      <c r="T3" s="2">
        <f>1-(336/870)*(870/8633)</f>
        <v>0.9610795783620989</v>
      </c>
    </row>
    <row r="4" spans="2:20" ht="19.8" customHeight="1" thickBot="1" x14ac:dyDescent="0.35">
      <c r="B4" s="206" t="s">
        <v>2</v>
      </c>
      <c r="C4" s="47">
        <v>4320</v>
      </c>
      <c r="D4" s="94">
        <v>5795</v>
      </c>
      <c r="E4" s="48">
        <v>6473</v>
      </c>
      <c r="F4" s="48">
        <v>7063</v>
      </c>
      <c r="G4" s="521">
        <v>7599</v>
      </c>
      <c r="H4" s="521">
        <v>8029</v>
      </c>
      <c r="I4" s="522">
        <f>'IS(Forcasted)'!I4</f>
        <v>8255.521467999999</v>
      </c>
      <c r="J4" s="522">
        <f>'IS(Forcasted)'!J4</f>
        <v>11423.201228090726</v>
      </c>
      <c r="K4" s="522">
        <f>'IS(Forcasted)'!K4</f>
        <v>12987.452506477573</v>
      </c>
      <c r="L4" s="522">
        <f>'IS(Forcasted)'!L4</f>
        <v>14631.656283297112</v>
      </c>
      <c r="M4" s="523">
        <f>'IS(Forcasted)'!M4</f>
        <v>16623.165368023198</v>
      </c>
      <c r="N4" s="504"/>
      <c r="O4" s="505"/>
      <c r="P4" s="124"/>
      <c r="Q4" s="233" t="s">
        <v>33</v>
      </c>
      <c r="R4" s="234">
        <f>SUM(F7:H7)/3</f>
        <v>0.62545258862197162</v>
      </c>
    </row>
    <row r="5" spans="2:20" ht="23.4" customHeight="1" thickBot="1" x14ac:dyDescent="0.35">
      <c r="B5" s="210" t="s">
        <v>36</v>
      </c>
      <c r="C5" s="50"/>
      <c r="D5" s="70">
        <f t="shared" ref="D5:M5" si="0">(D4-C4)/C4</f>
        <v>0.34143518518518517</v>
      </c>
      <c r="E5" s="51">
        <f t="shared" si="0"/>
        <v>0.11699741156169112</v>
      </c>
      <c r="F5" s="63">
        <f t="shared" si="0"/>
        <v>9.1147844894175808E-2</v>
      </c>
      <c r="G5" s="524">
        <f t="shared" si="0"/>
        <v>7.5888432677332585E-2</v>
      </c>
      <c r="H5" s="524">
        <f t="shared" si="0"/>
        <v>5.6586392946440321E-2</v>
      </c>
      <c r="I5" s="524">
        <f t="shared" si="0"/>
        <v>2.821291169510512E-2</v>
      </c>
      <c r="J5" s="524">
        <f t="shared" si="0"/>
        <v>0.38370438165163367</v>
      </c>
      <c r="K5" s="524">
        <f t="shared" si="0"/>
        <v>0.13693633222009666</v>
      </c>
      <c r="L5" s="524">
        <f t="shared" si="0"/>
        <v>0.126599406311552</v>
      </c>
      <c r="M5" s="525">
        <f t="shared" si="0"/>
        <v>0.13610961371471725</v>
      </c>
      <c r="N5" s="504"/>
      <c r="O5" s="505"/>
      <c r="P5" s="124"/>
      <c r="Q5" s="233" t="s">
        <v>59</v>
      </c>
      <c r="R5" s="234">
        <f>(E6-D6)/D6</f>
        <v>0.11520861372812921</v>
      </c>
    </row>
    <row r="6" spans="2:20" ht="20.399999999999999" customHeight="1" x14ac:dyDescent="0.3">
      <c r="B6" s="214" t="s">
        <v>14</v>
      </c>
      <c r="C6" s="52">
        <v>2673</v>
      </c>
      <c r="D6" s="95">
        <v>3715</v>
      </c>
      <c r="E6" s="53">
        <v>4143</v>
      </c>
      <c r="F6" s="54">
        <v>4442</v>
      </c>
      <c r="G6" s="526">
        <v>4714</v>
      </c>
      <c r="H6" s="526">
        <v>5035</v>
      </c>
      <c r="I6" s="526">
        <f>I4*I7</f>
        <v>5081.273463554</v>
      </c>
      <c r="J6" s="527">
        <f>J4*R4</f>
        <v>7144.6707784590299</v>
      </c>
      <c r="K6" s="527">
        <f>K4*K7</f>
        <v>7993.7770177369475</v>
      </c>
      <c r="L6" s="527">
        <f>L4*L7</f>
        <v>8969.2053016611299</v>
      </c>
      <c r="M6" s="528">
        <f>M4*M7</f>
        <v>10231.55828401828</v>
      </c>
      <c r="N6" s="504"/>
      <c r="O6" s="505"/>
      <c r="P6" s="124"/>
      <c r="Q6" s="233" t="s">
        <v>16</v>
      </c>
      <c r="R6" s="235">
        <f>I8/I4</f>
        <v>0.3844999999999999</v>
      </c>
    </row>
    <row r="7" spans="2:20" ht="18" customHeight="1" x14ac:dyDescent="0.3">
      <c r="B7" s="210" t="s">
        <v>34</v>
      </c>
      <c r="C7" s="62"/>
      <c r="D7" s="96">
        <f>D6/D4</f>
        <v>0.64106988783433994</v>
      </c>
      <c r="E7" s="63">
        <f>E6/E4</f>
        <v>0.64004325660435657</v>
      </c>
      <c r="F7" s="63">
        <f>F6/F4</f>
        <v>0.62891122752371509</v>
      </c>
      <c r="G7" s="524">
        <f>G6/G4</f>
        <v>0.62034478220818534</v>
      </c>
      <c r="H7" s="524">
        <f>H6/H4</f>
        <v>0.6271017561340142</v>
      </c>
      <c r="I7" s="529">
        <v>0.61550000000000005</v>
      </c>
      <c r="J7" s="529">
        <v>0.61350000000000005</v>
      </c>
      <c r="K7" s="529">
        <f>'IS(Forcasted)'!K7</f>
        <v>0.61550000000000005</v>
      </c>
      <c r="L7" s="529">
        <v>0.61299999999999999</v>
      </c>
      <c r="M7" s="530">
        <f>'IS(Forcasted)'!M7</f>
        <v>0.61550000000000005</v>
      </c>
      <c r="N7" s="504"/>
      <c r="O7" s="505"/>
      <c r="P7" s="124"/>
      <c r="Q7" s="233" t="s">
        <v>60</v>
      </c>
      <c r="R7" s="235">
        <f>AVERAGE(D12:I12)</f>
        <v>-0.11551069335750153</v>
      </c>
      <c r="S7" s="5">
        <f>AVERAGE(F15:I15)</f>
        <v>-1.527210185500988E-2</v>
      </c>
    </row>
    <row r="8" spans="2:20" ht="19.8" customHeight="1" thickBot="1" x14ac:dyDescent="0.35">
      <c r="B8" s="206" t="s">
        <v>3</v>
      </c>
      <c r="C8" s="91">
        <f t="shared" ref="C8:M8" si="1">C4-C6</f>
        <v>1647</v>
      </c>
      <c r="D8" s="71">
        <f>D4-D6</f>
        <v>2080</v>
      </c>
      <c r="E8" s="55">
        <f t="shared" si="1"/>
        <v>2330</v>
      </c>
      <c r="F8" s="48">
        <f t="shared" si="1"/>
        <v>2621</v>
      </c>
      <c r="G8" s="521">
        <f t="shared" si="1"/>
        <v>2885</v>
      </c>
      <c r="H8" s="521">
        <f t="shared" si="1"/>
        <v>2994</v>
      </c>
      <c r="I8" s="521">
        <f t="shared" si="1"/>
        <v>3174.248004445999</v>
      </c>
      <c r="J8" s="521">
        <f>J4-J6</f>
        <v>4278.5304496316958</v>
      </c>
      <c r="K8" s="521">
        <f t="shared" si="1"/>
        <v>4993.675488740626</v>
      </c>
      <c r="L8" s="521">
        <f t="shared" si="1"/>
        <v>5662.4509816359823</v>
      </c>
      <c r="M8" s="531">
        <f t="shared" si="1"/>
        <v>6391.6070840049179</v>
      </c>
      <c r="N8" s="504"/>
      <c r="O8" s="505"/>
      <c r="P8" s="124"/>
      <c r="Q8" s="236" t="s">
        <v>62</v>
      </c>
      <c r="R8" s="237">
        <f>AVERAGE(I16,H16,F16,E16,D16)</f>
        <v>-24</v>
      </c>
    </row>
    <row r="9" spans="2:20" ht="20.399999999999999" customHeight="1" x14ac:dyDescent="0.3">
      <c r="B9" s="210" t="s">
        <v>15</v>
      </c>
      <c r="C9" s="62"/>
      <c r="D9" s="72">
        <f t="shared" ref="D9:M9" si="2">(D8-C8)/C8</f>
        <v>0.26290224650880389</v>
      </c>
      <c r="E9" s="73">
        <f t="shared" si="2"/>
        <v>0.1201923076923077</v>
      </c>
      <c r="F9" s="73">
        <f t="shared" si="2"/>
        <v>0.12489270386266095</v>
      </c>
      <c r="G9" s="529">
        <f t="shared" si="2"/>
        <v>0.10072491415490271</v>
      </c>
      <c r="H9" s="529">
        <f t="shared" si="2"/>
        <v>3.7781629116117849E-2</v>
      </c>
      <c r="I9" s="529">
        <f t="shared" si="2"/>
        <v>6.0203074297260843E-2</v>
      </c>
      <c r="J9" s="529">
        <f t="shared" si="2"/>
        <v>0.34788789144357579</v>
      </c>
      <c r="K9" s="529">
        <f t="shared" si="2"/>
        <v>0.16714735293527974</v>
      </c>
      <c r="L9" s="529">
        <f t="shared" si="2"/>
        <v>0.13392449998067804</v>
      </c>
      <c r="M9" s="530">
        <f t="shared" si="2"/>
        <v>0.12877040432379502</v>
      </c>
      <c r="N9" s="504"/>
      <c r="O9" s="505"/>
      <c r="P9" s="124"/>
      <c r="Q9" s="124"/>
      <c r="R9" s="124"/>
    </row>
    <row r="10" spans="2:20" ht="24.6" customHeight="1" x14ac:dyDescent="0.3">
      <c r="B10" s="214" t="s">
        <v>16</v>
      </c>
      <c r="C10" s="56"/>
      <c r="D10" s="75">
        <f t="shared" ref="D10:M10" si="3">D8/D4</f>
        <v>0.35893011216566006</v>
      </c>
      <c r="E10" s="57">
        <f t="shared" si="3"/>
        <v>0.35995674339564343</v>
      </c>
      <c r="F10" s="515">
        <f t="shared" si="3"/>
        <v>0.37108877247628486</v>
      </c>
      <c r="G10" s="532">
        <f t="shared" si="3"/>
        <v>0.37965521779181471</v>
      </c>
      <c r="H10" s="532">
        <f t="shared" si="3"/>
        <v>0.3728982438659858</v>
      </c>
      <c r="I10" s="532">
        <f t="shared" si="3"/>
        <v>0.3844999999999999</v>
      </c>
      <c r="J10" s="532">
        <f t="shared" si="3"/>
        <v>0.37454741137802838</v>
      </c>
      <c r="K10" s="532">
        <f t="shared" si="3"/>
        <v>0.3844999999999999</v>
      </c>
      <c r="L10" s="532">
        <f t="shared" si="3"/>
        <v>0.38700000000000001</v>
      </c>
      <c r="M10" s="533">
        <f t="shared" si="3"/>
        <v>0.3844999999999999</v>
      </c>
      <c r="N10" s="504"/>
      <c r="O10" s="505"/>
      <c r="P10" s="124"/>
      <c r="Q10" s="124"/>
      <c r="R10" s="124"/>
    </row>
    <row r="11" spans="2:20" ht="22.2" customHeight="1" x14ac:dyDescent="0.3">
      <c r="B11" s="210" t="s">
        <v>37</v>
      </c>
      <c r="C11" s="109"/>
      <c r="D11" s="97">
        <v>-717</v>
      </c>
      <c r="E11" s="98">
        <v>-770</v>
      </c>
      <c r="F11" s="98">
        <v>-776</v>
      </c>
      <c r="G11" s="590">
        <v>-836</v>
      </c>
      <c r="H11" s="590">
        <v>-945</v>
      </c>
      <c r="I11" s="591">
        <f>I4*I12</f>
        <v>-931.22282159039992</v>
      </c>
      <c r="J11" s="591">
        <f>J4*J12</f>
        <v>-1319.5018942190227</v>
      </c>
      <c r="K11" s="591">
        <f>K4*K12</f>
        <v>-1500.1896439708455</v>
      </c>
      <c r="L11" s="591">
        <f>L4*L12</f>
        <v>-1698.5633260635545</v>
      </c>
      <c r="M11" s="592">
        <f>M4*M12</f>
        <v>-1939.4028948652701</v>
      </c>
      <c r="N11" s="504"/>
      <c r="O11" s="505"/>
      <c r="P11" s="124"/>
      <c r="Q11" s="124"/>
      <c r="R11" s="124"/>
    </row>
    <row r="12" spans="2:20" ht="23.4" customHeight="1" x14ac:dyDescent="0.3">
      <c r="B12" s="214" t="s">
        <v>34</v>
      </c>
      <c r="C12" s="146"/>
      <c r="D12" s="99">
        <f>D11/D4</f>
        <v>-0.12372735116479724</v>
      </c>
      <c r="E12" s="100">
        <f>E11/E4</f>
        <v>-0.11895566198053453</v>
      </c>
      <c r="F12" s="100">
        <f>F11/F4</f>
        <v>-0.10986832790598895</v>
      </c>
      <c r="G12" s="535">
        <f>G11/G4</f>
        <v>-0.11001447558889328</v>
      </c>
      <c r="H12" s="535">
        <f>H11/H4</f>
        <v>-0.11769834350479512</v>
      </c>
      <c r="I12" s="536">
        <v>-0.1128</v>
      </c>
      <c r="J12" s="536">
        <f>R7</f>
        <v>-0.11551069335750153</v>
      </c>
      <c r="K12" s="536">
        <f>R7</f>
        <v>-0.11551069335750153</v>
      </c>
      <c r="L12" s="536">
        <f>K12*(1+0.005)</f>
        <v>-0.11608824682428902</v>
      </c>
      <c r="M12" s="537">
        <f>L12*(1+0.005)</f>
        <v>-0.11666868805841045</v>
      </c>
      <c r="N12" s="504"/>
      <c r="O12" s="505"/>
      <c r="P12" s="124"/>
      <c r="Q12" s="408"/>
      <c r="R12" s="124"/>
    </row>
    <row r="13" spans="2:20" ht="20.399999999999999" customHeight="1" x14ac:dyDescent="0.3">
      <c r="B13" s="210" t="s">
        <v>38</v>
      </c>
      <c r="C13" s="121"/>
      <c r="D13" s="97">
        <v>-778</v>
      </c>
      <c r="E13" s="98">
        <v>-791</v>
      </c>
      <c r="F13" s="98">
        <v>-819</v>
      </c>
      <c r="G13" s="590">
        <v>-850</v>
      </c>
      <c r="H13" s="590">
        <v>-865</v>
      </c>
      <c r="I13" s="591">
        <f>I4*I14</f>
        <v>-944.73625499133095</v>
      </c>
      <c r="J13" s="591">
        <f>J4*J14</f>
        <v>-1287.2714588459189</v>
      </c>
      <c r="K13" s="591">
        <f>K4*K14</f>
        <v>-1441.1942721296032</v>
      </c>
      <c r="L13" s="591">
        <f>L4*L14</f>
        <v>-1598.8520843913723</v>
      </c>
      <c r="M13" s="592">
        <f>M4*M14</f>
        <v>-1788.7298904354611</v>
      </c>
      <c r="N13" s="504"/>
      <c r="O13" s="505"/>
    </row>
    <row r="14" spans="2:20" ht="21" customHeight="1" x14ac:dyDescent="0.3">
      <c r="B14" s="214" t="s">
        <v>34</v>
      </c>
      <c r="C14" s="119"/>
      <c r="D14" s="99">
        <f>D13/D4</f>
        <v>-0.13425366695427093</v>
      </c>
      <c r="E14" s="100">
        <f>E13/E4</f>
        <v>-0.12219990730727638</v>
      </c>
      <c r="F14" s="100">
        <f>F13/F4</f>
        <v>-0.1159563924677899</v>
      </c>
      <c r="G14" s="535">
        <f>G13/G4</f>
        <v>-0.11185682326621924</v>
      </c>
      <c r="H14" s="535">
        <f>H13/H4</f>
        <v>-0.10773446257317225</v>
      </c>
      <c r="I14" s="536">
        <f>AVERAGE(E14:H14)</f>
        <v>-0.11443689640361444</v>
      </c>
      <c r="J14" s="536">
        <f>I14*(1+S7)</f>
        <v>-0.11268920446576722</v>
      </c>
      <c r="K14" s="536">
        <f>J14*(1+S7)</f>
        <v>-0.11096820345720598</v>
      </c>
      <c r="L14" s="536">
        <f>K14*(1+S7)</f>
        <v>-0.10927348575134006</v>
      </c>
      <c r="M14" s="537">
        <f>L14*(1+S7)</f>
        <v>-0.10760464994689362</v>
      </c>
      <c r="N14" s="504"/>
      <c r="O14" s="505"/>
      <c r="R14" s="5"/>
    </row>
    <row r="15" spans="2:20" ht="15.6" hidden="1" x14ac:dyDescent="0.3">
      <c r="B15" s="511" t="s">
        <v>61</v>
      </c>
      <c r="C15" s="512"/>
      <c r="D15" s="102"/>
      <c r="E15" s="103">
        <f t="shared" ref="E15:M15" si="4">(E14-D14)/D14</f>
        <v>-8.9783466779348869E-2</v>
      </c>
      <c r="F15" s="103">
        <f t="shared" si="4"/>
        <v>-5.1092631549931759E-2</v>
      </c>
      <c r="G15" s="538">
        <f t="shared" si="4"/>
        <v>-3.5354404481921335E-2</v>
      </c>
      <c r="H15" s="538">
        <f t="shared" si="4"/>
        <v>-3.6853904595840058E-2</v>
      </c>
      <c r="I15" s="539">
        <f t="shared" si="4"/>
        <v>6.2212533207653624E-2</v>
      </c>
      <c r="J15" s="540">
        <f t="shared" si="4"/>
        <v>-1.527210185500999E-2</v>
      </c>
      <c r="K15" s="540">
        <f t="shared" si="4"/>
        <v>-1.5272101855009913E-2</v>
      </c>
      <c r="L15" s="540">
        <f t="shared" si="4"/>
        <v>-1.5272101855009974E-2</v>
      </c>
      <c r="M15" s="541">
        <f t="shared" si="4"/>
        <v>-1.5272101855009983E-2</v>
      </c>
      <c r="N15" s="504"/>
      <c r="O15" s="505"/>
    </row>
    <row r="16" spans="2:20" ht="19.2" customHeight="1" x14ac:dyDescent="0.3">
      <c r="B16" s="210" t="s">
        <v>39</v>
      </c>
      <c r="C16" s="121"/>
      <c r="D16" s="97">
        <v>-30</v>
      </c>
      <c r="E16" s="98">
        <v>-6</v>
      </c>
      <c r="F16" s="98">
        <v>-43</v>
      </c>
      <c r="G16" s="498">
        <v>270</v>
      </c>
      <c r="H16" s="498">
        <v>-23</v>
      </c>
      <c r="I16" s="542">
        <f>'IS(Forcasted)'!I16</f>
        <v>-18</v>
      </c>
      <c r="J16" s="542">
        <f>'IS(Forcasted)'!J16</f>
        <v>-14.086956521739131</v>
      </c>
      <c r="K16" s="542">
        <f>'IS(Forcasted)'!K16</f>
        <v>-30</v>
      </c>
      <c r="L16" s="542">
        <f>'IS(Forcasted)'!L16</f>
        <v>-23.478260869565219</v>
      </c>
      <c r="M16" s="543">
        <f>'IS(Forcasted)'!M16</f>
        <v>-18.374291115311912</v>
      </c>
      <c r="N16" s="504"/>
      <c r="O16" s="505"/>
      <c r="Q16" s="2" t="s">
        <v>612</v>
      </c>
      <c r="R16" s="42">
        <v>0.12</v>
      </c>
    </row>
    <row r="17" spans="2:18" ht="15.6" hidden="1" x14ac:dyDescent="0.3">
      <c r="B17" s="511" t="s">
        <v>63</v>
      </c>
      <c r="C17" s="512"/>
      <c r="D17" s="105"/>
      <c r="E17" s="106">
        <f>(E16-D16)/D16</f>
        <v>-0.8</v>
      </c>
      <c r="F17" s="106">
        <f t="shared" ref="F17:M17" si="5">(F16-E16)/E16</f>
        <v>6.166666666666667</v>
      </c>
      <c r="G17" s="544">
        <f t="shared" si="5"/>
        <v>-7.2790697674418601</v>
      </c>
      <c r="H17" s="544">
        <f t="shared" si="5"/>
        <v>-1.0851851851851853</v>
      </c>
      <c r="I17" s="545">
        <f t="shared" si="5"/>
        <v>-0.21739130434782608</v>
      </c>
      <c r="J17" s="546">
        <f t="shared" si="5"/>
        <v>-0.21739130434782605</v>
      </c>
      <c r="K17" s="546">
        <f t="shared" si="5"/>
        <v>1.1296296296296295</v>
      </c>
      <c r="L17" s="546">
        <f t="shared" si="5"/>
        <v>-0.21739130434782605</v>
      </c>
      <c r="M17" s="547">
        <f t="shared" si="5"/>
        <v>-0.217391304347826</v>
      </c>
      <c r="N17" s="504"/>
      <c r="O17" s="505"/>
    </row>
    <row r="18" spans="2:18" ht="19.8" customHeight="1" x14ac:dyDescent="0.3">
      <c r="B18" s="206" t="s">
        <v>40</v>
      </c>
      <c r="C18" s="59"/>
      <c r="D18" s="83">
        <f>D8+(D11+D13+D16)</f>
        <v>555</v>
      </c>
      <c r="E18" s="60">
        <f t="shared" ref="E18:M18" si="6">E8+(E11+E13+E16)</f>
        <v>763</v>
      </c>
      <c r="F18" s="516">
        <f t="shared" si="6"/>
        <v>983</v>
      </c>
      <c r="G18" s="548">
        <f t="shared" si="6"/>
        <v>1469</v>
      </c>
      <c r="H18" s="548">
        <f t="shared" si="6"/>
        <v>1161</v>
      </c>
      <c r="I18" s="548">
        <f t="shared" si="6"/>
        <v>1280.2889278642681</v>
      </c>
      <c r="J18" s="548">
        <f t="shared" si="6"/>
        <v>1657.6701400450152</v>
      </c>
      <c r="K18" s="548">
        <f t="shared" si="6"/>
        <v>2022.291572640177</v>
      </c>
      <c r="L18" s="548">
        <f t="shared" si="6"/>
        <v>2341.5573103114903</v>
      </c>
      <c r="M18" s="549">
        <f t="shared" si="6"/>
        <v>2645.1000075888746</v>
      </c>
      <c r="N18" s="504"/>
      <c r="O18" s="505"/>
    </row>
    <row r="19" spans="2:18" ht="19.2" customHeight="1" thickBot="1" x14ac:dyDescent="0.35">
      <c r="B19" s="210" t="s">
        <v>50</v>
      </c>
      <c r="C19" s="121"/>
      <c r="D19" s="108">
        <v>102</v>
      </c>
      <c r="E19" s="109">
        <v>36</v>
      </c>
      <c r="F19" s="109">
        <v>-142</v>
      </c>
      <c r="G19" s="534">
        <v>-193</v>
      </c>
      <c r="H19" s="550">
        <v>-194</v>
      </c>
      <c r="I19" s="534">
        <f>I18*I20</f>
        <v>-192.04333917964021</v>
      </c>
      <c r="J19" s="534">
        <f>J18*J20</f>
        <v>-248.65052100675226</v>
      </c>
      <c r="K19" s="534">
        <f>K18*K20</f>
        <v>-303.34373589602654</v>
      </c>
      <c r="L19" s="534">
        <f>L18*L20</f>
        <v>-351.2335965467235</v>
      </c>
      <c r="M19" s="450">
        <f>M18*M20</f>
        <v>-396.76500113833117</v>
      </c>
      <c r="N19" s="504"/>
      <c r="O19" s="505"/>
    </row>
    <row r="20" spans="2:18" ht="19.8" customHeight="1" x14ac:dyDescent="0.3">
      <c r="B20" s="214" t="s">
        <v>52</v>
      </c>
      <c r="C20" s="119"/>
      <c r="D20" s="85">
        <f>D19/D18</f>
        <v>0.18378378378378379</v>
      </c>
      <c r="E20" s="86">
        <f>E19/E18</f>
        <v>4.7182175622542594E-2</v>
      </c>
      <c r="F20" s="86">
        <f>F19/F18</f>
        <v>-0.14445574771108852</v>
      </c>
      <c r="G20" s="551">
        <f>G19/G18</f>
        <v>-0.13138189244383935</v>
      </c>
      <c r="H20" s="551">
        <f>H19/H18</f>
        <v>-0.16709732988802756</v>
      </c>
      <c r="I20" s="551">
        <v>-0.15</v>
      </c>
      <c r="J20" s="551">
        <v>-0.15</v>
      </c>
      <c r="K20" s="551">
        <v>-0.15</v>
      </c>
      <c r="L20" s="551">
        <v>-0.15</v>
      </c>
      <c r="M20" s="552">
        <v>-0.15</v>
      </c>
      <c r="N20" s="504"/>
      <c r="O20" s="505"/>
      <c r="Q20" s="175" t="s">
        <v>290</v>
      </c>
      <c r="R20" s="730">
        <f>WACC!C3</f>
        <v>7.369996445375715E-2</v>
      </c>
    </row>
    <row r="21" spans="2:18" ht="19.8" customHeight="1" thickBot="1" x14ac:dyDescent="0.35">
      <c r="B21" s="219" t="s">
        <v>51</v>
      </c>
      <c r="C21" s="513"/>
      <c r="D21" s="88">
        <f>D18+D19</f>
        <v>657</v>
      </c>
      <c r="E21" s="89">
        <f t="shared" ref="E21:H21" si="7">E18+E19</f>
        <v>799</v>
      </c>
      <c r="F21" s="303">
        <f t="shared" si="7"/>
        <v>841</v>
      </c>
      <c r="G21" s="553">
        <f t="shared" si="7"/>
        <v>1276</v>
      </c>
      <c r="H21" s="553">
        <f t="shared" si="7"/>
        <v>967</v>
      </c>
      <c r="I21" s="553">
        <f>I18+I19</f>
        <v>1088.2455886846278</v>
      </c>
      <c r="J21" s="553">
        <f>J18+J19</f>
        <v>1409.0196190382628</v>
      </c>
      <c r="K21" s="553">
        <f>K18+K19</f>
        <v>1718.9478367441504</v>
      </c>
      <c r="L21" s="553">
        <f>L18+L19</f>
        <v>1990.3237137647668</v>
      </c>
      <c r="M21" s="554">
        <f>M18+M19</f>
        <v>2248.3350064505435</v>
      </c>
      <c r="N21" s="504"/>
      <c r="O21" s="505"/>
      <c r="Q21" s="731" t="s">
        <v>291</v>
      </c>
      <c r="R21" s="732">
        <v>1.1000000000000001</v>
      </c>
    </row>
    <row r="22" spans="2:18" ht="19.8" customHeight="1" x14ac:dyDescent="0.3">
      <c r="B22" s="206" t="s">
        <v>282</v>
      </c>
      <c r="C22" s="514"/>
      <c r="D22" s="304"/>
      <c r="E22" s="304"/>
      <c r="F22" s="304"/>
      <c r="G22" s="555"/>
      <c r="H22" s="556"/>
      <c r="I22" s="556">
        <f>'Cashflow Statement'!G5</f>
        <v>1545.6792</v>
      </c>
      <c r="J22" s="556">
        <f>'Cashflow Statement'!H5</f>
        <v>1685.5103999999999</v>
      </c>
      <c r="K22" s="556">
        <f>'Cashflow Statement'!I5</f>
        <v>1842.9036000000001</v>
      </c>
      <c r="L22" s="556">
        <f>'Cashflow Statement'!J5</f>
        <v>2006.42781408</v>
      </c>
      <c r="M22" s="557"/>
      <c r="N22" s="504"/>
      <c r="O22" s="505"/>
      <c r="Q22" s="733" t="s">
        <v>292</v>
      </c>
      <c r="R22" s="732"/>
    </row>
    <row r="23" spans="2:18" ht="19.8" customHeight="1" x14ac:dyDescent="0.3">
      <c r="B23" s="219" t="s">
        <v>283</v>
      </c>
      <c r="C23" s="513"/>
      <c r="D23" s="303"/>
      <c r="E23" s="303"/>
      <c r="F23" s="303"/>
      <c r="G23" s="558"/>
      <c r="H23" s="559"/>
      <c r="I23" s="560">
        <f>'Investment Analysis'!H10</f>
        <v>1635.6792</v>
      </c>
      <c r="J23" s="560">
        <f>'Investment Analysis'!I10</f>
        <v>1811.7486676961369</v>
      </c>
      <c r="K23" s="560">
        <f>'Investment Analysis'!J10</f>
        <v>2119.4737138063015</v>
      </c>
      <c r="L23" s="560">
        <f>'Investment Analysis'!K10</f>
        <v>2435.2268976326486</v>
      </c>
      <c r="M23" s="561"/>
      <c r="N23" s="504"/>
      <c r="O23" s="505"/>
      <c r="Q23" s="734" t="s">
        <v>293</v>
      </c>
      <c r="R23" s="732"/>
    </row>
    <row r="24" spans="2:18" ht="19.8" hidden="1" customHeight="1" x14ac:dyDescent="0.3">
      <c r="B24" s="219"/>
      <c r="C24" s="513"/>
      <c r="D24" s="303"/>
      <c r="E24" s="303"/>
      <c r="F24" s="303"/>
      <c r="G24" s="553"/>
      <c r="H24" s="562"/>
      <c r="I24" s="562"/>
      <c r="J24" s="562"/>
      <c r="K24" s="562"/>
      <c r="L24" s="562"/>
      <c r="M24" s="563"/>
      <c r="N24" s="504"/>
      <c r="O24" s="505"/>
      <c r="Q24" s="734" t="s">
        <v>294</v>
      </c>
      <c r="R24" s="735">
        <v>2E-3</v>
      </c>
    </row>
    <row r="25" spans="2:18" ht="19.8" customHeight="1" x14ac:dyDescent="0.3">
      <c r="B25" s="206" t="s">
        <v>284</v>
      </c>
      <c r="C25" s="514"/>
      <c r="D25" s="119"/>
      <c r="E25" s="305">
        <v>15.928677563149904</v>
      </c>
      <c r="F25" s="305">
        <v>-1015.5526775631499</v>
      </c>
      <c r="G25" s="556"/>
      <c r="H25" s="556"/>
      <c r="I25" s="556">
        <f>'Working Capital Analysis'!M15</f>
        <v>216.67213938707573</v>
      </c>
      <c r="J25" s="556">
        <f>'Working Capital Analysis'!N15</f>
        <v>203.31646304132664</v>
      </c>
      <c r="K25" s="556">
        <f>'Working Capital Analysis'!O15</f>
        <v>253.93376462490687</v>
      </c>
      <c r="L25" s="556">
        <f>'Working Capital Analysis'!P15</f>
        <v>186.58637283904136</v>
      </c>
      <c r="M25" s="557"/>
      <c r="N25" s="504"/>
      <c r="O25" s="505"/>
      <c r="Q25" s="734" t="s">
        <v>295</v>
      </c>
      <c r="R25" s="735">
        <v>0.01</v>
      </c>
    </row>
    <row r="26" spans="2:18" ht="19.8" customHeight="1" x14ac:dyDescent="0.3">
      <c r="B26" s="219"/>
      <c r="C26" s="513"/>
      <c r="D26" s="121"/>
      <c r="E26" s="327"/>
      <c r="F26" s="327"/>
      <c r="G26" s="564"/>
      <c r="H26" s="564"/>
      <c r="I26" s="564">
        <v>1</v>
      </c>
      <c r="J26" s="564">
        <v>2</v>
      </c>
      <c r="K26" s="564">
        <v>3</v>
      </c>
      <c r="L26" s="564">
        <v>4</v>
      </c>
      <c r="M26" s="565">
        <v>5</v>
      </c>
      <c r="N26" s="504"/>
      <c r="O26" s="505"/>
      <c r="Q26" s="734" t="s">
        <v>296</v>
      </c>
      <c r="R26" s="735">
        <v>7.1999999999999995E-2</v>
      </c>
    </row>
    <row r="27" spans="2:18" ht="19.8" customHeight="1" x14ac:dyDescent="0.3">
      <c r="B27" s="206" t="s">
        <v>122</v>
      </c>
      <c r="C27" s="514"/>
      <c r="D27" s="304"/>
      <c r="E27" s="304"/>
      <c r="F27" s="304"/>
      <c r="G27" s="555"/>
      <c r="H27" s="555"/>
      <c r="I27" s="555">
        <f>I21+I22-I23-I25</f>
        <v>781.57344929755209</v>
      </c>
      <c r="J27" s="555">
        <f>J21+J22-J23-J25</f>
        <v>1079.4648883007992</v>
      </c>
      <c r="K27" s="555">
        <f>K21+K22-K23-K25</f>
        <v>1188.443958312942</v>
      </c>
      <c r="L27" s="555">
        <f>L21+L22-L23-L25</f>
        <v>1374.9382573730768</v>
      </c>
      <c r="M27" s="566">
        <f>M21+M22-M23-M25</f>
        <v>2248.3350064505435</v>
      </c>
      <c r="N27" s="504"/>
      <c r="O27" s="505"/>
      <c r="Q27" s="734" t="s">
        <v>297</v>
      </c>
      <c r="R27" s="736">
        <v>0.17</v>
      </c>
    </row>
    <row r="28" spans="2:18" ht="19.8" customHeight="1" x14ac:dyDescent="0.3">
      <c r="B28" s="219" t="s">
        <v>614</v>
      </c>
      <c r="C28" s="513"/>
      <c r="D28" s="303"/>
      <c r="E28" s="303"/>
      <c r="F28" s="303"/>
      <c r="G28" s="553"/>
      <c r="H28" s="553"/>
      <c r="I28" s="586">
        <f>I27/(1+$R$20)</f>
        <v>727.92537503265737</v>
      </c>
      <c r="J28" s="586">
        <f>J27/(1+$R$20)^2</f>
        <v>936.35954765868428</v>
      </c>
      <c r="K28" s="586">
        <f>K27/(1+$R$20)^3</f>
        <v>960.12967104169047</v>
      </c>
      <c r="L28" s="586">
        <f>L27/(1+$R$20)^4</f>
        <v>1034.5498959364934</v>
      </c>
      <c r="M28" s="587">
        <f>M27/(1+$R$20)^4</f>
        <v>1691.7230533666373</v>
      </c>
      <c r="N28" s="504"/>
      <c r="O28" s="505"/>
      <c r="Q28" s="734" t="s">
        <v>298</v>
      </c>
      <c r="R28" s="736">
        <v>0.12</v>
      </c>
    </row>
    <row r="29" spans="2:18" ht="19.8" customHeight="1" thickBot="1" x14ac:dyDescent="0.35">
      <c r="B29" s="206" t="s">
        <v>610</v>
      </c>
      <c r="C29" s="514"/>
      <c r="D29" s="304"/>
      <c r="E29" s="304"/>
      <c r="F29" s="304"/>
      <c r="G29" s="555"/>
      <c r="H29" s="555">
        <f>I27/(1+WACC)+J27/(1+WACC)^2+K27/(1+WACC)^3+L27/(1+WACC)^4+M27/(WACC-R14)/(1+WACC)^4</f>
        <v>26613.155389287997</v>
      </c>
      <c r="I29" s="555">
        <f>J27/(1+R20)^1+K27/(1+R20)^2+L27/(1+R20)^3+M27/(R20-R14)/(1+R20)^3</f>
        <v>27792.970546183289</v>
      </c>
      <c r="J29" s="555">
        <f>K27/(1+R20)+L27/(1+R20)^2+M27/(R20-R14)/(1+R20)^2</f>
        <v>28761.846599200522</v>
      </c>
      <c r="K29" s="555">
        <f>L27/(1+R20)+M27/(R20-R14)/(1+R20)</f>
        <v>29693.149712873081</v>
      </c>
      <c r="L29" s="555">
        <f>M27/(1+R20)+(M27/(R20-R14)/(1+R20))</f>
        <v>30506.595533858839</v>
      </c>
      <c r="M29" s="566">
        <f>M27/(R20-R14)</f>
        <v>30506.595533858843</v>
      </c>
      <c r="N29" s="506"/>
      <c r="O29" s="505"/>
      <c r="Q29" s="737" t="s">
        <v>299</v>
      </c>
      <c r="R29" s="738">
        <v>0.88</v>
      </c>
    </row>
    <row r="30" spans="2:18" ht="19.8" customHeight="1" thickBot="1" x14ac:dyDescent="0.35">
      <c r="B30" s="567" t="s">
        <v>613</v>
      </c>
      <c r="C30" s="568"/>
      <c r="D30" s="89"/>
      <c r="E30" s="89"/>
      <c r="F30" s="89"/>
      <c r="G30" s="569"/>
      <c r="H30" s="569">
        <f>H29*(1-$R$16)</f>
        <v>23419.576742573438</v>
      </c>
      <c r="I30" s="569"/>
      <c r="J30" s="569"/>
      <c r="K30" s="569"/>
      <c r="L30" s="569"/>
      <c r="M30" s="570"/>
      <c r="N30" s="504"/>
      <c r="O30" s="505"/>
    </row>
    <row r="31" spans="2:18" ht="15" customHeight="1" x14ac:dyDescent="0.3">
      <c r="B31" s="412"/>
      <c r="C31" s="294"/>
      <c r="D31" s="571"/>
      <c r="E31" s="571"/>
      <c r="F31" s="571"/>
      <c r="G31" s="572"/>
      <c r="H31" s="572"/>
      <c r="I31" s="572"/>
      <c r="J31" s="572"/>
      <c r="K31" s="572"/>
      <c r="L31" s="572"/>
      <c r="M31" s="572"/>
      <c r="N31" s="504"/>
      <c r="O31" s="505"/>
    </row>
    <row r="32" spans="2:18" ht="19.2" customHeight="1" thickBot="1" x14ac:dyDescent="0.35">
      <c r="B32" s="123"/>
      <c r="E32" s="123"/>
      <c r="H32" s="508">
        <f>H30/1251</f>
        <v>18.720684846181804</v>
      </c>
      <c r="I32" s="409"/>
    </row>
    <row r="33" spans="2:15" ht="15" thickBot="1" x14ac:dyDescent="0.35">
      <c r="B33" s="227" t="s">
        <v>53</v>
      </c>
      <c r="C33" s="118"/>
      <c r="D33" s="118">
        <v>-151</v>
      </c>
      <c r="E33" s="118">
        <v>-116</v>
      </c>
      <c r="F33" s="118">
        <v>-125</v>
      </c>
      <c r="G33" s="118">
        <v>-211</v>
      </c>
      <c r="H33" s="228">
        <v>-135</v>
      </c>
      <c r="K33" s="2">
        <f>0.3*0.03</f>
        <v>8.9999999999999993E-3</v>
      </c>
    </row>
    <row r="34" spans="2:15" x14ac:dyDescent="0.3">
      <c r="B34" s="120" t="s">
        <v>54</v>
      </c>
      <c r="C34" s="121"/>
      <c r="D34" s="121">
        <v>253</v>
      </c>
      <c r="E34" s="121">
        <v>152</v>
      </c>
      <c r="F34" s="121">
        <v>-17</v>
      </c>
      <c r="G34" s="121">
        <v>18</v>
      </c>
      <c r="H34" s="229">
        <v>-59</v>
      </c>
      <c r="M34" s="196" t="s">
        <v>224</v>
      </c>
      <c r="N34" s="197" t="s">
        <v>223</v>
      </c>
    </row>
    <row r="35" spans="2:15" ht="15" thickBot="1" x14ac:dyDescent="0.35">
      <c r="B35" s="230" t="s">
        <v>55</v>
      </c>
      <c r="C35" s="122"/>
      <c r="D35" s="231">
        <v>102</v>
      </c>
      <c r="E35" s="231">
        <v>36</v>
      </c>
      <c r="F35" s="231">
        <v>-142</v>
      </c>
      <c r="G35" s="231">
        <v>-193</v>
      </c>
      <c r="H35" s="232">
        <v>-194</v>
      </c>
      <c r="M35" s="198">
        <v>2015</v>
      </c>
      <c r="N35" s="185">
        <v>0.91890000000000005</v>
      </c>
    </row>
    <row r="36" spans="2:15" ht="15" thickBot="1" x14ac:dyDescent="0.35">
      <c r="B36" s="123"/>
      <c r="D36" s="123"/>
      <c r="G36" s="123"/>
      <c r="H36" s="123"/>
      <c r="M36" s="198">
        <v>2016</v>
      </c>
      <c r="N36" s="185">
        <v>0.94640000000000002</v>
      </c>
    </row>
    <row r="37" spans="2:15" x14ac:dyDescent="0.3">
      <c r="B37" s="202" t="s">
        <v>230</v>
      </c>
      <c r="C37" s="203"/>
      <c r="D37" s="203">
        <v>2017</v>
      </c>
      <c r="E37" s="203">
        <v>2018</v>
      </c>
      <c r="F37" s="203">
        <v>2019</v>
      </c>
      <c r="G37" s="633">
        <v>2020</v>
      </c>
      <c r="H37" s="633">
        <v>2021</v>
      </c>
      <c r="I37" s="633">
        <v>2022</v>
      </c>
      <c r="J37" s="633">
        <v>2023</v>
      </c>
      <c r="K37" s="634">
        <v>2024</v>
      </c>
      <c r="M37" s="198">
        <v>2017</v>
      </c>
      <c r="N37" s="185">
        <v>0.83260000000000001</v>
      </c>
    </row>
    <row r="38" spans="2:15" x14ac:dyDescent="0.3">
      <c r="B38" s="206" t="s">
        <v>2</v>
      </c>
      <c r="C38" s="119"/>
      <c r="D38" s="207">
        <f>2327771*N37</f>
        <v>1938102.1346</v>
      </c>
      <c r="E38" s="207">
        <f>2483840*N38</f>
        <v>2168640.7039999999</v>
      </c>
      <c r="F38" s="207">
        <f>2205314*0.9189</f>
        <v>2026463.0346000001</v>
      </c>
      <c r="G38" s="68">
        <f>F38*(1+$O$41)</f>
        <v>2080559.4151837714</v>
      </c>
      <c r="H38" s="68">
        <f>G38*(1+$O$41)</f>
        <v>2136099.897309144</v>
      </c>
      <c r="I38" s="68">
        <f>H38*(1+$O$41)</f>
        <v>2193123.0312310513</v>
      </c>
      <c r="J38" s="68">
        <f>I38*(1+$O$41)</f>
        <v>2251668.3963025277</v>
      </c>
      <c r="K38" s="69">
        <f>J38*(1+$O$41)</f>
        <v>2311776.6284464588</v>
      </c>
      <c r="M38" s="198">
        <v>2018</v>
      </c>
      <c r="N38" s="185">
        <v>0.87309999999999999</v>
      </c>
    </row>
    <row r="39" spans="2:15" hidden="1" x14ac:dyDescent="0.3">
      <c r="B39" s="210" t="s">
        <v>36</v>
      </c>
      <c r="C39" s="123"/>
      <c r="D39" s="211"/>
      <c r="E39" s="211">
        <f>(E38-D38)/D38</f>
        <v>0.11895068133113645</v>
      </c>
      <c r="F39" s="211">
        <f>(F38-E38)/E38</f>
        <v>-6.5560730801444825E-2</v>
      </c>
      <c r="G39" s="635"/>
      <c r="H39" s="129"/>
      <c r="I39" s="129"/>
      <c r="J39" s="129"/>
      <c r="K39" s="636"/>
      <c r="M39" s="246"/>
      <c r="N39" s="212"/>
    </row>
    <row r="40" spans="2:15" ht="15" thickBot="1" x14ac:dyDescent="0.35">
      <c r="B40" s="210" t="s">
        <v>227</v>
      </c>
      <c r="C40" s="121"/>
      <c r="D40" s="213">
        <v>1938</v>
      </c>
      <c r="E40" s="213">
        <v>2351</v>
      </c>
      <c r="F40" s="213">
        <v>2026</v>
      </c>
      <c r="G40" s="637">
        <v>2102.4110000000001</v>
      </c>
      <c r="H40" s="623">
        <v>2181.1999999999998</v>
      </c>
      <c r="I40" s="623">
        <v>2262.9499999999998</v>
      </c>
      <c r="J40" s="623">
        <v>2347.7600000000002</v>
      </c>
      <c r="K40" s="624">
        <v>2435.75</v>
      </c>
      <c r="M40" s="199">
        <v>2019</v>
      </c>
      <c r="N40" s="200">
        <v>0.91890000000000005</v>
      </c>
    </row>
    <row r="41" spans="2:15" x14ac:dyDescent="0.3">
      <c r="B41" s="214" t="s">
        <v>14</v>
      </c>
      <c r="C41" s="119"/>
      <c r="D41" s="215">
        <f>1545837*N37</f>
        <v>1287063.8862000001</v>
      </c>
      <c r="E41" s="215">
        <f>1552385*N38</f>
        <v>1355387.3435</v>
      </c>
      <c r="F41" s="215">
        <f>1375289*0.9189</f>
        <v>1263753.0621</v>
      </c>
      <c r="G41" s="621">
        <f>G38*$O$42</f>
        <v>1326497.8562964406</v>
      </c>
      <c r="H41" s="621">
        <f>H38*$O$42</f>
        <v>1361908.683759145</v>
      </c>
      <c r="I41" s="621">
        <f>I38*$O$42</f>
        <v>1398264.8023850739</v>
      </c>
      <c r="J41" s="621">
        <f>J38*$O$42</f>
        <v>1435591.4466984479</v>
      </c>
      <c r="K41" s="622">
        <f>K38*$O$42</f>
        <v>1473914.5248584873</v>
      </c>
      <c r="O41" s="486">
        <f>AVERAGE(E39:F39)</f>
        <v>2.6694975264845815E-2</v>
      </c>
    </row>
    <row r="42" spans="2:15" hidden="1" x14ac:dyDescent="0.3">
      <c r="B42" s="210" t="s">
        <v>34</v>
      </c>
      <c r="C42" s="123"/>
      <c r="D42" s="211">
        <f>D41/D38</f>
        <v>0.66408465437536601</v>
      </c>
      <c r="E42" s="211">
        <f>E41/E38</f>
        <v>0.62499396096366922</v>
      </c>
      <c r="F42" s="211">
        <f>F41/F38</f>
        <v>0.62362502573329692</v>
      </c>
      <c r="G42" s="635"/>
      <c r="H42" s="635"/>
      <c r="I42" s="635"/>
      <c r="J42" s="635"/>
      <c r="K42" s="638"/>
      <c r="O42" s="488">
        <f>AVERAGE(D42:F42)</f>
        <v>0.63756788035744405</v>
      </c>
    </row>
    <row r="43" spans="2:15" ht="15" thickBot="1" x14ac:dyDescent="0.35">
      <c r="B43" s="219" t="s">
        <v>3</v>
      </c>
      <c r="C43" s="121"/>
      <c r="D43" s="201">
        <f t="shared" ref="D43:K43" si="8">D38-D41</f>
        <v>651038.24839999992</v>
      </c>
      <c r="E43" s="201">
        <f t="shared" si="8"/>
        <v>813253.36049999995</v>
      </c>
      <c r="F43" s="201">
        <f t="shared" si="8"/>
        <v>762709.97250000015</v>
      </c>
      <c r="G43" s="639">
        <f t="shared" si="8"/>
        <v>754061.55888733082</v>
      </c>
      <c r="H43" s="639">
        <f t="shared" si="8"/>
        <v>774191.21354999905</v>
      </c>
      <c r="I43" s="639">
        <f t="shared" si="8"/>
        <v>794858.22884597746</v>
      </c>
      <c r="J43" s="639">
        <f t="shared" si="8"/>
        <v>816076.94960407983</v>
      </c>
      <c r="K43" s="640">
        <f t="shared" si="8"/>
        <v>837862.10358797153</v>
      </c>
      <c r="O43" s="489">
        <f>AVERAGE(D47:F47)</f>
        <v>0.15564427815425522</v>
      </c>
    </row>
    <row r="44" spans="2:15" hidden="1" x14ac:dyDescent="0.3">
      <c r="B44" s="210" t="s">
        <v>15</v>
      </c>
      <c r="C44" s="123"/>
      <c r="D44" s="211"/>
      <c r="E44" s="211"/>
      <c r="F44" s="211"/>
      <c r="G44" s="641"/>
      <c r="H44" s="635"/>
      <c r="I44" s="635"/>
      <c r="J44" s="635"/>
      <c r="K44" s="638"/>
    </row>
    <row r="45" spans="2:15" hidden="1" x14ac:dyDescent="0.3">
      <c r="B45" s="214" t="s">
        <v>16</v>
      </c>
      <c r="C45" s="123"/>
      <c r="D45" s="211">
        <f t="shared" ref="D45:K45" si="9">D43/D38</f>
        <v>0.33591534562463399</v>
      </c>
      <c r="E45" s="211">
        <f t="shared" si="9"/>
        <v>0.37500603903633084</v>
      </c>
      <c r="F45" s="211">
        <f t="shared" si="9"/>
        <v>0.37637497426670313</v>
      </c>
      <c r="G45" s="635">
        <f t="shared" si="9"/>
        <v>0.36243211964255589</v>
      </c>
      <c r="H45" s="635">
        <f t="shared" si="9"/>
        <v>0.36243211964255589</v>
      </c>
      <c r="I45" s="635">
        <f t="shared" si="9"/>
        <v>0.36243211964255601</v>
      </c>
      <c r="J45" s="635">
        <f t="shared" si="9"/>
        <v>0.36243211964255595</v>
      </c>
      <c r="K45" s="638">
        <f t="shared" si="9"/>
        <v>0.36243211964255595</v>
      </c>
    </row>
    <row r="46" spans="2:15" x14ac:dyDescent="0.3">
      <c r="B46" s="214" t="s">
        <v>37</v>
      </c>
      <c r="C46" s="119"/>
      <c r="D46" s="215">
        <f>362931*N37</f>
        <v>302176.35060000001</v>
      </c>
      <c r="E46" s="215">
        <f>363996*N38</f>
        <v>317804.90759999998</v>
      </c>
      <c r="F46" s="215">
        <f>362716*0.9189</f>
        <v>333299.73240000004</v>
      </c>
      <c r="G46" s="621">
        <f>G38*$O$43</f>
        <v>323827.1683333175</v>
      </c>
      <c r="H46" s="621">
        <f>H38*$O$43</f>
        <v>332471.72658206039</v>
      </c>
      <c r="I46" s="621">
        <f>I38*$O$43</f>
        <v>341347.05109942908</v>
      </c>
      <c r="J46" s="621">
        <f>J38*$O$43</f>
        <v>350459.30218525638</v>
      </c>
      <c r="K46" s="622">
        <f>K38*$O$43</f>
        <v>359814.80458842695</v>
      </c>
    </row>
    <row r="47" spans="2:15" hidden="1" x14ac:dyDescent="0.3">
      <c r="B47" s="214" t="s">
        <v>34</v>
      </c>
      <c r="C47" s="123"/>
      <c r="D47" s="211">
        <f>D46/D38</f>
        <v>0.15591353273152728</v>
      </c>
      <c r="E47" s="211">
        <f>E46/E38</f>
        <v>0.14654567121875806</v>
      </c>
      <c r="F47" s="211">
        <f>F46/F38</f>
        <v>0.16447363051248032</v>
      </c>
      <c r="G47" s="129"/>
      <c r="H47" s="129"/>
      <c r="I47" s="129"/>
      <c r="J47" s="129"/>
      <c r="K47" s="636"/>
    </row>
    <row r="48" spans="2:15" x14ac:dyDescent="0.3">
      <c r="B48" s="210" t="s">
        <v>38</v>
      </c>
      <c r="C48" s="121"/>
      <c r="D48" s="222">
        <f>340910*N37</f>
        <v>283841.66600000003</v>
      </c>
      <c r="E48" s="222">
        <f>403031*0.9464</f>
        <v>381428.53840000002</v>
      </c>
      <c r="F48" s="222">
        <f>344046*0.9189</f>
        <v>316143.86940000003</v>
      </c>
      <c r="G48" s="623">
        <f>G38*$G$59</f>
        <v>331741.60619615106</v>
      </c>
      <c r="H48" s="623">
        <f>H38*$G$59</f>
        <v>340597.44016787753</v>
      </c>
      <c r="I48" s="623">
        <f>I38*$G$59</f>
        <v>349689.68040842877</v>
      </c>
      <c r="J48" s="623">
        <f>J38*$G$59</f>
        <v>359024.63777730364</v>
      </c>
      <c r="K48" s="624">
        <f>K38*$G$59</f>
        <v>368608.79160223895</v>
      </c>
    </row>
    <row r="49" spans="2:17" hidden="1" x14ac:dyDescent="0.3">
      <c r="B49" s="214" t="s">
        <v>34</v>
      </c>
      <c r="C49" s="123"/>
      <c r="D49" s="211">
        <f>D48/D38</f>
        <v>0.14645340972114526</v>
      </c>
      <c r="E49" s="211">
        <f>E48/E38</f>
        <v>0.17588369419446256</v>
      </c>
      <c r="F49" s="211">
        <f>F48/F38</f>
        <v>0.15600771590802942</v>
      </c>
      <c r="G49" s="635"/>
      <c r="H49" s="635"/>
      <c r="I49" s="635"/>
      <c r="J49" s="635"/>
      <c r="K49" s="638"/>
    </row>
    <row r="50" spans="2:17" hidden="1" x14ac:dyDescent="0.3">
      <c r="B50" s="210" t="s">
        <v>61</v>
      </c>
      <c r="C50" s="123"/>
      <c r="D50" s="211"/>
      <c r="E50" s="211">
        <f t="shared" ref="E50:K50" si="10">(E48-D48)/D48</f>
        <v>0.3438074253693254</v>
      </c>
      <c r="F50" s="211">
        <f t="shared" si="10"/>
        <v>-0.17115832306060083</v>
      </c>
      <c r="G50" s="635">
        <f t="shared" si="10"/>
        <v>4.9337464065817592E-2</v>
      </c>
      <c r="H50" s="635">
        <f t="shared" si="10"/>
        <v>2.6694975264845822E-2</v>
      </c>
      <c r="I50" s="635">
        <f t="shared" si="10"/>
        <v>2.6694975264845659E-2</v>
      </c>
      <c r="J50" s="635">
        <f t="shared" si="10"/>
        <v>2.6694975264845874E-2</v>
      </c>
      <c r="K50" s="638">
        <f t="shared" si="10"/>
        <v>2.6694975264845728E-2</v>
      </c>
    </row>
    <row r="51" spans="2:17" ht="15" thickBot="1" x14ac:dyDescent="0.35">
      <c r="B51" s="223" t="s">
        <v>40</v>
      </c>
      <c r="C51" s="122"/>
      <c r="D51" s="224">
        <f>D43-(D46+D48)</f>
        <v>65020.23179999995</v>
      </c>
      <c r="E51" s="224">
        <f t="shared" ref="E51:K51" si="11">E43-(E46+E48)</f>
        <v>114019.91449999996</v>
      </c>
      <c r="F51" s="224">
        <f t="shared" si="11"/>
        <v>113266.37070000009</v>
      </c>
      <c r="G51" s="642">
        <f t="shared" si="11"/>
        <v>98492.784357862314</v>
      </c>
      <c r="H51" s="642">
        <f>H43-(H46+H48)</f>
        <v>101122.04680006113</v>
      </c>
      <c r="I51" s="642">
        <f t="shared" si="11"/>
        <v>103821.49733811966</v>
      </c>
      <c r="J51" s="642">
        <f t="shared" si="11"/>
        <v>106593.00964151975</v>
      </c>
      <c r="K51" s="643">
        <f t="shared" si="11"/>
        <v>109438.50739730569</v>
      </c>
    </row>
    <row r="52" spans="2:17" ht="15" thickBot="1" x14ac:dyDescent="0.35">
      <c r="B52" s="412"/>
      <c r="C52" s="123"/>
      <c r="D52" s="413"/>
      <c r="E52" s="413"/>
      <c r="F52" s="413"/>
      <c r="G52" s="413"/>
      <c r="H52" s="600">
        <v>0</v>
      </c>
      <c r="I52" s="601">
        <v>1</v>
      </c>
      <c r="J52" s="601">
        <v>2</v>
      </c>
      <c r="K52" s="601">
        <v>3</v>
      </c>
      <c r="L52" s="601">
        <v>4</v>
      </c>
      <c r="M52" s="601">
        <v>5</v>
      </c>
    </row>
    <row r="53" spans="2:17" ht="22.2" customHeight="1" x14ac:dyDescent="0.3">
      <c r="B53" s="490"/>
      <c r="C53" s="226"/>
      <c r="D53" s="226">
        <f>D51*(1/N37)</f>
        <v>78092.999999999927</v>
      </c>
      <c r="E53" s="226">
        <f>E51*(1/0.9464)</f>
        <v>120477.50898140317</v>
      </c>
      <c r="F53" s="483">
        <f>F51*(1/0.9189)</f>
        <v>123263.00000000009</v>
      </c>
      <c r="G53" s="203"/>
      <c r="H53" s="492">
        <v>43738</v>
      </c>
      <c r="I53" s="493" t="s">
        <v>41</v>
      </c>
      <c r="J53" s="493" t="s">
        <v>42</v>
      </c>
      <c r="K53" s="493" t="s">
        <v>43</v>
      </c>
      <c r="L53" s="493" t="s">
        <v>44</v>
      </c>
      <c r="M53" s="494" t="s">
        <v>45</v>
      </c>
      <c r="O53" s="2">
        <v>19952.98</v>
      </c>
      <c r="Q53" s="645"/>
    </row>
    <row r="54" spans="2:17" ht="18" customHeight="1" x14ac:dyDescent="0.3">
      <c r="B54" s="484" t="s">
        <v>616</v>
      </c>
      <c r="C54" s="119"/>
      <c r="D54" s="119"/>
      <c r="E54" s="119"/>
      <c r="F54" s="119"/>
      <c r="G54" s="119"/>
      <c r="H54" s="495">
        <v>12067</v>
      </c>
      <c r="I54" s="588">
        <f>H54-I22+I23+I25</f>
        <v>12373.672139387076</v>
      </c>
      <c r="J54" s="495">
        <f>I54-J22+J23+J25</f>
        <v>12703.226870124539</v>
      </c>
      <c r="K54" s="495">
        <f>J54-K22+K23+K25</f>
        <v>13233.730748555747</v>
      </c>
      <c r="L54" s="495">
        <f>K54-L22+L23+L25</f>
        <v>13849.116204947437</v>
      </c>
      <c r="M54" s="496">
        <f>L54-M22+M23+M25</f>
        <v>13849.116204947437</v>
      </c>
      <c r="Q54" s="645"/>
    </row>
    <row r="55" spans="2:17" ht="19.8" customHeight="1" x14ac:dyDescent="0.3">
      <c r="B55" s="485" t="s">
        <v>617</v>
      </c>
      <c r="C55" s="121"/>
      <c r="D55" s="121"/>
      <c r="E55" s="121"/>
      <c r="F55" s="121"/>
      <c r="G55" s="121"/>
      <c r="H55" s="497">
        <f>H54*WACC</f>
        <v>889.33747106348756</v>
      </c>
      <c r="I55" s="497">
        <f>H54*WACC</f>
        <v>889.33747106348756</v>
      </c>
      <c r="J55" s="497">
        <f>I54*WACC</f>
        <v>911.9391968352727</v>
      </c>
      <c r="K55" s="497">
        <f>J54*WACC</f>
        <v>936.22736877619127</v>
      </c>
      <c r="L55" s="497">
        <f>K54*WACC</f>
        <v>975.32548575915155</v>
      </c>
      <c r="M55" s="503">
        <f>L54*WACC</f>
        <v>1020.6793720205782</v>
      </c>
      <c r="Q55" s="645"/>
    </row>
    <row r="56" spans="2:17" ht="22.2" customHeight="1" x14ac:dyDescent="0.3">
      <c r="B56" s="484" t="s">
        <v>618</v>
      </c>
      <c r="C56" s="119"/>
      <c r="D56" s="119"/>
      <c r="E56" s="119"/>
      <c r="F56" s="119" t="s">
        <v>228</v>
      </c>
      <c r="G56" s="119"/>
      <c r="H56" s="499">
        <f>H21-H55</f>
        <v>77.662528936512444</v>
      </c>
      <c r="I56" s="499">
        <f>I21-I55</f>
        <v>198.90811762114026</v>
      </c>
      <c r="J56" s="499">
        <f t="shared" ref="J56:L56" si="12">J21-J55</f>
        <v>497.08042220299012</v>
      </c>
      <c r="K56" s="499">
        <f t="shared" si="12"/>
        <v>782.72046796795917</v>
      </c>
      <c r="L56" s="499">
        <f t="shared" si="12"/>
        <v>1014.9982280056153</v>
      </c>
      <c r="M56" s="500">
        <f>M21-M55</f>
        <v>1227.6556344299652</v>
      </c>
      <c r="Q56" s="646"/>
    </row>
    <row r="57" spans="2:17" ht="22.2" customHeight="1" x14ac:dyDescent="0.3">
      <c r="B57" s="487" t="s">
        <v>619</v>
      </c>
      <c r="C57" s="121"/>
      <c r="D57" s="121"/>
      <c r="E57" s="121"/>
      <c r="F57" s="121" t="s">
        <v>229</v>
      </c>
      <c r="G57" s="121"/>
      <c r="H57" s="585">
        <f>I56/(1+WACC)+J56/(1+WACC)^2+K56/(1+WACC)^3+L56/(1+WACC)^4+M56/(WACC-R14)/(1+WACC)^4</f>
        <v>14546.155389288004</v>
      </c>
      <c r="I57" s="497">
        <f>J56/(1+WACC)+K56/(1+WACC)^2+L56/(1+WACC)^3+M56/(WACC-R14)/(1+WACC)^3</f>
        <v>15419.298406796219</v>
      </c>
      <c r="J57" s="497">
        <f>K56/(1+WACC)+L56/(1+WACC)^2+M56/WACC/(1+WACC)^2</f>
        <v>16058.619729075988</v>
      </c>
      <c r="K57" s="497">
        <f>L56/(1+WACC)+M56/WACC/(1+WACC)</f>
        <v>16459.418964317338</v>
      </c>
      <c r="L57" s="497">
        <f>M56/(1+WACC)+M56/WACC/(1+WACC)</f>
        <v>16657.479328911406</v>
      </c>
      <c r="M57" s="503">
        <f>M56/WACC</f>
        <v>16657.479328911406</v>
      </c>
      <c r="Q57" s="646"/>
    </row>
    <row r="58" spans="2:17" ht="23.4" customHeight="1" thickBot="1" x14ac:dyDescent="0.35">
      <c r="B58" s="491" t="s">
        <v>621</v>
      </c>
      <c r="C58" s="122"/>
      <c r="D58" s="122"/>
      <c r="E58" s="122"/>
      <c r="F58" s="122" t="s">
        <v>225</v>
      </c>
      <c r="G58" s="122"/>
      <c r="H58" s="501">
        <f t="shared" ref="H58:M58" si="13">H54+H57</f>
        <v>26613.155389288004</v>
      </c>
      <c r="I58" s="589">
        <f t="shared" si="13"/>
        <v>27792.970546183293</v>
      </c>
      <c r="J58" s="501">
        <f t="shared" si="13"/>
        <v>28761.846599200529</v>
      </c>
      <c r="K58" s="501">
        <f t="shared" si="13"/>
        <v>29693.149712873084</v>
      </c>
      <c r="L58" s="501">
        <f t="shared" si="13"/>
        <v>30506.595533858843</v>
      </c>
      <c r="M58" s="502">
        <f t="shared" si="13"/>
        <v>30506.595533858843</v>
      </c>
      <c r="Q58" s="646"/>
    </row>
    <row r="59" spans="2:17" hidden="1" x14ac:dyDescent="0.3">
      <c r="B59" s="2" t="s">
        <v>620</v>
      </c>
      <c r="F59" s="2" t="s">
        <v>226</v>
      </c>
      <c r="G59" s="42">
        <f>AVERAGE(D49:F49)</f>
        <v>0.15944827327454575</v>
      </c>
      <c r="H59" s="2">
        <f>H21/H4</f>
        <v>0.1204384107609914</v>
      </c>
      <c r="I59" s="2">
        <f t="shared" ref="I59:M59" si="14">I21/I4</f>
        <v>0.13182033296174914</v>
      </c>
      <c r="J59" s="2">
        <f t="shared" si="14"/>
        <v>0.12334717658420927</v>
      </c>
      <c r="K59" s="2">
        <f t="shared" si="14"/>
        <v>0.1323545041559778</v>
      </c>
      <c r="L59" s="2">
        <f t="shared" si="14"/>
        <v>0.13602859958081692</v>
      </c>
      <c r="M59" s="2">
        <f t="shared" si="14"/>
        <v>0.13525312157307331</v>
      </c>
      <c r="Q59" s="646"/>
    </row>
    <row r="60" spans="2:17" ht="15" thickBot="1" x14ac:dyDescent="0.35">
      <c r="G60" s="42"/>
      <c r="Q60" s="646"/>
    </row>
    <row r="61" spans="2:17" ht="15.6" x14ac:dyDescent="0.3">
      <c r="B61" s="718"/>
      <c r="C61" s="285"/>
      <c r="D61" s="285"/>
      <c r="E61" s="285"/>
      <c r="F61" s="285"/>
      <c r="G61" s="719"/>
      <c r="H61" s="717">
        <v>43738</v>
      </c>
      <c r="I61" s="493" t="s">
        <v>41</v>
      </c>
      <c r="J61" s="493" t="s">
        <v>42</v>
      </c>
      <c r="K61" s="493" t="s">
        <v>43</v>
      </c>
      <c r="L61" s="493" t="s">
        <v>44</v>
      </c>
      <c r="M61" s="494" t="s">
        <v>45</v>
      </c>
      <c r="Q61" s="646"/>
    </row>
    <row r="62" spans="2:17" ht="21" customHeight="1" x14ac:dyDescent="0.3">
      <c r="B62" s="720"/>
      <c r="C62" s="121"/>
      <c r="D62" s="121"/>
      <c r="E62" s="121"/>
      <c r="F62" s="121"/>
      <c r="G62" s="677"/>
      <c r="H62" s="109"/>
      <c r="I62" s="109"/>
      <c r="J62" s="109"/>
      <c r="K62" s="109"/>
      <c r="L62" s="109"/>
      <c r="M62" s="578"/>
      <c r="Q62" s="646"/>
    </row>
    <row r="63" spans="2:17" ht="24" customHeight="1" x14ac:dyDescent="0.3">
      <c r="B63" s="721"/>
      <c r="C63" s="119"/>
      <c r="D63" s="119"/>
      <c r="E63" s="119"/>
      <c r="F63" s="119"/>
      <c r="G63" s="678"/>
      <c r="H63" s="146"/>
      <c r="I63" s="146"/>
      <c r="J63" s="146"/>
      <c r="K63" s="146"/>
      <c r="L63" s="146"/>
      <c r="M63" s="685"/>
      <c r="Q63" s="646"/>
    </row>
    <row r="64" spans="2:17" ht="20.399999999999999" customHeight="1" x14ac:dyDescent="0.3">
      <c r="B64" s="720" t="s">
        <v>650</v>
      </c>
      <c r="C64" s="121"/>
      <c r="D64" s="121"/>
      <c r="E64" s="121"/>
      <c r="F64" s="121"/>
      <c r="G64" s="677"/>
      <c r="H64" s="722">
        <f>(H70-H71)/H67</f>
        <v>4.485856006479897E-2</v>
      </c>
      <c r="I64" s="722">
        <f t="shared" ref="I64:M64" si="15">(I70-I71)/I67</f>
        <v>4.0086578981634861E-2</v>
      </c>
      <c r="J64" s="722">
        <f t="shared" si="15"/>
        <v>2.7461562092983893E-2</v>
      </c>
      <c r="K64" s="722">
        <f t="shared" si="15"/>
        <v>1.5263414448386123E-2</v>
      </c>
      <c r="L64" s="722">
        <f t="shared" si="15"/>
        <v>4.582608939347115E-3</v>
      </c>
      <c r="M64" s="723">
        <f t="shared" si="15"/>
        <v>-3.3287888822587878E-3</v>
      </c>
      <c r="Q64" s="646"/>
    </row>
    <row r="65" spans="2:17" ht="18" customHeight="1" x14ac:dyDescent="0.3">
      <c r="B65" s="682" t="s">
        <v>651</v>
      </c>
      <c r="C65" s="119"/>
      <c r="D65" s="119"/>
      <c r="E65" s="119"/>
      <c r="F65" s="119"/>
      <c r="G65" s="678"/>
      <c r="H65" s="621">
        <f>'NET INCOME &amp; FP'!H26/CoE</f>
        <v>10998.735777496839</v>
      </c>
      <c r="I65" s="621">
        <f>'NET INCOME &amp; FP'!I26/CoE</f>
        <v>12531.549793737393</v>
      </c>
      <c r="J65" s="621">
        <f>'NET INCOME &amp; FP'!J26/CoE</f>
        <v>16586.847269763119</v>
      </c>
      <c r="K65" s="621">
        <f>'NET INCOME &amp; FP'!K26/CoE</f>
        <v>20505.029541645392</v>
      </c>
      <c r="L65" s="621">
        <f>'NET INCOME &amp; FP'!L26/CoE</f>
        <v>23935.824447089341</v>
      </c>
      <c r="M65" s="622">
        <f>'NET INCOME &amp; FP'!M26/CoE</f>
        <v>26477.054443116856</v>
      </c>
      <c r="Q65" s="646"/>
    </row>
    <row r="66" spans="2:17" ht="18.600000000000001" customHeight="1" x14ac:dyDescent="0.3">
      <c r="B66" s="683" t="s">
        <v>652</v>
      </c>
      <c r="C66" s="121"/>
      <c r="D66" s="121"/>
      <c r="E66" s="121"/>
      <c r="F66" s="121"/>
      <c r="G66" s="677"/>
      <c r="H66" s="627">
        <f>H67-H65</f>
        <v>14409.074222503159</v>
      </c>
      <c r="I66" s="627">
        <f>I67-I65</f>
        <v>12876.260206262605</v>
      </c>
      <c r="J66" s="627">
        <f t="shared" ref="J66:M66" si="16">J67-J65</f>
        <v>8820.962730236879</v>
      </c>
      <c r="K66" s="627">
        <f t="shared" si="16"/>
        <v>4902.7804583546058</v>
      </c>
      <c r="L66" s="627">
        <f t="shared" si="16"/>
        <v>1471.9855529106571</v>
      </c>
      <c r="M66" s="628">
        <f t="shared" si="16"/>
        <v>-1069.2444431168587</v>
      </c>
      <c r="Q66" s="646"/>
    </row>
    <row r="67" spans="2:17" ht="19.8" customHeight="1" x14ac:dyDescent="0.3">
      <c r="B67" s="682" t="s">
        <v>653</v>
      </c>
      <c r="C67" s="119"/>
      <c r="D67" s="119"/>
      <c r="E67" s="119"/>
      <c r="F67" s="119"/>
      <c r="G67" s="678"/>
      <c r="H67" s="625">
        <f>MV</f>
        <v>25407.809999999998</v>
      </c>
      <c r="I67" s="625">
        <f t="shared" ref="I67:M67" si="17">MV</f>
        <v>25407.809999999998</v>
      </c>
      <c r="J67" s="625">
        <f t="shared" si="17"/>
        <v>25407.809999999998</v>
      </c>
      <c r="K67" s="625">
        <f t="shared" si="17"/>
        <v>25407.809999999998</v>
      </c>
      <c r="L67" s="625">
        <f t="shared" si="17"/>
        <v>25407.809999999998</v>
      </c>
      <c r="M67" s="626">
        <f t="shared" si="17"/>
        <v>25407.809999999998</v>
      </c>
      <c r="Q67" s="646"/>
    </row>
    <row r="68" spans="2:17" ht="18" customHeight="1" x14ac:dyDescent="0.3">
      <c r="B68" s="683" t="s">
        <v>654</v>
      </c>
      <c r="C68" s="121"/>
      <c r="D68" s="121"/>
      <c r="E68" s="121"/>
      <c r="F68" s="121"/>
      <c r="G68" s="677"/>
      <c r="H68" s="623">
        <f>'NET INCOME &amp; FP'!H73</f>
        <v>8633</v>
      </c>
      <c r="I68" s="623">
        <f>'NET INCOME &amp; FP'!I73</f>
        <v>9295.5110396570199</v>
      </c>
      <c r="J68" s="623">
        <f>'NET INCOME &amp; FP'!J73</f>
        <v>10008.864298434557</v>
      </c>
      <c r="K68" s="623">
        <f>'NET INCOME &amp; FP'!K73</f>
        <v>10776.961494327285</v>
      </c>
      <c r="L68" s="623">
        <f>'NET INCOME &amp; FP'!L73</f>
        <v>11423.579183986922</v>
      </c>
      <c r="M68" s="624">
        <f>'NET INCOME &amp; FP'!M73</f>
        <v>12300.243995962766</v>
      </c>
    </row>
    <row r="69" spans="2:17" ht="19.8" customHeight="1" x14ac:dyDescent="0.3">
      <c r="B69" s="682" t="s">
        <v>655</v>
      </c>
      <c r="C69" s="119"/>
      <c r="D69" s="119"/>
      <c r="E69" s="119"/>
      <c r="F69" s="119"/>
      <c r="G69" s="119"/>
      <c r="H69" s="792">
        <f>H67/H68</f>
        <v>2.9431032086180933</v>
      </c>
      <c r="I69" s="792">
        <f t="shared" ref="I69:M69" si="18">I67/I68</f>
        <v>2.7333419208049783</v>
      </c>
      <c r="J69" s="792">
        <f t="shared" si="18"/>
        <v>2.5385307705664393</v>
      </c>
      <c r="K69" s="792">
        <f t="shared" si="18"/>
        <v>2.3576042294828663</v>
      </c>
      <c r="L69" s="792">
        <f t="shared" si="18"/>
        <v>2.2241549334744022</v>
      </c>
      <c r="M69" s="792">
        <f t="shared" si="18"/>
        <v>2.0656346336169791</v>
      </c>
    </row>
    <row r="70" spans="2:17" ht="18" customHeight="1" x14ac:dyDescent="0.3">
      <c r="B70" s="683" t="s">
        <v>657</v>
      </c>
      <c r="C70" s="121"/>
      <c r="D70" s="121"/>
      <c r="E70" s="121"/>
      <c r="F70" s="121"/>
      <c r="G70" s="677"/>
      <c r="H70" s="623">
        <f t="shared" ref="H70:M70" si="19">H67*CoE</f>
        <v>2009.7577709999998</v>
      </c>
      <c r="I70" s="623">
        <f t="shared" si="19"/>
        <v>2009.7577709999998</v>
      </c>
      <c r="J70" s="623">
        <f t="shared" si="19"/>
        <v>2009.7577709999998</v>
      </c>
      <c r="K70" s="623">
        <f t="shared" si="19"/>
        <v>2009.7577709999998</v>
      </c>
      <c r="L70" s="623">
        <f t="shared" si="19"/>
        <v>2009.7577709999998</v>
      </c>
      <c r="M70" s="624">
        <f t="shared" si="19"/>
        <v>2009.7577709999998</v>
      </c>
    </row>
    <row r="71" spans="2:17" ht="19.8" customHeight="1" x14ac:dyDescent="0.3">
      <c r="B71" s="682" t="s">
        <v>691</v>
      </c>
      <c r="C71" s="119"/>
      <c r="D71" s="119"/>
      <c r="E71" s="119"/>
      <c r="F71" s="119"/>
      <c r="G71" s="678"/>
      <c r="H71" s="625">
        <f>'NET INCOME &amp; FP'!H26</f>
        <v>870</v>
      </c>
      <c r="I71" s="625">
        <f>'NET INCOME &amp; FP'!I26</f>
        <v>991.24558868462782</v>
      </c>
      <c r="J71" s="625">
        <f>'NET INCOME &amp; FP'!J26</f>
        <v>1312.0196190382628</v>
      </c>
      <c r="K71" s="625">
        <f>'NET INCOME &amp; FP'!K26</f>
        <v>1621.9478367441504</v>
      </c>
      <c r="L71" s="625">
        <f>'NET INCOME &amp; FP'!L26</f>
        <v>1893.3237137647668</v>
      </c>
      <c r="M71" s="626">
        <f>'NET INCOME &amp; FP'!M26</f>
        <v>2094.3350064505435</v>
      </c>
    </row>
    <row r="72" spans="2:17" ht="24" customHeight="1" x14ac:dyDescent="0.3">
      <c r="B72" s="683" t="s">
        <v>656</v>
      </c>
      <c r="C72" s="121"/>
      <c r="D72" s="121"/>
      <c r="E72" s="121"/>
      <c r="F72" s="121"/>
      <c r="G72" s="677"/>
      <c r="H72" s="704">
        <f>H67/H71</f>
        <v>29.204379310344827</v>
      </c>
      <c r="I72" s="704">
        <f t="shared" ref="I72:M72" si="20">I67/I71</f>
        <v>25.632204864301979</v>
      </c>
      <c r="J72" s="704">
        <f t="shared" si="20"/>
        <v>19.365419259983661</v>
      </c>
      <c r="K72" s="704">
        <f t="shared" si="20"/>
        <v>15.664998235086816</v>
      </c>
      <c r="L72" s="704">
        <f t="shared" si="20"/>
        <v>13.419686139924805</v>
      </c>
      <c r="M72" s="724">
        <f t="shared" si="20"/>
        <v>12.131683766801416</v>
      </c>
    </row>
    <row r="73" spans="2:17" ht="18.600000000000001" customHeight="1" x14ac:dyDescent="0.3">
      <c r="B73" s="682" t="s">
        <v>692</v>
      </c>
      <c r="C73" s="119"/>
      <c r="D73" s="119"/>
      <c r="E73" s="119"/>
      <c r="F73" s="119"/>
      <c r="G73" s="678"/>
      <c r="H73" s="86">
        <f>H71/H68</f>
        <v>0.10077609174099386</v>
      </c>
      <c r="I73" s="86">
        <f t="shared" ref="I73:M73" si="21">I71/I68</f>
        <v>0.10663701914351147</v>
      </c>
      <c r="J73" s="86">
        <f t="shared" si="21"/>
        <v>0.13108576357094481</v>
      </c>
      <c r="K73" s="86">
        <f t="shared" si="21"/>
        <v>0.1505014040922297</v>
      </c>
      <c r="L73" s="86">
        <f t="shared" si="21"/>
        <v>0.16573822295719243</v>
      </c>
      <c r="M73" s="87">
        <f t="shared" si="21"/>
        <v>0.17026776112229597</v>
      </c>
    </row>
    <row r="74" spans="2:17" ht="18" customHeight="1" x14ac:dyDescent="0.3">
      <c r="B74" s="683" t="s">
        <v>659</v>
      </c>
      <c r="C74" s="121"/>
      <c r="D74" s="121"/>
      <c r="E74" s="121"/>
      <c r="F74" s="121"/>
      <c r="G74" s="677"/>
      <c r="H74" s="725">
        <f t="shared" ref="H74:M74" si="22">(H67/H68)*CoE</f>
        <v>0.2327994638016912</v>
      </c>
      <c r="I74" s="725">
        <f t="shared" si="22"/>
        <v>0.21620734593567378</v>
      </c>
      <c r="J74" s="725">
        <f t="shared" si="22"/>
        <v>0.20079778395180536</v>
      </c>
      <c r="K74" s="725">
        <f t="shared" si="22"/>
        <v>0.18648649455209473</v>
      </c>
      <c r="L74" s="725">
        <f t="shared" si="22"/>
        <v>0.17593065523782522</v>
      </c>
      <c r="M74" s="726">
        <f t="shared" si="22"/>
        <v>0.16339169951910304</v>
      </c>
    </row>
    <row r="75" spans="2:17" ht="18" customHeight="1" thickBot="1" x14ac:dyDescent="0.35">
      <c r="B75" s="684" t="s">
        <v>658</v>
      </c>
      <c r="C75" s="122"/>
      <c r="D75" s="122"/>
      <c r="E75" s="122"/>
      <c r="F75" s="122"/>
      <c r="G75" s="697"/>
      <c r="H75" s="727">
        <f>H71/H67</f>
        <v>3.4241439935201033E-2</v>
      </c>
      <c r="I75" s="727">
        <f t="shared" ref="I75:M75" si="23">I71/I67</f>
        <v>3.9013421018365135E-2</v>
      </c>
      <c r="J75" s="727">
        <f t="shared" si="23"/>
        <v>5.163843790701611E-2</v>
      </c>
      <c r="K75" s="727">
        <f t="shared" si="23"/>
        <v>6.3836585551613881E-2</v>
      </c>
      <c r="L75" s="727">
        <f t="shared" si="23"/>
        <v>7.4517391060652888E-2</v>
      </c>
      <c r="M75" s="728">
        <f t="shared" si="23"/>
        <v>8.2428788882258783E-2</v>
      </c>
    </row>
    <row r="76" spans="2:17" ht="15" thickBot="1" x14ac:dyDescent="0.35"/>
    <row r="77" spans="2:17" ht="15" thickBot="1" x14ac:dyDescent="0.35">
      <c r="B77" s="691"/>
      <c r="C77" s="692"/>
      <c r="D77" s="692"/>
      <c r="E77" s="692"/>
      <c r="F77" s="692"/>
      <c r="G77" s="696"/>
      <c r="H77" s="693">
        <f t="shared" ref="H77:M77" si="24">H53</f>
        <v>43738</v>
      </c>
      <c r="I77" s="694" t="str">
        <f t="shared" si="24"/>
        <v>30-09-2020E</v>
      </c>
      <c r="J77" s="694" t="str">
        <f t="shared" si="24"/>
        <v>30-09-2021E</v>
      </c>
      <c r="K77" s="694" t="str">
        <f t="shared" si="24"/>
        <v>30-09-2022E</v>
      </c>
      <c r="L77" s="694" t="str">
        <f t="shared" si="24"/>
        <v>30-09-2023E</v>
      </c>
      <c r="M77" s="695" t="str">
        <f t="shared" si="24"/>
        <v>30-09-2024E</v>
      </c>
      <c r="N77" s="583"/>
      <c r="O77" s="582"/>
    </row>
    <row r="78" spans="2:17" x14ac:dyDescent="0.3">
      <c r="B78" s="268" t="str">
        <f>'EVA(BV)'!S3</f>
        <v>NOPAT</v>
      </c>
      <c r="C78" s="119">
        <f>'EVA(BV)'!T3</f>
        <v>967</v>
      </c>
      <c r="D78" s="119">
        <f>'EVA(BV)'!U3</f>
        <v>1088.2455886846278</v>
      </c>
      <c r="E78" s="119">
        <f>'EVA(BV)'!V3</f>
        <v>1409.0196190382628</v>
      </c>
      <c r="F78" s="119">
        <f>'EVA(BV)'!W3</f>
        <v>1718.9478367441504</v>
      </c>
      <c r="G78" s="678"/>
      <c r="H78" s="621">
        <f>'EVA(BV)'!T3</f>
        <v>967</v>
      </c>
      <c r="I78" s="621">
        <f>'EVA(BV)'!U3</f>
        <v>1088.2455886846278</v>
      </c>
      <c r="J78" s="621">
        <f>'EVA(BV)'!V3</f>
        <v>1409.0196190382628</v>
      </c>
      <c r="K78" s="621">
        <f>'EVA(BV)'!W3</f>
        <v>1718.9478367441504</v>
      </c>
      <c r="L78" s="621">
        <f>'EVA(BV)'!X3</f>
        <v>1990.3237137647668</v>
      </c>
      <c r="M78" s="622">
        <f>'EVA(BV)'!Y3</f>
        <v>2248.3350064505435</v>
      </c>
    </row>
    <row r="79" spans="2:17" x14ac:dyDescent="0.3">
      <c r="B79" s="431" t="str">
        <f>'EVA(BV)'!S4</f>
        <v>k*BIC</v>
      </c>
      <c r="C79" s="121"/>
      <c r="D79" s="121"/>
      <c r="E79" s="121"/>
      <c r="F79" s="121"/>
      <c r="G79" s="677"/>
      <c r="H79" s="623"/>
      <c r="I79" s="623">
        <f>'EVA(BV)'!U4</f>
        <v>889.33747106348756</v>
      </c>
      <c r="J79" s="623">
        <f>'EVA(BV)'!V4</f>
        <v>911.9391968352727</v>
      </c>
      <c r="K79" s="623">
        <f>'EVA(BV)'!W4</f>
        <v>936.22736877619127</v>
      </c>
      <c r="L79" s="623">
        <f>'EVA(BV)'!X4</f>
        <v>975.32548575915155</v>
      </c>
      <c r="M79" s="624">
        <f>'EVA(BV)'!Y4</f>
        <v>1020.6793720205782</v>
      </c>
      <c r="O79" s="584"/>
    </row>
    <row r="80" spans="2:17" x14ac:dyDescent="0.3">
      <c r="B80" s="268" t="str">
        <f>'EVA(BV)'!S5</f>
        <v>EVA(RP)</v>
      </c>
      <c r="C80" s="119"/>
      <c r="D80" s="119"/>
      <c r="E80" s="119"/>
      <c r="F80" s="119"/>
      <c r="G80" s="678"/>
      <c r="H80" s="625"/>
      <c r="I80" s="625">
        <f>'EVA(BV)'!U5</f>
        <v>198.90811762114026</v>
      </c>
      <c r="J80" s="625">
        <f>'EVA(BV)'!V5</f>
        <v>497.08042220299012</v>
      </c>
      <c r="K80" s="625">
        <f>'EVA(BV)'!W5</f>
        <v>782.72046796795917</v>
      </c>
      <c r="L80" s="625">
        <f>'EVA(BV)'!X5</f>
        <v>1014.9982280056153</v>
      </c>
      <c r="M80" s="626">
        <f>'EVA(BV)'!Y5</f>
        <v>1227.6556344299652</v>
      </c>
    </row>
    <row r="81" spans="2:17" ht="15" thickBot="1" x14ac:dyDescent="0.35">
      <c r="B81" s="444" t="str">
        <f>'EVA(BV)'!S9</f>
        <v>MVA</v>
      </c>
      <c r="C81" s="122"/>
      <c r="D81" s="122"/>
      <c r="E81" s="122"/>
      <c r="F81" s="122"/>
      <c r="G81" s="697"/>
      <c r="H81" s="629">
        <f>'EVA(BV)'!T9</f>
        <v>14546.155389288004</v>
      </c>
      <c r="I81" s="629">
        <f>'EVA(BV)'!U9</f>
        <v>15419.298406796217</v>
      </c>
      <c r="J81" s="629">
        <f>'EVA(BV)'!V9</f>
        <v>16058.619729075986</v>
      </c>
      <c r="K81" s="629">
        <f>'EVA(BV)'!W9</f>
        <v>16459.418964317338</v>
      </c>
      <c r="L81" s="629">
        <f>'EVA(BV)'!X9</f>
        <v>16657.479328911402</v>
      </c>
      <c r="M81" s="630">
        <f>'EVA(BV)'!Y9</f>
        <v>16657.479328911406</v>
      </c>
    </row>
    <row r="82" spans="2:17" x14ac:dyDescent="0.3">
      <c r="B82" s="431" t="str">
        <f>'EVA(BV)'!S6</f>
        <v>BIK</v>
      </c>
      <c r="C82" s="121"/>
      <c r="D82" s="121"/>
      <c r="E82" s="121"/>
      <c r="F82" s="121"/>
      <c r="G82" s="677"/>
      <c r="H82" s="627">
        <f>'EVA(BV)'!T6</f>
        <v>12067</v>
      </c>
      <c r="I82" s="627">
        <f>'EVA(BV)'!U6</f>
        <v>12373.672139387076</v>
      </c>
      <c r="J82" s="627">
        <f>'EVA(BV)'!V6</f>
        <v>12703.226870124539</v>
      </c>
      <c r="K82" s="627">
        <f>'EVA(BV)'!W6</f>
        <v>13233.730748555747</v>
      </c>
      <c r="L82" s="627">
        <f>'EVA(BV)'!X6</f>
        <v>13849.116204947437</v>
      </c>
      <c r="M82" s="628">
        <f>'EVA(BV)'!Y6</f>
        <v>13849.116204947437</v>
      </c>
      <c r="Q82" s="707" t="s">
        <v>665</v>
      </c>
    </row>
    <row r="83" spans="2:17" ht="15" thickBot="1" x14ac:dyDescent="0.35">
      <c r="B83" s="761" t="str">
        <f>'EVA(BV)'!S7</f>
        <v>TEV</v>
      </c>
      <c r="C83" s="231"/>
      <c r="D83" s="231"/>
      <c r="E83" s="231"/>
      <c r="F83" s="231"/>
      <c r="G83" s="762"/>
      <c r="H83" s="763">
        <f>'EVA(BV)'!T7</f>
        <v>26613.155389288004</v>
      </c>
      <c r="I83" s="763">
        <f>'EVA(BV)'!U7</f>
        <v>27792.970546183293</v>
      </c>
      <c r="J83" s="763">
        <f>'EVA(BV)'!V7</f>
        <v>28761.846599200526</v>
      </c>
      <c r="K83" s="763">
        <f>'EVA(BV)'!W7</f>
        <v>29693.149712873084</v>
      </c>
      <c r="L83" s="763">
        <f>'EVA(BV)'!X7</f>
        <v>30506.595533858839</v>
      </c>
      <c r="M83" s="764">
        <f>'EVA(BV)'!Y7</f>
        <v>30506.595533858843</v>
      </c>
    </row>
    <row r="84" spans="2:17" x14ac:dyDescent="0.3">
      <c r="B84" s="123"/>
      <c r="C84" s="123"/>
      <c r="D84" s="123"/>
      <c r="E84" s="123"/>
      <c r="F84" s="123"/>
      <c r="G84" s="123"/>
      <c r="H84" s="129"/>
      <c r="I84" s="129"/>
      <c r="J84" s="129"/>
      <c r="K84" s="129"/>
      <c r="L84" s="129"/>
      <c r="M84" s="129"/>
    </row>
    <row r="86" spans="2:17" ht="15" thickBot="1" x14ac:dyDescent="0.35"/>
    <row r="87" spans="2:17" ht="15" thickBot="1" x14ac:dyDescent="0.35">
      <c r="B87" s="616"/>
      <c r="C87" s="617"/>
      <c r="D87" s="617"/>
      <c r="E87" s="617"/>
      <c r="F87" s="617"/>
      <c r="G87" s="698"/>
      <c r="H87" s="618">
        <f>H77</f>
        <v>43738</v>
      </c>
      <c r="I87" s="688" t="str">
        <f t="shared" ref="I87:M87" si="25">I77</f>
        <v>30-09-2020E</v>
      </c>
      <c r="J87" s="688" t="str">
        <f t="shared" si="25"/>
        <v>30-09-2021E</v>
      </c>
      <c r="K87" s="688" t="str">
        <f t="shared" si="25"/>
        <v>30-09-2022E</v>
      </c>
      <c r="L87" s="688" t="str">
        <f t="shared" si="25"/>
        <v>30-09-2023E</v>
      </c>
      <c r="M87" s="689" t="str">
        <f t="shared" si="25"/>
        <v>30-09-2024E</v>
      </c>
    </row>
    <row r="88" spans="2:17" x14ac:dyDescent="0.3">
      <c r="B88" s="430" t="s">
        <v>51</v>
      </c>
      <c r="C88" s="686"/>
      <c r="D88" s="686"/>
      <c r="E88" s="686"/>
      <c r="F88" s="686"/>
      <c r="G88" s="699"/>
      <c r="H88" s="687">
        <f>H78</f>
        <v>967</v>
      </c>
      <c r="I88" s="687">
        <f>I78</f>
        <v>1088.2455886846278</v>
      </c>
      <c r="J88" s="687">
        <f t="shared" ref="J88:M88" si="26">J78</f>
        <v>1409.0196190382628</v>
      </c>
      <c r="K88" s="687">
        <f t="shared" si="26"/>
        <v>1718.9478367441504</v>
      </c>
      <c r="L88" s="687">
        <f t="shared" si="26"/>
        <v>1990.3237137647668</v>
      </c>
      <c r="M88" s="690">
        <f t="shared" si="26"/>
        <v>2248.3350064505435</v>
      </c>
      <c r="Q88" s="707" t="s">
        <v>670</v>
      </c>
    </row>
    <row r="89" spans="2:17" x14ac:dyDescent="0.3">
      <c r="B89" s="268" t="s">
        <v>646</v>
      </c>
      <c r="C89" s="119"/>
      <c r="D89" s="119"/>
      <c r="E89" s="119"/>
      <c r="F89" s="119"/>
      <c r="G89" s="678"/>
      <c r="H89" s="146"/>
      <c r="I89" s="621">
        <f>H92*WACC</f>
        <v>2731.8365824074162</v>
      </c>
      <c r="J89" s="621">
        <f>I92*WACC</f>
        <v>2754.4383081792016</v>
      </c>
      <c r="K89" s="621">
        <f>J92*WACC</f>
        <v>2778.7264801201195</v>
      </c>
      <c r="L89" s="621">
        <f>K92*WACC</f>
        <v>2817.8245971030797</v>
      </c>
      <c r="M89" s="622">
        <f>L92*WACC</f>
        <v>2863.1784833645061</v>
      </c>
    </row>
    <row r="90" spans="2:17" x14ac:dyDescent="0.3">
      <c r="B90" s="431" t="s">
        <v>649</v>
      </c>
      <c r="C90" s="121"/>
      <c r="D90" s="121"/>
      <c r="E90" s="121"/>
      <c r="F90" s="121"/>
      <c r="G90" s="677"/>
      <c r="H90" s="109"/>
      <c r="I90" s="623">
        <f>I88-I89</f>
        <v>-1643.5909937227884</v>
      </c>
      <c r="J90" s="623">
        <f t="shared" ref="J90:M90" si="27">J88-J89</f>
        <v>-1345.4186891409388</v>
      </c>
      <c r="K90" s="623">
        <f t="shared" si="27"/>
        <v>-1059.7786433759691</v>
      </c>
      <c r="L90" s="623">
        <f t="shared" si="27"/>
        <v>-827.50088333831286</v>
      </c>
      <c r="M90" s="624">
        <f t="shared" si="27"/>
        <v>-614.8434769139626</v>
      </c>
    </row>
    <row r="91" spans="2:17" ht="15" thickBot="1" x14ac:dyDescent="0.35">
      <c r="B91" s="444" t="s">
        <v>619</v>
      </c>
      <c r="C91" s="122"/>
      <c r="D91" s="122"/>
      <c r="E91" s="122"/>
      <c r="F91" s="122"/>
      <c r="G91" s="697"/>
      <c r="H91" s="759">
        <f t="shared" ref="H91:M91" si="28">H93-H92</f>
        <v>-10453.844610711971</v>
      </c>
      <c r="I91" s="759">
        <f t="shared" si="28"/>
        <v>-9580.7015932037575</v>
      </c>
      <c r="J91" s="759">
        <f t="shared" si="28"/>
        <v>-8941.3802709239972</v>
      </c>
      <c r="K91" s="759">
        <f t="shared" si="28"/>
        <v>-8540.5810356826514</v>
      </c>
      <c r="L91" s="759">
        <f t="shared" si="28"/>
        <v>-8342.5206710885795</v>
      </c>
      <c r="M91" s="760">
        <f t="shared" si="28"/>
        <v>-8342.5206710885795</v>
      </c>
    </row>
    <row r="92" spans="2:17" x14ac:dyDescent="0.3">
      <c r="B92" s="431" t="s">
        <v>643</v>
      </c>
      <c r="C92" s="121"/>
      <c r="D92" s="121"/>
      <c r="E92" s="121"/>
      <c r="F92" s="121"/>
      <c r="G92" s="677"/>
      <c r="H92" s="109">
        <v>37067</v>
      </c>
      <c r="I92" s="627">
        <f>H92-I22+I23+I25</f>
        <v>37373.672139387076</v>
      </c>
      <c r="J92" s="627">
        <f t="shared" ref="J92:L92" si="29">I92-J22+J23+J25</f>
        <v>37703.226870124534</v>
      </c>
      <c r="K92" s="627">
        <f t="shared" si="29"/>
        <v>38233.730748555739</v>
      </c>
      <c r="L92" s="627">
        <f t="shared" si="29"/>
        <v>38849.116204947422</v>
      </c>
      <c r="M92" s="628">
        <f>L92-M22+M23+M25</f>
        <v>38849.116204947422</v>
      </c>
    </row>
    <row r="93" spans="2:17" ht="15" thickBot="1" x14ac:dyDescent="0.35">
      <c r="B93" s="761" t="s">
        <v>644</v>
      </c>
      <c r="C93" s="231"/>
      <c r="D93" s="231"/>
      <c r="E93" s="231"/>
      <c r="F93" s="231"/>
      <c r="G93" s="762"/>
      <c r="H93" s="763">
        <f>H92+I90/(1+WACC)+J90/(1+WACC)^2+K90/(1+WACC)^3+L90/(1+WACC)^4+M90/WACC/(1+WACC)^4</f>
        <v>26613.155389288029</v>
      </c>
      <c r="I93" s="763">
        <f>I92+J90/(1+WACC)+K90/(1+WACC)^2+L90/(1+WACC)^3+M90/WACC/(1+WACC)^3</f>
        <v>27792.970546183318</v>
      </c>
      <c r="J93" s="763">
        <f>J92+K90/(1+WACC)+L90/(1+WACC)^2+M90/WACC/(1+WACC)^2</f>
        <v>28761.846599200537</v>
      </c>
      <c r="K93" s="763">
        <f>K92+L90/(1+WACC)+M90/WACC/(1+WACC)</f>
        <v>29693.149712873088</v>
      </c>
      <c r="L93" s="763">
        <f>L92+M90/(1+WACC)+M90/WACC/(1+WACC)</f>
        <v>30506.595533858843</v>
      </c>
      <c r="M93" s="764">
        <f>M92+M90/WACC</f>
        <v>30506.595533858843</v>
      </c>
    </row>
    <row r="94" spans="2:17" x14ac:dyDescent="0.3">
      <c r="B94" s="123"/>
      <c r="C94" s="123"/>
      <c r="D94" s="123"/>
      <c r="E94" s="123"/>
      <c r="F94" s="123"/>
      <c r="G94" s="123"/>
      <c r="H94" s="129"/>
      <c r="I94" s="129"/>
      <c r="J94" s="129"/>
      <c r="K94" s="129"/>
      <c r="L94" s="129"/>
      <c r="M94" s="129"/>
    </row>
    <row r="95" spans="2:17" x14ac:dyDescent="0.3">
      <c r="Q95" s="194">
        <f>H82+25000</f>
        <v>37067</v>
      </c>
    </row>
    <row r="96" spans="2:17" ht="15" thickBot="1" x14ac:dyDescent="0.35"/>
    <row r="97" spans="2:18" ht="15" thickBot="1" x14ac:dyDescent="0.35">
      <c r="B97" s="691"/>
      <c r="C97" s="692"/>
      <c r="D97" s="692"/>
      <c r="E97" s="692"/>
      <c r="F97" s="692"/>
      <c r="G97" s="696"/>
      <c r="H97" s="693">
        <f>H87</f>
        <v>43738</v>
      </c>
      <c r="I97" s="702" t="str">
        <f t="shared" ref="I97:M97" si="30">I87</f>
        <v>30-09-2020E</v>
      </c>
      <c r="J97" s="702" t="str">
        <f t="shared" si="30"/>
        <v>30-09-2021E</v>
      </c>
      <c r="K97" s="702" t="str">
        <f t="shared" si="30"/>
        <v>30-09-2022E</v>
      </c>
      <c r="L97" s="702" t="str">
        <f t="shared" si="30"/>
        <v>30-09-2023E</v>
      </c>
      <c r="M97" s="703" t="str">
        <f t="shared" si="30"/>
        <v>30-09-2024E</v>
      </c>
    </row>
    <row r="98" spans="2:18" x14ac:dyDescent="0.3">
      <c r="B98" s="430" t="s">
        <v>51</v>
      </c>
      <c r="C98" s="686"/>
      <c r="D98" s="686"/>
      <c r="E98" s="686"/>
      <c r="F98" s="686"/>
      <c r="G98" s="699"/>
      <c r="H98" s="687">
        <f>H88</f>
        <v>967</v>
      </c>
      <c r="I98" s="687">
        <f t="shared" ref="I98:M98" si="31">I88</f>
        <v>1088.2455886846278</v>
      </c>
      <c r="J98" s="687">
        <f t="shared" si="31"/>
        <v>1409.0196190382628</v>
      </c>
      <c r="K98" s="687">
        <f t="shared" si="31"/>
        <v>1718.9478367441504</v>
      </c>
      <c r="L98" s="687">
        <f t="shared" si="31"/>
        <v>1990.3237137647668</v>
      </c>
      <c r="M98" s="690">
        <f t="shared" si="31"/>
        <v>2248.3350064505435</v>
      </c>
    </row>
    <row r="99" spans="2:18" x14ac:dyDescent="0.3">
      <c r="B99" s="268" t="s">
        <v>646</v>
      </c>
      <c r="C99" s="119"/>
      <c r="D99" s="119"/>
      <c r="E99" s="119"/>
      <c r="F99" s="119"/>
      <c r="G99" s="678"/>
      <c r="H99" s="146"/>
      <c r="I99" s="621">
        <f>I79</f>
        <v>889.33747106348756</v>
      </c>
      <c r="J99" s="621">
        <f t="shared" ref="J99:M99" si="32">J79</f>
        <v>911.9391968352727</v>
      </c>
      <c r="K99" s="621">
        <f t="shared" si="32"/>
        <v>936.22736877619127</v>
      </c>
      <c r="L99" s="621">
        <f t="shared" si="32"/>
        <v>975.32548575915155</v>
      </c>
      <c r="M99" s="622">
        <f t="shared" si="32"/>
        <v>1020.6793720205782</v>
      </c>
    </row>
    <row r="100" spans="2:18" x14ac:dyDescent="0.3">
      <c r="B100" s="431" t="s">
        <v>668</v>
      </c>
      <c r="C100" s="121"/>
      <c r="D100" s="121"/>
      <c r="E100" s="121"/>
      <c r="F100" s="121"/>
      <c r="G100" s="677"/>
      <c r="H100" s="109"/>
      <c r="I100" s="623">
        <f>H109*WACC</f>
        <v>1072.051135129354</v>
      </c>
      <c r="J100" s="623">
        <f>$I$100</f>
        <v>1072.051135129354</v>
      </c>
      <c r="K100" s="623">
        <f t="shared" ref="K100:M100" si="33">$I$100</f>
        <v>1072.051135129354</v>
      </c>
      <c r="L100" s="623">
        <f t="shared" si="33"/>
        <v>1072.051135129354</v>
      </c>
      <c r="M100" s="624">
        <f t="shared" si="33"/>
        <v>1072.051135129354</v>
      </c>
    </row>
    <row r="101" spans="2:18" x14ac:dyDescent="0.3">
      <c r="B101" s="712" t="s">
        <v>649</v>
      </c>
      <c r="C101" s="713"/>
      <c r="D101" s="713"/>
      <c r="E101" s="713"/>
      <c r="F101" s="713"/>
      <c r="G101" s="714"/>
      <c r="H101" s="715"/>
      <c r="I101" s="716">
        <f>I98-WACC*(I82+$H$109)</f>
        <v>-895.74474327999883</v>
      </c>
      <c r="J101" s="716">
        <f>J98-WACC*(I82+$H$109)</f>
        <v>-574.97071292636383</v>
      </c>
      <c r="K101" s="716">
        <f>K98-WACC*(J82+$H$109)</f>
        <v>-289.33066716139479</v>
      </c>
      <c r="L101" s="716">
        <f>L98-WACC*(K82+$H$109)</f>
        <v>-57.052907123738578</v>
      </c>
      <c r="M101" s="729">
        <f>M98-WACC*(L82+$H$109)</f>
        <v>155.60449930061122</v>
      </c>
    </row>
    <row r="102" spans="2:18" x14ac:dyDescent="0.3">
      <c r="B102" s="431" t="s">
        <v>648</v>
      </c>
      <c r="C102" s="121"/>
      <c r="D102" s="121"/>
      <c r="E102" s="121"/>
      <c r="F102" s="121"/>
      <c r="G102" s="677"/>
      <c r="H102" s="109"/>
      <c r="I102" s="109"/>
      <c r="J102" s="109"/>
      <c r="K102" s="109"/>
      <c r="L102" s="109"/>
      <c r="M102" s="578"/>
      <c r="Q102" s="846" t="s">
        <v>666</v>
      </c>
      <c r="R102" s="846"/>
    </row>
    <row r="103" spans="2:18" x14ac:dyDescent="0.3">
      <c r="B103" s="268" t="s">
        <v>667</v>
      </c>
      <c r="C103" s="119"/>
      <c r="D103" s="119"/>
      <c r="E103" s="119"/>
      <c r="F103" s="119"/>
      <c r="G103" s="678"/>
      <c r="H103" s="621">
        <f>H54+$H$109</f>
        <v>26613.155389288004</v>
      </c>
      <c r="I103" s="621">
        <f>I54+I109</f>
        <v>27792.970546183293</v>
      </c>
      <c r="J103" s="621">
        <f t="shared" ref="J103:M103" si="34">J54+J109</f>
        <v>28761.846599200529</v>
      </c>
      <c r="K103" s="621">
        <f t="shared" si="34"/>
        <v>29693.149712873081</v>
      </c>
      <c r="L103" s="621">
        <f t="shared" si="34"/>
        <v>30506.595533858843</v>
      </c>
      <c r="M103" s="622">
        <f t="shared" si="34"/>
        <v>30506.595533858843</v>
      </c>
      <c r="Q103" s="846"/>
      <c r="R103" s="846"/>
    </row>
    <row r="104" spans="2:18" ht="15" thickBot="1" x14ac:dyDescent="0.35">
      <c r="B104" s="270" t="s">
        <v>644</v>
      </c>
      <c r="C104" s="568"/>
      <c r="D104" s="568"/>
      <c r="E104" s="568"/>
      <c r="F104" s="568"/>
      <c r="G104" s="765"/>
      <c r="H104" s="766">
        <f>H103</f>
        <v>26613.155389288004</v>
      </c>
      <c r="I104" s="766">
        <f t="shared" ref="I104:M104" si="35">I103</f>
        <v>27792.970546183293</v>
      </c>
      <c r="J104" s="766">
        <f t="shared" si="35"/>
        <v>28761.846599200529</v>
      </c>
      <c r="K104" s="766">
        <f t="shared" si="35"/>
        <v>29693.149712873081</v>
      </c>
      <c r="L104" s="766">
        <f t="shared" si="35"/>
        <v>30506.595533858843</v>
      </c>
      <c r="M104" s="767">
        <f t="shared" si="35"/>
        <v>30506.595533858843</v>
      </c>
    </row>
    <row r="109" spans="2:18" x14ac:dyDescent="0.3">
      <c r="G109" s="709" t="s">
        <v>669</v>
      </c>
      <c r="H109" s="710">
        <f>I80/(1+WACC)+J80/(1+WACC)^2+K80/(1+WACC)^3+L80/(1+WACC)^4+M80/WACC/(1+WACC)^4</f>
        <v>14546.155389288004</v>
      </c>
      <c r="I109" s="710">
        <f>J80/(1+WACC)+K80/(1+WACC)^2+L80/(1+WACC)^3+M80/WACC/(1+WACC)^3</f>
        <v>15419.298406796219</v>
      </c>
      <c r="J109" s="710">
        <f>K80/(1+WACC)+L80/(1+WACC)^2+M80/WACC/(1+WACC)^2</f>
        <v>16058.619729075988</v>
      </c>
      <c r="K109" s="710">
        <f>L80/(1+WACC)+M80/(1+WACC)^2+M80/WACC/(1+WACC)^2</f>
        <v>16459.418964317334</v>
      </c>
      <c r="L109" s="710">
        <f>M80/(1+WACC)+M80/WACC/(1+WACC)</f>
        <v>16657.479328911406</v>
      </c>
      <c r="M109" s="710">
        <f>M80/WACC</f>
        <v>16657.479328911406</v>
      </c>
    </row>
    <row r="112" spans="2:18" x14ac:dyDescent="0.3">
      <c r="L112" s="42">
        <v>0.1</v>
      </c>
    </row>
    <row r="116" spans="8:14" x14ac:dyDescent="0.3">
      <c r="H116" s="2" t="s">
        <v>616</v>
      </c>
      <c r="J116" s="124">
        <v>120</v>
      </c>
      <c r="K116" s="124">
        <v>123</v>
      </c>
      <c r="L116" s="124">
        <v>124</v>
      </c>
      <c r="M116" s="124">
        <v>124</v>
      </c>
      <c r="N116" s="124">
        <v>123</v>
      </c>
    </row>
    <row r="118" spans="8:14" x14ac:dyDescent="0.3">
      <c r="I118" s="705">
        <v>0</v>
      </c>
      <c r="J118" s="705">
        <v>1</v>
      </c>
      <c r="K118" s="705">
        <v>2</v>
      </c>
      <c r="L118" s="705">
        <v>3</v>
      </c>
      <c r="M118" s="705">
        <v>4</v>
      </c>
      <c r="N118" s="705">
        <v>5</v>
      </c>
    </row>
    <row r="119" spans="8:14" x14ac:dyDescent="0.3">
      <c r="H119" s="124" t="s">
        <v>51</v>
      </c>
      <c r="I119" s="124"/>
      <c r="J119" s="124">
        <v>18.399999999999999</v>
      </c>
      <c r="K119" s="124">
        <v>16.72</v>
      </c>
      <c r="L119" s="124">
        <v>14.19</v>
      </c>
      <c r="M119" s="124">
        <v>12.5</v>
      </c>
      <c r="N119" s="124">
        <v>12.31</v>
      </c>
    </row>
    <row r="120" spans="8:14" x14ac:dyDescent="0.3">
      <c r="H120" s="124" t="s">
        <v>671</v>
      </c>
      <c r="I120" s="329">
        <v>0.1</v>
      </c>
      <c r="J120" s="124">
        <v>12</v>
      </c>
      <c r="K120" s="124">
        <v>12.3</v>
      </c>
      <c r="L120" s="124">
        <v>12.4</v>
      </c>
      <c r="M120" s="124">
        <v>12.4</v>
      </c>
      <c r="N120" s="124">
        <v>12.3</v>
      </c>
    </row>
    <row r="121" spans="8:14" x14ac:dyDescent="0.3">
      <c r="H121" s="124" t="s">
        <v>672</v>
      </c>
      <c r="I121" s="124"/>
      <c r="J121" s="124">
        <v>1.1200000000000001</v>
      </c>
      <c r="K121" s="124">
        <v>1.1200000000000001</v>
      </c>
      <c r="L121" s="124">
        <v>1.1200000000000001</v>
      </c>
      <c r="M121" s="124">
        <v>1.1200000000000001</v>
      </c>
      <c r="N121" s="124">
        <v>1.1200000000000001</v>
      </c>
    </row>
    <row r="122" spans="8:14" x14ac:dyDescent="0.3">
      <c r="H122" s="706" t="s">
        <v>647</v>
      </c>
      <c r="I122" s="706"/>
      <c r="J122" s="706">
        <f>J119-L112*(J116+11.2)</f>
        <v>5.2799999999999994</v>
      </c>
      <c r="K122" s="706">
        <v>3.3</v>
      </c>
      <c r="L122" s="706">
        <v>0.98</v>
      </c>
      <c r="M122" s="706">
        <v>-1.02</v>
      </c>
      <c r="N122" s="706">
        <v>-1.1100000000000001</v>
      </c>
    </row>
    <row r="123" spans="8:14" x14ac:dyDescent="0.3">
      <c r="H123" s="124" t="s">
        <v>673</v>
      </c>
      <c r="I123" s="124"/>
      <c r="J123" s="711">
        <f>NPV(L112,J122,K122,L122,M122,N122)</f>
        <v>6.8776648390882382</v>
      </c>
      <c r="K123" s="124"/>
      <c r="L123" s="124"/>
      <c r="M123" s="124"/>
      <c r="N123" s="124"/>
    </row>
    <row r="124" spans="8:14" x14ac:dyDescent="0.3">
      <c r="H124" s="124"/>
      <c r="I124" s="124"/>
      <c r="J124" s="124"/>
      <c r="K124" s="124"/>
      <c r="L124" s="124"/>
      <c r="M124" s="124"/>
      <c r="N124" s="124"/>
    </row>
    <row r="125" spans="8:14" x14ac:dyDescent="0.3">
      <c r="H125" s="124"/>
      <c r="I125" s="124"/>
      <c r="J125" s="124"/>
      <c r="K125" s="124"/>
      <c r="L125" s="124"/>
      <c r="M125" s="124"/>
      <c r="N125" s="124"/>
    </row>
    <row r="126" spans="8:14" x14ac:dyDescent="0.3">
      <c r="H126" s="124"/>
      <c r="I126" s="124"/>
      <c r="J126" s="124"/>
      <c r="K126" s="124"/>
      <c r="L126" s="124"/>
      <c r="M126" s="124"/>
      <c r="N126" s="124"/>
    </row>
    <row r="127" spans="8:14" x14ac:dyDescent="0.3">
      <c r="H127" s="124"/>
      <c r="I127" s="124"/>
      <c r="J127" s="124"/>
      <c r="K127" s="124"/>
      <c r="L127" s="124"/>
      <c r="M127" s="124"/>
      <c r="N127" s="124"/>
    </row>
    <row r="128" spans="8:14" x14ac:dyDescent="0.3">
      <c r="H128" s="124" t="s">
        <v>647</v>
      </c>
      <c r="J128" s="708">
        <v>6.4</v>
      </c>
      <c r="K128" s="124">
        <v>4.42</v>
      </c>
      <c r="L128" s="124">
        <v>2.09</v>
      </c>
      <c r="M128" s="708">
        <v>0.1</v>
      </c>
      <c r="N128" s="708">
        <v>0.01</v>
      </c>
    </row>
    <row r="129" spans="8:14" x14ac:dyDescent="0.3">
      <c r="H129" s="124"/>
      <c r="I129" s="708">
        <f>J128/1.1+K128/(1.1)^2+L128/(1.1)^3+M128/(1.1)^4+N128/0.1/(1.1)^4</f>
        <v>11.177925005122601</v>
      </c>
      <c r="J129" s="124"/>
      <c r="K129" s="124"/>
      <c r="L129" s="124"/>
      <c r="M129" s="124"/>
      <c r="N129" s="124"/>
    </row>
    <row r="130" spans="8:14" x14ac:dyDescent="0.3">
      <c r="H130" s="124"/>
      <c r="I130" s="124"/>
      <c r="J130" s="124"/>
      <c r="K130" s="124"/>
      <c r="L130" s="124"/>
      <c r="M130" s="124"/>
      <c r="N130" s="124"/>
    </row>
    <row r="131" spans="8:14" x14ac:dyDescent="0.3">
      <c r="H131" s="124"/>
      <c r="I131" s="124"/>
      <c r="J131" s="124"/>
      <c r="K131" s="124"/>
      <c r="L131" s="124"/>
      <c r="M131" s="124"/>
      <c r="N131" s="124"/>
    </row>
    <row r="135" spans="8:14" x14ac:dyDescent="0.3">
      <c r="J135" s="2">
        <f>K119-10%*(123+11.2)</f>
        <v>3.2999999999999989</v>
      </c>
    </row>
  </sheetData>
  <mergeCells count="4">
    <mergeCell ref="D1:H2"/>
    <mergeCell ref="I1:M2"/>
    <mergeCell ref="Q3:R3"/>
    <mergeCell ref="Q102:R10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M15" sqref="M15"/>
    </sheetView>
  </sheetViews>
  <sheetFormatPr defaultRowHeight="14.4" x14ac:dyDescent="0.3"/>
  <cols>
    <col min="1" max="1" width="1.33203125" style="2" customWidth="1"/>
    <col min="2" max="2" width="24" style="2" customWidth="1"/>
    <col min="3" max="3" width="12.88671875" style="2" customWidth="1"/>
    <col min="4" max="4" width="8.88671875" style="2"/>
    <col min="5" max="5" width="18.5546875" style="2" customWidth="1"/>
    <col min="6" max="6" width="8" style="2" customWidth="1"/>
    <col min="7" max="7" width="8.88671875" style="2"/>
    <col min="8" max="8" width="21.88671875" style="2" customWidth="1"/>
    <col min="9" max="10" width="8.88671875" style="2"/>
    <col min="11" max="11" width="14.109375" style="2" customWidth="1"/>
    <col min="12" max="12" width="20.88671875" style="2" customWidth="1"/>
    <col min="13" max="13" width="17.44140625" style="2" customWidth="1"/>
    <col min="14" max="16384" width="8.88671875" style="2"/>
  </cols>
  <sheetData>
    <row r="1" spans="2:12" ht="15" thickBot="1" x14ac:dyDescent="0.35"/>
    <row r="2" spans="2:12" ht="15" thickBot="1" x14ac:dyDescent="0.35">
      <c r="K2" s="574" t="s">
        <v>246</v>
      </c>
      <c r="L2" s="228" t="s">
        <v>627</v>
      </c>
    </row>
    <row r="3" spans="2:12" ht="15" thickBot="1" x14ac:dyDescent="0.35">
      <c r="B3" s="430" t="s">
        <v>290</v>
      </c>
      <c r="C3" s="573">
        <f>C10*F14+C9*F15*(1-C8)</f>
        <v>7.369996445375715E-2</v>
      </c>
      <c r="K3" s="301">
        <v>1556</v>
      </c>
      <c r="L3" s="575">
        <v>1900</v>
      </c>
    </row>
    <row r="4" spans="2:12" x14ac:dyDescent="0.3">
      <c r="B4" s="431" t="s">
        <v>291</v>
      </c>
      <c r="C4" s="432">
        <v>1.1000000000000001</v>
      </c>
      <c r="H4" s="430" t="s">
        <v>300</v>
      </c>
      <c r="I4" s="438">
        <f>K3+L3</f>
        <v>3456</v>
      </c>
    </row>
    <row r="5" spans="2:12" x14ac:dyDescent="0.3">
      <c r="B5" s="433" t="s">
        <v>294</v>
      </c>
      <c r="C5" s="434">
        <v>1E-3</v>
      </c>
      <c r="H5" s="431" t="s">
        <v>301</v>
      </c>
      <c r="I5" s="439"/>
    </row>
    <row r="6" spans="2:12" x14ac:dyDescent="0.3">
      <c r="B6" s="433"/>
      <c r="C6" s="434"/>
      <c r="H6" s="440" t="s">
        <v>302</v>
      </c>
      <c r="I6" s="439">
        <v>1251</v>
      </c>
    </row>
    <row r="7" spans="2:12" x14ac:dyDescent="0.3">
      <c r="B7" s="433" t="s">
        <v>296</v>
      </c>
      <c r="C7" s="434">
        <v>7.0999999999999994E-2</v>
      </c>
      <c r="H7" s="440" t="s">
        <v>303</v>
      </c>
      <c r="I7" s="439">
        <v>20.309999999999999</v>
      </c>
    </row>
    <row r="8" spans="2:12" ht="13.2" customHeight="1" x14ac:dyDescent="0.3">
      <c r="B8" s="433" t="s">
        <v>297</v>
      </c>
      <c r="C8" s="435">
        <v>0.15</v>
      </c>
      <c r="H8" s="440" t="s">
        <v>623</v>
      </c>
      <c r="I8" s="439">
        <f>I6*I7</f>
        <v>25407.809999999998</v>
      </c>
      <c r="K8" s="2" t="s">
        <v>693</v>
      </c>
    </row>
    <row r="9" spans="2:12" ht="15" thickBot="1" x14ac:dyDescent="0.35">
      <c r="B9" s="433" t="s">
        <v>298</v>
      </c>
      <c r="C9" s="435">
        <f>I4/I9</f>
        <v>0.11973471277700345</v>
      </c>
      <c r="D9" s="410"/>
      <c r="F9" s="43"/>
      <c r="H9" s="441" t="s">
        <v>624</v>
      </c>
      <c r="I9" s="442">
        <f>I8+I4</f>
        <v>28863.809999999998</v>
      </c>
    </row>
    <row r="10" spans="2:12" ht="15" thickBot="1" x14ac:dyDescent="0.35">
      <c r="B10" s="436" t="s">
        <v>299</v>
      </c>
      <c r="C10" s="437">
        <f>I8/I9</f>
        <v>0.88026528722299657</v>
      </c>
    </row>
    <row r="13" spans="2:12" ht="15" thickBot="1" x14ac:dyDescent="0.35"/>
    <row r="14" spans="2:12" x14ac:dyDescent="0.3">
      <c r="E14" s="443" t="s">
        <v>625</v>
      </c>
      <c r="F14" s="818">
        <f>C5+C4*(C7)</f>
        <v>7.9100000000000004E-2</v>
      </c>
    </row>
    <row r="15" spans="2:12" ht="15" thickBot="1" x14ac:dyDescent="0.35">
      <c r="E15" s="444" t="s">
        <v>626</v>
      </c>
      <c r="F15" s="817">
        <f>138.24/I4</f>
        <v>0.04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workbookViewId="0">
      <selection activeCell="K7" sqref="K7"/>
    </sheetView>
  </sheetViews>
  <sheetFormatPr defaultRowHeight="14.4" x14ac:dyDescent="0.3"/>
  <cols>
    <col min="1" max="1" width="17" customWidth="1"/>
    <col min="6" max="6" width="17.88671875" customWidth="1"/>
    <col min="10" max="10" width="19.109375" customWidth="1"/>
    <col min="11" max="11" width="17" customWidth="1"/>
    <col min="12" max="12" width="17.109375" customWidth="1"/>
  </cols>
  <sheetData>
    <row r="1" spans="1:14" x14ac:dyDescent="0.3">
      <c r="A1" s="847" t="s">
        <v>432</v>
      </c>
      <c r="B1" s="847"/>
      <c r="C1" s="847"/>
      <c r="F1" s="847" t="s">
        <v>615</v>
      </c>
      <c r="G1" s="847"/>
      <c r="H1" s="847"/>
    </row>
    <row r="2" spans="1:14" ht="15" thickBot="1" x14ac:dyDescent="0.35">
      <c r="A2" s="1" t="s">
        <v>0</v>
      </c>
      <c r="B2" s="1" t="s">
        <v>1</v>
      </c>
      <c r="C2" s="1" t="s">
        <v>431</v>
      </c>
      <c r="F2" s="1" t="s">
        <v>0</v>
      </c>
      <c r="G2" s="1" t="s">
        <v>1</v>
      </c>
      <c r="H2" s="1" t="s">
        <v>431</v>
      </c>
    </row>
    <row r="3" spans="1:14" x14ac:dyDescent="0.3">
      <c r="A3" s="1" t="s">
        <v>304</v>
      </c>
      <c r="B3" s="1">
        <v>20.309999999999999</v>
      </c>
      <c r="C3" s="316">
        <v>-1.5E-3</v>
      </c>
      <c r="F3" s="1" t="s">
        <v>304</v>
      </c>
      <c r="G3" s="317">
        <v>3014.94</v>
      </c>
      <c r="H3" s="316">
        <v>-6.7000000000000002E-3</v>
      </c>
      <c r="J3" s="423"/>
      <c r="K3" s="427" t="s">
        <v>432</v>
      </c>
      <c r="L3" s="427" t="s">
        <v>615</v>
      </c>
      <c r="M3" s="318"/>
      <c r="N3" s="318"/>
    </row>
    <row r="4" spans="1:14" x14ac:dyDescent="0.3">
      <c r="A4" s="1" t="s">
        <v>305</v>
      </c>
      <c r="B4" s="1">
        <v>20.34</v>
      </c>
      <c r="C4" s="316">
        <v>-2.0000000000000001E-4</v>
      </c>
      <c r="F4" s="1" t="s">
        <v>305</v>
      </c>
      <c r="G4" s="317">
        <v>3035.28</v>
      </c>
      <c r="H4" s="316">
        <v>-7.3000000000000001E-3</v>
      </c>
      <c r="J4" s="424" t="s">
        <v>554</v>
      </c>
      <c r="K4" s="428">
        <f>_xlfn.STDEV.S(C3:C250)</f>
        <v>2.1475525548035376E-2</v>
      </c>
      <c r="L4" s="428">
        <f>_xlfn.STDEV.S(H3:H250)</f>
        <v>1.1576029232353308E-2</v>
      </c>
    </row>
    <row r="5" spans="1:14" x14ac:dyDescent="0.3">
      <c r="A5" s="1" t="s">
        <v>306</v>
      </c>
      <c r="B5" s="1">
        <v>20.344999999999999</v>
      </c>
      <c r="C5" s="316">
        <v>-4.1999999999999997E-3</v>
      </c>
      <c r="F5" s="1" t="s">
        <v>306</v>
      </c>
      <c r="G5" s="317">
        <v>3057.55</v>
      </c>
      <c r="H5" s="316">
        <v>2.2000000000000001E-3</v>
      </c>
      <c r="J5" s="425"/>
      <c r="K5" s="428"/>
      <c r="L5" s="428"/>
    </row>
    <row r="6" spans="1:14" x14ac:dyDescent="0.3">
      <c r="A6" s="1" t="s">
        <v>307</v>
      </c>
      <c r="B6" s="1">
        <v>20.43</v>
      </c>
      <c r="C6" s="316">
        <v>-8.3000000000000001E-3</v>
      </c>
      <c r="F6" s="1" t="s">
        <v>307</v>
      </c>
      <c r="G6" s="317">
        <v>3050.71</v>
      </c>
      <c r="H6" s="316">
        <v>1.5E-3</v>
      </c>
      <c r="J6" s="424" t="s">
        <v>555</v>
      </c>
      <c r="K6" s="428">
        <f>_xlfn.COVARIANCE.S(C3:C250,H3:H250)</f>
        <v>1.5188719439728353E-4</v>
      </c>
      <c r="L6" s="428"/>
    </row>
    <row r="7" spans="1:14" x14ac:dyDescent="0.3">
      <c r="A7" s="1" t="s">
        <v>308</v>
      </c>
      <c r="B7" s="1">
        <v>20.6</v>
      </c>
      <c r="C7" s="316">
        <v>7.7999999999999996E-3</v>
      </c>
      <c r="F7" s="1" t="s">
        <v>308</v>
      </c>
      <c r="G7" s="317">
        <v>3046.27</v>
      </c>
      <c r="H7" s="316">
        <v>4.5999999999999999E-3</v>
      </c>
      <c r="J7" s="424" t="s">
        <v>556</v>
      </c>
      <c r="K7" s="428">
        <f>L4^2</f>
        <v>1.3400445278829832E-4</v>
      </c>
      <c r="L7" s="428"/>
    </row>
    <row r="8" spans="1:14" x14ac:dyDescent="0.3">
      <c r="A8" s="1" t="s">
        <v>309</v>
      </c>
      <c r="B8" s="1">
        <v>20.440000000000001</v>
      </c>
      <c r="C8" s="316">
        <v>-1.35E-2</v>
      </c>
      <c r="F8" s="1" t="s">
        <v>309</v>
      </c>
      <c r="G8" s="317">
        <v>3032.44</v>
      </c>
      <c r="H8" s="316">
        <v>-9.2999999999999992E-3</v>
      </c>
      <c r="J8" s="425"/>
      <c r="K8" s="428"/>
      <c r="L8" s="428"/>
    </row>
    <row r="9" spans="1:14" ht="15" thickBot="1" x14ac:dyDescent="0.35">
      <c r="A9" s="1" t="s">
        <v>310</v>
      </c>
      <c r="B9" s="1">
        <v>20.72</v>
      </c>
      <c r="C9" s="316">
        <v>-1.43E-2</v>
      </c>
      <c r="F9" s="1" t="s">
        <v>310</v>
      </c>
      <c r="G9" s="317">
        <v>3060.98</v>
      </c>
      <c r="H9" s="316">
        <v>-8.5000000000000006E-3</v>
      </c>
      <c r="J9" s="426" t="s">
        <v>557</v>
      </c>
      <c r="K9" s="819">
        <f>K6/K7</f>
        <v>1.1334488611153581</v>
      </c>
      <c r="L9" s="429"/>
    </row>
    <row r="10" spans="1:14" x14ac:dyDescent="0.3">
      <c r="A10" s="1" t="s">
        <v>311</v>
      </c>
      <c r="B10" s="1">
        <v>21.02</v>
      </c>
      <c r="C10" s="316">
        <v>-1.1999999999999999E-3</v>
      </c>
      <c r="F10" s="1" t="s">
        <v>311</v>
      </c>
      <c r="G10" s="317">
        <v>3087.19</v>
      </c>
      <c r="H10" s="316">
        <v>1.24E-2</v>
      </c>
    </row>
    <row r="11" spans="1:14" x14ac:dyDescent="0.3">
      <c r="A11" s="1" t="s">
        <v>312</v>
      </c>
      <c r="B11" s="1">
        <v>21.045000000000002</v>
      </c>
      <c r="C11" s="316">
        <v>1.67E-2</v>
      </c>
      <c r="F11" s="1" t="s">
        <v>312</v>
      </c>
      <c r="G11" s="317">
        <v>3049.4</v>
      </c>
      <c r="H11" s="316">
        <v>3.0999999999999999E-3</v>
      </c>
    </row>
    <row r="12" spans="1:14" x14ac:dyDescent="0.3">
      <c r="A12" s="1" t="s">
        <v>313</v>
      </c>
      <c r="B12" s="1">
        <v>20.7</v>
      </c>
      <c r="C12" s="316">
        <v>2.4E-2</v>
      </c>
      <c r="F12" s="1" t="s">
        <v>313</v>
      </c>
      <c r="G12" s="317">
        <v>3040.06</v>
      </c>
      <c r="H12" s="316">
        <v>4.5999999999999999E-3</v>
      </c>
    </row>
    <row r="13" spans="1:14" x14ac:dyDescent="0.3">
      <c r="A13" s="1" t="s">
        <v>314</v>
      </c>
      <c r="B13" s="1">
        <v>20.215</v>
      </c>
      <c r="C13" s="316">
        <v>1.7000000000000001E-2</v>
      </c>
      <c r="F13" s="1" t="s">
        <v>314</v>
      </c>
      <c r="G13" s="317">
        <v>3026.17</v>
      </c>
      <c r="H13" s="316">
        <v>-5.9999999999999995E-4</v>
      </c>
    </row>
    <row r="14" spans="1:14" x14ac:dyDescent="0.3">
      <c r="A14" s="1" t="s">
        <v>315</v>
      </c>
      <c r="B14" s="1">
        <v>19.878</v>
      </c>
      <c r="C14" s="316">
        <v>1E-3</v>
      </c>
      <c r="F14" s="1" t="s">
        <v>315</v>
      </c>
      <c r="G14" s="317">
        <v>3028.04</v>
      </c>
      <c r="H14" s="316">
        <v>-1.11E-2</v>
      </c>
    </row>
    <row r="15" spans="1:14" x14ac:dyDescent="0.3">
      <c r="A15" s="1" t="s">
        <v>316</v>
      </c>
      <c r="B15" s="1">
        <v>19.858000000000001</v>
      </c>
      <c r="C15" s="316">
        <v>-9.1000000000000004E-3</v>
      </c>
      <c r="F15" s="1" t="s">
        <v>316</v>
      </c>
      <c r="G15" s="317">
        <v>3053.18</v>
      </c>
      <c r="H15" s="316">
        <v>-5.9999999999999995E-4</v>
      </c>
    </row>
    <row r="16" spans="1:14" x14ac:dyDescent="0.3">
      <c r="A16" s="1" t="s">
        <v>317</v>
      </c>
      <c r="B16" s="1">
        <v>20.04</v>
      </c>
      <c r="C16" s="316">
        <v>4.0399999999999998E-2</v>
      </c>
      <c r="F16" s="1" t="s">
        <v>317</v>
      </c>
      <c r="G16" s="317">
        <v>3054.96</v>
      </c>
      <c r="H16" s="316">
        <v>5.8999999999999999E-3</v>
      </c>
    </row>
    <row r="17" spans="1:8" x14ac:dyDescent="0.3">
      <c r="A17" s="1" t="s">
        <v>318</v>
      </c>
      <c r="B17" s="1">
        <v>19.262</v>
      </c>
      <c r="C17" s="316">
        <v>4.0000000000000002E-4</v>
      </c>
      <c r="F17" s="1" t="s">
        <v>318</v>
      </c>
      <c r="G17" s="317">
        <v>3037.12</v>
      </c>
      <c r="H17" s="316">
        <v>1.1599999999999999E-2</v>
      </c>
    </row>
    <row r="18" spans="1:8" x14ac:dyDescent="0.3">
      <c r="A18" s="1" t="s">
        <v>319</v>
      </c>
      <c r="B18" s="1">
        <v>19.254000000000001</v>
      </c>
      <c r="C18" s="316">
        <v>1.44E-2</v>
      </c>
      <c r="F18" s="1" t="s">
        <v>319</v>
      </c>
      <c r="G18" s="317">
        <v>3041.98</v>
      </c>
      <c r="H18" s="316">
        <v>1.23E-2</v>
      </c>
    </row>
    <row r="19" spans="1:8" x14ac:dyDescent="0.3">
      <c r="A19" s="1" t="s">
        <v>320</v>
      </c>
      <c r="B19" s="1">
        <v>18.98</v>
      </c>
      <c r="C19" s="316">
        <v>-4.7000000000000002E-3</v>
      </c>
      <c r="F19" s="1" t="s">
        <v>320</v>
      </c>
      <c r="G19" s="317">
        <v>3005.13</v>
      </c>
      <c r="H19" s="316">
        <v>4.4000000000000003E-3</v>
      </c>
    </row>
    <row r="20" spans="1:8" x14ac:dyDescent="0.3">
      <c r="A20" s="1" t="s">
        <v>321</v>
      </c>
      <c r="B20" s="1">
        <v>19.07</v>
      </c>
      <c r="C20" s="316">
        <v>-1.6400000000000001E-2</v>
      </c>
      <c r="F20" s="1" t="s">
        <v>321</v>
      </c>
      <c r="G20" s="317">
        <v>2992.02</v>
      </c>
      <c r="H20" s="316">
        <v>2.4299999999999999E-2</v>
      </c>
    </row>
    <row r="21" spans="1:8" x14ac:dyDescent="0.3">
      <c r="A21" s="1" t="s">
        <v>322</v>
      </c>
      <c r="B21" s="1">
        <v>19.388000000000002</v>
      </c>
      <c r="C21" s="316">
        <v>-3.2000000000000002E-3</v>
      </c>
      <c r="F21" s="1" t="s">
        <v>322</v>
      </c>
      <c r="G21" s="317">
        <v>3066.61</v>
      </c>
      <c r="H21" s="316">
        <v>1.4200000000000001E-2</v>
      </c>
    </row>
    <row r="22" spans="1:8" x14ac:dyDescent="0.3">
      <c r="A22" s="1" t="s">
        <v>323</v>
      </c>
      <c r="B22" s="1">
        <v>19.45</v>
      </c>
      <c r="C22" s="316">
        <v>-1.0200000000000001E-2</v>
      </c>
      <c r="F22" s="1" t="s">
        <v>323</v>
      </c>
      <c r="G22" s="317">
        <v>3053.72</v>
      </c>
      <c r="H22" s="316">
        <v>-4.3E-3</v>
      </c>
    </row>
    <row r="23" spans="1:8" x14ac:dyDescent="0.3">
      <c r="A23" s="1" t="s">
        <v>324</v>
      </c>
      <c r="B23" s="1">
        <v>19.649999999999999</v>
      </c>
      <c r="C23" s="316">
        <v>-5.4000000000000003E-3</v>
      </c>
      <c r="F23" s="1" t="s">
        <v>324</v>
      </c>
      <c r="G23" s="317">
        <v>3066.76</v>
      </c>
      <c r="H23" s="316">
        <v>1.8E-3</v>
      </c>
    </row>
    <row r="24" spans="1:8" x14ac:dyDescent="0.3">
      <c r="A24" s="1" t="s">
        <v>325</v>
      </c>
      <c r="B24" s="1">
        <v>19.756</v>
      </c>
      <c r="C24" s="316">
        <v>3.3999999999999998E-3</v>
      </c>
      <c r="F24" s="1" t="s">
        <v>325</v>
      </c>
      <c r="G24" s="317">
        <v>3061.25</v>
      </c>
      <c r="H24" s="316">
        <v>1.4999999999999999E-2</v>
      </c>
    </row>
    <row r="25" spans="1:8" x14ac:dyDescent="0.3">
      <c r="A25" s="1" t="s">
        <v>326</v>
      </c>
      <c r="B25" s="1">
        <v>19.690000000000001</v>
      </c>
      <c r="C25" s="316">
        <v>2.63E-2</v>
      </c>
      <c r="F25" s="1" t="s">
        <v>326</v>
      </c>
      <c r="G25" s="317">
        <v>3046</v>
      </c>
      <c r="H25" s="316">
        <v>1.1299999999999999E-2</v>
      </c>
    </row>
    <row r="26" spans="1:8" x14ac:dyDescent="0.3">
      <c r="A26" s="1" t="s">
        <v>327</v>
      </c>
      <c r="B26" s="1">
        <v>19.186</v>
      </c>
      <c r="C26" s="316">
        <v>1.6400000000000001E-2</v>
      </c>
      <c r="F26" s="1" t="s">
        <v>327</v>
      </c>
      <c r="G26" s="317">
        <v>3011.91</v>
      </c>
      <c r="H26" s="316">
        <v>5.7999999999999996E-3</v>
      </c>
    </row>
    <row r="27" spans="1:8" x14ac:dyDescent="0.3">
      <c r="A27" s="1" t="s">
        <v>328</v>
      </c>
      <c r="B27" s="1">
        <v>18.876000000000001</v>
      </c>
      <c r="C27" s="316">
        <v>-1.4E-2</v>
      </c>
      <c r="F27" s="1" t="s">
        <v>328</v>
      </c>
      <c r="G27" s="317">
        <v>2994.4</v>
      </c>
      <c r="H27" s="316">
        <v>1.3599999999999999E-2</v>
      </c>
    </row>
    <row r="28" spans="1:8" x14ac:dyDescent="0.3">
      <c r="A28" s="1" t="s">
        <v>329</v>
      </c>
      <c r="B28" s="1">
        <v>19.143999999999998</v>
      </c>
      <c r="C28" s="316">
        <v>-6.7999999999999996E-3</v>
      </c>
      <c r="F28" s="1" t="s">
        <v>329</v>
      </c>
      <c r="G28" s="317">
        <v>3005.29</v>
      </c>
      <c r="H28" s="316">
        <v>-4.8999999999999998E-3</v>
      </c>
    </row>
    <row r="29" spans="1:8" x14ac:dyDescent="0.3">
      <c r="A29" s="1" t="s">
        <v>330</v>
      </c>
      <c r="B29" s="1">
        <v>19.276</v>
      </c>
      <c r="C29" s="316">
        <v>-9.1000000000000004E-3</v>
      </c>
      <c r="F29" s="1" t="s">
        <v>330</v>
      </c>
      <c r="G29" s="317">
        <v>3019.98</v>
      </c>
      <c r="H29" s="316">
        <v>1.1299999999999999E-2</v>
      </c>
    </row>
    <row r="30" spans="1:8" x14ac:dyDescent="0.3">
      <c r="A30" s="1" t="s">
        <v>331</v>
      </c>
      <c r="B30" s="1">
        <v>19.454000000000001</v>
      </c>
      <c r="C30" s="316">
        <v>-8.6E-3</v>
      </c>
      <c r="F30" s="1" t="s">
        <v>331</v>
      </c>
      <c r="G30" s="317">
        <v>3019.01</v>
      </c>
      <c r="H30" s="316">
        <v>6.7000000000000002E-3</v>
      </c>
    </row>
    <row r="31" spans="1:8" x14ac:dyDescent="0.3">
      <c r="A31" s="1" t="s">
        <v>332</v>
      </c>
      <c r="B31" s="1">
        <v>19.622</v>
      </c>
      <c r="C31" s="316">
        <v>1.09E-2</v>
      </c>
      <c r="F31" s="1" t="s">
        <v>332</v>
      </c>
      <c r="G31" s="317">
        <v>2998.92</v>
      </c>
      <c r="H31" s="316">
        <v>7.3000000000000001E-3</v>
      </c>
    </row>
    <row r="32" spans="1:8" x14ac:dyDescent="0.3">
      <c r="A32" s="1" t="s">
        <v>333</v>
      </c>
      <c r="B32" s="1">
        <v>19.41</v>
      </c>
      <c r="C32" s="316">
        <v>-1.0699999999999999E-2</v>
      </c>
      <c r="F32" s="1" t="s">
        <v>333</v>
      </c>
      <c r="G32" s="317">
        <v>2977.09</v>
      </c>
      <c r="H32" s="316">
        <v>5.0000000000000001E-3</v>
      </c>
    </row>
    <row r="33" spans="1:8" x14ac:dyDescent="0.3">
      <c r="A33" s="1" t="s">
        <v>334</v>
      </c>
      <c r="B33" s="1">
        <v>19.62</v>
      </c>
      <c r="C33" s="316">
        <v>-1.8E-3</v>
      </c>
      <c r="F33" s="1" t="s">
        <v>334</v>
      </c>
      <c r="G33" s="317">
        <v>2962.29</v>
      </c>
      <c r="H33" s="316">
        <v>4.3E-3</v>
      </c>
    </row>
    <row r="34" spans="1:8" x14ac:dyDescent="0.3">
      <c r="A34" s="1" t="s">
        <v>335</v>
      </c>
      <c r="B34" s="1">
        <v>19.655999999999999</v>
      </c>
      <c r="C34" s="316">
        <v>6.1800000000000001E-2</v>
      </c>
      <c r="F34" s="1" t="s">
        <v>335</v>
      </c>
      <c r="G34" s="317">
        <v>2949.66</v>
      </c>
      <c r="H34" s="316">
        <v>7.3000000000000001E-3</v>
      </c>
    </row>
    <row r="35" spans="1:8" x14ac:dyDescent="0.3">
      <c r="A35" s="1" t="s">
        <v>336</v>
      </c>
      <c r="B35" s="1">
        <v>18.512</v>
      </c>
      <c r="C35" s="316">
        <v>-1.72E-2</v>
      </c>
      <c r="F35" s="1" t="s">
        <v>336</v>
      </c>
      <c r="G35" s="317">
        <v>2928.35</v>
      </c>
      <c r="H35" s="316">
        <v>2.3999999999999998E-3</v>
      </c>
    </row>
    <row r="36" spans="1:8" x14ac:dyDescent="0.3">
      <c r="A36" s="1" t="s">
        <v>337</v>
      </c>
      <c r="B36" s="1">
        <v>18.835999999999999</v>
      </c>
      <c r="C36" s="316">
        <v>-2.4500000000000001E-2</v>
      </c>
      <c r="F36" s="1" t="s">
        <v>337</v>
      </c>
      <c r="G36" s="317">
        <v>2921.44</v>
      </c>
      <c r="H36" s="316">
        <v>-4.1000000000000003E-3</v>
      </c>
    </row>
    <row r="37" spans="1:8" x14ac:dyDescent="0.3">
      <c r="A37" s="1" t="s">
        <v>338</v>
      </c>
      <c r="B37" s="1">
        <v>19.309999999999999</v>
      </c>
      <c r="C37" s="316">
        <v>4.1500000000000002E-2</v>
      </c>
      <c r="F37" s="1" t="s">
        <v>338</v>
      </c>
      <c r="G37" s="317">
        <v>2933.38</v>
      </c>
      <c r="H37" s="316">
        <v>8.9999999999999993E-3</v>
      </c>
    </row>
    <row r="38" spans="1:8" x14ac:dyDescent="0.3">
      <c r="A38" s="1" t="s">
        <v>339</v>
      </c>
      <c r="B38" s="1">
        <v>18.54</v>
      </c>
      <c r="C38" s="316">
        <v>-7.4000000000000003E-3</v>
      </c>
      <c r="F38" s="1" t="s">
        <v>339</v>
      </c>
      <c r="G38" s="317">
        <v>2907.24</v>
      </c>
      <c r="H38" s="316">
        <v>2E-3</v>
      </c>
    </row>
    <row r="39" spans="1:8" x14ac:dyDescent="0.3">
      <c r="A39" s="1" t="s">
        <v>340</v>
      </c>
      <c r="B39" s="1">
        <v>18.678000000000001</v>
      </c>
      <c r="C39" s="316">
        <v>1.7399999999999999E-2</v>
      </c>
      <c r="F39" s="1" t="s">
        <v>340</v>
      </c>
      <c r="G39" s="317">
        <v>2901.33</v>
      </c>
      <c r="H39" s="316">
        <v>5.8999999999999999E-3</v>
      </c>
    </row>
    <row r="40" spans="1:8" x14ac:dyDescent="0.3">
      <c r="A40" s="1" t="s">
        <v>341</v>
      </c>
      <c r="B40" s="1">
        <v>18.358000000000001</v>
      </c>
      <c r="C40" s="316">
        <v>3.1600000000000003E-2</v>
      </c>
      <c r="F40" s="1" t="s">
        <v>341</v>
      </c>
      <c r="G40" s="317">
        <v>2884.26</v>
      </c>
      <c r="H40" s="316">
        <v>1.9199999999999998E-2</v>
      </c>
    </row>
    <row r="41" spans="1:8" x14ac:dyDescent="0.3">
      <c r="A41" s="1" t="s">
        <v>342</v>
      </c>
      <c r="B41" s="1">
        <v>17.795999999999999</v>
      </c>
      <c r="C41" s="316">
        <v>2.41E-2</v>
      </c>
      <c r="F41" s="1" t="s">
        <v>342</v>
      </c>
      <c r="G41" s="317">
        <v>2829.87</v>
      </c>
      <c r="H41" s="316">
        <v>1.1900000000000001E-2</v>
      </c>
    </row>
    <row r="42" spans="1:8" x14ac:dyDescent="0.3">
      <c r="A42" s="1" t="s">
        <v>343</v>
      </c>
      <c r="B42" s="1">
        <v>17.378</v>
      </c>
      <c r="C42" s="316">
        <v>-2.64E-2</v>
      </c>
      <c r="F42" s="1" t="s">
        <v>343</v>
      </c>
      <c r="G42" s="317">
        <v>2796.5</v>
      </c>
      <c r="H42" s="316">
        <v>-5.3E-3</v>
      </c>
    </row>
    <row r="43" spans="1:8" x14ac:dyDescent="0.3">
      <c r="A43" s="1" t="s">
        <v>344</v>
      </c>
      <c r="B43" s="1">
        <v>17.850000000000001</v>
      </c>
      <c r="C43" s="316">
        <v>-8.8000000000000005E-3</v>
      </c>
      <c r="F43" s="1" t="s">
        <v>344</v>
      </c>
      <c r="G43" s="317">
        <v>2811.46</v>
      </c>
      <c r="H43" s="316">
        <v>5.9999999999999995E-4</v>
      </c>
    </row>
    <row r="44" spans="1:8" x14ac:dyDescent="0.3">
      <c r="A44" s="1" t="s">
        <v>345</v>
      </c>
      <c r="B44" s="1">
        <v>18.007999999999999</v>
      </c>
      <c r="C44" s="316">
        <v>-5.3E-3</v>
      </c>
      <c r="F44" s="1" t="s">
        <v>345</v>
      </c>
      <c r="G44" s="317">
        <v>2809.85</v>
      </c>
      <c r="H44" s="316">
        <v>-4.7000000000000002E-3</v>
      </c>
    </row>
    <row r="45" spans="1:8" x14ac:dyDescent="0.3">
      <c r="A45" s="1" t="s">
        <v>346</v>
      </c>
      <c r="B45" s="1">
        <v>18.103999999999999</v>
      </c>
      <c r="C45" s="316">
        <v>2.9700000000000001E-2</v>
      </c>
      <c r="F45" s="1" t="s">
        <v>346</v>
      </c>
      <c r="G45" s="317">
        <v>2823.15</v>
      </c>
      <c r="H45" s="316">
        <v>3.2000000000000002E-3</v>
      </c>
    </row>
    <row r="46" spans="1:8" x14ac:dyDescent="0.3">
      <c r="A46" s="1" t="s">
        <v>347</v>
      </c>
      <c r="B46" s="1">
        <v>17.582000000000001</v>
      </c>
      <c r="C46" s="316">
        <v>1.9699999999999999E-2</v>
      </c>
      <c r="F46" s="1" t="s">
        <v>347</v>
      </c>
      <c r="G46" s="317">
        <v>2814.25</v>
      </c>
      <c r="H46" s="316">
        <v>-6.8999999999999999E-3</v>
      </c>
    </row>
    <row r="47" spans="1:8" x14ac:dyDescent="0.3">
      <c r="A47" s="1" t="s">
        <v>348</v>
      </c>
      <c r="B47" s="1">
        <v>17.242000000000001</v>
      </c>
      <c r="C47" s="316">
        <v>4.1799999999999997E-2</v>
      </c>
      <c r="F47" s="1" t="s">
        <v>348</v>
      </c>
      <c r="G47" s="317">
        <v>2833.82</v>
      </c>
      <c r="H47" s="316">
        <v>8.8999999999999999E-3</v>
      </c>
    </row>
    <row r="48" spans="1:8" x14ac:dyDescent="0.3">
      <c r="A48" s="1" t="s">
        <v>349</v>
      </c>
      <c r="B48" s="1">
        <v>16.55</v>
      </c>
      <c r="C48" s="316">
        <v>-8.2000000000000007E-3</v>
      </c>
      <c r="F48" s="1" t="s">
        <v>349</v>
      </c>
      <c r="G48" s="317">
        <v>2808.94</v>
      </c>
      <c r="H48" s="316">
        <v>-7.0000000000000001E-3</v>
      </c>
    </row>
    <row r="49" spans="1:8" x14ac:dyDescent="0.3">
      <c r="A49" s="1" t="s">
        <v>350</v>
      </c>
      <c r="B49" s="1">
        <v>16.686</v>
      </c>
      <c r="C49" s="316">
        <v>-1.6199999999999999E-2</v>
      </c>
      <c r="F49" s="1" t="s">
        <v>350</v>
      </c>
      <c r="G49" s="317">
        <v>2828.72</v>
      </c>
      <c r="H49" s="316">
        <v>-2.5999999999999999E-3</v>
      </c>
    </row>
    <row r="50" spans="1:8" x14ac:dyDescent="0.3">
      <c r="A50" s="1" t="s">
        <v>351</v>
      </c>
      <c r="B50" s="1">
        <v>16.96</v>
      </c>
      <c r="C50" s="316">
        <v>4.1000000000000002E-2</v>
      </c>
      <c r="F50" s="1" t="s">
        <v>351</v>
      </c>
      <c r="G50" s="317">
        <v>2835.99</v>
      </c>
      <c r="H50" s="316">
        <v>2.07E-2</v>
      </c>
    </row>
    <row r="51" spans="1:8" x14ac:dyDescent="0.3">
      <c r="A51" s="1" t="s">
        <v>352</v>
      </c>
      <c r="B51" s="1">
        <v>16.292000000000002</v>
      </c>
      <c r="C51" s="316">
        <v>-1.04E-2</v>
      </c>
      <c r="F51" s="1" t="s">
        <v>352</v>
      </c>
      <c r="G51" s="317">
        <v>2778.43</v>
      </c>
      <c r="H51" s="316">
        <v>-8.0999999999999996E-3</v>
      </c>
    </row>
    <row r="52" spans="1:8" x14ac:dyDescent="0.3">
      <c r="A52" s="1" t="s">
        <v>353</v>
      </c>
      <c r="B52" s="1">
        <v>16.463999999999999</v>
      </c>
      <c r="C52" s="316">
        <v>-1.2500000000000001E-2</v>
      </c>
      <c r="F52" s="1" t="s">
        <v>353</v>
      </c>
      <c r="G52" s="317">
        <v>2801.15</v>
      </c>
      <c r="H52" s="316">
        <v>-2.0000000000000001E-4</v>
      </c>
    </row>
    <row r="53" spans="1:8" x14ac:dyDescent="0.3">
      <c r="A53" s="1" t="s">
        <v>354</v>
      </c>
      <c r="B53" s="1">
        <v>16.672000000000001</v>
      </c>
      <c r="C53" s="316">
        <v>-1.8800000000000001E-2</v>
      </c>
      <c r="F53" s="1" t="s">
        <v>354</v>
      </c>
      <c r="G53" s="317">
        <v>2801.74</v>
      </c>
      <c r="H53" s="316">
        <v>-1.5E-3</v>
      </c>
    </row>
    <row r="54" spans="1:8" x14ac:dyDescent="0.3">
      <c r="A54" s="1" t="s">
        <v>355</v>
      </c>
      <c r="B54" s="1">
        <v>16.992000000000001</v>
      </c>
      <c r="C54" s="316">
        <v>2.0899999999999998E-2</v>
      </c>
      <c r="F54" s="1" t="s">
        <v>355</v>
      </c>
      <c r="G54" s="317">
        <v>2805.82</v>
      </c>
      <c r="H54" s="316">
        <v>6.9999999999999999E-4</v>
      </c>
    </row>
    <row r="55" spans="1:8" x14ac:dyDescent="0.3">
      <c r="A55" s="1" t="s">
        <v>356</v>
      </c>
      <c r="B55" s="1">
        <v>16.643999999999998</v>
      </c>
      <c r="C55" s="316">
        <v>-1.3899999999999999E-2</v>
      </c>
      <c r="F55" s="1" t="s">
        <v>356</v>
      </c>
      <c r="G55" s="317">
        <v>2803.98</v>
      </c>
      <c r="H55" s="316">
        <v>5.9999999999999995E-4</v>
      </c>
    </row>
    <row r="56" spans="1:8" x14ac:dyDescent="0.3">
      <c r="A56" s="1" t="s">
        <v>357</v>
      </c>
      <c r="B56" s="1">
        <v>16.878</v>
      </c>
      <c r="C56" s="316">
        <v>4.3900000000000002E-2</v>
      </c>
      <c r="F56" s="1" t="s">
        <v>357</v>
      </c>
      <c r="G56" s="317">
        <v>2802.26</v>
      </c>
      <c r="H56" s="316">
        <v>2.8299999999999999E-2</v>
      </c>
    </row>
    <row r="57" spans="1:8" x14ac:dyDescent="0.3">
      <c r="A57" s="1" t="s">
        <v>358</v>
      </c>
      <c r="B57" s="1">
        <v>16.167999999999999</v>
      </c>
      <c r="C57" s="316">
        <v>1.61E-2</v>
      </c>
      <c r="F57" s="1" t="s">
        <v>358</v>
      </c>
      <c r="G57" s="317">
        <v>2725.11</v>
      </c>
      <c r="H57" s="316">
        <v>-1.9E-3</v>
      </c>
    </row>
    <row r="58" spans="1:8" x14ac:dyDescent="0.3">
      <c r="A58" s="1" t="s">
        <v>359</v>
      </c>
      <c r="B58" s="1">
        <v>15.912000000000001</v>
      </c>
      <c r="C58" s="316">
        <v>1.7899999999999999E-2</v>
      </c>
      <c r="F58" s="1" t="s">
        <v>359</v>
      </c>
      <c r="G58" s="317">
        <v>2730.34</v>
      </c>
      <c r="H58" s="316">
        <v>1.2800000000000001E-2</v>
      </c>
    </row>
    <row r="59" spans="1:8" x14ac:dyDescent="0.3">
      <c r="A59" s="1" t="s">
        <v>360</v>
      </c>
      <c r="B59" s="1">
        <v>15.632</v>
      </c>
      <c r="C59" s="316">
        <v>-3.4700000000000002E-2</v>
      </c>
      <c r="F59" s="1" t="s">
        <v>360</v>
      </c>
      <c r="G59" s="317">
        <v>2695.84</v>
      </c>
      <c r="H59" s="316">
        <v>-3.2099999999999997E-2</v>
      </c>
    </row>
    <row r="60" spans="1:8" x14ac:dyDescent="0.3">
      <c r="A60" s="1" t="s">
        <v>361</v>
      </c>
      <c r="B60" s="1">
        <v>16.193999999999999</v>
      </c>
      <c r="C60" s="316">
        <v>7.4999999999999997E-3</v>
      </c>
      <c r="F60" s="1" t="s">
        <v>361</v>
      </c>
      <c r="G60" s="317">
        <v>2785.17</v>
      </c>
      <c r="H60" s="316">
        <v>5.4999999999999997E-3</v>
      </c>
    </row>
    <row r="61" spans="1:8" x14ac:dyDescent="0.3">
      <c r="A61" s="1" t="s">
        <v>362</v>
      </c>
      <c r="B61" s="1">
        <v>16.074000000000002</v>
      </c>
      <c r="C61" s="316">
        <v>1.32E-2</v>
      </c>
      <c r="F61" s="1" t="s">
        <v>362</v>
      </c>
      <c r="G61" s="317">
        <v>2770</v>
      </c>
      <c r="H61" s="316">
        <v>1.8200000000000001E-2</v>
      </c>
    </row>
    <row r="62" spans="1:8" x14ac:dyDescent="0.3">
      <c r="A62" s="1" t="s">
        <v>363</v>
      </c>
      <c r="B62" s="1">
        <v>15.864000000000001</v>
      </c>
      <c r="C62" s="316">
        <v>-3.0300000000000001E-2</v>
      </c>
      <c r="F62" s="1" t="s">
        <v>363</v>
      </c>
      <c r="G62" s="317">
        <v>2720.57</v>
      </c>
      <c r="H62" s="316">
        <v>-2.5100000000000001E-2</v>
      </c>
    </row>
    <row r="63" spans="1:8" x14ac:dyDescent="0.3">
      <c r="A63" s="1" t="s">
        <v>364</v>
      </c>
      <c r="B63" s="1">
        <v>16.36</v>
      </c>
      <c r="C63" s="316">
        <v>-9.1999999999999998E-3</v>
      </c>
      <c r="F63" s="1" t="s">
        <v>364</v>
      </c>
      <c r="G63" s="317">
        <v>2790.72</v>
      </c>
      <c r="H63" s="316">
        <v>-8.3999999999999995E-3</v>
      </c>
    </row>
    <row r="64" spans="1:8" x14ac:dyDescent="0.3">
      <c r="A64" s="1" t="s">
        <v>365</v>
      </c>
      <c r="B64" s="1">
        <v>16.512</v>
      </c>
      <c r="C64" s="316">
        <v>-5.7000000000000002E-3</v>
      </c>
      <c r="F64" s="1" t="s">
        <v>365</v>
      </c>
      <c r="G64" s="317">
        <v>2814.36</v>
      </c>
      <c r="H64" s="316">
        <v>-3.0000000000000001E-3</v>
      </c>
    </row>
    <row r="65" spans="1:8" x14ac:dyDescent="0.3">
      <c r="A65" s="1" t="s">
        <v>366</v>
      </c>
      <c r="B65" s="1">
        <v>16.606000000000002</v>
      </c>
      <c r="C65" s="316">
        <v>-1.8700000000000001E-2</v>
      </c>
      <c r="F65" s="1" t="s">
        <v>366</v>
      </c>
      <c r="G65" s="317">
        <v>2822.69</v>
      </c>
      <c r="H65" s="316">
        <v>2.5000000000000001E-3</v>
      </c>
    </row>
    <row r="66" spans="1:8" x14ac:dyDescent="0.3">
      <c r="A66" s="1" t="s">
        <v>367</v>
      </c>
      <c r="B66" s="1">
        <v>16.922000000000001</v>
      </c>
      <c r="C66" s="316">
        <v>1.03E-2</v>
      </c>
      <c r="F66" s="1" t="s">
        <v>367</v>
      </c>
      <c r="G66" s="317">
        <v>2815.63</v>
      </c>
      <c r="H66" s="316">
        <v>7.7000000000000002E-3</v>
      </c>
    </row>
    <row r="67" spans="1:8" x14ac:dyDescent="0.3">
      <c r="A67" s="1" t="s">
        <v>368</v>
      </c>
      <c r="B67" s="1">
        <v>16.75</v>
      </c>
      <c r="C67" s="316">
        <v>-1.21E-2</v>
      </c>
      <c r="F67" s="1" t="s">
        <v>368</v>
      </c>
      <c r="G67" s="317">
        <v>2794.09</v>
      </c>
      <c r="H67" s="316">
        <v>-1.7299999999999999E-2</v>
      </c>
    </row>
    <row r="68" spans="1:8" x14ac:dyDescent="0.3">
      <c r="A68" s="1" t="s">
        <v>369</v>
      </c>
      <c r="B68" s="1">
        <v>16.956</v>
      </c>
      <c r="C68" s="316">
        <v>-7.7000000000000002E-3</v>
      </c>
      <c r="F68" s="1" t="s">
        <v>369</v>
      </c>
      <c r="G68" s="317">
        <v>2843.21</v>
      </c>
      <c r="H68" s="316">
        <v>5.4000000000000003E-3</v>
      </c>
    </row>
    <row r="69" spans="1:8" x14ac:dyDescent="0.3">
      <c r="A69" s="1" t="s">
        <v>370</v>
      </c>
      <c r="B69" s="1">
        <v>17.088000000000001</v>
      </c>
      <c r="C69" s="316">
        <v>-1.9400000000000001E-2</v>
      </c>
      <c r="F69" s="1" t="s">
        <v>370</v>
      </c>
      <c r="G69" s="317">
        <v>2828.07</v>
      </c>
      <c r="H69" s="316">
        <v>-1.41E-2</v>
      </c>
    </row>
    <row r="70" spans="1:8" x14ac:dyDescent="0.3">
      <c r="A70" s="1" t="s">
        <v>371</v>
      </c>
      <c r="B70" s="1">
        <v>17.425999999999998</v>
      </c>
      <c r="C70" s="316">
        <v>-3.6700000000000003E-2</v>
      </c>
      <c r="F70" s="1" t="s">
        <v>371</v>
      </c>
      <c r="G70" s="317">
        <v>2868.59</v>
      </c>
      <c r="H70" s="316">
        <v>-8.8000000000000005E-3</v>
      </c>
    </row>
    <row r="71" spans="1:8" x14ac:dyDescent="0.3">
      <c r="A71" s="1" t="s">
        <v>372</v>
      </c>
      <c r="B71" s="1">
        <v>18.09</v>
      </c>
      <c r="C71" s="316">
        <v>-6.7999999999999996E-3</v>
      </c>
      <c r="F71" s="1" t="s">
        <v>372</v>
      </c>
      <c r="G71" s="317">
        <v>2893.96</v>
      </c>
      <c r="H71" s="316">
        <v>-5.0000000000000001E-4</v>
      </c>
    </row>
    <row r="72" spans="1:8" x14ac:dyDescent="0.3">
      <c r="A72" s="1" t="s">
        <v>373</v>
      </c>
      <c r="B72" s="1">
        <v>18.213999999999999</v>
      </c>
      <c r="C72" s="316">
        <v>1.1999999999999999E-3</v>
      </c>
      <c r="F72" s="1" t="s">
        <v>373</v>
      </c>
      <c r="G72" s="317">
        <v>2895.31</v>
      </c>
      <c r="H72" s="316">
        <v>5.4000000000000003E-3</v>
      </c>
    </row>
    <row r="73" spans="1:8" x14ac:dyDescent="0.3">
      <c r="A73" s="1" t="s">
        <v>374</v>
      </c>
      <c r="B73" s="1">
        <v>18.192</v>
      </c>
      <c r="C73" s="316">
        <v>-1.7399999999999999E-2</v>
      </c>
      <c r="F73" s="1" t="s">
        <v>374</v>
      </c>
      <c r="G73" s="317">
        <v>2879.87</v>
      </c>
      <c r="H73" s="316">
        <v>1.9E-3</v>
      </c>
    </row>
    <row r="74" spans="1:8" x14ac:dyDescent="0.3">
      <c r="A74" s="1" t="s">
        <v>375</v>
      </c>
      <c r="B74" s="1">
        <v>18.513999999999999</v>
      </c>
      <c r="C74" s="316">
        <v>-1.4E-3</v>
      </c>
      <c r="F74" s="1" t="s">
        <v>375</v>
      </c>
      <c r="G74" s="317">
        <v>2874.5</v>
      </c>
      <c r="H74" s="316">
        <v>8.0000000000000004E-4</v>
      </c>
    </row>
    <row r="75" spans="1:8" x14ac:dyDescent="0.3">
      <c r="A75" s="1" t="s">
        <v>376</v>
      </c>
      <c r="B75" s="1">
        <v>18.54</v>
      </c>
      <c r="C75" s="316">
        <v>2.7799999999999998E-2</v>
      </c>
      <c r="F75" s="1" t="s">
        <v>376</v>
      </c>
      <c r="G75" s="317">
        <v>2872.07</v>
      </c>
      <c r="H75" s="316">
        <v>1.2999999999999999E-3</v>
      </c>
    </row>
    <row r="76" spans="1:8" x14ac:dyDescent="0.3">
      <c r="A76" s="1" t="s">
        <v>377</v>
      </c>
      <c r="B76" s="1">
        <v>18.038</v>
      </c>
      <c r="C76" s="316">
        <v>2.7000000000000001E-3</v>
      </c>
      <c r="F76" s="1" t="s">
        <v>377</v>
      </c>
      <c r="G76" s="317">
        <v>2868.24</v>
      </c>
      <c r="H76" s="316">
        <v>3.0999999999999999E-3</v>
      </c>
    </row>
    <row r="77" spans="1:8" x14ac:dyDescent="0.3">
      <c r="A77" s="1" t="s">
        <v>378</v>
      </c>
      <c r="B77" s="1">
        <v>17.989999999999998</v>
      </c>
      <c r="C77" s="316">
        <v>3.09E-2</v>
      </c>
      <c r="F77" s="1" t="s">
        <v>378</v>
      </c>
      <c r="G77" s="317">
        <v>2859.42</v>
      </c>
      <c r="H77" s="316">
        <v>1.26E-2</v>
      </c>
    </row>
    <row r="78" spans="1:8" x14ac:dyDescent="0.3">
      <c r="A78" s="1" t="s">
        <v>379</v>
      </c>
      <c r="B78" s="1">
        <v>17.45</v>
      </c>
      <c r="C78" s="316">
        <v>5.1999999999999998E-3</v>
      </c>
      <c r="F78" s="1" t="s">
        <v>379</v>
      </c>
      <c r="G78" s="317">
        <v>2823.8</v>
      </c>
      <c r="H78" s="316">
        <v>-1.41E-2</v>
      </c>
    </row>
    <row r="79" spans="1:8" x14ac:dyDescent="0.3">
      <c r="A79" s="1" t="s">
        <v>380</v>
      </c>
      <c r="B79" s="1">
        <v>17.36</v>
      </c>
      <c r="C79" s="316">
        <v>2.5499999999999998E-2</v>
      </c>
      <c r="F79" s="1" t="s">
        <v>380</v>
      </c>
      <c r="G79" s="317">
        <v>2864.04</v>
      </c>
      <c r="H79" s="316">
        <v>6.9999999999999999E-4</v>
      </c>
    </row>
    <row r="80" spans="1:8" x14ac:dyDescent="0.3">
      <c r="A80" s="1" t="s">
        <v>381</v>
      </c>
      <c r="B80" s="1">
        <v>16.928000000000001</v>
      </c>
      <c r="C80" s="316">
        <v>-2.7000000000000001E-3</v>
      </c>
      <c r="F80" s="1" t="s">
        <v>381</v>
      </c>
      <c r="G80" s="317">
        <v>2861.9</v>
      </c>
      <c r="H80" s="316">
        <v>5.5999999999999999E-3</v>
      </c>
    </row>
    <row r="81" spans="1:8" x14ac:dyDescent="0.3">
      <c r="A81" s="1" t="s">
        <v>382</v>
      </c>
      <c r="B81" s="1">
        <v>16.974</v>
      </c>
      <c r="C81" s="316">
        <v>5.8200000000000002E-2</v>
      </c>
      <c r="F81" s="1" t="s">
        <v>382</v>
      </c>
      <c r="G81" s="317">
        <v>2845.97</v>
      </c>
      <c r="H81" s="316">
        <v>1.67E-2</v>
      </c>
    </row>
    <row r="82" spans="1:8" x14ac:dyDescent="0.3">
      <c r="A82" s="1" t="s">
        <v>383</v>
      </c>
      <c r="B82" s="1">
        <v>16.04</v>
      </c>
      <c r="C82" s="316">
        <v>1.9099999999999999E-2</v>
      </c>
      <c r="F82" s="1" t="s">
        <v>383</v>
      </c>
      <c r="G82" s="317">
        <v>2799.15</v>
      </c>
      <c r="H82" s="316">
        <v>1.1599999999999999E-2</v>
      </c>
    </row>
    <row r="83" spans="1:8" x14ac:dyDescent="0.3">
      <c r="A83" s="1" t="s">
        <v>384</v>
      </c>
      <c r="B83" s="1">
        <v>15.74</v>
      </c>
      <c r="C83" s="316">
        <v>9.4000000000000004E-3</v>
      </c>
      <c r="F83" s="1" t="s">
        <v>384</v>
      </c>
      <c r="G83" s="317">
        <v>2767.03</v>
      </c>
      <c r="H83" s="316">
        <v>-4.4000000000000003E-3</v>
      </c>
    </row>
    <row r="84" spans="1:8" x14ac:dyDescent="0.3">
      <c r="A84" s="1" t="s">
        <v>385</v>
      </c>
      <c r="B84" s="1">
        <v>15.593999999999999</v>
      </c>
      <c r="C84" s="316">
        <v>-9.7999999999999997E-3</v>
      </c>
      <c r="F84" s="1" t="s">
        <v>385</v>
      </c>
      <c r="G84" s="317">
        <v>2779.31</v>
      </c>
      <c r="H84" s="316">
        <v>-2.0999999999999999E-3</v>
      </c>
    </row>
    <row r="85" spans="1:8" x14ac:dyDescent="0.3">
      <c r="A85" s="1" t="s">
        <v>386</v>
      </c>
      <c r="B85" s="1">
        <v>15.747999999999999</v>
      </c>
      <c r="C85" s="316">
        <v>2.1700000000000001E-2</v>
      </c>
      <c r="F85" s="1" t="s">
        <v>386</v>
      </c>
      <c r="G85" s="317">
        <v>2785.22</v>
      </c>
      <c r="H85" s="316">
        <v>8.6999999999999994E-3</v>
      </c>
    </row>
    <row r="86" spans="1:8" x14ac:dyDescent="0.3">
      <c r="A86" s="1" t="s">
        <v>387</v>
      </c>
      <c r="B86" s="1">
        <v>15.414</v>
      </c>
      <c r="C86" s="316">
        <v>2.92E-2</v>
      </c>
      <c r="F86" s="1" t="s">
        <v>387</v>
      </c>
      <c r="G86" s="317">
        <v>2761.09</v>
      </c>
      <c r="H86" s="316">
        <v>1.2200000000000001E-2</v>
      </c>
    </row>
    <row r="87" spans="1:8" x14ac:dyDescent="0.3">
      <c r="A87" s="1" t="s">
        <v>388</v>
      </c>
      <c r="B87" s="1">
        <v>14.976000000000001</v>
      </c>
      <c r="C87" s="316">
        <v>-1.6E-2</v>
      </c>
      <c r="F87" s="1" t="s">
        <v>388</v>
      </c>
      <c r="G87" s="317">
        <v>2727.74</v>
      </c>
      <c r="H87" s="316">
        <v>-6.6E-3</v>
      </c>
    </row>
    <row r="88" spans="1:8" x14ac:dyDescent="0.3">
      <c r="A88" s="1" t="s">
        <v>389</v>
      </c>
      <c r="B88" s="1">
        <v>15.22</v>
      </c>
      <c r="C88" s="316">
        <v>-6.1000000000000004E-3</v>
      </c>
      <c r="F88" s="1" t="s">
        <v>389</v>
      </c>
      <c r="G88" s="317">
        <v>2745.78</v>
      </c>
      <c r="H88" s="316">
        <v>9.4999999999999998E-3</v>
      </c>
    </row>
    <row r="89" spans="1:8" x14ac:dyDescent="0.3">
      <c r="A89" s="1" t="s">
        <v>390</v>
      </c>
      <c r="B89" s="1">
        <v>15.314</v>
      </c>
      <c r="C89" s="316">
        <v>9.7999999999999997E-3</v>
      </c>
      <c r="F89" s="1" t="s">
        <v>390</v>
      </c>
      <c r="G89" s="317">
        <v>2719.99</v>
      </c>
      <c r="H89" s="316">
        <v>-2.0000000000000001E-4</v>
      </c>
    </row>
    <row r="90" spans="1:8" x14ac:dyDescent="0.3">
      <c r="A90" s="1" t="s">
        <v>391</v>
      </c>
      <c r="B90" s="1">
        <v>15.166</v>
      </c>
      <c r="C90" s="316">
        <v>-2.76E-2</v>
      </c>
      <c r="F90" s="1" t="s">
        <v>391</v>
      </c>
      <c r="G90" s="317">
        <v>2720.5</v>
      </c>
      <c r="H90" s="316">
        <v>-1.03E-2</v>
      </c>
    </row>
    <row r="91" spans="1:8" x14ac:dyDescent="0.3">
      <c r="A91" s="1" t="s">
        <v>392</v>
      </c>
      <c r="B91" s="1">
        <v>15.596</v>
      </c>
      <c r="C91" s="316">
        <v>-9.1000000000000004E-3</v>
      </c>
      <c r="F91" s="1" t="s">
        <v>392</v>
      </c>
      <c r="G91" s="317">
        <v>2748.82</v>
      </c>
      <c r="H91" s="316">
        <v>-1.2500000000000001E-2</v>
      </c>
    </row>
    <row r="92" spans="1:8" x14ac:dyDescent="0.3">
      <c r="A92" s="1" t="s">
        <v>393</v>
      </c>
      <c r="B92" s="1">
        <v>15.74</v>
      </c>
      <c r="C92" s="316">
        <v>6.4000000000000003E-3</v>
      </c>
      <c r="F92" s="1" t="s">
        <v>393</v>
      </c>
      <c r="G92" s="317">
        <v>2783.55</v>
      </c>
      <c r="H92" s="316">
        <v>1.8599999999999998E-2</v>
      </c>
    </row>
    <row r="93" spans="1:8" x14ac:dyDescent="0.3">
      <c r="A93" s="1" t="s">
        <v>394</v>
      </c>
      <c r="B93" s="1">
        <v>15.64</v>
      </c>
      <c r="C93" s="316">
        <v>-7.4000000000000003E-3</v>
      </c>
      <c r="F93" s="1" t="s">
        <v>394</v>
      </c>
      <c r="G93" s="317">
        <v>2732.61</v>
      </c>
      <c r="H93" s="316">
        <v>-7.1000000000000004E-3</v>
      </c>
    </row>
    <row r="94" spans="1:8" x14ac:dyDescent="0.3">
      <c r="A94" s="1" t="s">
        <v>395</v>
      </c>
      <c r="B94" s="1">
        <v>15.756</v>
      </c>
      <c r="C94" s="316">
        <v>3.7900000000000003E-2</v>
      </c>
      <c r="F94" s="1" t="s">
        <v>395</v>
      </c>
      <c r="G94" s="317">
        <v>2752.05</v>
      </c>
      <c r="H94" s="316">
        <v>1.7999999999999999E-2</v>
      </c>
    </row>
    <row r="95" spans="1:8" x14ac:dyDescent="0.3">
      <c r="A95" s="1" t="s">
        <v>396</v>
      </c>
      <c r="B95" s="1">
        <v>15.18</v>
      </c>
      <c r="C95" s="316">
        <v>2.0299999999999999E-2</v>
      </c>
      <c r="F95" s="1" t="s">
        <v>396</v>
      </c>
      <c r="G95" s="317">
        <v>2703.26</v>
      </c>
      <c r="H95" s="316">
        <v>2.2800000000000001E-2</v>
      </c>
    </row>
    <row r="96" spans="1:8" x14ac:dyDescent="0.3">
      <c r="A96" s="1" t="s">
        <v>397</v>
      </c>
      <c r="B96" s="1">
        <v>14.878</v>
      </c>
      <c r="C96" s="316">
        <v>-3.5400000000000001E-2</v>
      </c>
      <c r="F96" s="1" t="s">
        <v>397</v>
      </c>
      <c r="G96" s="317">
        <v>2643.04</v>
      </c>
      <c r="H96" s="316">
        <v>-1.9900000000000001E-2</v>
      </c>
    </row>
    <row r="97" spans="1:8" x14ac:dyDescent="0.3">
      <c r="A97" s="1" t="s">
        <v>398</v>
      </c>
      <c r="B97" s="1">
        <v>15.423999999999999</v>
      </c>
      <c r="C97" s="316">
        <v>-5.5199999999999999E-2</v>
      </c>
      <c r="F97" s="1" t="s">
        <v>398</v>
      </c>
      <c r="G97" s="317">
        <v>2696.67</v>
      </c>
      <c r="H97" s="316">
        <v>-2.7300000000000001E-2</v>
      </c>
    </row>
    <row r="98" spans="1:8" x14ac:dyDescent="0.3">
      <c r="A98" s="1" t="s">
        <v>399</v>
      </c>
      <c r="B98" s="1">
        <v>16.326000000000001</v>
      </c>
      <c r="C98" s="316">
        <v>1.66E-2</v>
      </c>
      <c r="F98" s="1" t="s">
        <v>399</v>
      </c>
      <c r="G98" s="317">
        <v>2772.42</v>
      </c>
      <c r="H98" s="316">
        <v>4.8999999999999998E-3</v>
      </c>
    </row>
    <row r="99" spans="1:8" x14ac:dyDescent="0.3">
      <c r="A99" s="1" t="s">
        <v>400</v>
      </c>
      <c r="B99" s="1">
        <v>16.059999999999999</v>
      </c>
      <c r="C99" s="316">
        <v>-1.0200000000000001E-2</v>
      </c>
      <c r="F99" s="1" t="s">
        <v>400</v>
      </c>
      <c r="G99" s="317">
        <v>2758.99</v>
      </c>
      <c r="H99" s="316">
        <v>-9.2999999999999992E-3</v>
      </c>
    </row>
    <row r="100" spans="1:8" x14ac:dyDescent="0.3">
      <c r="A100" s="1" t="s">
        <v>401</v>
      </c>
      <c r="B100" s="1">
        <v>16.225999999999999</v>
      </c>
      <c r="C100" s="316">
        <v>-2.23E-2</v>
      </c>
      <c r="F100" s="1" t="s">
        <v>401</v>
      </c>
      <c r="G100" s="317">
        <v>2784.83</v>
      </c>
      <c r="H100" s="316">
        <v>-1.5599999999999999E-2</v>
      </c>
    </row>
    <row r="101" spans="1:8" x14ac:dyDescent="0.3">
      <c r="A101" s="1" t="s">
        <v>402</v>
      </c>
      <c r="B101" s="1">
        <v>16.596</v>
      </c>
      <c r="C101" s="316">
        <v>3.27E-2</v>
      </c>
      <c r="F101" s="1" t="s">
        <v>402</v>
      </c>
      <c r="G101" s="317">
        <v>2829.08</v>
      </c>
      <c r="H101" s="316">
        <v>1.4500000000000001E-2</v>
      </c>
    </row>
    <row r="102" spans="1:8" x14ac:dyDescent="0.3">
      <c r="A102" s="1" t="s">
        <v>403</v>
      </c>
      <c r="B102" s="1">
        <v>16.07</v>
      </c>
      <c r="C102" s="316">
        <v>1.6299999999999999E-2</v>
      </c>
      <c r="F102" s="1" t="s">
        <v>403</v>
      </c>
      <c r="G102" s="317">
        <v>2788.68</v>
      </c>
      <c r="H102" s="316">
        <v>5.5999999999999999E-3</v>
      </c>
    </row>
    <row r="103" spans="1:8" x14ac:dyDescent="0.3">
      <c r="A103" s="1" t="s">
        <v>404</v>
      </c>
      <c r="B103" s="1">
        <v>15.811999999999999</v>
      </c>
      <c r="C103" s="316">
        <v>1.5E-3</v>
      </c>
      <c r="F103" s="1" t="s">
        <v>404</v>
      </c>
      <c r="G103" s="317">
        <v>2773.16</v>
      </c>
      <c r="H103" s="316">
        <v>-5.0000000000000001E-4</v>
      </c>
    </row>
    <row r="104" spans="1:8" x14ac:dyDescent="0.3">
      <c r="A104" s="1" t="s">
        <v>405</v>
      </c>
      <c r="B104" s="1">
        <v>15.788</v>
      </c>
      <c r="C104" s="316">
        <v>-3.3099999999999997E-2</v>
      </c>
      <c r="F104" s="1" t="s">
        <v>405</v>
      </c>
      <c r="G104" s="317">
        <v>2774.49</v>
      </c>
      <c r="H104" s="316">
        <v>-2.87E-2</v>
      </c>
    </row>
    <row r="105" spans="1:8" x14ac:dyDescent="0.3">
      <c r="A105" s="1" t="s">
        <v>406</v>
      </c>
      <c r="B105" s="1">
        <v>16.327999999999999</v>
      </c>
      <c r="C105" s="316">
        <v>-6.2700000000000006E-2</v>
      </c>
      <c r="F105" s="1" t="s">
        <v>406</v>
      </c>
      <c r="G105" s="317">
        <v>2856.59</v>
      </c>
      <c r="H105" s="316">
        <v>-2.9600000000000001E-2</v>
      </c>
    </row>
    <row r="106" spans="1:8" x14ac:dyDescent="0.3">
      <c r="A106" s="1" t="s">
        <v>407</v>
      </c>
      <c r="B106" s="1">
        <v>17.420000000000002</v>
      </c>
      <c r="C106" s="316">
        <v>2.35E-2</v>
      </c>
      <c r="F106" s="1" t="s">
        <v>407</v>
      </c>
      <c r="G106" s="317">
        <v>2943.71</v>
      </c>
      <c r="H106" s="316">
        <v>9.5999999999999992E-3</v>
      </c>
    </row>
    <row r="107" spans="1:8" x14ac:dyDescent="0.3">
      <c r="A107" s="1" t="s">
        <v>408</v>
      </c>
      <c r="B107" s="1">
        <v>17.02</v>
      </c>
      <c r="C107" s="316">
        <v>4.0000000000000002E-4</v>
      </c>
      <c r="F107" s="1" t="s">
        <v>408</v>
      </c>
      <c r="G107" s="317">
        <v>2915.61</v>
      </c>
      <c r="H107" s="316">
        <v>8.0999999999999996E-3</v>
      </c>
    </row>
    <row r="108" spans="1:8" x14ac:dyDescent="0.3">
      <c r="A108" s="1" t="s">
        <v>409</v>
      </c>
      <c r="B108" s="1">
        <v>17.013999999999999</v>
      </c>
      <c r="C108" s="316">
        <v>-2.5899999999999999E-2</v>
      </c>
      <c r="F108" s="1" t="s">
        <v>409</v>
      </c>
      <c r="G108" s="317">
        <v>2892.07</v>
      </c>
      <c r="H108" s="316">
        <v>-1.8200000000000001E-2</v>
      </c>
    </row>
    <row r="109" spans="1:8" x14ac:dyDescent="0.3">
      <c r="A109" s="1" t="s">
        <v>410</v>
      </c>
      <c r="B109" s="1">
        <v>17.466000000000001</v>
      </c>
      <c r="C109" s="316">
        <v>-2.1100000000000001E-2</v>
      </c>
      <c r="F109" s="1" t="s">
        <v>410</v>
      </c>
      <c r="G109" s="317">
        <v>2945.6</v>
      </c>
      <c r="H109" s="316">
        <v>-1E-4</v>
      </c>
    </row>
    <row r="110" spans="1:8" x14ac:dyDescent="0.3">
      <c r="A110" s="1" t="s">
        <v>411</v>
      </c>
      <c r="B110" s="1">
        <v>17.841999999999999</v>
      </c>
      <c r="C110" s="316">
        <v>6.3E-3</v>
      </c>
      <c r="F110" s="1" t="s">
        <v>411</v>
      </c>
      <c r="G110" s="317">
        <v>2945.91</v>
      </c>
      <c r="H110" s="316">
        <v>1.2999999999999999E-2</v>
      </c>
    </row>
    <row r="111" spans="1:8" x14ac:dyDescent="0.3">
      <c r="A111" s="1" t="s">
        <v>412</v>
      </c>
      <c r="B111" s="1">
        <v>17.73</v>
      </c>
      <c r="C111" s="316">
        <v>-2.06E-2</v>
      </c>
      <c r="F111" s="1" t="s">
        <v>412</v>
      </c>
      <c r="G111" s="317">
        <v>2908.05</v>
      </c>
      <c r="H111" s="316">
        <v>-1.3100000000000001E-2</v>
      </c>
    </row>
    <row r="112" spans="1:8" x14ac:dyDescent="0.3">
      <c r="A112" s="1" t="s">
        <v>413</v>
      </c>
      <c r="B112" s="1">
        <v>18.102</v>
      </c>
      <c r="C112" s="316">
        <v>2.2700000000000001E-2</v>
      </c>
      <c r="F112" s="1" t="s">
        <v>413</v>
      </c>
      <c r="G112" s="317">
        <v>2946.72</v>
      </c>
      <c r="H112" s="316">
        <v>1.18E-2</v>
      </c>
    </row>
    <row r="113" spans="1:8" x14ac:dyDescent="0.3">
      <c r="A113" s="1" t="s">
        <v>414</v>
      </c>
      <c r="B113" s="1">
        <v>17.7</v>
      </c>
      <c r="C113" s="316">
        <v>3.6900000000000002E-2</v>
      </c>
      <c r="F113" s="1" t="s">
        <v>414</v>
      </c>
      <c r="G113" s="317">
        <v>2912.46</v>
      </c>
      <c r="H113" s="316">
        <v>6.4000000000000003E-3</v>
      </c>
    </row>
    <row r="114" spans="1:8" x14ac:dyDescent="0.3">
      <c r="A114" s="1" t="s">
        <v>415</v>
      </c>
      <c r="B114" s="1">
        <v>17.07</v>
      </c>
      <c r="C114" s="316">
        <v>2.3400000000000001E-2</v>
      </c>
      <c r="F114" s="1" t="s">
        <v>415</v>
      </c>
      <c r="G114" s="317">
        <v>2894.01</v>
      </c>
      <c r="H114" s="316">
        <v>9.5999999999999992E-3</v>
      </c>
    </row>
    <row r="115" spans="1:8" x14ac:dyDescent="0.3">
      <c r="A115" s="1" t="s">
        <v>416</v>
      </c>
      <c r="B115" s="1">
        <v>16.68</v>
      </c>
      <c r="C115" s="316">
        <v>1.8700000000000001E-2</v>
      </c>
      <c r="F115" s="1" t="s">
        <v>416</v>
      </c>
      <c r="G115" s="317">
        <v>2866.58</v>
      </c>
      <c r="H115" s="316">
        <v>9.7999999999999997E-3</v>
      </c>
    </row>
    <row r="116" spans="1:8" x14ac:dyDescent="0.3">
      <c r="A116" s="1" t="s">
        <v>417</v>
      </c>
      <c r="B116" s="1">
        <v>16.373999999999999</v>
      </c>
      <c r="C116" s="316">
        <v>4.0000000000000002E-4</v>
      </c>
      <c r="F116" s="1" t="s">
        <v>417</v>
      </c>
      <c r="G116" s="317">
        <v>2838.8</v>
      </c>
      <c r="H116" s="316">
        <v>-1.32E-2</v>
      </c>
    </row>
    <row r="117" spans="1:8" x14ac:dyDescent="0.3">
      <c r="A117" s="1" t="s">
        <v>418</v>
      </c>
      <c r="B117" s="1">
        <v>16.367999999999999</v>
      </c>
      <c r="C117" s="316">
        <v>3.2000000000000002E-3</v>
      </c>
      <c r="F117" s="1" t="s">
        <v>418</v>
      </c>
      <c r="G117" s="317">
        <v>2876.64</v>
      </c>
      <c r="H117" s="316">
        <v>-6.1000000000000004E-3</v>
      </c>
    </row>
    <row r="118" spans="1:8" x14ac:dyDescent="0.3">
      <c r="A118" s="1" t="s">
        <v>419</v>
      </c>
      <c r="B118" s="1">
        <v>16.315999999999999</v>
      </c>
      <c r="C118" s="316">
        <v>-1.1000000000000001E-3</v>
      </c>
      <c r="F118" s="1" t="s">
        <v>419</v>
      </c>
      <c r="G118" s="317">
        <v>2894.21</v>
      </c>
      <c r="H118" s="316">
        <v>-3.3999999999999998E-3</v>
      </c>
    </row>
    <row r="119" spans="1:8" x14ac:dyDescent="0.3">
      <c r="A119" s="1" t="s">
        <v>420</v>
      </c>
      <c r="B119" s="1">
        <v>16.334</v>
      </c>
      <c r="C119" s="316">
        <v>2.47E-2</v>
      </c>
      <c r="F119" s="1" t="s">
        <v>420</v>
      </c>
      <c r="G119" s="317">
        <v>2903.99</v>
      </c>
      <c r="H119" s="316">
        <v>1.43E-2</v>
      </c>
    </row>
    <row r="120" spans="1:8" x14ac:dyDescent="0.3">
      <c r="A120" s="1" t="s">
        <v>421</v>
      </c>
      <c r="B120" s="1">
        <v>15.94</v>
      </c>
      <c r="C120" s="316">
        <v>8.9999999999999998E-4</v>
      </c>
      <c r="F120" s="1" t="s">
        <v>421</v>
      </c>
      <c r="G120" s="317">
        <v>2863</v>
      </c>
      <c r="H120" s="316">
        <v>-4.8999999999999998E-3</v>
      </c>
    </row>
    <row r="121" spans="1:8" x14ac:dyDescent="0.3">
      <c r="A121" s="1" t="s">
        <v>422</v>
      </c>
      <c r="B121" s="1">
        <v>15.926</v>
      </c>
      <c r="C121" s="316">
        <v>1E-3</v>
      </c>
      <c r="F121" s="1" t="s">
        <v>422</v>
      </c>
      <c r="G121" s="317">
        <v>2877.14</v>
      </c>
      <c r="H121" s="316">
        <v>-9.1000000000000004E-3</v>
      </c>
    </row>
    <row r="122" spans="1:8" x14ac:dyDescent="0.3">
      <c r="A122" s="1" t="s">
        <v>423</v>
      </c>
      <c r="B122" s="1">
        <v>15.91</v>
      </c>
      <c r="C122" s="316">
        <v>1.4200000000000001E-2</v>
      </c>
      <c r="F122" s="1" t="s">
        <v>423</v>
      </c>
      <c r="G122" s="317">
        <v>2903.54</v>
      </c>
      <c r="H122" s="316">
        <v>2E-3</v>
      </c>
    </row>
    <row r="123" spans="1:8" x14ac:dyDescent="0.3">
      <c r="A123" s="1" t="s">
        <v>424</v>
      </c>
      <c r="B123" s="1">
        <v>15.688000000000001</v>
      </c>
      <c r="C123" s="316">
        <v>-2.3800000000000002E-2</v>
      </c>
      <c r="F123" s="1" t="s">
        <v>424</v>
      </c>
      <c r="G123" s="317">
        <v>2897.64</v>
      </c>
      <c r="H123" s="316">
        <v>-6.8999999999999999E-3</v>
      </c>
    </row>
    <row r="124" spans="1:8" x14ac:dyDescent="0.3">
      <c r="A124" s="1" t="s">
        <v>425</v>
      </c>
      <c r="B124" s="1">
        <v>16.07</v>
      </c>
      <c r="C124" s="316">
        <v>-7.9000000000000008E-3</v>
      </c>
      <c r="F124" s="1" t="s">
        <v>425</v>
      </c>
      <c r="G124" s="317">
        <v>2917.8</v>
      </c>
      <c r="H124" s="316">
        <v>-2.3999999999999998E-3</v>
      </c>
    </row>
    <row r="125" spans="1:8" x14ac:dyDescent="0.3">
      <c r="A125" s="1" t="s">
        <v>426</v>
      </c>
      <c r="B125" s="1">
        <v>16.198</v>
      </c>
      <c r="C125" s="316">
        <v>2.7000000000000001E-3</v>
      </c>
      <c r="F125" s="1" t="s">
        <v>426</v>
      </c>
      <c r="G125" s="317">
        <v>2924.89</v>
      </c>
      <c r="H125" s="316">
        <v>-6.6E-3</v>
      </c>
    </row>
    <row r="126" spans="1:8" x14ac:dyDescent="0.3">
      <c r="A126" s="1" t="s">
        <v>427</v>
      </c>
      <c r="B126" s="1">
        <v>16.154</v>
      </c>
      <c r="C126" s="316">
        <v>1.14E-2</v>
      </c>
      <c r="F126" s="1" t="s">
        <v>427</v>
      </c>
      <c r="G126" s="317">
        <v>2944.3</v>
      </c>
      <c r="H126" s="316">
        <v>1.1999999999999999E-3</v>
      </c>
    </row>
    <row r="127" spans="1:8" x14ac:dyDescent="0.3">
      <c r="A127" s="1" t="s">
        <v>428</v>
      </c>
      <c r="B127" s="1">
        <v>15.972</v>
      </c>
      <c r="C127" s="316">
        <v>-8.8999999999999999E-3</v>
      </c>
      <c r="F127" s="1" t="s">
        <v>428</v>
      </c>
      <c r="G127" s="317">
        <v>2940.91</v>
      </c>
      <c r="H127" s="316">
        <v>8.8999999999999999E-3</v>
      </c>
    </row>
    <row r="128" spans="1:8" x14ac:dyDescent="0.3">
      <c r="A128" s="1" t="s">
        <v>429</v>
      </c>
      <c r="B128" s="1">
        <v>16.116</v>
      </c>
      <c r="C128" s="316">
        <v>-5.1999999999999998E-3</v>
      </c>
      <c r="F128" s="1" t="s">
        <v>429</v>
      </c>
      <c r="G128" s="317">
        <v>2914.84</v>
      </c>
      <c r="H128" s="316">
        <v>-8.9999999999999998E-4</v>
      </c>
    </row>
    <row r="129" spans="1:8" x14ac:dyDescent="0.3">
      <c r="A129" s="1" t="s">
        <v>430</v>
      </c>
      <c r="B129" s="1">
        <v>16.2</v>
      </c>
      <c r="C129" s="316">
        <v>4.1799999999999997E-2</v>
      </c>
      <c r="F129" s="1" t="s">
        <v>430</v>
      </c>
      <c r="G129" s="317">
        <v>2917.47</v>
      </c>
      <c r="H129" s="316">
        <v>1.46E-2</v>
      </c>
    </row>
    <row r="130" spans="1:8" x14ac:dyDescent="0.3">
      <c r="A130" s="1" t="s">
        <v>433</v>
      </c>
      <c r="B130" s="1">
        <v>15.55</v>
      </c>
      <c r="C130" s="316">
        <v>1.9800000000000002E-2</v>
      </c>
      <c r="F130" s="1" t="s">
        <v>433</v>
      </c>
      <c r="G130" s="317">
        <v>2875.6</v>
      </c>
      <c r="H130" s="316">
        <v>1.38E-2</v>
      </c>
    </row>
    <row r="131" spans="1:8" x14ac:dyDescent="0.3">
      <c r="A131" s="1" t="s">
        <v>434</v>
      </c>
      <c r="B131" s="1">
        <v>15.247999999999999</v>
      </c>
      <c r="C131" s="316">
        <v>1.6500000000000001E-2</v>
      </c>
      <c r="F131" s="1" t="s">
        <v>434</v>
      </c>
      <c r="G131" s="317">
        <v>2836.35</v>
      </c>
      <c r="H131" s="316">
        <v>6.8999999999999999E-3</v>
      </c>
    </row>
    <row r="132" spans="1:8" x14ac:dyDescent="0.3">
      <c r="A132" s="1" t="s">
        <v>435</v>
      </c>
      <c r="B132" s="1">
        <v>15</v>
      </c>
      <c r="C132" s="316">
        <v>-4.7999999999999996E-3</v>
      </c>
      <c r="F132" s="1" t="s">
        <v>435</v>
      </c>
      <c r="G132" s="317">
        <v>2816.94</v>
      </c>
      <c r="H132" s="316">
        <v>-8.0000000000000002E-3</v>
      </c>
    </row>
    <row r="133" spans="1:8" x14ac:dyDescent="0.3">
      <c r="A133" s="1" t="s">
        <v>436</v>
      </c>
      <c r="B133" s="1">
        <v>15.071999999999999</v>
      </c>
      <c r="C133" s="316">
        <v>1.3899999999999999E-2</v>
      </c>
      <c r="F133" s="1" t="s">
        <v>436</v>
      </c>
      <c r="G133" s="317">
        <v>2839.77</v>
      </c>
      <c r="H133" s="316">
        <v>-4.4000000000000003E-3</v>
      </c>
    </row>
    <row r="134" spans="1:8" x14ac:dyDescent="0.3">
      <c r="A134" s="1" t="s">
        <v>437</v>
      </c>
      <c r="B134" s="1">
        <v>14.866</v>
      </c>
      <c r="C134" s="316">
        <v>-4.0000000000000002E-4</v>
      </c>
      <c r="F134" s="1" t="s">
        <v>437</v>
      </c>
      <c r="G134" s="317">
        <v>2852.36</v>
      </c>
      <c r="H134" s="316">
        <v>2.7000000000000001E-3</v>
      </c>
    </row>
    <row r="135" spans="1:8" x14ac:dyDescent="0.3">
      <c r="A135" s="1" t="s">
        <v>438</v>
      </c>
      <c r="B135" s="1">
        <v>14.872</v>
      </c>
      <c r="C135" s="316">
        <v>-2.8E-3</v>
      </c>
      <c r="F135" s="1" t="s">
        <v>438</v>
      </c>
      <c r="G135" s="317">
        <v>2844.55</v>
      </c>
      <c r="H135" s="316">
        <v>-5.1000000000000004E-3</v>
      </c>
    </row>
    <row r="136" spans="1:8" x14ac:dyDescent="0.3">
      <c r="A136" s="1" t="s">
        <v>439</v>
      </c>
      <c r="B136" s="1">
        <v>14.914</v>
      </c>
      <c r="C136" s="316">
        <v>3.6400000000000002E-2</v>
      </c>
      <c r="F136" s="1" t="s">
        <v>439</v>
      </c>
      <c r="G136" s="317">
        <v>2859.09</v>
      </c>
      <c r="H136" s="316">
        <v>7.4000000000000003E-3</v>
      </c>
    </row>
    <row r="137" spans="1:8" x14ac:dyDescent="0.3">
      <c r="A137" s="1" t="s">
        <v>440</v>
      </c>
      <c r="B137" s="1">
        <v>14.39</v>
      </c>
      <c r="C137" s="316">
        <v>2.2700000000000001E-2</v>
      </c>
      <c r="F137" s="1" t="s">
        <v>440</v>
      </c>
      <c r="G137" s="317">
        <v>2838.02</v>
      </c>
      <c r="H137" s="316">
        <v>-2E-3</v>
      </c>
    </row>
    <row r="138" spans="1:8" x14ac:dyDescent="0.3">
      <c r="A138" s="1" t="s">
        <v>441</v>
      </c>
      <c r="B138" s="1">
        <v>14.07</v>
      </c>
      <c r="C138" s="316">
        <v>-2.0500000000000001E-2</v>
      </c>
      <c r="F138" s="1" t="s">
        <v>441</v>
      </c>
      <c r="G138" s="317">
        <v>2843.84</v>
      </c>
      <c r="H138" s="316">
        <v>1.78E-2</v>
      </c>
    </row>
    <row r="139" spans="1:8" x14ac:dyDescent="0.3">
      <c r="A139" s="1" t="s">
        <v>442</v>
      </c>
      <c r="B139" s="1">
        <v>14.364000000000001</v>
      </c>
      <c r="C139" s="316">
        <v>-1.8E-3</v>
      </c>
      <c r="F139" s="1" t="s">
        <v>442</v>
      </c>
      <c r="G139" s="317">
        <v>2794.14</v>
      </c>
      <c r="H139" s="316">
        <v>0</v>
      </c>
    </row>
    <row r="140" spans="1:8" x14ac:dyDescent="0.3">
      <c r="A140" s="1" t="s">
        <v>443</v>
      </c>
      <c r="B140" s="1">
        <v>14.39</v>
      </c>
      <c r="C140" s="316">
        <v>-5.2499999999999998E-2</v>
      </c>
      <c r="F140" s="1" t="s">
        <v>443</v>
      </c>
      <c r="G140" s="317">
        <v>2794.12</v>
      </c>
      <c r="H140" s="316">
        <v>-1.8499999999999999E-2</v>
      </c>
    </row>
    <row r="141" spans="1:8" x14ac:dyDescent="0.3">
      <c r="A141" s="1" t="s">
        <v>444</v>
      </c>
      <c r="B141" s="1">
        <v>15.188000000000001</v>
      </c>
      <c r="C141" s="316">
        <v>-8.0999999999999996E-3</v>
      </c>
      <c r="F141" s="1" t="s">
        <v>444</v>
      </c>
      <c r="G141" s="317">
        <v>2846.75</v>
      </c>
      <c r="H141" s="316">
        <v>8.3000000000000001E-3</v>
      </c>
    </row>
    <row r="142" spans="1:8" x14ac:dyDescent="0.3">
      <c r="A142" s="1" t="s">
        <v>445</v>
      </c>
      <c r="B142" s="1">
        <v>15.311999999999999</v>
      </c>
      <c r="C142" s="316">
        <v>-8.0000000000000002E-3</v>
      </c>
      <c r="F142" s="1" t="s">
        <v>445</v>
      </c>
      <c r="G142" s="317">
        <v>2823.43</v>
      </c>
      <c r="H142" s="316">
        <v>5.0000000000000001E-4</v>
      </c>
    </row>
    <row r="143" spans="1:8" x14ac:dyDescent="0.3">
      <c r="A143" s="1" t="s">
        <v>446</v>
      </c>
      <c r="B143" s="1">
        <v>15.436</v>
      </c>
      <c r="C143" s="316">
        <v>3.4200000000000001E-2</v>
      </c>
      <c r="F143" s="1" t="s">
        <v>446</v>
      </c>
      <c r="G143" s="317">
        <v>2821.98</v>
      </c>
      <c r="H143" s="316">
        <v>1.2500000000000001E-2</v>
      </c>
    </row>
    <row r="144" spans="1:8" x14ac:dyDescent="0.3">
      <c r="A144" s="1" t="s">
        <v>447</v>
      </c>
      <c r="B144" s="1">
        <v>14.926</v>
      </c>
      <c r="C144" s="316">
        <v>2.0999999999999999E-3</v>
      </c>
      <c r="F144" s="1" t="s">
        <v>447</v>
      </c>
      <c r="G144" s="317">
        <v>2787.09</v>
      </c>
      <c r="H144" s="316">
        <v>9.5999999999999992E-3</v>
      </c>
    </row>
    <row r="145" spans="1:8" x14ac:dyDescent="0.3">
      <c r="A145" s="1" t="s">
        <v>448</v>
      </c>
      <c r="B145" s="1">
        <v>14.894</v>
      </c>
      <c r="C145" s="316">
        <v>-4.3E-3</v>
      </c>
      <c r="F145" s="1" t="s">
        <v>448</v>
      </c>
      <c r="G145" s="317">
        <v>2760.67</v>
      </c>
      <c r="H145" s="316">
        <v>-4.4000000000000003E-3</v>
      </c>
    </row>
    <row r="146" spans="1:8" x14ac:dyDescent="0.3">
      <c r="A146" s="1" t="s">
        <v>449</v>
      </c>
      <c r="B146" s="1">
        <v>14.958</v>
      </c>
      <c r="C146" s="316">
        <v>5.5999999999999999E-3</v>
      </c>
      <c r="F146" s="1" t="s">
        <v>449</v>
      </c>
      <c r="G146" s="317">
        <v>2772.92</v>
      </c>
      <c r="H146" s="316">
        <v>1.0800000000000001E-2</v>
      </c>
    </row>
    <row r="147" spans="1:8" x14ac:dyDescent="0.3">
      <c r="A147" s="1" t="s">
        <v>450</v>
      </c>
      <c r="B147" s="1">
        <v>14.874000000000001</v>
      </c>
      <c r="C147" s="316">
        <v>5.7000000000000002E-3</v>
      </c>
      <c r="F147" s="1" t="s">
        <v>450</v>
      </c>
      <c r="G147" s="317">
        <v>2743.23</v>
      </c>
      <c r="H147" s="316">
        <v>-8.0000000000000004E-4</v>
      </c>
    </row>
    <row r="148" spans="1:8" x14ac:dyDescent="0.3">
      <c r="A148" s="1" t="s">
        <v>451</v>
      </c>
      <c r="B148" s="1">
        <v>14.79</v>
      </c>
      <c r="C148" s="316">
        <v>-8.0500000000000002E-2</v>
      </c>
      <c r="F148" s="1" t="s">
        <v>451</v>
      </c>
      <c r="G148" s="317">
        <v>2745.33</v>
      </c>
      <c r="H148" s="316">
        <v>-1.1000000000000001E-3</v>
      </c>
    </row>
    <row r="149" spans="1:8" x14ac:dyDescent="0.3">
      <c r="A149" s="1" t="s">
        <v>452</v>
      </c>
      <c r="B149" s="1">
        <v>16.084</v>
      </c>
      <c r="C149" s="316">
        <v>-8.5000000000000006E-3</v>
      </c>
      <c r="F149" s="1" t="s">
        <v>452</v>
      </c>
      <c r="G149" s="317">
        <v>2748.48</v>
      </c>
      <c r="H149" s="316">
        <v>-2.1299999999999999E-2</v>
      </c>
    </row>
    <row r="150" spans="1:8" x14ac:dyDescent="0.3">
      <c r="A150" s="1" t="s">
        <v>453</v>
      </c>
      <c r="B150" s="1">
        <v>16.222000000000001</v>
      </c>
      <c r="C150" s="316">
        <v>3.2000000000000002E-3</v>
      </c>
      <c r="F150" s="1" t="s">
        <v>453</v>
      </c>
      <c r="G150" s="317">
        <v>2808.2</v>
      </c>
      <c r="H150" s="316">
        <v>9.4999999999999998E-3</v>
      </c>
    </row>
    <row r="151" spans="1:8" x14ac:dyDescent="0.3">
      <c r="A151" s="1" t="s">
        <v>454</v>
      </c>
      <c r="B151" s="1">
        <v>16.170000000000002</v>
      </c>
      <c r="C151" s="316">
        <v>-1.7000000000000001E-2</v>
      </c>
      <c r="F151" s="1" t="s">
        <v>454</v>
      </c>
      <c r="G151" s="317">
        <v>2781.67</v>
      </c>
      <c r="H151" s="316">
        <v>-3.1699999999999999E-2</v>
      </c>
    </row>
    <row r="152" spans="1:8" x14ac:dyDescent="0.3">
      <c r="A152" s="1" t="s">
        <v>455</v>
      </c>
      <c r="B152" s="1">
        <v>16.45</v>
      </c>
      <c r="C152" s="316">
        <v>2.3999999999999998E-3</v>
      </c>
      <c r="F152" s="1" t="s">
        <v>455</v>
      </c>
      <c r="G152" s="317">
        <v>2872.79</v>
      </c>
      <c r="H152" s="316">
        <v>3.3E-3</v>
      </c>
    </row>
    <row r="153" spans="1:8" x14ac:dyDescent="0.3">
      <c r="A153" s="1" t="s">
        <v>456</v>
      </c>
      <c r="B153" s="1">
        <v>16.41</v>
      </c>
      <c r="C153" s="316">
        <v>1.6999999999999999E-3</v>
      </c>
      <c r="F153" s="1" t="s">
        <v>456</v>
      </c>
      <c r="G153" s="317">
        <v>2863.47</v>
      </c>
      <c r="H153" s="316">
        <v>6.4999999999999997E-3</v>
      </c>
    </row>
    <row r="154" spans="1:8" x14ac:dyDescent="0.3">
      <c r="A154" s="1" t="s">
        <v>457</v>
      </c>
      <c r="B154" s="1">
        <v>16.382000000000001</v>
      </c>
      <c r="C154" s="316">
        <v>-1.4200000000000001E-2</v>
      </c>
      <c r="F154" s="1" t="s">
        <v>457</v>
      </c>
      <c r="G154" s="317">
        <v>2844.87</v>
      </c>
      <c r="H154" s="316">
        <v>1.1999999999999999E-3</v>
      </c>
    </row>
    <row r="155" spans="1:8" x14ac:dyDescent="0.3">
      <c r="A155" s="1" t="s">
        <v>458</v>
      </c>
      <c r="B155" s="1">
        <v>16.617999999999999</v>
      </c>
      <c r="C155" s="316">
        <v>-4.0599999999999997E-2</v>
      </c>
      <c r="F155" s="1" t="s">
        <v>458</v>
      </c>
      <c r="G155" s="317">
        <v>2841.47</v>
      </c>
      <c r="H155" s="316">
        <v>-2.46E-2</v>
      </c>
    </row>
    <row r="156" spans="1:8" x14ac:dyDescent="0.3">
      <c r="A156" s="1" t="s">
        <v>459</v>
      </c>
      <c r="B156" s="1">
        <v>17.321999999999999</v>
      </c>
      <c r="C156" s="316">
        <v>2.7000000000000001E-3</v>
      </c>
      <c r="F156" s="1" t="s">
        <v>459</v>
      </c>
      <c r="G156" s="317">
        <v>2913.05</v>
      </c>
      <c r="H156" s="316">
        <v>1.41E-2</v>
      </c>
    </row>
    <row r="157" spans="1:8" x14ac:dyDescent="0.3">
      <c r="A157" s="1" t="s">
        <v>460</v>
      </c>
      <c r="B157" s="1">
        <v>17.276</v>
      </c>
      <c r="C157" s="316">
        <v>9.5999999999999992E-3</v>
      </c>
      <c r="F157" s="1" t="s">
        <v>460</v>
      </c>
      <c r="G157" s="317">
        <v>2872.44</v>
      </c>
      <c r="H157" s="316">
        <v>1.18E-2</v>
      </c>
    </row>
    <row r="158" spans="1:8" x14ac:dyDescent="0.3">
      <c r="A158" s="1" t="s">
        <v>461</v>
      </c>
      <c r="B158" s="1">
        <v>17.111999999999998</v>
      </c>
      <c r="C158" s="316">
        <v>-4.8000000000000001E-2</v>
      </c>
      <c r="F158" s="1" t="s">
        <v>461</v>
      </c>
      <c r="G158" s="317">
        <v>2838.95</v>
      </c>
      <c r="H158" s="316">
        <v>-9.9000000000000008E-3</v>
      </c>
    </row>
    <row r="159" spans="1:8" x14ac:dyDescent="0.3">
      <c r="A159" s="1" t="s">
        <v>462</v>
      </c>
      <c r="B159" s="1">
        <v>17.974</v>
      </c>
      <c r="C159" s="316">
        <v>-1.3299999999999999E-2</v>
      </c>
      <c r="F159" s="1" t="s">
        <v>462</v>
      </c>
      <c r="G159" s="317">
        <v>2867.2</v>
      </c>
      <c r="H159" s="316">
        <v>-5.1000000000000004E-3</v>
      </c>
    </row>
    <row r="160" spans="1:8" x14ac:dyDescent="0.3">
      <c r="A160" s="1" t="s">
        <v>463</v>
      </c>
      <c r="B160" s="1">
        <v>18.216000000000001</v>
      </c>
      <c r="C160" s="316">
        <v>8.9999999999999998E-4</v>
      </c>
      <c r="F160" s="1" t="s">
        <v>463</v>
      </c>
      <c r="G160" s="317">
        <v>2881.91</v>
      </c>
      <c r="H160" s="316">
        <v>2.0199999999999999E-2</v>
      </c>
    </row>
    <row r="161" spans="1:8" x14ac:dyDescent="0.3">
      <c r="A161" s="1" t="s">
        <v>464</v>
      </c>
      <c r="B161" s="1">
        <v>18.2</v>
      </c>
      <c r="C161" s="316">
        <v>2.3300000000000001E-2</v>
      </c>
      <c r="F161" s="1" t="s">
        <v>464</v>
      </c>
      <c r="G161" s="317">
        <v>2824.71</v>
      </c>
      <c r="H161" s="316">
        <v>4.7999999999999996E-3</v>
      </c>
    </row>
    <row r="162" spans="1:8" x14ac:dyDescent="0.3">
      <c r="A162" s="1" t="s">
        <v>465</v>
      </c>
      <c r="B162" s="1">
        <v>17.786000000000001</v>
      </c>
      <c r="C162" s="316">
        <v>1.2999999999999999E-2</v>
      </c>
      <c r="F162" s="1" t="s">
        <v>465</v>
      </c>
      <c r="G162" s="317">
        <v>2811.29</v>
      </c>
      <c r="H162" s="316">
        <v>2.4299999999999999E-2</v>
      </c>
    </row>
    <row r="163" spans="1:8" x14ac:dyDescent="0.3">
      <c r="A163" s="1" t="s">
        <v>466</v>
      </c>
      <c r="B163" s="1">
        <v>17.558</v>
      </c>
      <c r="C163" s="316">
        <v>-4.6600000000000003E-2</v>
      </c>
      <c r="F163" s="1" t="s">
        <v>466</v>
      </c>
      <c r="G163" s="317">
        <v>2744.67</v>
      </c>
      <c r="H163" s="316">
        <v>-2.53E-2</v>
      </c>
    </row>
    <row r="164" spans="1:8" x14ac:dyDescent="0.3">
      <c r="A164" s="1" t="s">
        <v>467</v>
      </c>
      <c r="B164" s="1">
        <v>18.416</v>
      </c>
      <c r="C164" s="316">
        <v>-6.6E-3</v>
      </c>
      <c r="F164" s="1" t="s">
        <v>467</v>
      </c>
      <c r="G164" s="317">
        <v>2816.03</v>
      </c>
      <c r="H164" s="316">
        <v>8.6999999999999994E-3</v>
      </c>
    </row>
    <row r="165" spans="1:8" x14ac:dyDescent="0.3">
      <c r="A165" s="1" t="s">
        <v>468</v>
      </c>
      <c r="B165" s="1">
        <v>18.538</v>
      </c>
      <c r="C165" s="316">
        <v>-4.5999999999999999E-2</v>
      </c>
      <c r="F165" s="1" t="s">
        <v>468</v>
      </c>
      <c r="G165" s="317">
        <v>2791.64</v>
      </c>
      <c r="H165" s="316">
        <v>-2.6499999999999999E-2</v>
      </c>
    </row>
    <row r="166" spans="1:8" x14ac:dyDescent="0.3">
      <c r="A166" s="1" t="s">
        <v>469</v>
      </c>
      <c r="B166" s="1">
        <v>19.431999999999999</v>
      </c>
      <c r="C166" s="316">
        <v>-1.67E-2</v>
      </c>
      <c r="F166" s="1" t="s">
        <v>469</v>
      </c>
      <c r="G166" s="317">
        <v>2867.62</v>
      </c>
      <c r="H166" s="316">
        <v>1.1299999999999999E-2</v>
      </c>
    </row>
    <row r="167" spans="1:8" x14ac:dyDescent="0.3">
      <c r="A167" s="1" t="s">
        <v>470</v>
      </c>
      <c r="B167" s="1">
        <v>19.762</v>
      </c>
      <c r="C167" s="316">
        <v>-3.0300000000000001E-2</v>
      </c>
      <c r="F167" s="1" t="s">
        <v>470</v>
      </c>
      <c r="G167" s="317">
        <v>2835.49</v>
      </c>
      <c r="H167" s="316">
        <v>-5.1999999999999998E-3</v>
      </c>
    </row>
    <row r="168" spans="1:8" x14ac:dyDescent="0.3">
      <c r="A168" s="1" t="s">
        <v>471</v>
      </c>
      <c r="B168" s="1">
        <v>20.38</v>
      </c>
      <c r="C168" s="316">
        <v>-2.93E-2</v>
      </c>
      <c r="F168" s="1" t="s">
        <v>471</v>
      </c>
      <c r="G168" s="317">
        <v>2850.44</v>
      </c>
      <c r="H168" s="316">
        <v>-1.32E-2</v>
      </c>
    </row>
    <row r="169" spans="1:8" x14ac:dyDescent="0.3">
      <c r="A169" s="1" t="s">
        <v>472</v>
      </c>
      <c r="B169" s="1">
        <v>20.995000000000001</v>
      </c>
      <c r="C169" s="316">
        <v>-1E-3</v>
      </c>
      <c r="F169" s="1" t="s">
        <v>472</v>
      </c>
      <c r="G169" s="317">
        <v>2888.54</v>
      </c>
      <c r="H169" s="316">
        <v>8.0000000000000004E-4</v>
      </c>
    </row>
    <row r="170" spans="1:8" x14ac:dyDescent="0.3">
      <c r="A170" s="1" t="s">
        <v>473</v>
      </c>
      <c r="B170" s="1">
        <v>21.015000000000001</v>
      </c>
      <c r="C170" s="316">
        <v>-5.0000000000000001E-4</v>
      </c>
      <c r="F170" s="1" t="s">
        <v>473</v>
      </c>
      <c r="G170" s="317">
        <v>2886.18</v>
      </c>
      <c r="H170" s="316">
        <v>-8.6999999999999994E-3</v>
      </c>
    </row>
    <row r="171" spans="1:8" x14ac:dyDescent="0.3">
      <c r="A171" s="1" t="s">
        <v>474</v>
      </c>
      <c r="B171" s="1">
        <v>21.024999999999999</v>
      </c>
      <c r="C171" s="316">
        <v>3.5999999999999999E-3</v>
      </c>
      <c r="F171" s="1" t="s">
        <v>474</v>
      </c>
      <c r="G171" s="317">
        <v>2911.57</v>
      </c>
      <c r="H171" s="316">
        <v>-2.9999999999999997E-4</v>
      </c>
    </row>
    <row r="172" spans="1:8" x14ac:dyDescent="0.3">
      <c r="A172" s="1" t="s">
        <v>475</v>
      </c>
      <c r="B172" s="1">
        <v>20.95</v>
      </c>
      <c r="C172" s="316">
        <v>-3.8E-3</v>
      </c>
      <c r="F172" s="1" t="s">
        <v>475</v>
      </c>
      <c r="G172" s="317">
        <v>2912.32</v>
      </c>
      <c r="H172" s="316">
        <v>5.1000000000000004E-3</v>
      </c>
    </row>
    <row r="173" spans="1:8" x14ac:dyDescent="0.3">
      <c r="A173" s="1" t="s">
        <v>476</v>
      </c>
      <c r="B173" s="1">
        <v>21.03</v>
      </c>
      <c r="C173" s="316">
        <v>-8.3000000000000001E-3</v>
      </c>
      <c r="F173" s="1" t="s">
        <v>476</v>
      </c>
      <c r="G173" s="317">
        <v>2897.44</v>
      </c>
      <c r="H173" s="316">
        <v>6.8999999999999999E-3</v>
      </c>
    </row>
    <row r="174" spans="1:8" x14ac:dyDescent="0.3">
      <c r="A174" s="1" t="s">
        <v>477</v>
      </c>
      <c r="B174" s="1">
        <v>21.204999999999998</v>
      </c>
      <c r="C174" s="316">
        <v>-8.6E-3</v>
      </c>
      <c r="F174" s="1" t="s">
        <v>477</v>
      </c>
      <c r="G174" s="317">
        <v>2877.71</v>
      </c>
      <c r="H174" s="316">
        <v>-6.1999999999999998E-3</v>
      </c>
    </row>
    <row r="175" spans="1:8" x14ac:dyDescent="0.3">
      <c r="A175" s="1" t="s">
        <v>478</v>
      </c>
      <c r="B175" s="1">
        <v>21.39</v>
      </c>
      <c r="C175" s="316">
        <v>1.0200000000000001E-2</v>
      </c>
      <c r="F175" s="1" t="s">
        <v>478</v>
      </c>
      <c r="G175" s="317">
        <v>2895.61</v>
      </c>
      <c r="H175" s="316">
        <v>2.1600000000000001E-2</v>
      </c>
    </row>
    <row r="176" spans="1:8" x14ac:dyDescent="0.3">
      <c r="A176" s="1" t="s">
        <v>479</v>
      </c>
      <c r="B176" s="1">
        <v>21.175000000000001</v>
      </c>
      <c r="C176" s="316">
        <v>-1.4E-2</v>
      </c>
      <c r="F176" s="1" t="s">
        <v>479</v>
      </c>
      <c r="G176" s="317">
        <v>2834.41</v>
      </c>
      <c r="H176" s="316">
        <v>1.1299999999999999E-2</v>
      </c>
    </row>
    <row r="177" spans="1:8" x14ac:dyDescent="0.3">
      <c r="A177" s="1" t="s">
        <v>480</v>
      </c>
      <c r="B177" s="1">
        <v>21.475000000000001</v>
      </c>
      <c r="C177" s="316">
        <v>4.0000000000000001E-3</v>
      </c>
      <c r="F177" s="1" t="s">
        <v>480</v>
      </c>
      <c r="G177" s="317">
        <v>2802.8</v>
      </c>
      <c r="H177" s="316">
        <v>-3.7000000000000002E-3</v>
      </c>
    </row>
    <row r="178" spans="1:8" x14ac:dyDescent="0.3">
      <c r="A178" s="1" t="s">
        <v>481</v>
      </c>
      <c r="B178" s="1">
        <v>21.39</v>
      </c>
      <c r="C178" s="316">
        <v>1.7100000000000001E-2</v>
      </c>
      <c r="F178" s="1" t="s">
        <v>481</v>
      </c>
      <c r="G178" s="317">
        <v>2813.09</v>
      </c>
      <c r="H178" s="316">
        <v>-1.1999999999999999E-3</v>
      </c>
    </row>
    <row r="179" spans="1:8" x14ac:dyDescent="0.3">
      <c r="A179" s="1" t="s">
        <v>482</v>
      </c>
      <c r="B179" s="1">
        <v>21.03</v>
      </c>
      <c r="C179" s="316">
        <v>2.0400000000000001E-2</v>
      </c>
      <c r="F179" s="1" t="s">
        <v>482</v>
      </c>
      <c r="G179" s="317">
        <v>2816.58</v>
      </c>
      <c r="H179" s="316">
        <v>9.5999999999999992E-3</v>
      </c>
    </row>
    <row r="180" spans="1:8" x14ac:dyDescent="0.3">
      <c r="A180" s="1" t="s">
        <v>483</v>
      </c>
      <c r="B180" s="1">
        <v>20.61</v>
      </c>
      <c r="C180" s="316">
        <v>-5.3E-3</v>
      </c>
      <c r="F180" s="1" t="s">
        <v>483</v>
      </c>
      <c r="G180" s="317">
        <v>2789.92</v>
      </c>
      <c r="H180" s="316">
        <v>1.06E-2</v>
      </c>
    </row>
    <row r="181" spans="1:8" x14ac:dyDescent="0.3">
      <c r="A181" s="1" t="s">
        <v>484</v>
      </c>
      <c r="B181" s="1">
        <v>20.72</v>
      </c>
      <c r="C181" s="316">
        <v>3.0099999999999998E-2</v>
      </c>
      <c r="F181" s="1" t="s">
        <v>484</v>
      </c>
      <c r="G181" s="317">
        <v>2760.69</v>
      </c>
      <c r="H181" s="316">
        <v>6.8999999999999999E-3</v>
      </c>
    </row>
    <row r="182" spans="1:8" x14ac:dyDescent="0.3">
      <c r="A182" s="1" t="s">
        <v>485</v>
      </c>
      <c r="B182" s="1">
        <v>20.114999999999998</v>
      </c>
      <c r="C182" s="316">
        <v>6.7000000000000002E-3</v>
      </c>
      <c r="F182" s="1" t="s">
        <v>485</v>
      </c>
      <c r="G182" s="317">
        <v>2741.83</v>
      </c>
      <c r="H182" s="316">
        <v>0</v>
      </c>
    </row>
    <row r="183" spans="1:8" x14ac:dyDescent="0.3">
      <c r="A183" s="1" t="s">
        <v>486</v>
      </c>
      <c r="B183" s="1">
        <v>19.981999999999999</v>
      </c>
      <c r="C183" s="316">
        <v>-3.5999999999999999E-3</v>
      </c>
      <c r="F183" s="1" t="s">
        <v>486</v>
      </c>
      <c r="G183" s="317">
        <v>2741.73</v>
      </c>
      <c r="H183" s="316">
        <v>0</v>
      </c>
    </row>
    <row r="184" spans="1:8" x14ac:dyDescent="0.3">
      <c r="A184" s="1" t="s">
        <v>487</v>
      </c>
      <c r="B184" s="1">
        <v>20.055</v>
      </c>
      <c r="C184" s="316">
        <v>-4.0000000000000001E-3</v>
      </c>
      <c r="F184" s="1" t="s">
        <v>487</v>
      </c>
      <c r="G184" s="317">
        <v>2741.68</v>
      </c>
      <c r="H184" s="316">
        <v>-9.1999999999999998E-3</v>
      </c>
    </row>
    <row r="185" spans="1:8" x14ac:dyDescent="0.3">
      <c r="A185" s="1" t="s">
        <v>488</v>
      </c>
      <c r="B185" s="1">
        <v>20.135000000000002</v>
      </c>
      <c r="C185" s="316">
        <v>2.0000000000000001E-4</v>
      </c>
      <c r="F185" s="1" t="s">
        <v>488</v>
      </c>
      <c r="G185" s="317">
        <v>2767.15</v>
      </c>
      <c r="H185" s="316">
        <v>-3.5000000000000001E-3</v>
      </c>
    </row>
    <row r="186" spans="1:8" x14ac:dyDescent="0.3">
      <c r="A186" s="1" t="s">
        <v>489</v>
      </c>
      <c r="B186" s="1">
        <v>20.13</v>
      </c>
      <c r="C186" s="316">
        <v>1.6500000000000001E-2</v>
      </c>
      <c r="F186" s="1" t="s">
        <v>489</v>
      </c>
      <c r="G186" s="317">
        <v>2776.81</v>
      </c>
      <c r="H186" s="316">
        <v>3.8E-3</v>
      </c>
    </row>
    <row r="187" spans="1:8" x14ac:dyDescent="0.3">
      <c r="A187" s="1" t="s">
        <v>490</v>
      </c>
      <c r="B187" s="1">
        <v>19.803999999999998</v>
      </c>
      <c r="C187" s="316">
        <v>6.4999999999999997E-3</v>
      </c>
      <c r="F187" s="1" t="s">
        <v>490</v>
      </c>
      <c r="G187" s="317">
        <v>2766.2</v>
      </c>
      <c r="H187" s="316">
        <v>-2.2000000000000001E-3</v>
      </c>
    </row>
    <row r="188" spans="1:8" x14ac:dyDescent="0.3">
      <c r="A188" s="1" t="s">
        <v>491</v>
      </c>
      <c r="B188" s="1">
        <v>19.675999999999998</v>
      </c>
      <c r="C188" s="316">
        <v>4.3900000000000002E-2</v>
      </c>
      <c r="F188" s="1" t="s">
        <v>491</v>
      </c>
      <c r="G188" s="317">
        <v>2772.29</v>
      </c>
      <c r="H188" s="316">
        <v>1.9300000000000001E-2</v>
      </c>
    </row>
    <row r="189" spans="1:8" x14ac:dyDescent="0.3">
      <c r="A189" s="1" t="s">
        <v>492</v>
      </c>
      <c r="B189" s="1">
        <v>18.847999999999999</v>
      </c>
      <c r="C189" s="316">
        <v>1.8499999999999999E-2</v>
      </c>
      <c r="F189" s="1" t="s">
        <v>492</v>
      </c>
      <c r="G189" s="317">
        <v>2719.87</v>
      </c>
      <c r="H189" s="316">
        <v>1.5E-3</v>
      </c>
    </row>
    <row r="190" spans="1:8" x14ac:dyDescent="0.3">
      <c r="A190" s="1" t="s">
        <v>493</v>
      </c>
      <c r="B190" s="1">
        <v>18.506</v>
      </c>
      <c r="C190" s="316">
        <v>4.6399999999999997E-2</v>
      </c>
      <c r="F190" s="1" t="s">
        <v>493</v>
      </c>
      <c r="G190" s="317">
        <v>2715.83</v>
      </c>
      <c r="H190" s="316">
        <v>1.6500000000000001E-2</v>
      </c>
    </row>
    <row r="191" spans="1:8" x14ac:dyDescent="0.3">
      <c r="A191" s="1" t="s">
        <v>494</v>
      </c>
      <c r="B191" s="1">
        <v>17.684999999999999</v>
      </c>
      <c r="C191" s="316">
        <v>1.52E-2</v>
      </c>
      <c r="F191" s="1" t="s">
        <v>494</v>
      </c>
      <c r="G191" s="317">
        <v>2671.68</v>
      </c>
      <c r="H191" s="316">
        <v>-8.0000000000000004E-4</v>
      </c>
    </row>
    <row r="192" spans="1:8" x14ac:dyDescent="0.3">
      <c r="A192" s="1" t="s">
        <v>495</v>
      </c>
      <c r="B192" s="1">
        <v>17.420000000000002</v>
      </c>
      <c r="C192" s="316">
        <v>-2.0199999999999999E-2</v>
      </c>
      <c r="F192" s="1" t="s">
        <v>495</v>
      </c>
      <c r="G192" s="317">
        <v>2673.93</v>
      </c>
      <c r="H192" s="316">
        <v>-4.8999999999999998E-3</v>
      </c>
    </row>
    <row r="193" spans="1:8" x14ac:dyDescent="0.3">
      <c r="A193" s="1" t="s">
        <v>496</v>
      </c>
      <c r="B193" s="1">
        <v>17.78</v>
      </c>
      <c r="C193" s="316">
        <v>-5.1999999999999998E-2</v>
      </c>
      <c r="F193" s="1" t="s">
        <v>496</v>
      </c>
      <c r="G193" s="317">
        <v>2687.14</v>
      </c>
      <c r="H193" s="316">
        <v>-1.26E-2</v>
      </c>
    </row>
    <row r="194" spans="1:8" x14ac:dyDescent="0.3">
      <c r="A194" s="1" t="s">
        <v>497</v>
      </c>
      <c r="B194" s="1">
        <v>18.754999999999999</v>
      </c>
      <c r="C194" s="316">
        <v>-1.6000000000000001E-3</v>
      </c>
      <c r="F194" s="1" t="s">
        <v>497</v>
      </c>
      <c r="G194" s="317">
        <v>2721.42</v>
      </c>
      <c r="H194" s="316">
        <v>3.5799999999999998E-2</v>
      </c>
    </row>
    <row r="195" spans="1:8" x14ac:dyDescent="0.3">
      <c r="A195" s="1" t="s">
        <v>498</v>
      </c>
      <c r="B195" s="1">
        <v>18.785</v>
      </c>
      <c r="C195" s="316">
        <v>-2.3099999999999999E-2</v>
      </c>
      <c r="F195" s="1" t="s">
        <v>498</v>
      </c>
      <c r="G195" s="317">
        <v>2627.39</v>
      </c>
      <c r="H195" s="316">
        <v>-5.4000000000000003E-3</v>
      </c>
    </row>
    <row r="196" spans="1:8" x14ac:dyDescent="0.3">
      <c r="A196" s="1" t="s">
        <v>499</v>
      </c>
      <c r="B196" s="1">
        <v>19.23</v>
      </c>
      <c r="C196" s="316">
        <v>-1.23E-2</v>
      </c>
      <c r="F196" s="1" t="s">
        <v>499</v>
      </c>
      <c r="G196" s="317">
        <v>2641.57</v>
      </c>
      <c r="H196" s="316">
        <v>-1.2200000000000001E-2</v>
      </c>
    </row>
    <row r="197" spans="1:8" x14ac:dyDescent="0.3">
      <c r="A197" s="1" t="s">
        <v>500</v>
      </c>
      <c r="B197" s="1">
        <v>19.47</v>
      </c>
      <c r="C197" s="316">
        <v>1.2500000000000001E-2</v>
      </c>
      <c r="F197" s="1" t="s">
        <v>500</v>
      </c>
      <c r="G197" s="317">
        <v>2674.24</v>
      </c>
      <c r="H197" s="316">
        <v>-1.6999999999999999E-3</v>
      </c>
    </row>
    <row r="198" spans="1:8" x14ac:dyDescent="0.3">
      <c r="A198" s="1" t="s">
        <v>501</v>
      </c>
      <c r="B198" s="1">
        <v>19.23</v>
      </c>
      <c r="C198" s="316">
        <v>-1.9599999999999999E-2</v>
      </c>
      <c r="F198" s="1" t="s">
        <v>501</v>
      </c>
      <c r="G198" s="317">
        <v>2678.91</v>
      </c>
      <c r="H198" s="316">
        <v>-9.5999999999999992E-3</v>
      </c>
    </row>
    <row r="199" spans="1:8" x14ac:dyDescent="0.3">
      <c r="A199" s="1" t="s">
        <v>502</v>
      </c>
      <c r="B199" s="1">
        <v>19.614999999999998</v>
      </c>
      <c r="C199" s="316">
        <v>1.7100000000000001E-2</v>
      </c>
      <c r="F199" s="1" t="s">
        <v>502</v>
      </c>
      <c r="G199" s="317">
        <v>2704.97</v>
      </c>
      <c r="H199" s="316">
        <v>1.6E-2</v>
      </c>
    </row>
    <row r="200" spans="1:8" x14ac:dyDescent="0.3">
      <c r="A200" s="1" t="s">
        <v>503</v>
      </c>
      <c r="B200" s="1">
        <v>19.285</v>
      </c>
      <c r="C200" s="316">
        <v>-2.58E-2</v>
      </c>
      <c r="F200" s="1" t="s">
        <v>503</v>
      </c>
      <c r="G200" s="317">
        <v>2662.43</v>
      </c>
      <c r="H200" s="316">
        <v>-1.6999999999999999E-3</v>
      </c>
    </row>
    <row r="201" spans="1:8" x14ac:dyDescent="0.3">
      <c r="A201" s="1" t="s">
        <v>504</v>
      </c>
      <c r="B201" s="1">
        <v>19.795000000000002</v>
      </c>
      <c r="C201" s="316">
        <v>3.9699999999999999E-2</v>
      </c>
      <c r="F201" s="1" t="s">
        <v>504</v>
      </c>
      <c r="G201" s="317">
        <v>2666.96</v>
      </c>
      <c r="H201" s="316">
        <v>5.4999999999999997E-3</v>
      </c>
    </row>
    <row r="202" spans="1:8" x14ac:dyDescent="0.3">
      <c r="A202" s="1" t="s">
        <v>505</v>
      </c>
      <c r="B202" s="1">
        <v>19.04</v>
      </c>
      <c r="C202" s="316">
        <v>2.3999999999999998E-3</v>
      </c>
      <c r="F202" s="1" t="s">
        <v>505</v>
      </c>
      <c r="G202" s="317">
        <v>2652.49</v>
      </c>
      <c r="H202" s="316">
        <v>-2.9999999999999997E-4</v>
      </c>
    </row>
    <row r="203" spans="1:8" x14ac:dyDescent="0.3">
      <c r="A203" s="1" t="s">
        <v>506</v>
      </c>
      <c r="B203" s="1">
        <v>18.995000000000001</v>
      </c>
      <c r="C203" s="316">
        <v>-5.1999999999999998E-3</v>
      </c>
      <c r="F203" s="1" t="s">
        <v>506</v>
      </c>
      <c r="G203" s="317">
        <v>2653.28</v>
      </c>
      <c r="H203" s="316">
        <v>-1.1000000000000001E-3</v>
      </c>
    </row>
    <row r="204" spans="1:8" x14ac:dyDescent="0.3">
      <c r="A204" s="1" t="s">
        <v>507</v>
      </c>
      <c r="B204" s="1">
        <v>19.094999999999999</v>
      </c>
      <c r="C204" s="316">
        <v>-8.0999999999999996E-3</v>
      </c>
      <c r="F204" s="1" t="s">
        <v>507</v>
      </c>
      <c r="G204" s="317">
        <v>2656.08</v>
      </c>
      <c r="H204" s="316">
        <v>-4.5999999999999999E-3</v>
      </c>
    </row>
    <row r="205" spans="1:8" x14ac:dyDescent="0.3">
      <c r="A205" s="1" t="s">
        <v>508</v>
      </c>
      <c r="B205" s="1">
        <v>19.25</v>
      </c>
      <c r="C205" s="316">
        <v>1.4500000000000001E-2</v>
      </c>
      <c r="F205" s="1" t="s">
        <v>508</v>
      </c>
      <c r="G205" s="317">
        <v>2668.33</v>
      </c>
      <c r="H205" s="316">
        <v>1.5800000000000002E-2</v>
      </c>
    </row>
    <row r="206" spans="1:8" x14ac:dyDescent="0.3">
      <c r="A206" s="1" t="s">
        <v>509</v>
      </c>
      <c r="B206" s="1">
        <v>18.975000000000001</v>
      </c>
      <c r="C206" s="316">
        <v>-9.1000000000000004E-3</v>
      </c>
      <c r="F206" s="1" t="s">
        <v>509</v>
      </c>
      <c r="G206" s="317">
        <v>2626.86</v>
      </c>
      <c r="H206" s="316">
        <v>8.0000000000000004E-4</v>
      </c>
    </row>
    <row r="207" spans="1:8" x14ac:dyDescent="0.3">
      <c r="A207" s="1" t="s">
        <v>510</v>
      </c>
      <c r="B207" s="1">
        <v>19.149999999999999</v>
      </c>
      <c r="C207" s="316">
        <v>-0.02</v>
      </c>
      <c r="F207" s="1" t="s">
        <v>510</v>
      </c>
      <c r="G207" s="317">
        <v>2624.87</v>
      </c>
      <c r="H207" s="316">
        <v>-7.0000000000000001E-3</v>
      </c>
    </row>
    <row r="208" spans="1:8" x14ac:dyDescent="0.3">
      <c r="A208" s="1" t="s">
        <v>511</v>
      </c>
      <c r="B208" s="1">
        <v>19.54</v>
      </c>
      <c r="C208" s="316">
        <v>-1.8100000000000002E-2</v>
      </c>
      <c r="F208" s="1" t="s">
        <v>511</v>
      </c>
      <c r="G208" s="317">
        <v>2643.25</v>
      </c>
      <c r="H208" s="316">
        <v>-6.6E-3</v>
      </c>
    </row>
    <row r="209" spans="1:8" x14ac:dyDescent="0.3">
      <c r="A209" s="1" t="s">
        <v>512</v>
      </c>
      <c r="B209" s="1">
        <v>19.899999999999999</v>
      </c>
      <c r="C209" s="316">
        <v>2.8E-3</v>
      </c>
      <c r="F209" s="1" t="s">
        <v>512</v>
      </c>
      <c r="G209" s="317">
        <v>2660.92</v>
      </c>
      <c r="H209" s="316">
        <v>4.4999999999999997E-3</v>
      </c>
    </row>
    <row r="210" spans="1:8" x14ac:dyDescent="0.3">
      <c r="A210" s="1" t="s">
        <v>513</v>
      </c>
      <c r="B210" s="1">
        <v>19.844999999999999</v>
      </c>
      <c r="C210" s="316">
        <v>9.4000000000000004E-3</v>
      </c>
      <c r="F210" s="1" t="s">
        <v>513</v>
      </c>
      <c r="G210" s="317">
        <v>2649.06</v>
      </c>
      <c r="H210" s="316">
        <v>4.4000000000000003E-3</v>
      </c>
    </row>
    <row r="211" spans="1:8" x14ac:dyDescent="0.3">
      <c r="A211" s="1" t="s">
        <v>514</v>
      </c>
      <c r="B211" s="1">
        <v>19.66</v>
      </c>
      <c r="C211" s="316">
        <v>1.84E-2</v>
      </c>
      <c r="F211" s="1" t="s">
        <v>514</v>
      </c>
      <c r="G211" s="317">
        <v>2637.52</v>
      </c>
      <c r="H211" s="316">
        <v>1.37E-2</v>
      </c>
    </row>
    <row r="212" spans="1:8" x14ac:dyDescent="0.3">
      <c r="A212" s="1" t="s">
        <v>515</v>
      </c>
      <c r="B212" s="1">
        <v>19.305</v>
      </c>
      <c r="C212" s="316">
        <v>-8.9999999999999993E-3</v>
      </c>
      <c r="F212" s="1" t="s">
        <v>515</v>
      </c>
      <c r="G212" s="317">
        <v>2601.9299999999998</v>
      </c>
      <c r="H212" s="316">
        <v>3.8E-3</v>
      </c>
    </row>
    <row r="213" spans="1:8" x14ac:dyDescent="0.3">
      <c r="A213" s="1" t="s">
        <v>516</v>
      </c>
      <c r="B213" s="1">
        <v>19.48</v>
      </c>
      <c r="C213" s="316">
        <v>-1.6899999999999998E-2</v>
      </c>
      <c r="F213" s="1" t="s">
        <v>516</v>
      </c>
      <c r="G213" s="317">
        <v>2592.11</v>
      </c>
      <c r="H213" s="316">
        <v>-9.7000000000000003E-3</v>
      </c>
    </row>
    <row r="214" spans="1:8" x14ac:dyDescent="0.3">
      <c r="A214" s="1" t="s">
        <v>517</v>
      </c>
      <c r="B214" s="1">
        <v>19.815000000000001</v>
      </c>
      <c r="C214" s="316">
        <v>-1.7600000000000001E-2</v>
      </c>
      <c r="F214" s="1" t="s">
        <v>517</v>
      </c>
      <c r="G214" s="317">
        <v>2617.5500000000002</v>
      </c>
      <c r="H214" s="316">
        <v>-2.5000000000000001E-3</v>
      </c>
    </row>
    <row r="215" spans="1:8" x14ac:dyDescent="0.3">
      <c r="A215" s="1" t="s">
        <v>518</v>
      </c>
      <c r="B215" s="1">
        <v>20.170000000000002</v>
      </c>
      <c r="C215" s="316">
        <v>2.5899999999999999E-2</v>
      </c>
      <c r="F215" s="1" t="s">
        <v>518</v>
      </c>
      <c r="G215" s="317">
        <v>2623.99</v>
      </c>
      <c r="H215" s="316">
        <v>3.2000000000000002E-3</v>
      </c>
    </row>
    <row r="216" spans="1:8" x14ac:dyDescent="0.3">
      <c r="A216" s="1" t="s">
        <v>519</v>
      </c>
      <c r="B216" s="1">
        <v>19.66</v>
      </c>
      <c r="C216" s="316">
        <v>2.9999999999999997E-4</v>
      </c>
      <c r="F216" s="1" t="s">
        <v>519</v>
      </c>
      <c r="G216" s="317">
        <v>2615.75</v>
      </c>
      <c r="H216" s="316">
        <v>5.3E-3</v>
      </c>
    </row>
    <row r="217" spans="1:8" x14ac:dyDescent="0.3">
      <c r="A217" s="1" t="s">
        <v>520</v>
      </c>
      <c r="B217" s="1">
        <v>19.655000000000001</v>
      </c>
      <c r="C217" s="316">
        <v>-2E-3</v>
      </c>
      <c r="F217" s="1" t="s">
        <v>520</v>
      </c>
      <c r="G217" s="317">
        <v>2601.85</v>
      </c>
      <c r="H217" s="316">
        <v>-5.3E-3</v>
      </c>
    </row>
    <row r="218" spans="1:8" x14ac:dyDescent="0.3">
      <c r="A218" s="1" t="s">
        <v>521</v>
      </c>
      <c r="B218" s="1">
        <v>19.695</v>
      </c>
      <c r="C218" s="316">
        <v>-3.8E-3</v>
      </c>
      <c r="F218" s="1" t="s">
        <v>521</v>
      </c>
      <c r="G218" s="317">
        <v>2615.62</v>
      </c>
      <c r="H218" s="316">
        <v>-6.7999999999999996E-3</v>
      </c>
    </row>
    <row r="219" spans="1:8" x14ac:dyDescent="0.3">
      <c r="A219" s="1" t="s">
        <v>522</v>
      </c>
      <c r="B219" s="1">
        <v>19.77</v>
      </c>
      <c r="C219" s="316">
        <v>-4.3E-3</v>
      </c>
      <c r="F219" s="1" t="s">
        <v>522</v>
      </c>
      <c r="G219" s="317">
        <v>2633.62</v>
      </c>
      <c r="H219" s="316">
        <v>4.4000000000000003E-3</v>
      </c>
    </row>
    <row r="220" spans="1:8" x14ac:dyDescent="0.3">
      <c r="A220" s="1" t="s">
        <v>523</v>
      </c>
      <c r="B220" s="1">
        <v>19.855</v>
      </c>
      <c r="C220" s="316">
        <v>-6.4999999999999997E-3</v>
      </c>
      <c r="F220" s="1" t="s">
        <v>523</v>
      </c>
      <c r="G220" s="317">
        <v>2622.15</v>
      </c>
      <c r="H220" s="316">
        <v>1.4800000000000001E-2</v>
      </c>
    </row>
    <row r="221" spans="1:8" x14ac:dyDescent="0.3">
      <c r="A221" s="1" t="s">
        <v>524</v>
      </c>
      <c r="B221" s="1">
        <v>19.984999999999999</v>
      </c>
      <c r="C221" s="316">
        <v>6.3E-3</v>
      </c>
      <c r="F221" s="1" t="s">
        <v>524</v>
      </c>
      <c r="G221" s="317">
        <v>2583.9699999999998</v>
      </c>
      <c r="H221" s="316">
        <v>7.7999999999999996E-3</v>
      </c>
    </row>
    <row r="222" spans="1:8" x14ac:dyDescent="0.3">
      <c r="A222" s="1" t="s">
        <v>525</v>
      </c>
      <c r="B222" s="1">
        <v>19.86</v>
      </c>
      <c r="C222" s="316">
        <v>-8.0000000000000004E-4</v>
      </c>
      <c r="F222" s="1" t="s">
        <v>525</v>
      </c>
      <c r="G222" s="317">
        <v>2564.02</v>
      </c>
      <c r="H222" s="316">
        <v>6.0000000000000001E-3</v>
      </c>
    </row>
    <row r="223" spans="1:8" x14ac:dyDescent="0.3">
      <c r="A223" s="1" t="s">
        <v>526</v>
      </c>
      <c r="B223" s="1">
        <v>19.875</v>
      </c>
      <c r="C223" s="316">
        <v>1.2500000000000001E-2</v>
      </c>
      <c r="F223" s="1" t="s">
        <v>526</v>
      </c>
      <c r="G223" s="317">
        <v>2548.64</v>
      </c>
      <c r="H223" s="316">
        <v>4.3E-3</v>
      </c>
    </row>
    <row r="224" spans="1:8" x14ac:dyDescent="0.3">
      <c r="A224" s="1" t="s">
        <v>527</v>
      </c>
      <c r="B224" s="1">
        <v>19.63</v>
      </c>
      <c r="C224" s="316">
        <v>2.4E-2</v>
      </c>
      <c r="F224" s="1" t="s">
        <v>527</v>
      </c>
      <c r="G224" s="317">
        <v>2537.7199999999998</v>
      </c>
      <c r="H224" s="316">
        <v>7.1000000000000004E-3</v>
      </c>
    </row>
    <row r="225" spans="1:8" x14ac:dyDescent="0.3">
      <c r="A225" s="1" t="s">
        <v>528</v>
      </c>
      <c r="B225" s="1">
        <v>19.170000000000002</v>
      </c>
      <c r="C225" s="316">
        <v>1.11E-2</v>
      </c>
      <c r="F225" s="1" t="s">
        <v>528</v>
      </c>
      <c r="G225" s="317">
        <v>2519.85</v>
      </c>
      <c r="H225" s="316">
        <v>1.49E-2</v>
      </c>
    </row>
    <row r="226" spans="1:8" x14ac:dyDescent="0.3">
      <c r="A226" s="1" t="s">
        <v>529</v>
      </c>
      <c r="B226" s="1">
        <v>18.96</v>
      </c>
      <c r="C226" s="316">
        <v>-2.3199999999999998E-2</v>
      </c>
      <c r="F226" s="1" t="s">
        <v>529</v>
      </c>
      <c r="G226" s="317">
        <v>2482.94</v>
      </c>
      <c r="H226" s="316">
        <v>-2.07E-2</v>
      </c>
    </row>
    <row r="227" spans="1:8" x14ac:dyDescent="0.3">
      <c r="A227" s="1" t="s">
        <v>530</v>
      </c>
      <c r="B227" s="1">
        <v>19.41</v>
      </c>
      <c r="C227" s="316">
        <v>-1.9699999999999999E-2</v>
      </c>
      <c r="F227" s="1" t="s">
        <v>530</v>
      </c>
      <c r="G227" s="317">
        <v>2535.33</v>
      </c>
      <c r="H227" s="316">
        <v>-3.2899999999999999E-2</v>
      </c>
    </row>
    <row r="228" spans="1:8" x14ac:dyDescent="0.3">
      <c r="A228" s="1" t="s">
        <v>531</v>
      </c>
      <c r="B228" s="1">
        <v>19.8</v>
      </c>
      <c r="C228" s="316">
        <v>2.7199999999999998E-2</v>
      </c>
      <c r="F228" s="1" t="s">
        <v>531</v>
      </c>
      <c r="G228" s="317">
        <v>2621.7</v>
      </c>
      <c r="H228" s="316">
        <v>3.8999999999999998E-3</v>
      </c>
    </row>
    <row r="229" spans="1:8" x14ac:dyDescent="0.3">
      <c r="A229" s="1" t="s">
        <v>532</v>
      </c>
      <c r="B229" s="1">
        <v>19.274999999999999</v>
      </c>
      <c r="C229" s="316">
        <v>-6.4000000000000003E-3</v>
      </c>
      <c r="F229" s="1" t="s">
        <v>532</v>
      </c>
      <c r="G229" s="317">
        <v>2611.4499999999998</v>
      </c>
      <c r="H229" s="316">
        <v>2.12E-2</v>
      </c>
    </row>
    <row r="230" spans="1:8" x14ac:dyDescent="0.3">
      <c r="A230" s="1" t="s">
        <v>533</v>
      </c>
      <c r="B230" s="1">
        <v>19.399999999999999</v>
      </c>
      <c r="C230" s="316">
        <v>-7.7000000000000002E-3</v>
      </c>
      <c r="F230" s="1" t="s">
        <v>533</v>
      </c>
      <c r="G230" s="317">
        <v>2557.13</v>
      </c>
      <c r="H230" s="316">
        <v>1.61E-2</v>
      </c>
    </row>
    <row r="231" spans="1:8" x14ac:dyDescent="0.3">
      <c r="A231" s="1" t="s">
        <v>534</v>
      </c>
      <c r="B231" s="1">
        <v>19.55</v>
      </c>
      <c r="C231" s="316">
        <v>7.0000000000000001E-3</v>
      </c>
      <c r="F231" s="1" t="s">
        <v>534</v>
      </c>
      <c r="G231" s="317">
        <v>2516.5</v>
      </c>
      <c r="H231" s="316">
        <v>-2.75E-2</v>
      </c>
    </row>
    <row r="232" spans="1:8" x14ac:dyDescent="0.3">
      <c r="A232" s="1" t="s">
        <v>535</v>
      </c>
      <c r="B232" s="1">
        <v>19.414999999999999</v>
      </c>
      <c r="C232" s="316">
        <v>-4.1000000000000003E-3</v>
      </c>
      <c r="F232" s="1" t="s">
        <v>535</v>
      </c>
      <c r="G232" s="317">
        <v>2587.66</v>
      </c>
      <c r="H232" s="316">
        <v>-1.6000000000000001E-3</v>
      </c>
    </row>
    <row r="233" spans="1:8" x14ac:dyDescent="0.3">
      <c r="A233" s="1" t="s">
        <v>536</v>
      </c>
      <c r="B233" s="1">
        <v>19.495000000000001</v>
      </c>
      <c r="C233" s="316">
        <v>3.5999999999999999E-3</v>
      </c>
      <c r="F233" s="1" t="s">
        <v>536</v>
      </c>
      <c r="G233" s="317">
        <v>2591.81</v>
      </c>
      <c r="H233" s="316">
        <v>-1.54E-2</v>
      </c>
    </row>
    <row r="234" spans="1:8" x14ac:dyDescent="0.3">
      <c r="A234" s="1" t="s">
        <v>537</v>
      </c>
      <c r="B234" s="1">
        <v>19.425000000000001</v>
      </c>
      <c r="C234" s="316">
        <v>-5.8999999999999999E-3</v>
      </c>
      <c r="F234" s="1" t="s">
        <v>537</v>
      </c>
      <c r="G234" s="317">
        <v>2632.46</v>
      </c>
      <c r="H234" s="316">
        <v>3.0999999999999999E-3</v>
      </c>
    </row>
    <row r="235" spans="1:8" x14ac:dyDescent="0.3">
      <c r="A235" s="1" t="s">
        <v>538</v>
      </c>
      <c r="B235" s="1">
        <v>19.54</v>
      </c>
      <c r="C235" s="316">
        <v>-8.6E-3</v>
      </c>
      <c r="F235" s="1" t="s">
        <v>538</v>
      </c>
      <c r="G235" s="317">
        <v>2624.4</v>
      </c>
      <c r="H235" s="316">
        <v>-9.7999999999999997E-3</v>
      </c>
    </row>
    <row r="236" spans="1:8" x14ac:dyDescent="0.3">
      <c r="A236" s="1" t="s">
        <v>539</v>
      </c>
      <c r="B236" s="1">
        <v>19.71</v>
      </c>
      <c r="C236" s="316">
        <v>2.2599999999999999E-2</v>
      </c>
      <c r="F236" s="1" t="s">
        <v>539</v>
      </c>
      <c r="G236" s="317">
        <v>2650.3</v>
      </c>
      <c r="H236" s="316">
        <v>9.9000000000000008E-3</v>
      </c>
    </row>
    <row r="237" spans="1:8" x14ac:dyDescent="0.3">
      <c r="A237" s="1" t="s">
        <v>540</v>
      </c>
      <c r="B237" s="1">
        <v>19.274999999999999</v>
      </c>
      <c r="C237" s="316">
        <v>6.4299999999999996E-2</v>
      </c>
      <c r="F237" s="1" t="s">
        <v>540</v>
      </c>
      <c r="G237" s="317">
        <v>2624.41</v>
      </c>
      <c r="H237" s="316">
        <v>1.21E-2</v>
      </c>
    </row>
    <row r="238" spans="1:8" x14ac:dyDescent="0.3">
      <c r="A238" s="1" t="s">
        <v>541</v>
      </c>
      <c r="B238" s="1">
        <v>18.11</v>
      </c>
      <c r="C238" s="316">
        <v>-3.5999999999999999E-3</v>
      </c>
      <c r="F238" s="1" t="s">
        <v>541</v>
      </c>
      <c r="G238" s="317">
        <v>2593.0100000000002</v>
      </c>
      <c r="H238" s="316">
        <v>6.0000000000000001E-3</v>
      </c>
    </row>
    <row r="239" spans="1:8" x14ac:dyDescent="0.3">
      <c r="A239" s="1" t="s">
        <v>542</v>
      </c>
      <c r="B239" s="1">
        <v>18.175000000000001</v>
      </c>
      <c r="C239" s="316">
        <v>-1.84E-2</v>
      </c>
      <c r="F239" s="1" t="s">
        <v>542</v>
      </c>
      <c r="G239" s="317">
        <v>2577.4299999999998</v>
      </c>
      <c r="H239" s="316">
        <v>-5.0000000000000001E-3</v>
      </c>
    </row>
    <row r="240" spans="1:8" x14ac:dyDescent="0.3">
      <c r="A240" s="1" t="s">
        <v>543</v>
      </c>
      <c r="B240" s="1">
        <v>18.515000000000001</v>
      </c>
      <c r="C240" s="316">
        <v>2.3999999999999998E-3</v>
      </c>
      <c r="F240" s="1" t="s">
        <v>543</v>
      </c>
      <c r="G240" s="317">
        <v>2590.4899999999998</v>
      </c>
      <c r="H240" s="316">
        <v>4.1000000000000003E-3</v>
      </c>
    </row>
    <row r="241" spans="1:8" x14ac:dyDescent="0.3">
      <c r="A241" s="1" t="s">
        <v>544</v>
      </c>
      <c r="B241" s="1">
        <v>18.47</v>
      </c>
      <c r="C241" s="316">
        <v>3.0700000000000002E-2</v>
      </c>
      <c r="F241" s="1" t="s">
        <v>544</v>
      </c>
      <c r="G241" s="317">
        <v>2579.89</v>
      </c>
      <c r="H241" s="316">
        <v>2.5000000000000001E-2</v>
      </c>
    </row>
    <row r="242" spans="1:8" x14ac:dyDescent="0.3">
      <c r="A242" s="1" t="s">
        <v>545</v>
      </c>
      <c r="B242" s="1">
        <v>17.920000000000002</v>
      </c>
      <c r="C242" s="316">
        <v>-2.24E-2</v>
      </c>
      <c r="F242" s="1" t="s">
        <v>545</v>
      </c>
      <c r="G242" s="317">
        <v>2517.0300000000002</v>
      </c>
      <c r="H242" s="316">
        <v>-1.1999999999999999E-3</v>
      </c>
    </row>
    <row r="243" spans="1:8" x14ac:dyDescent="0.3">
      <c r="A243" s="1" t="s">
        <v>546</v>
      </c>
      <c r="B243" s="1">
        <v>18.329999999999998</v>
      </c>
      <c r="C243" s="316">
        <v>6.0000000000000001E-3</v>
      </c>
      <c r="F243" s="1" t="s">
        <v>546</v>
      </c>
      <c r="G243" s="317">
        <v>2520.02</v>
      </c>
      <c r="H243" s="316">
        <v>7.1000000000000004E-3</v>
      </c>
    </row>
    <row r="244" spans="1:8" x14ac:dyDescent="0.3">
      <c r="A244" s="1" t="s">
        <v>547</v>
      </c>
      <c r="B244" s="1">
        <v>18.22</v>
      </c>
      <c r="C244" s="316">
        <v>1.2800000000000001E-2</v>
      </c>
      <c r="F244" s="1" t="s">
        <v>547</v>
      </c>
      <c r="G244" s="317">
        <v>2502.21</v>
      </c>
      <c r="H244" s="316">
        <v>9.7000000000000003E-3</v>
      </c>
    </row>
    <row r="245" spans="1:8" x14ac:dyDescent="0.3">
      <c r="A245" s="1" t="s">
        <v>548</v>
      </c>
      <c r="B245" s="1">
        <v>17.989999999999998</v>
      </c>
      <c r="C245" s="316">
        <v>-6.4000000000000003E-3</v>
      </c>
      <c r="F245" s="1" t="s">
        <v>548</v>
      </c>
      <c r="G245" s="317">
        <v>2478.06</v>
      </c>
      <c r="H245" s="316">
        <v>-1.55E-2</v>
      </c>
    </row>
    <row r="246" spans="1:8" x14ac:dyDescent="0.3">
      <c r="A246" s="1" t="s">
        <v>549</v>
      </c>
      <c r="B246" s="1">
        <v>18.105</v>
      </c>
      <c r="C246" s="316">
        <v>9.7999999999999997E-3</v>
      </c>
      <c r="F246" s="1" t="s">
        <v>549</v>
      </c>
      <c r="G246" s="317">
        <v>2516.96</v>
      </c>
      <c r="H246" s="316">
        <v>-5.4000000000000003E-3</v>
      </c>
    </row>
    <row r="247" spans="1:8" x14ac:dyDescent="0.3">
      <c r="A247" s="1" t="s">
        <v>550</v>
      </c>
      <c r="B247" s="1">
        <v>17.93</v>
      </c>
      <c r="C247" s="316">
        <v>-1.4E-2</v>
      </c>
      <c r="F247" s="1" t="s">
        <v>550</v>
      </c>
      <c r="G247" s="317">
        <v>2530.65</v>
      </c>
      <c r="H247" s="316">
        <v>-6.7000000000000002E-3</v>
      </c>
    </row>
    <row r="248" spans="1:8" x14ac:dyDescent="0.3">
      <c r="A248" s="1" t="s">
        <v>551</v>
      </c>
      <c r="B248" s="1">
        <v>18.184999999999999</v>
      </c>
      <c r="C248" s="316">
        <v>2.6499999999999999E-2</v>
      </c>
      <c r="F248" s="1" t="s">
        <v>551</v>
      </c>
      <c r="G248" s="317">
        <v>2547.67</v>
      </c>
      <c r="H248" s="316">
        <v>1.1299999999999999E-2</v>
      </c>
    </row>
    <row r="249" spans="1:8" x14ac:dyDescent="0.3">
      <c r="A249" s="1" t="s">
        <v>552</v>
      </c>
      <c r="B249" s="1">
        <v>17.715</v>
      </c>
      <c r="C249" s="316">
        <v>-2.5000000000000001E-3</v>
      </c>
      <c r="F249" s="1" t="s">
        <v>552</v>
      </c>
      <c r="G249" s="317">
        <v>2519.1</v>
      </c>
      <c r="H249" s="316">
        <v>2.8999999999999998E-3</v>
      </c>
    </row>
    <row r="250" spans="1:8" x14ac:dyDescent="0.3">
      <c r="A250" s="1" t="s">
        <v>553</v>
      </c>
      <c r="B250" s="1">
        <v>17.760000000000002</v>
      </c>
      <c r="C250" s="316">
        <v>3.6200000000000003E-2</v>
      </c>
      <c r="F250" s="1" t="s">
        <v>553</v>
      </c>
      <c r="G250" s="317">
        <v>2511.7199999999998</v>
      </c>
      <c r="H250" s="316">
        <v>1.7000000000000001E-2</v>
      </c>
    </row>
  </sheetData>
  <mergeCells count="2">
    <mergeCell ref="A1:C1"/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6"/>
  <sheetViews>
    <sheetView zoomScale="90" zoomScaleNormal="90" workbookViewId="0">
      <selection activeCell="M30" sqref="M30"/>
    </sheetView>
  </sheetViews>
  <sheetFormatPr defaultRowHeight="14.4" x14ac:dyDescent="0.3"/>
  <cols>
    <col min="1" max="1" width="2.33203125" style="2" customWidth="1"/>
    <col min="2" max="2" width="30.88671875" style="2" customWidth="1"/>
    <col min="3" max="4" width="14.5546875" style="2" customWidth="1"/>
    <col min="5" max="6" width="13.44140625" style="2" customWidth="1"/>
    <col min="7" max="8" width="12.33203125" style="2" customWidth="1"/>
    <col min="9" max="10" width="13.109375" style="2" customWidth="1"/>
    <col min="11" max="12" width="11.77734375" style="2" customWidth="1"/>
    <col min="13" max="13" width="12" style="2" customWidth="1"/>
    <col min="14" max="14" width="13.44140625" style="2" customWidth="1"/>
    <col min="15" max="15" width="12.44140625" style="2" customWidth="1"/>
    <col min="16" max="16" width="12.33203125" style="2" customWidth="1"/>
    <col min="17" max="17" width="13.5546875" style="2" customWidth="1"/>
    <col min="18" max="18" width="4" style="2" customWidth="1"/>
    <col min="19" max="19" width="27.44140625" style="2" customWidth="1"/>
    <col min="20" max="20" width="25.88671875" style="2" customWidth="1"/>
    <col min="21" max="16384" width="8.88671875" style="2"/>
  </cols>
  <sheetData>
    <row r="2" spans="2:22" ht="15" thickBot="1" x14ac:dyDescent="0.35">
      <c r="B2" s="848" t="s">
        <v>209</v>
      </c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8"/>
      <c r="P2" s="848"/>
      <c r="Q2" s="849"/>
    </row>
    <row r="3" spans="2:22" ht="15" thickBot="1" x14ac:dyDescent="0.35">
      <c r="B3" s="175"/>
      <c r="C3" s="478">
        <v>2015</v>
      </c>
      <c r="D3" s="479" t="s">
        <v>215</v>
      </c>
      <c r="E3" s="480">
        <v>2016</v>
      </c>
      <c r="F3" s="481" t="s">
        <v>215</v>
      </c>
      <c r="G3" s="480">
        <v>2017</v>
      </c>
      <c r="H3" s="481" t="s">
        <v>215</v>
      </c>
      <c r="I3" s="480">
        <v>2018</v>
      </c>
      <c r="J3" s="481" t="s">
        <v>215</v>
      </c>
      <c r="K3" s="480">
        <v>2019</v>
      </c>
      <c r="L3" s="481" t="s">
        <v>215</v>
      </c>
      <c r="M3" s="482" t="s">
        <v>46</v>
      </c>
      <c r="N3" s="482" t="s">
        <v>47</v>
      </c>
      <c r="O3" s="482" t="s">
        <v>48</v>
      </c>
      <c r="P3" s="820" t="s">
        <v>49</v>
      </c>
      <c r="Q3" s="755"/>
      <c r="S3" s="319" t="s">
        <v>217</v>
      </c>
      <c r="T3" s="320" t="s">
        <v>216</v>
      </c>
    </row>
    <row r="4" spans="2:22" ht="16.2" thickBot="1" x14ac:dyDescent="0.35">
      <c r="B4" s="176" t="s">
        <v>211</v>
      </c>
      <c r="C4" s="446"/>
      <c r="D4" s="447"/>
      <c r="E4" s="446"/>
      <c r="F4" s="447"/>
      <c r="G4" s="446"/>
      <c r="H4" s="447"/>
      <c r="I4" s="446"/>
      <c r="J4" s="447"/>
      <c r="K4" s="446"/>
      <c r="L4" s="447"/>
      <c r="M4" s="447"/>
      <c r="N4" s="447"/>
      <c r="O4" s="447"/>
      <c r="P4" s="821"/>
      <c r="Q4" s="830"/>
      <c r="S4" s="164" t="s">
        <v>124</v>
      </c>
      <c r="T4" s="321">
        <f>AVERAGE(D5,F5,H5,L5,J5)</f>
        <v>0.11158866102565557</v>
      </c>
    </row>
    <row r="5" spans="2:22" ht="16.2" thickBot="1" x14ac:dyDescent="0.35">
      <c r="B5" s="177" t="s">
        <v>124</v>
      </c>
      <c r="C5" s="448">
        <v>673</v>
      </c>
      <c r="D5" s="449">
        <f>C5/'IS(Forcasted)'!$D$4</f>
        <v>0.11613459879206212</v>
      </c>
      <c r="E5" s="448">
        <v>625</v>
      </c>
      <c r="F5" s="449">
        <f>E5/'IS(Forcasted)'!$E$4</f>
        <v>9.6554920438745556E-2</v>
      </c>
      <c r="G5" s="448">
        <v>860</v>
      </c>
      <c r="H5" s="449">
        <f>G5/'IS(Forcasted)'!$F$4</f>
        <v>0.12176129123601868</v>
      </c>
      <c r="I5" s="448">
        <v>732</v>
      </c>
      <c r="J5" s="449">
        <f>I5/'IS(Forcasted)'!$G$4</f>
        <v>9.6328464271614692E-2</v>
      </c>
      <c r="K5" s="448">
        <v>1021</v>
      </c>
      <c r="L5" s="449">
        <f>'Working Capital Analysis'!K5/'IS(Forcasted)'!H4</f>
        <v>0.12716403038983684</v>
      </c>
      <c r="M5" s="466">
        <f>K5*1.1116</f>
        <v>1134.9435999999998</v>
      </c>
      <c r="N5" s="466">
        <f>'IS(Forcasted)'!J4*'Working Capital Analysis'!$T$4</f>
        <v>1274.6997296692684</v>
      </c>
      <c r="O5" s="466">
        <f>'IS(Forcasted)'!K4*'Working Capital Analysis'!$T$4</f>
        <v>1449.2524353321267</v>
      </c>
      <c r="P5" s="822">
        <f>'IS(Forcasted)'!L4*'Working Capital Analysis'!$T$4</f>
        <v>1632.7269332407448</v>
      </c>
      <c r="Q5" s="831"/>
      <c r="S5" s="164" t="s">
        <v>127</v>
      </c>
      <c r="T5" s="322">
        <f>(L7+J7+H7+F7+D7)/5</f>
        <v>0.12170746579691541</v>
      </c>
    </row>
    <row r="6" spans="2:22" ht="16.2" hidden="1" thickBot="1" x14ac:dyDescent="0.35">
      <c r="B6" s="180" t="s">
        <v>214</v>
      </c>
      <c r="C6" s="451"/>
      <c r="D6" s="452"/>
      <c r="E6" s="451">
        <f>(E5-C5)/C5</f>
        <v>-7.1322436849925702E-2</v>
      </c>
      <c r="F6" s="452"/>
      <c r="G6" s="451">
        <f>(G5-E5)/E5</f>
        <v>0.376</v>
      </c>
      <c r="H6" s="452"/>
      <c r="I6" s="451">
        <f>(I5-G5)/G5</f>
        <v>-0.14883720930232558</v>
      </c>
      <c r="J6" s="452"/>
      <c r="K6" s="451">
        <f>(K5-I5)/I5</f>
        <v>0.3948087431693989</v>
      </c>
      <c r="L6" s="452"/>
      <c r="M6" s="473"/>
      <c r="N6" s="473"/>
      <c r="O6" s="473"/>
      <c r="P6" s="823"/>
      <c r="Q6" s="830"/>
      <c r="S6" s="164" t="s">
        <v>129</v>
      </c>
      <c r="T6" s="323">
        <v>0.01</v>
      </c>
    </row>
    <row r="7" spans="2:22" ht="14.4" customHeight="1" thickBot="1" x14ac:dyDescent="0.35">
      <c r="B7" s="181" t="s">
        <v>232</v>
      </c>
      <c r="C7" s="453">
        <v>742</v>
      </c>
      <c r="D7" s="454">
        <f>C7/'IS(Forcasted)'!$D$4</f>
        <v>0.12804141501294219</v>
      </c>
      <c r="E7" s="453">
        <v>774</v>
      </c>
      <c r="F7" s="454">
        <f>E7/'IS(Forcasted)'!$E$4</f>
        <v>0.1195736134713425</v>
      </c>
      <c r="G7" s="453">
        <v>851</v>
      </c>
      <c r="H7" s="454">
        <f>G7/'IS(Forcasted)'!$F$4</f>
        <v>0.12048704516494407</v>
      </c>
      <c r="I7" s="453">
        <v>980</v>
      </c>
      <c r="J7" s="454">
        <f>I7/'IS(Forcasted)'!$G$4</f>
        <v>0.12896433741281749</v>
      </c>
      <c r="K7" s="453">
        <v>895</v>
      </c>
      <c r="L7" s="454">
        <f>K7/'IS(Forcasted)'!$H$4</f>
        <v>0.11147091792253083</v>
      </c>
      <c r="M7" s="474">
        <f>'IS(Forcasted)'!I4*'Working Capital Analysis'!$T$5</f>
        <v>1004.7585967023108</v>
      </c>
      <c r="N7" s="474">
        <f>'IS(Forcasted)'!J4*'Working Capital Analysis'!$T$5</f>
        <v>1390.2888727591342</v>
      </c>
      <c r="O7" s="474">
        <f>'IS(Forcasted)'!K4*'Working Capital Analysis'!$T$5</f>
        <v>1580.6699317211826</v>
      </c>
      <c r="P7" s="824">
        <f>'IS(Forcasted)'!L4*'Working Capital Analysis'!$T$5</f>
        <v>1780.7818066516056</v>
      </c>
      <c r="Q7" s="831"/>
      <c r="S7" s="164" t="s">
        <v>234</v>
      </c>
      <c r="T7" s="324">
        <f>AVERAGE(D9,F9,H9,J9,L9)</f>
        <v>0.1655825071721278</v>
      </c>
      <c r="V7" s="43">
        <v>0.18</v>
      </c>
    </row>
    <row r="8" spans="2:22" ht="12" hidden="1" customHeight="1" thickBot="1" x14ac:dyDescent="0.35">
      <c r="B8" s="182" t="s">
        <v>129</v>
      </c>
      <c r="C8" s="455">
        <v>43</v>
      </c>
      <c r="D8" s="456">
        <f>C8/'IS(Forcasted)'!$D$4</f>
        <v>7.4201898188093187E-3</v>
      </c>
      <c r="E8" s="455">
        <v>0</v>
      </c>
      <c r="F8" s="457">
        <f>E8/'IS(Forcasted)'!$E$4</f>
        <v>0</v>
      </c>
      <c r="G8" s="455">
        <v>0</v>
      </c>
      <c r="H8" s="457">
        <f>G8/'IS(Forcasted)'!$F$4</f>
        <v>0</v>
      </c>
      <c r="I8" s="455">
        <v>0</v>
      </c>
      <c r="J8" s="457">
        <f>I8/'IS(Forcasted)'!$G$4</f>
        <v>0</v>
      </c>
      <c r="K8" s="455">
        <v>0</v>
      </c>
      <c r="L8" s="457">
        <f>K8/'IS(Forcasted)'!$H$4</f>
        <v>0</v>
      </c>
      <c r="M8" s="473"/>
      <c r="N8" s="473"/>
      <c r="O8" s="473"/>
      <c r="P8" s="823"/>
      <c r="Q8" s="830"/>
      <c r="S8" s="164" t="s">
        <v>131</v>
      </c>
      <c r="T8" s="323" t="e">
        <f>(#REF!+#REF!+#REF!+#REF!+#REF!)/5</f>
        <v>#REF!</v>
      </c>
    </row>
    <row r="9" spans="2:22" ht="16.2" thickBot="1" x14ac:dyDescent="0.35">
      <c r="B9" s="177" t="s">
        <v>234</v>
      </c>
      <c r="C9" s="448">
        <v>1129</v>
      </c>
      <c r="D9" s="449">
        <f>C9/'IS(Forcasted)'!$D$4</f>
        <v>0.19482312338222604</v>
      </c>
      <c r="E9" s="448">
        <v>1191</v>
      </c>
      <c r="F9" s="449">
        <f>E9/'IS(Forcasted)'!$E$4</f>
        <v>0.18399505638807354</v>
      </c>
      <c r="G9" s="448">
        <v>300</v>
      </c>
      <c r="H9" s="449">
        <f>G9/'IS(Forcasted)'!$F$4</f>
        <v>4.247486903582047E-2</v>
      </c>
      <c r="I9" s="448">
        <v>1480</v>
      </c>
      <c r="J9" s="449">
        <f>I9/'IS(Forcasted)'!$G$4</f>
        <v>0.19476246874588762</v>
      </c>
      <c r="K9" s="448">
        <v>1701</v>
      </c>
      <c r="L9" s="449">
        <f>K9/'IS(Forcasted)'!$H$4</f>
        <v>0.21185701830863121</v>
      </c>
      <c r="M9" s="466">
        <f>'IS(Forcasted)'!I4*'Working Capital Analysis'!$T$7</f>
        <v>1366.9699426847649</v>
      </c>
      <c r="N9" s="466">
        <v>1425</v>
      </c>
      <c r="O9" s="466">
        <v>1530</v>
      </c>
      <c r="P9" s="822">
        <v>1860</v>
      </c>
      <c r="Q9" s="831"/>
      <c r="S9" s="164"/>
      <c r="T9" s="323"/>
    </row>
    <row r="10" spans="2:22" ht="16.2" thickBot="1" x14ac:dyDescent="0.35">
      <c r="B10" s="183" t="s">
        <v>140</v>
      </c>
      <c r="C10" s="458">
        <f>SUM(C5:C9)</f>
        <v>2587</v>
      </c>
      <c r="D10" s="459"/>
      <c r="E10" s="458">
        <f>SUM(E5:E9)</f>
        <v>2589.9286775631499</v>
      </c>
      <c r="F10" s="459"/>
      <c r="G10" s="458">
        <f>SUM(G5:G9)</f>
        <v>2011.376</v>
      </c>
      <c r="H10" s="459"/>
      <c r="I10" s="458">
        <f>SUM(I5:I9)</f>
        <v>3191.8511627906978</v>
      </c>
      <c r="J10" s="459"/>
      <c r="K10" s="458">
        <f>SUM(K5:K9)</f>
        <v>3617.3948087431695</v>
      </c>
      <c r="L10" s="459"/>
      <c r="M10" s="475">
        <f>SUM(M5:M9)</f>
        <v>3506.6721393870757</v>
      </c>
      <c r="N10" s="475">
        <f>SUM(N5:N9)</f>
        <v>4089.9886024284024</v>
      </c>
      <c r="O10" s="475">
        <f>SUM(O5:O9)</f>
        <v>4559.9223670533092</v>
      </c>
      <c r="P10" s="825">
        <f>SUM(P5:P9)</f>
        <v>5273.5087398923506</v>
      </c>
      <c r="Q10" s="831"/>
      <c r="S10" s="325" t="s">
        <v>218</v>
      </c>
      <c r="T10" s="320" t="s">
        <v>216</v>
      </c>
    </row>
    <row r="11" spans="2:22" ht="16.2" thickBot="1" x14ac:dyDescent="0.35">
      <c r="B11" s="184" t="s">
        <v>210</v>
      </c>
      <c r="C11" s="460"/>
      <c r="D11" s="461"/>
      <c r="E11" s="460"/>
      <c r="F11" s="461"/>
      <c r="G11" s="460"/>
      <c r="H11" s="461"/>
      <c r="I11" s="460"/>
      <c r="J11" s="461"/>
      <c r="K11" s="460"/>
      <c r="L11" s="461"/>
      <c r="M11" s="461"/>
      <c r="N11" s="461"/>
      <c r="O11" s="461"/>
      <c r="P11" s="826"/>
      <c r="Q11" s="830"/>
      <c r="S11" s="164" t="s">
        <v>175</v>
      </c>
      <c r="T11" s="323">
        <f>(D12+F12+H12+J12+L12)/5</f>
        <v>0.14125086905326309</v>
      </c>
    </row>
    <row r="12" spans="2:22" ht="16.2" thickBot="1" x14ac:dyDescent="0.35">
      <c r="B12" s="181" t="s">
        <v>175</v>
      </c>
      <c r="C12" s="453">
        <v>802</v>
      </c>
      <c r="D12" s="454">
        <f>C12/'IS(Forcasted)'!$D$4</f>
        <v>0.13839516824849007</v>
      </c>
      <c r="E12" s="453">
        <v>857</v>
      </c>
      <c r="F12" s="454">
        <f>E12/'IS(Forcasted)'!$E$4</f>
        <v>0.13239610690560791</v>
      </c>
      <c r="G12" s="453">
        <v>1020</v>
      </c>
      <c r="H12" s="454">
        <f>'Working Capital Analysis'!G12/'IS(Forcasted)'!$F$4</f>
        <v>0.1444145547217896</v>
      </c>
      <c r="I12" s="453">
        <v>1181</v>
      </c>
      <c r="J12" s="454">
        <f>I12/'IS(Forcasted)'!$G$4</f>
        <v>0.15541518620871167</v>
      </c>
      <c r="K12" s="453">
        <v>1089</v>
      </c>
      <c r="L12" s="454">
        <f>K12/'IS(Forcasted)'!$H$4</f>
        <v>0.13563332918171628</v>
      </c>
      <c r="M12" s="474">
        <v>862</v>
      </c>
      <c r="N12" s="474">
        <v>1242</v>
      </c>
      <c r="O12" s="474">
        <v>1458</v>
      </c>
      <c r="P12" s="824">
        <v>1985</v>
      </c>
      <c r="Q12" s="831"/>
      <c r="S12" s="169" t="s">
        <v>219</v>
      </c>
      <c r="T12" s="326">
        <v>3.5999999999999997E-2</v>
      </c>
    </row>
    <row r="13" spans="2:22" ht="16.2" thickBot="1" x14ac:dyDescent="0.35">
      <c r="B13" s="186" t="s">
        <v>186</v>
      </c>
      <c r="C13" s="462">
        <f>SUM(C12:C12)</f>
        <v>802</v>
      </c>
      <c r="D13" s="463"/>
      <c r="E13" s="462">
        <f>SUM(E12:E12)</f>
        <v>857</v>
      </c>
      <c r="F13" s="463"/>
      <c r="G13" s="462">
        <f>SUM(G12:G12)</f>
        <v>1020</v>
      </c>
      <c r="H13" s="463"/>
      <c r="I13" s="462">
        <f>SUM(I12:I12)</f>
        <v>1181</v>
      </c>
      <c r="J13" s="463"/>
      <c r="K13" s="462">
        <f>SUM(K12:K12)</f>
        <v>1089</v>
      </c>
      <c r="L13" s="463"/>
      <c r="M13" s="467">
        <f>SUM(M12:M12)</f>
        <v>862</v>
      </c>
      <c r="N13" s="467">
        <f>SUM(N12:N12)</f>
        <v>1242</v>
      </c>
      <c r="O13" s="467">
        <f>SUM(O12:O12)</f>
        <v>1458</v>
      </c>
      <c r="P13" s="827">
        <f>SUM(P12:P12)</f>
        <v>1985</v>
      </c>
      <c r="Q13" s="831"/>
    </row>
    <row r="14" spans="2:22" ht="15.6" x14ac:dyDescent="0.3">
      <c r="B14" s="187" t="s">
        <v>212</v>
      </c>
      <c r="C14" s="464">
        <f>C10-C13</f>
        <v>1785</v>
      </c>
      <c r="D14" s="465"/>
      <c r="E14" s="464">
        <f>E10-E13</f>
        <v>1732.9286775631499</v>
      </c>
      <c r="F14" s="465"/>
      <c r="G14" s="464">
        <f>G10-G13</f>
        <v>991.37599999999998</v>
      </c>
      <c r="H14" s="465"/>
      <c r="I14" s="464">
        <f>I10-I13</f>
        <v>2010.8511627906978</v>
      </c>
      <c r="J14" s="465"/>
      <c r="K14" s="464">
        <v>2428</v>
      </c>
      <c r="L14" s="465"/>
      <c r="M14" s="476">
        <f>M10-M12</f>
        <v>2644.6721393870757</v>
      </c>
      <c r="N14" s="476">
        <f>N10-N12</f>
        <v>2847.9886024284024</v>
      </c>
      <c r="O14" s="476">
        <f>O10-O12</f>
        <v>3101.9223670533092</v>
      </c>
      <c r="P14" s="828">
        <f>P10-P12</f>
        <v>3288.5087398923506</v>
      </c>
      <c r="Q14" s="832"/>
    </row>
    <row r="15" spans="2:22" ht="16.2" thickBot="1" x14ac:dyDescent="0.35">
      <c r="B15" s="468" t="s">
        <v>213</v>
      </c>
      <c r="C15" s="469"/>
      <c r="D15" s="470"/>
      <c r="E15" s="471">
        <f>E14-C14</f>
        <v>-52.071322436850096</v>
      </c>
      <c r="F15" s="472"/>
      <c r="G15" s="471">
        <f>G14-E14</f>
        <v>-741.55267756314993</v>
      </c>
      <c r="H15" s="472"/>
      <c r="I15" s="471">
        <f>I14-G14</f>
        <v>1019.4751627906978</v>
      </c>
      <c r="J15" s="472"/>
      <c r="K15" s="471">
        <f>K14-I14</f>
        <v>417.1488372093022</v>
      </c>
      <c r="L15" s="472"/>
      <c r="M15" s="477">
        <f>M14-K14</f>
        <v>216.67213938707573</v>
      </c>
      <c r="N15" s="477">
        <f>N14-M14</f>
        <v>203.31646304132664</v>
      </c>
      <c r="O15" s="477">
        <f>O14-N14</f>
        <v>253.93376462490687</v>
      </c>
      <c r="P15" s="829">
        <f>P14-O14</f>
        <v>186.58637283904136</v>
      </c>
      <c r="Q15" s="832"/>
    </row>
    <row r="16" spans="2:22" x14ac:dyDescent="0.3"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330"/>
      <c r="N16" s="330"/>
      <c r="O16" s="330"/>
      <c r="P16" s="330"/>
      <c r="Q16" s="330"/>
    </row>
    <row r="17" spans="2:17" x14ac:dyDescent="0.3">
      <c r="B17" s="123"/>
      <c r="C17" s="445"/>
      <c r="D17" s="445"/>
      <c r="E17" s="445"/>
      <c r="F17" s="445"/>
      <c r="G17" s="445"/>
      <c r="H17" s="445"/>
      <c r="I17" s="445"/>
      <c r="J17" s="445"/>
      <c r="K17" s="445"/>
      <c r="L17" s="445"/>
      <c r="N17" s="44"/>
      <c r="P17" s="174"/>
    </row>
    <row r="18" spans="2:17" x14ac:dyDescent="0.3">
      <c r="B18" s="125"/>
      <c r="M18" s="44"/>
      <c r="N18" s="44"/>
      <c r="O18" s="44"/>
      <c r="P18" s="44"/>
      <c r="Q18" s="44"/>
    </row>
    <row r="19" spans="2:17" x14ac:dyDescent="0.3">
      <c r="B19" s="125"/>
    </row>
    <row r="20" spans="2:17" x14ac:dyDescent="0.3">
      <c r="B20" s="125"/>
    </row>
    <row r="21" spans="2:17" x14ac:dyDescent="0.3">
      <c r="B21" s="125"/>
    </row>
    <row r="22" spans="2:17" x14ac:dyDescent="0.3">
      <c r="B22" s="123"/>
      <c r="C22" s="123"/>
      <c r="D22" s="123"/>
      <c r="E22" s="123"/>
      <c r="F22" s="123"/>
      <c r="G22" s="123"/>
    </row>
    <row r="23" spans="2:17" x14ac:dyDescent="0.3">
      <c r="B23" s="125"/>
    </row>
    <row r="24" spans="2:17" x14ac:dyDescent="0.3">
      <c r="B24" s="6"/>
    </row>
    <row r="26" spans="2:17" x14ac:dyDescent="0.3">
      <c r="C26" s="123"/>
      <c r="D26" s="123"/>
      <c r="E26" s="123"/>
      <c r="F26" s="123"/>
      <c r="G26" s="123"/>
    </row>
  </sheetData>
  <mergeCells count="1">
    <mergeCell ref="B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N2" sqref="N2:O6"/>
    </sheetView>
  </sheetViews>
  <sheetFormatPr defaultRowHeight="14.4" x14ac:dyDescent="0.3"/>
  <cols>
    <col min="1" max="1" width="11.77734375" style="2" customWidth="1"/>
    <col min="2" max="2" width="32.5546875" style="2" customWidth="1"/>
    <col min="3" max="3" width="14.109375" style="2" customWidth="1"/>
    <col min="4" max="4" width="13.21875" style="2" customWidth="1"/>
    <col min="5" max="5" width="12.21875" style="2" customWidth="1"/>
    <col min="6" max="6" width="12.6640625" style="2" customWidth="1"/>
    <col min="7" max="7" width="12.33203125" style="2" customWidth="1"/>
    <col min="8" max="9" width="12.88671875" style="2" customWidth="1"/>
    <col min="10" max="10" width="13.33203125" style="2" customWidth="1"/>
    <col min="11" max="11" width="12.77734375" style="2" customWidth="1"/>
    <col min="12" max="12" width="11.21875" style="2" customWidth="1"/>
    <col min="13" max="13" width="8.88671875" style="2"/>
    <col min="14" max="14" width="33.6640625" style="2" customWidth="1"/>
    <col min="15" max="15" width="18.88671875" style="2" customWidth="1"/>
    <col min="16" max="16384" width="8.88671875" style="2"/>
  </cols>
  <sheetData>
    <row r="1" spans="2:15" ht="15" thickBot="1" x14ac:dyDescent="0.35"/>
    <row r="2" spans="2:15" x14ac:dyDescent="0.3">
      <c r="B2" s="284"/>
      <c r="C2" s="285">
        <v>2015</v>
      </c>
      <c r="D2" s="285">
        <v>2016</v>
      </c>
      <c r="E2" s="285">
        <v>2017</v>
      </c>
      <c r="F2" s="285">
        <v>2018</v>
      </c>
      <c r="G2" s="285">
        <v>2019</v>
      </c>
      <c r="H2" s="286">
        <v>2020</v>
      </c>
      <c r="I2" s="286">
        <v>2021</v>
      </c>
      <c r="J2" s="286">
        <v>2022</v>
      </c>
      <c r="K2" s="286">
        <v>2023</v>
      </c>
      <c r="L2" s="287">
        <v>2024</v>
      </c>
      <c r="N2" s="297" t="s">
        <v>281</v>
      </c>
      <c r="O2" s="298" t="s">
        <v>280</v>
      </c>
    </row>
    <row r="3" spans="2:15" x14ac:dyDescent="0.3">
      <c r="B3" s="246" t="s">
        <v>272</v>
      </c>
      <c r="C3" s="123">
        <v>8799</v>
      </c>
      <c r="D3" s="123">
        <v>9712</v>
      </c>
      <c r="E3" s="123">
        <v>10237</v>
      </c>
      <c r="F3" s="123">
        <v>11206</v>
      </c>
      <c r="G3" s="123">
        <v>12038</v>
      </c>
      <c r="H3" s="255">
        <f>G3*(1+$O$3)</f>
        <v>12880.66</v>
      </c>
      <c r="I3" s="255">
        <f>H7</f>
        <v>14045.92</v>
      </c>
      <c r="J3" s="255">
        <f>I7</f>
        <v>15357.53</v>
      </c>
      <c r="K3" s="255">
        <f>J7</f>
        <v>16720.231784</v>
      </c>
      <c r="L3" s="263">
        <f>K7</f>
        <v>18277.471154399998</v>
      </c>
      <c r="N3" s="299" t="s">
        <v>272</v>
      </c>
      <c r="O3" s="300">
        <v>7.0000000000000007E-2</v>
      </c>
    </row>
    <row r="4" spans="2:15" x14ac:dyDescent="0.3">
      <c r="B4" s="269" t="s">
        <v>609</v>
      </c>
      <c r="C4" s="294">
        <v>1025</v>
      </c>
      <c r="D4" s="294">
        <v>716</v>
      </c>
      <c r="E4" s="294">
        <v>1240</v>
      </c>
      <c r="F4" s="294">
        <v>1090</v>
      </c>
      <c r="G4" s="294">
        <v>1276</v>
      </c>
      <c r="H4" s="295">
        <f>G4*(1+$O$4)</f>
        <v>1378.0800000000002</v>
      </c>
      <c r="I4" s="295">
        <f>H4*(1+$O$4)</f>
        <v>1488.3264000000004</v>
      </c>
      <c r="J4" s="295">
        <f>I4*(1+$O$4)</f>
        <v>1607.3925120000006</v>
      </c>
      <c r="K4" s="295">
        <f>J4*(1+$O$4)</f>
        <v>1735.9839129600007</v>
      </c>
      <c r="L4" s="296">
        <f>K4*(1+$O$4)</f>
        <v>1874.8626259968009</v>
      </c>
      <c r="N4" s="299" t="s">
        <v>278</v>
      </c>
      <c r="O4" s="300">
        <v>0.08</v>
      </c>
    </row>
    <row r="5" spans="2:15" x14ac:dyDescent="0.3">
      <c r="B5" s="246" t="s">
        <v>273</v>
      </c>
      <c r="C5" s="123">
        <v>-169</v>
      </c>
      <c r="D5" s="123">
        <v>-171</v>
      </c>
      <c r="E5" s="123">
        <v>-215</v>
      </c>
      <c r="F5" s="123">
        <v>-256</v>
      </c>
      <c r="G5" s="123">
        <v>-191</v>
      </c>
      <c r="H5" s="255">
        <f>G5*(1.02)</f>
        <v>-194.82</v>
      </c>
      <c r="I5" s="255">
        <f>H5*(1.02)</f>
        <v>-198.71639999999999</v>
      </c>
      <c r="J5" s="255">
        <f>I5*(1.02)</f>
        <v>-202.69072800000001</v>
      </c>
      <c r="K5" s="255">
        <f>J5*(1.02)</f>
        <v>-206.74454256000001</v>
      </c>
      <c r="L5" s="263">
        <f>K5*(1.02)</f>
        <v>-210.87943341120001</v>
      </c>
      <c r="N5" s="299" t="s">
        <v>279</v>
      </c>
      <c r="O5" s="300">
        <f>AVERAGE(C16:G16)</f>
        <v>-1.9305477263663079E-2</v>
      </c>
    </row>
    <row r="6" spans="2:15" ht="15" thickBot="1" x14ac:dyDescent="0.35">
      <c r="B6" s="246" t="s">
        <v>276</v>
      </c>
      <c r="C6" s="123">
        <v>57</v>
      </c>
      <c r="D6" s="123">
        <v>-20</v>
      </c>
      <c r="E6" s="123">
        <v>-56</v>
      </c>
      <c r="F6" s="123">
        <v>-2</v>
      </c>
      <c r="G6" s="123">
        <v>25</v>
      </c>
      <c r="H6" s="123">
        <v>-18</v>
      </c>
      <c r="I6" s="123">
        <v>22</v>
      </c>
      <c r="J6" s="123">
        <v>-42</v>
      </c>
      <c r="K6" s="123">
        <v>28</v>
      </c>
      <c r="L6" s="212">
        <v>19</v>
      </c>
      <c r="N6" s="301" t="s">
        <v>275</v>
      </c>
      <c r="O6" s="302">
        <f>AVERAGE(C17:G17)</f>
        <v>-0.82809041574377917</v>
      </c>
    </row>
    <row r="7" spans="2:15" x14ac:dyDescent="0.3">
      <c r="B7" s="288" t="s">
        <v>274</v>
      </c>
      <c r="C7" s="282">
        <f t="shared" ref="C7:L7" si="0">SUM(C3:C6)</f>
        <v>9712</v>
      </c>
      <c r="D7" s="282">
        <f t="shared" si="0"/>
        <v>10237</v>
      </c>
      <c r="E7" s="282">
        <f t="shared" si="0"/>
        <v>11206</v>
      </c>
      <c r="F7" s="282">
        <f t="shared" si="0"/>
        <v>12038</v>
      </c>
      <c r="G7" s="282">
        <f t="shared" si="0"/>
        <v>13148</v>
      </c>
      <c r="H7" s="283">
        <f t="shared" si="0"/>
        <v>14045.92</v>
      </c>
      <c r="I7" s="283">
        <f t="shared" si="0"/>
        <v>15357.53</v>
      </c>
      <c r="J7" s="283">
        <f t="shared" si="0"/>
        <v>16720.231784</v>
      </c>
      <c r="K7" s="283">
        <f t="shared" si="0"/>
        <v>18277.471154399998</v>
      </c>
      <c r="L7" s="289">
        <f t="shared" si="0"/>
        <v>19960.4543469856</v>
      </c>
    </row>
    <row r="8" spans="2:15" x14ac:dyDescent="0.3">
      <c r="B8" s="246" t="s">
        <v>275</v>
      </c>
      <c r="C8" s="123">
        <v>-7619</v>
      </c>
      <c r="D8" s="123">
        <v>-8118</v>
      </c>
      <c r="E8" s="123">
        <v>-8547</v>
      </c>
      <c r="F8" s="123">
        <v>-9000</v>
      </c>
      <c r="G8" s="123">
        <v>-9638</v>
      </c>
      <c r="H8" s="255">
        <f>H3*O6</f>
        <v>-10666.351094454267</v>
      </c>
      <c r="I8" s="255">
        <f>I3*$O$6</f>
        <v>-11631.291732303864</v>
      </c>
      <c r="J8" s="255">
        <f>J3*$O$6</f>
        <v>-12717.423402497561</v>
      </c>
      <c r="K8" s="255">
        <f>K3*$O$6</f>
        <v>-13845.863689344911</v>
      </c>
      <c r="L8" s="263">
        <f>L3*$O$6</f>
        <v>-15135.398686992026</v>
      </c>
    </row>
    <row r="9" spans="2:15" ht="15" thickBot="1" x14ac:dyDescent="0.35">
      <c r="B9" s="290" t="s">
        <v>277</v>
      </c>
      <c r="C9" s="291">
        <f t="shared" ref="C9:L9" si="1">SUM(C7:C8)</f>
        <v>2093</v>
      </c>
      <c r="D9" s="291">
        <f t="shared" si="1"/>
        <v>2119</v>
      </c>
      <c r="E9" s="291">
        <f t="shared" si="1"/>
        <v>2659</v>
      </c>
      <c r="F9" s="291">
        <f t="shared" si="1"/>
        <v>3038</v>
      </c>
      <c r="G9" s="291">
        <f t="shared" si="1"/>
        <v>3510</v>
      </c>
      <c r="H9" s="292">
        <v>3600</v>
      </c>
      <c r="I9" s="292">
        <f t="shared" si="1"/>
        <v>3726.238267696137</v>
      </c>
      <c r="J9" s="292">
        <f t="shared" si="1"/>
        <v>4002.8083815024384</v>
      </c>
      <c r="K9" s="292">
        <f t="shared" si="1"/>
        <v>4431.6074650550872</v>
      </c>
      <c r="L9" s="293">
        <f t="shared" si="1"/>
        <v>4825.0556599935735</v>
      </c>
    </row>
    <row r="10" spans="2:15" x14ac:dyDescent="0.3">
      <c r="B10" s="294" t="s">
        <v>287</v>
      </c>
      <c r="C10" s="294"/>
      <c r="D10" s="294"/>
      <c r="E10" s="294"/>
      <c r="F10" s="294"/>
      <c r="G10" s="295">
        <f>(G9-F9)+'Cashflow Statement'!F5</f>
        <v>1417</v>
      </c>
      <c r="H10" s="295">
        <f>(H9-G9)+'Cashflow Statement'!G5</f>
        <v>1635.6792</v>
      </c>
      <c r="I10" s="295">
        <f>(I9-H9)+'Cashflow Statement'!H5</f>
        <v>1811.7486676961369</v>
      </c>
      <c r="J10" s="295">
        <f>(J9-I9)+'Cashflow Statement'!I5</f>
        <v>2119.4737138063015</v>
      </c>
      <c r="K10" s="295">
        <f>(K9-J9)+'Cashflow Statement'!J5</f>
        <v>2435.2268976326486</v>
      </c>
      <c r="L10" s="295">
        <f>(L9-K9)+'Cashflow Statement'!K5</f>
        <v>2586.7447334664862</v>
      </c>
    </row>
    <row r="11" spans="2:15" x14ac:dyDescent="0.3">
      <c r="B11" s="294"/>
      <c r="C11" s="294"/>
      <c r="D11" s="294"/>
      <c r="E11" s="294"/>
      <c r="F11" s="294"/>
      <c r="G11" s="294"/>
      <c r="H11" s="295"/>
      <c r="I11" s="295"/>
      <c r="J11" s="295"/>
      <c r="K11" s="295"/>
      <c r="L11" s="295"/>
    </row>
    <row r="12" spans="2:15" x14ac:dyDescent="0.3">
      <c r="B12" s="294"/>
      <c r="C12" s="294"/>
      <c r="D12" s="294"/>
      <c r="E12" s="294"/>
      <c r="F12" s="294"/>
      <c r="G12" s="294"/>
      <c r="H12" s="295"/>
      <c r="I12" s="295"/>
      <c r="J12" s="295"/>
      <c r="K12" s="295"/>
      <c r="L12" s="295"/>
    </row>
    <row r="14" spans="2:15" x14ac:dyDescent="0.3">
      <c r="C14" s="43">
        <f>(D3-C3)/C3</f>
        <v>0.10376179111262643</v>
      </c>
      <c r="D14" s="43">
        <f>(E3-D3)/D3</f>
        <v>5.4056836902800658E-2</v>
      </c>
      <c r="E14" s="43">
        <f>(F3-E3)/E3</f>
        <v>9.4656637686822309E-2</v>
      </c>
      <c r="F14" s="43">
        <f>(G3-F3)/F3</f>
        <v>7.4245939675174011E-2</v>
      </c>
    </row>
    <row r="15" spans="2:15" x14ac:dyDescent="0.3">
      <c r="C15" s="43">
        <f>C4/C3</f>
        <v>0.11649051028525968</v>
      </c>
      <c r="D15" s="43">
        <f>D4/D3</f>
        <v>7.3723228995057663E-2</v>
      </c>
      <c r="E15" s="43">
        <f>E4/E3</f>
        <v>0.12112923708117612</v>
      </c>
      <c r="F15" s="43">
        <f>F4/F3</f>
        <v>9.7269320007139032E-2</v>
      </c>
      <c r="G15" s="43">
        <f>G4/G3</f>
        <v>0.10599767403223127</v>
      </c>
    </row>
    <row r="16" spans="2:15" x14ac:dyDescent="0.3">
      <c r="C16" s="43">
        <f>C5/C3</f>
        <v>-1.9206728037276962E-2</v>
      </c>
      <c r="D16" s="43">
        <f>D5/D3</f>
        <v>-1.7607084019769358E-2</v>
      </c>
      <c r="E16" s="43">
        <f>E5/E3</f>
        <v>-2.1002246751978117E-2</v>
      </c>
      <c r="F16" s="43">
        <f>F5/F3</f>
        <v>-2.2844904515438157E-2</v>
      </c>
      <c r="G16" s="43">
        <f>G5/G3</f>
        <v>-1.58664229938528E-2</v>
      </c>
    </row>
    <row r="17" spans="2:7" x14ac:dyDescent="0.3">
      <c r="C17" s="43">
        <f>C8/C3</f>
        <v>-0.86589385157404253</v>
      </c>
      <c r="D17" s="43">
        <f>D8/D3</f>
        <v>-0.83587314662273471</v>
      </c>
      <c r="E17" s="43">
        <f>E8/E3</f>
        <v>-0.83491257204259062</v>
      </c>
      <c r="F17" s="43">
        <f>F8/F3</f>
        <v>-0.80314117437087273</v>
      </c>
      <c r="G17" s="43">
        <f>G8/G3</f>
        <v>-0.80063133410865595</v>
      </c>
    </row>
    <row r="19" spans="2:7" x14ac:dyDescent="0.3">
      <c r="D19" s="2">
        <f>D3-C3</f>
        <v>913</v>
      </c>
      <c r="E19" s="2">
        <f>E3-D3</f>
        <v>525</v>
      </c>
      <c r="F19" s="2">
        <f>F3-E3</f>
        <v>969</v>
      </c>
      <c r="G19" s="2">
        <f>G3-F3</f>
        <v>832</v>
      </c>
    </row>
    <row r="22" spans="2:7" x14ac:dyDescent="0.3">
      <c r="B22" s="2" t="s">
        <v>611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EDFE0736C6034DA1B73B6499FE5831" ma:contentTypeVersion="5" ma:contentTypeDescription="Ein neues Dokument erstellen." ma:contentTypeScope="" ma:versionID="35dbfe096088605d1bdebb84e1d1e03b">
  <xsd:schema xmlns:xsd="http://www.w3.org/2001/XMLSchema" xmlns:xs="http://www.w3.org/2001/XMLSchema" xmlns:p="http://schemas.microsoft.com/office/2006/metadata/properties" xmlns:ns3="7fc39e56-a22c-4e5d-a90f-67bcbbc53399" xmlns:ns4="bea4ecb6-07af-4ba4-ada6-5d91b285663e" targetNamespace="http://schemas.microsoft.com/office/2006/metadata/properties" ma:root="true" ma:fieldsID="06c5c28dce4d7ce7af5734de7ba346e2" ns3:_="" ns4:_="">
    <xsd:import namespace="7fc39e56-a22c-4e5d-a90f-67bcbbc53399"/>
    <xsd:import namespace="bea4ecb6-07af-4ba4-ada6-5d91b28566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39e56-a22c-4e5d-a90f-67bcbbc533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4ecb6-07af-4ba4-ada6-5d91b2856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45EAB8-FE08-4FF4-B859-1EA920671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8D396D-C97D-4893-8817-7E4726B92DDB}">
  <ds:schemaRefs>
    <ds:schemaRef ds:uri="bea4ecb6-07af-4ba4-ada6-5d91b285663e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fc39e56-a22c-4e5d-a90f-67bcbbc5339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A7DBAC6-4C25-4678-BC36-75304E592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39e56-a22c-4e5d-a90f-67bcbbc53399"/>
    <ds:schemaRef ds:uri="bea4ecb6-07af-4ba4-ada6-5d91b2856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Half Yearly Report</vt:lpstr>
      <vt:lpstr>IS(Forcasted)</vt:lpstr>
      <vt:lpstr>Revenue Analysis by Segment</vt:lpstr>
      <vt:lpstr>NET INCOME &amp; FP</vt:lpstr>
      <vt:lpstr>Residual Income</vt:lpstr>
      <vt:lpstr>WACC</vt:lpstr>
      <vt:lpstr>Beta Calculation</vt:lpstr>
      <vt:lpstr>Working Capital Analysis</vt:lpstr>
      <vt:lpstr>Investment Analysis</vt:lpstr>
      <vt:lpstr>Cashflow Statement</vt:lpstr>
      <vt:lpstr>EVA(BV)</vt:lpstr>
      <vt:lpstr>Balance Sheet</vt:lpstr>
      <vt:lpstr>Chart Work</vt:lpstr>
      <vt:lpstr>Historical Analysis</vt:lpstr>
      <vt:lpstr>Rough Work</vt:lpstr>
      <vt:lpstr>CoE</vt:lpstr>
      <vt:lpstr>MV</vt:lpstr>
      <vt:lpstr>'NET INCOME &amp; FP'!NOPAT</vt:lpstr>
      <vt:lpstr>'Residual Income'!NOPAT</vt:lpstr>
      <vt:lpstr>NOPAT</vt:lpstr>
      <vt:lpstr>roe</vt:lpstr>
      <vt:lpstr>'NET INCOME &amp; FP'!WACC</vt:lpstr>
      <vt:lpstr>WACC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RAJAN</dc:creator>
  <cp:lastModifiedBy>AJITH RAJAN</cp:lastModifiedBy>
  <dcterms:created xsi:type="dcterms:W3CDTF">2020-06-12T22:42:19Z</dcterms:created>
  <dcterms:modified xsi:type="dcterms:W3CDTF">2020-07-19T17:45:52Z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0x01010002EDFE0736C6034DA1B73B6499FE5831</vt:lpwstr>
  </property>
</Properties>
</file>