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rtfolio project\M&amp;A\"/>
    </mc:Choice>
  </mc:AlternateContent>
  <xr:revisionPtr revIDLastSave="0" documentId="8_{7DFE3D3F-CFFB-4A7C-9191-E07A98892CF8}" xr6:coauthVersionLast="47" xr6:coauthVersionMax="47" xr10:uidLastSave="{00000000-0000-0000-0000-000000000000}"/>
  <bookViews>
    <workbookView xWindow="-28920" yWindow="-120" windowWidth="29040" windowHeight="15990" activeTab="4" xr2:uid="{4F3FBA8A-639C-43B3-B5A8-55BE65DDA0E6}"/>
  </bookViews>
  <sheets>
    <sheet name="Forecast" sheetId="14" r:id="rId1"/>
    <sheet name="Valuation" sheetId="16" r:id="rId2"/>
    <sheet name="WACC" sheetId="15" r:id="rId3"/>
    <sheet name="Statements of Financial Positio" sheetId="2" r:id="rId4"/>
    <sheet name="Statement of Operations" sheetId="4" r:id="rId5"/>
    <sheet name="Statements of Comprehensive In." sheetId="6" r:id="rId6"/>
    <sheet name="Statements of Cash Flow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16" l="1"/>
  <c r="L41" i="16"/>
  <c r="G36" i="16" l="1"/>
  <c r="AJ18" i="2"/>
  <c r="AK18" i="2"/>
  <c r="AL18" i="2" s="1"/>
  <c r="E36" i="16"/>
  <c r="N11" i="14"/>
  <c r="N5" i="14"/>
  <c r="C36" i="16"/>
  <c r="C38" i="16" s="1"/>
  <c r="D36" i="16"/>
  <c r="F36" i="16"/>
  <c r="C34" i="16"/>
  <c r="D34" i="16"/>
  <c r="E34" i="16"/>
  <c r="F34" i="16"/>
  <c r="G34" i="16"/>
  <c r="G35" i="16" s="1"/>
  <c r="C32" i="16"/>
  <c r="D32" i="16"/>
  <c r="E32" i="16"/>
  <c r="F32" i="16"/>
  <c r="G32" i="16"/>
  <c r="G33" i="16" s="1"/>
  <c r="G37" i="16" l="1"/>
  <c r="D38" i="16"/>
  <c r="E38" i="16"/>
  <c r="G38" i="16"/>
  <c r="F38" i="16"/>
  <c r="C12" i="15"/>
  <c r="C9" i="15" s="1"/>
  <c r="K7" i="15"/>
  <c r="M11" i="14" l="1"/>
  <c r="L11" i="14"/>
  <c r="M5" i="14"/>
  <c r="L5" i="14"/>
  <c r="K11" i="14"/>
  <c r="K5" i="14"/>
  <c r="J5" i="14"/>
  <c r="J11" i="14"/>
  <c r="I11" i="14"/>
  <c r="I5" i="14"/>
  <c r="C12" i="14"/>
  <c r="C16" i="14"/>
  <c r="C22" i="14" s="1"/>
  <c r="C18" i="14"/>
  <c r="H18" i="14"/>
  <c r="G18" i="14"/>
  <c r="F18" i="14"/>
  <c r="E18" i="14"/>
  <c r="D18" i="14"/>
  <c r="H16" i="14"/>
  <c r="H22" i="14" s="1"/>
  <c r="G16" i="14"/>
  <c r="G22" i="14" s="1"/>
  <c r="F16" i="14"/>
  <c r="F22" i="14" s="1"/>
  <c r="E16" i="14"/>
  <c r="E22" i="14" s="1"/>
  <c r="D16" i="14"/>
  <c r="D22" i="14" s="1"/>
  <c r="H12" i="14"/>
  <c r="G12" i="14"/>
  <c r="F12" i="14"/>
  <c r="E12" i="14"/>
  <c r="D12" i="14"/>
  <c r="H6" i="14"/>
  <c r="H7" i="14" s="1"/>
  <c r="G6" i="14"/>
  <c r="G7" i="14" s="1"/>
  <c r="F6" i="14"/>
  <c r="F7" i="14" s="1"/>
  <c r="E6" i="14"/>
  <c r="E7" i="14" s="1"/>
  <c r="D6" i="14"/>
  <c r="D7" i="14" s="1"/>
  <c r="E33" i="16" l="1"/>
  <c r="E35" i="16"/>
  <c r="E37" i="16"/>
  <c r="D33" i="16"/>
  <c r="D37" i="16"/>
  <c r="D35" i="16"/>
  <c r="C33" i="16"/>
  <c r="C37" i="16"/>
  <c r="C35" i="16"/>
  <c r="F33" i="16"/>
  <c r="F37" i="16"/>
  <c r="F35" i="16"/>
  <c r="K6" i="14"/>
  <c r="K7" i="14" s="1"/>
  <c r="I12" i="14"/>
  <c r="M6" i="14"/>
  <c r="M7" i="14" s="1"/>
  <c r="M16" i="14"/>
  <c r="M12" i="14"/>
  <c r="L12" i="14"/>
  <c r="L16" i="14"/>
  <c r="L6" i="14"/>
  <c r="L7" i="14" s="1"/>
  <c r="K12" i="14"/>
  <c r="K16" i="14"/>
  <c r="J16" i="14"/>
  <c r="J12" i="14"/>
  <c r="J6" i="14"/>
  <c r="J7" i="14" s="1"/>
  <c r="I6" i="14"/>
  <c r="I7" i="14" s="1"/>
  <c r="I16" i="14"/>
  <c r="G31" i="5"/>
  <c r="G32" i="5"/>
  <c r="G33" i="5"/>
  <c r="G34" i="5"/>
  <c r="G35" i="5"/>
  <c r="G36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4" i="5"/>
  <c r="G55" i="5"/>
  <c r="G57" i="5"/>
  <c r="G30" i="5"/>
  <c r="G11" i="5"/>
  <c r="G12" i="5"/>
  <c r="G13" i="5"/>
  <c r="G14" i="5"/>
  <c r="G15" i="5"/>
  <c r="G16" i="5"/>
  <c r="G17" i="5"/>
  <c r="G18" i="5"/>
  <c r="G20" i="5"/>
  <c r="G21" i="5"/>
  <c r="G22" i="5"/>
  <c r="G23" i="5"/>
  <c r="G24" i="5"/>
  <c r="G25" i="5"/>
  <c r="G26" i="5"/>
  <c r="G27" i="5"/>
  <c r="G10" i="5"/>
  <c r="G7" i="5"/>
  <c r="C53" i="5"/>
  <c r="C37" i="5"/>
  <c r="C28" i="5"/>
  <c r="G9" i="6"/>
  <c r="G10" i="6"/>
  <c r="G11" i="6"/>
  <c r="G12" i="6"/>
  <c r="G13" i="6"/>
  <c r="G14" i="6"/>
  <c r="G18" i="6"/>
  <c r="G20" i="6"/>
  <c r="G22" i="6"/>
  <c r="G7" i="6"/>
  <c r="C15" i="6"/>
  <c r="C16" i="6" s="1"/>
  <c r="C23" i="6" s="1"/>
  <c r="G23" i="4"/>
  <c r="G26" i="4"/>
  <c r="G29" i="4"/>
  <c r="G30" i="4"/>
  <c r="G33" i="4"/>
  <c r="G34" i="4"/>
  <c r="G37" i="4"/>
  <c r="G38" i="4"/>
  <c r="G41" i="4"/>
  <c r="G42" i="4"/>
  <c r="G22" i="4"/>
  <c r="G7" i="4"/>
  <c r="G10" i="4"/>
  <c r="G11" i="4"/>
  <c r="G12" i="4"/>
  <c r="G15" i="4"/>
  <c r="G16" i="4"/>
  <c r="G17" i="4"/>
  <c r="G19" i="4"/>
  <c r="G6" i="4"/>
  <c r="C39" i="4"/>
  <c r="C35" i="4"/>
  <c r="C31" i="4"/>
  <c r="C24" i="4"/>
  <c r="C13" i="4"/>
  <c r="C8" i="4"/>
  <c r="I28" i="2"/>
  <c r="I29" i="2"/>
  <c r="I30" i="2"/>
  <c r="I31" i="2"/>
  <c r="I32" i="2"/>
  <c r="I33" i="2"/>
  <c r="I34" i="2"/>
  <c r="I35" i="2"/>
  <c r="I36" i="2"/>
  <c r="I37" i="2"/>
  <c r="I40" i="2"/>
  <c r="I41" i="2"/>
  <c r="I42" i="2"/>
  <c r="I43" i="2"/>
  <c r="I44" i="2"/>
  <c r="I45" i="2"/>
  <c r="I46" i="2"/>
  <c r="I49" i="2"/>
  <c r="I50" i="2"/>
  <c r="I51" i="2"/>
  <c r="I52" i="2"/>
  <c r="I53" i="2"/>
  <c r="I54" i="2"/>
  <c r="I56" i="2"/>
  <c r="I27" i="2"/>
  <c r="I22" i="2"/>
  <c r="I21" i="2"/>
  <c r="I20" i="2"/>
  <c r="I19" i="2"/>
  <c r="I18" i="2"/>
  <c r="I17" i="2"/>
  <c r="I16" i="2"/>
  <c r="I14" i="2"/>
  <c r="I13" i="2"/>
  <c r="I12" i="2"/>
  <c r="I11" i="2"/>
  <c r="I10" i="2"/>
  <c r="I9" i="2"/>
  <c r="I8" i="2"/>
  <c r="I7" i="2"/>
  <c r="C55" i="2"/>
  <c r="C57" i="2" s="1"/>
  <c r="C47" i="2"/>
  <c r="C38" i="2"/>
  <c r="C23" i="2"/>
  <c r="C15" i="2"/>
  <c r="H37" i="16" l="1"/>
  <c r="K37" i="16"/>
  <c r="I37" i="16"/>
  <c r="J37" i="16"/>
  <c r="J33" i="16"/>
  <c r="K33" i="16"/>
  <c r="I33" i="16"/>
  <c r="H33" i="16"/>
  <c r="K35" i="16"/>
  <c r="H35" i="16"/>
  <c r="I35" i="16"/>
  <c r="J35" i="16"/>
  <c r="I17" i="14"/>
  <c r="I18" i="14" s="1"/>
  <c r="C56" i="5"/>
  <c r="C58" i="5" s="1"/>
  <c r="C14" i="4"/>
  <c r="C18" i="4" s="1"/>
  <c r="C20" i="4" s="1"/>
  <c r="C25" i="4" s="1"/>
  <c r="C27" i="4" s="1"/>
  <c r="C58" i="2"/>
  <c r="C24" i="2"/>
  <c r="E21" i="2" s="1"/>
  <c r="AA13" i="2"/>
  <c r="U13" i="2"/>
  <c r="O13" i="2"/>
  <c r="AG54" i="2"/>
  <c r="AA54" i="2"/>
  <c r="U54" i="2"/>
  <c r="O54" i="2"/>
  <c r="U45" i="2"/>
  <c r="O45" i="2"/>
  <c r="U36" i="2"/>
  <c r="AA36" i="2"/>
  <c r="O36" i="2"/>
  <c r="E18" i="2" l="1"/>
  <c r="E17" i="2"/>
  <c r="I22" i="14"/>
  <c r="E8" i="2"/>
  <c r="E50" i="2"/>
  <c r="E19" i="2"/>
  <c r="E54" i="2"/>
  <c r="E15" i="2"/>
  <c r="E12" i="2"/>
  <c r="E23" i="2"/>
  <c r="E42" i="2"/>
  <c r="E43" i="2"/>
  <c r="E11" i="2"/>
  <c r="E53" i="2"/>
  <c r="E7" i="2"/>
  <c r="E13" i="2"/>
  <c r="E46" i="2"/>
  <c r="E31" i="2"/>
  <c r="E29" i="2"/>
  <c r="E34" i="2"/>
  <c r="E30" i="2"/>
  <c r="E41" i="2"/>
  <c r="E37" i="2"/>
  <c r="E47" i="2"/>
  <c r="E55" i="2"/>
  <c r="E45" i="2"/>
  <c r="E49" i="2"/>
  <c r="E27" i="2"/>
  <c r="E57" i="2"/>
  <c r="E33" i="2"/>
  <c r="E58" i="2"/>
  <c r="E38" i="2"/>
  <c r="E51" i="2"/>
  <c r="E52" i="2"/>
  <c r="E28" i="2"/>
  <c r="E40" i="2"/>
  <c r="E44" i="2"/>
  <c r="E56" i="2"/>
  <c r="E36" i="2"/>
  <c r="E32" i="2"/>
  <c r="E35" i="2"/>
  <c r="E22" i="2"/>
  <c r="E24" i="2"/>
  <c r="E10" i="2"/>
  <c r="E9" i="2"/>
  <c r="E14" i="2"/>
  <c r="E20" i="2"/>
  <c r="U53" i="5"/>
  <c r="W57" i="5" l="1"/>
  <c r="W55" i="5"/>
  <c r="W54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6" i="5"/>
  <c r="W35" i="5"/>
  <c r="W34" i="5"/>
  <c r="W33" i="5"/>
  <c r="W32" i="5"/>
  <c r="W31" i="5"/>
  <c r="W30" i="5"/>
  <c r="W27" i="5"/>
  <c r="W26" i="5"/>
  <c r="W25" i="5"/>
  <c r="W24" i="5"/>
  <c r="W23" i="5"/>
  <c r="W22" i="5"/>
  <c r="W21" i="5"/>
  <c r="W20" i="5"/>
  <c r="W18" i="5"/>
  <c r="W17" i="5"/>
  <c r="W16" i="5"/>
  <c r="W15" i="5"/>
  <c r="W14" i="5"/>
  <c r="W13" i="5"/>
  <c r="W12" i="5"/>
  <c r="W11" i="5"/>
  <c r="W10" i="5"/>
  <c r="W7" i="5"/>
  <c r="S57" i="5"/>
  <c r="S55" i="5"/>
  <c r="S54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6" i="5"/>
  <c r="S35" i="5"/>
  <c r="S34" i="5"/>
  <c r="S33" i="5"/>
  <c r="S32" i="5"/>
  <c r="S31" i="5"/>
  <c r="S30" i="5"/>
  <c r="S27" i="5"/>
  <c r="S26" i="5"/>
  <c r="S25" i="5"/>
  <c r="S24" i="5"/>
  <c r="S23" i="5"/>
  <c r="S22" i="5"/>
  <c r="S21" i="5"/>
  <c r="S20" i="5"/>
  <c r="S18" i="5"/>
  <c r="S17" i="5"/>
  <c r="S16" i="5"/>
  <c r="S15" i="5"/>
  <c r="S14" i="5"/>
  <c r="S13" i="5"/>
  <c r="S12" i="5"/>
  <c r="S11" i="5"/>
  <c r="S10" i="5"/>
  <c r="S7" i="5"/>
  <c r="O10" i="5"/>
  <c r="O11" i="5"/>
  <c r="O12" i="5"/>
  <c r="O13" i="5"/>
  <c r="O14" i="5"/>
  <c r="O15" i="5"/>
  <c r="O16" i="5"/>
  <c r="O17" i="5"/>
  <c r="O18" i="5"/>
  <c r="O20" i="5"/>
  <c r="O21" i="5"/>
  <c r="O22" i="5"/>
  <c r="O23" i="5"/>
  <c r="O24" i="5"/>
  <c r="O25" i="5"/>
  <c r="O26" i="5"/>
  <c r="O27" i="5"/>
  <c r="O30" i="5"/>
  <c r="O31" i="5"/>
  <c r="O32" i="5"/>
  <c r="O33" i="5"/>
  <c r="O34" i="5"/>
  <c r="O35" i="5"/>
  <c r="O36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4" i="5"/>
  <c r="O55" i="5"/>
  <c r="O57" i="5"/>
  <c r="O7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4" i="5"/>
  <c r="K55" i="5"/>
  <c r="K57" i="5"/>
  <c r="U37" i="5"/>
  <c r="U28" i="5"/>
  <c r="Q53" i="5"/>
  <c r="Q37" i="5"/>
  <c r="Q28" i="5"/>
  <c r="M53" i="5"/>
  <c r="M37" i="5"/>
  <c r="M28" i="5"/>
  <c r="I53" i="5"/>
  <c r="I37" i="5"/>
  <c r="I28" i="5"/>
  <c r="E28" i="5"/>
  <c r="G28" i="5" s="1"/>
  <c r="E37" i="5"/>
  <c r="G37" i="5" s="1"/>
  <c r="E53" i="5"/>
  <c r="G53" i="5" s="1"/>
  <c r="K53" i="5" l="1"/>
  <c r="E56" i="5"/>
  <c r="W53" i="5"/>
  <c r="W37" i="5"/>
  <c r="W28" i="5"/>
  <c r="U56" i="5"/>
  <c r="U58" i="5" s="1"/>
  <c r="S53" i="5"/>
  <c r="S37" i="5"/>
  <c r="Q56" i="5"/>
  <c r="O37" i="5"/>
  <c r="M56" i="5"/>
  <c r="M58" i="5" s="1"/>
  <c r="S28" i="5"/>
  <c r="O53" i="5"/>
  <c r="I56" i="5"/>
  <c r="I58" i="5" s="1"/>
  <c r="O28" i="5"/>
  <c r="U21" i="6"/>
  <c r="U15" i="6"/>
  <c r="U16" i="6" s="1"/>
  <c r="Q21" i="6"/>
  <c r="Q15" i="6"/>
  <c r="Q16" i="6" s="1"/>
  <c r="M21" i="6"/>
  <c r="M15" i="6"/>
  <c r="M16" i="6" s="1"/>
  <c r="I21" i="6"/>
  <c r="I15" i="6"/>
  <c r="I16" i="6" s="1"/>
  <c r="E21" i="6"/>
  <c r="G21" i="6" s="1"/>
  <c r="E15" i="6"/>
  <c r="E16" i="6" l="1"/>
  <c r="G15" i="6"/>
  <c r="G56" i="5"/>
  <c r="E58" i="5"/>
  <c r="G58" i="5" s="1"/>
  <c r="I23" i="6"/>
  <c r="Q23" i="6"/>
  <c r="Q58" i="5"/>
  <c r="W58" i="5" s="1"/>
  <c r="W56" i="5"/>
  <c r="S56" i="5"/>
  <c r="K56" i="5"/>
  <c r="O56" i="5"/>
  <c r="O58" i="5"/>
  <c r="U23" i="6"/>
  <c r="M23" i="6"/>
  <c r="W42" i="4"/>
  <c r="W41" i="4"/>
  <c r="W38" i="4"/>
  <c r="W37" i="4"/>
  <c r="W34" i="4"/>
  <c r="W33" i="4"/>
  <c r="W30" i="4"/>
  <c r="W29" i="4"/>
  <c r="W26" i="4"/>
  <c r="W23" i="4"/>
  <c r="W22" i="4"/>
  <c r="W19" i="4"/>
  <c r="W17" i="4"/>
  <c r="W16" i="4"/>
  <c r="W15" i="4"/>
  <c r="W12" i="4"/>
  <c r="W11" i="4"/>
  <c r="W10" i="4"/>
  <c r="W7" i="4"/>
  <c r="W6" i="4"/>
  <c r="S42" i="4"/>
  <c r="S41" i="4"/>
  <c r="S38" i="4"/>
  <c r="S37" i="4"/>
  <c r="S34" i="4"/>
  <c r="S33" i="4"/>
  <c r="S30" i="4"/>
  <c r="S29" i="4"/>
  <c r="S26" i="4"/>
  <c r="S23" i="4"/>
  <c r="S22" i="4"/>
  <c r="S19" i="4"/>
  <c r="S17" i="4"/>
  <c r="S16" i="4"/>
  <c r="S15" i="4"/>
  <c r="S12" i="4"/>
  <c r="S11" i="4"/>
  <c r="S10" i="4"/>
  <c r="S7" i="4"/>
  <c r="S6" i="4"/>
  <c r="O29" i="4"/>
  <c r="O30" i="4"/>
  <c r="O33" i="4"/>
  <c r="O34" i="4"/>
  <c r="O37" i="4"/>
  <c r="O38" i="4"/>
  <c r="O41" i="4"/>
  <c r="O42" i="4"/>
  <c r="O23" i="4"/>
  <c r="O26" i="4"/>
  <c r="O22" i="4"/>
  <c r="O7" i="4"/>
  <c r="O10" i="4"/>
  <c r="O11" i="4"/>
  <c r="O12" i="4"/>
  <c r="O15" i="4"/>
  <c r="O16" i="4"/>
  <c r="O17" i="4"/>
  <c r="O19" i="4"/>
  <c r="O6" i="4"/>
  <c r="K41" i="4"/>
  <c r="K42" i="4"/>
  <c r="K38" i="4"/>
  <c r="K30" i="4"/>
  <c r="U39" i="4"/>
  <c r="U35" i="4"/>
  <c r="U31" i="4"/>
  <c r="U24" i="4"/>
  <c r="U13" i="4"/>
  <c r="N17" i="14" s="1"/>
  <c r="U8" i="4"/>
  <c r="Q39" i="4"/>
  <c r="Q35" i="4"/>
  <c r="Q31" i="4"/>
  <c r="Q24" i="4"/>
  <c r="Q13" i="4"/>
  <c r="M17" i="14" s="1"/>
  <c r="Q8" i="4"/>
  <c r="M39" i="4"/>
  <c r="M35" i="4"/>
  <c r="M31" i="4"/>
  <c r="M24" i="4"/>
  <c r="M13" i="4"/>
  <c r="L17" i="14" s="1"/>
  <c r="M8" i="4"/>
  <c r="I39" i="4"/>
  <c r="I35" i="4"/>
  <c r="I31" i="4"/>
  <c r="O31" i="4" s="1"/>
  <c r="I24" i="4"/>
  <c r="I13" i="4"/>
  <c r="K17" i="14" s="1"/>
  <c r="I8" i="4"/>
  <c r="E39" i="4"/>
  <c r="G39" i="4" s="1"/>
  <c r="E35" i="4"/>
  <c r="G35" i="4" s="1"/>
  <c r="E31" i="4"/>
  <c r="G31" i="4" s="1"/>
  <c r="E24" i="4"/>
  <c r="G24" i="4" s="1"/>
  <c r="E13" i="4"/>
  <c r="E8" i="4"/>
  <c r="G8" i="4" s="1"/>
  <c r="E14" i="4" l="1"/>
  <c r="G14" i="4" s="1"/>
  <c r="L18" i="14"/>
  <c r="L22" i="14"/>
  <c r="K31" i="4"/>
  <c r="K18" i="14"/>
  <c r="K22" i="14"/>
  <c r="M18" i="14"/>
  <c r="M22" i="14"/>
  <c r="E23" i="6"/>
  <c r="G23" i="6" s="1"/>
  <c r="G16" i="6"/>
  <c r="K58" i="5"/>
  <c r="E18" i="4"/>
  <c r="J17" i="14"/>
  <c r="J22" i="14" s="1"/>
  <c r="G13" i="4"/>
  <c r="S58" i="5"/>
  <c r="W39" i="4"/>
  <c r="W35" i="4"/>
  <c r="W31" i="4"/>
  <c r="W24" i="4"/>
  <c r="W13" i="4"/>
  <c r="U14" i="4"/>
  <c r="U18" i="4" s="1"/>
  <c r="S39" i="4"/>
  <c r="S35" i="4"/>
  <c r="S31" i="4"/>
  <c r="S24" i="4"/>
  <c r="S13" i="4"/>
  <c r="Q14" i="4"/>
  <c r="Q18" i="4" s="1"/>
  <c r="W8" i="4"/>
  <c r="S8" i="4"/>
  <c r="O39" i="4"/>
  <c r="O35" i="4"/>
  <c r="O24" i="4"/>
  <c r="O13" i="4"/>
  <c r="M14" i="4"/>
  <c r="K35" i="4"/>
  <c r="I14" i="4"/>
  <c r="I18" i="4" s="1"/>
  <c r="O8" i="4"/>
  <c r="AE47" i="2"/>
  <c r="AG13" i="2"/>
  <c r="AG36" i="2"/>
  <c r="AG45" i="2"/>
  <c r="Y47" i="2"/>
  <c r="AA45" i="2"/>
  <c r="AG56" i="2"/>
  <c r="AE55" i="2"/>
  <c r="AE57" i="2" s="1"/>
  <c r="AG53" i="2"/>
  <c r="AG52" i="2"/>
  <c r="AG51" i="2"/>
  <c r="AG50" i="2"/>
  <c r="AG49" i="2"/>
  <c r="AG46" i="2"/>
  <c r="AG44" i="2"/>
  <c r="AG43" i="2"/>
  <c r="AG42" i="2"/>
  <c r="AG41" i="2"/>
  <c r="AG40" i="2"/>
  <c r="AE38" i="2"/>
  <c r="K3" i="15" s="1"/>
  <c r="C8" i="15" s="1"/>
  <c r="AG37" i="2"/>
  <c r="AG35" i="2"/>
  <c r="AG34" i="2"/>
  <c r="AG33" i="2"/>
  <c r="AG32" i="2"/>
  <c r="AG31" i="2"/>
  <c r="AG30" i="2"/>
  <c r="AG29" i="2"/>
  <c r="AG28" i="2"/>
  <c r="AG27" i="2"/>
  <c r="AE23" i="2"/>
  <c r="AG23" i="2" s="1"/>
  <c r="AG22" i="2"/>
  <c r="AG21" i="2"/>
  <c r="AG20" i="2"/>
  <c r="AG19" i="2"/>
  <c r="AG18" i="2"/>
  <c r="AG17" i="2"/>
  <c r="AE15" i="2"/>
  <c r="AG14" i="2"/>
  <c r="AG12" i="2"/>
  <c r="AG11" i="2"/>
  <c r="AG10" i="2"/>
  <c r="AG9" i="2"/>
  <c r="AG8" i="2"/>
  <c r="AG7" i="2"/>
  <c r="AA56" i="2"/>
  <c r="Y55" i="2"/>
  <c r="AA53" i="2"/>
  <c r="AA52" i="2"/>
  <c r="AA51" i="2"/>
  <c r="AA50" i="2"/>
  <c r="AA49" i="2"/>
  <c r="AA46" i="2"/>
  <c r="AA44" i="2"/>
  <c r="AA43" i="2"/>
  <c r="AA42" i="2"/>
  <c r="AA41" i="2"/>
  <c r="AA40" i="2"/>
  <c r="Y38" i="2"/>
  <c r="AA37" i="2"/>
  <c r="AA35" i="2"/>
  <c r="AA34" i="2"/>
  <c r="AA33" i="2"/>
  <c r="AA32" i="2"/>
  <c r="AA31" i="2"/>
  <c r="AA30" i="2"/>
  <c r="AA29" i="2"/>
  <c r="AA28" i="2"/>
  <c r="AA27" i="2"/>
  <c r="Y23" i="2"/>
  <c r="AA22" i="2"/>
  <c r="AA21" i="2"/>
  <c r="AA20" i="2"/>
  <c r="AA19" i="2"/>
  <c r="AA18" i="2"/>
  <c r="AA17" i="2"/>
  <c r="Y15" i="2"/>
  <c r="AA14" i="2"/>
  <c r="AA12" i="2"/>
  <c r="AA11" i="2"/>
  <c r="AA10" i="2"/>
  <c r="AA9" i="2"/>
  <c r="AA8" i="2"/>
  <c r="AA7" i="2"/>
  <c r="U56" i="2"/>
  <c r="U50" i="2"/>
  <c r="U51" i="2"/>
  <c r="U52" i="2"/>
  <c r="U53" i="2"/>
  <c r="U49" i="2"/>
  <c r="U41" i="2"/>
  <c r="U42" i="2"/>
  <c r="U43" i="2"/>
  <c r="U44" i="2"/>
  <c r="U46" i="2"/>
  <c r="U40" i="2"/>
  <c r="U37" i="2"/>
  <c r="U28" i="2"/>
  <c r="U29" i="2"/>
  <c r="U30" i="2"/>
  <c r="U31" i="2"/>
  <c r="U32" i="2"/>
  <c r="U33" i="2"/>
  <c r="U34" i="2"/>
  <c r="U35" i="2"/>
  <c r="U27" i="2"/>
  <c r="U18" i="2"/>
  <c r="U19" i="2"/>
  <c r="U20" i="2"/>
  <c r="U21" i="2"/>
  <c r="U22" i="2"/>
  <c r="U17" i="2"/>
  <c r="U8" i="2"/>
  <c r="U9" i="2"/>
  <c r="U10" i="2"/>
  <c r="U11" i="2"/>
  <c r="U12" i="2"/>
  <c r="U14" i="2"/>
  <c r="U7" i="2"/>
  <c r="S55" i="2"/>
  <c r="S57" i="2" s="1"/>
  <c r="S47" i="2"/>
  <c r="S38" i="2"/>
  <c r="S23" i="2"/>
  <c r="S15" i="2"/>
  <c r="O56" i="2"/>
  <c r="O50" i="2"/>
  <c r="O51" i="2"/>
  <c r="O52" i="2"/>
  <c r="O53" i="2"/>
  <c r="O37" i="2"/>
  <c r="O28" i="2"/>
  <c r="O29" i="2"/>
  <c r="O30" i="2"/>
  <c r="O31" i="2"/>
  <c r="O32" i="2"/>
  <c r="O33" i="2"/>
  <c r="O34" i="2"/>
  <c r="O35" i="2"/>
  <c r="M55" i="2"/>
  <c r="M57" i="2" s="1"/>
  <c r="M47" i="2"/>
  <c r="M38" i="2"/>
  <c r="G47" i="2"/>
  <c r="I47" i="2" s="1"/>
  <c r="G55" i="2"/>
  <c r="G38" i="2"/>
  <c r="I38" i="2" s="1"/>
  <c r="U20" i="4" l="1"/>
  <c r="U25" i="4" s="1"/>
  <c r="U27" i="4" s="1"/>
  <c r="C13" i="15"/>
  <c r="G30" i="16"/>
  <c r="C30" i="16"/>
  <c r="F30" i="16"/>
  <c r="I20" i="4"/>
  <c r="I25" i="4" s="1"/>
  <c r="I27" i="4" s="1"/>
  <c r="D30" i="16"/>
  <c r="U47" i="2"/>
  <c r="C29" i="16"/>
  <c r="E29" i="16"/>
  <c r="F29" i="16"/>
  <c r="D29" i="16"/>
  <c r="D31" i="16" s="1"/>
  <c r="D39" i="16" s="1"/>
  <c r="W14" i="4"/>
  <c r="AA23" i="2"/>
  <c r="Q20" i="4"/>
  <c r="Q25" i="4" s="1"/>
  <c r="Q27" i="4" s="1"/>
  <c r="W27" i="4" s="1"/>
  <c r="J18" i="14"/>
  <c r="G57" i="2"/>
  <c r="I57" i="2" s="1"/>
  <c r="I55" i="2"/>
  <c r="K9" i="15"/>
  <c r="AG38" i="2"/>
  <c r="G18" i="4"/>
  <c r="E20" i="4"/>
  <c r="M58" i="2"/>
  <c r="Q37" i="2" s="1"/>
  <c r="Y24" i="2"/>
  <c r="AC13" i="2" s="1"/>
  <c r="AE58" i="2"/>
  <c r="AI54" i="2" s="1"/>
  <c r="U55" i="2"/>
  <c r="U57" i="2"/>
  <c r="Q54" i="2"/>
  <c r="U38" i="2"/>
  <c r="Q29" i="2"/>
  <c r="Q34" i="2"/>
  <c r="W20" i="4"/>
  <c r="W18" i="4"/>
  <c r="M18" i="4"/>
  <c r="S14" i="4"/>
  <c r="O14" i="4"/>
  <c r="AG55" i="2"/>
  <c r="AE24" i="2"/>
  <c r="AI18" i="2" s="1"/>
  <c r="AI9" i="2"/>
  <c r="AI17" i="2"/>
  <c r="AG15" i="2"/>
  <c r="AA15" i="2"/>
  <c r="AG47" i="2"/>
  <c r="AA47" i="2"/>
  <c r="AA38" i="2"/>
  <c r="AA55" i="2"/>
  <c r="Y57" i="2"/>
  <c r="AG57" i="2" s="1"/>
  <c r="S24" i="2"/>
  <c r="S58" i="2"/>
  <c r="O55" i="2"/>
  <c r="G58" i="2"/>
  <c r="I58" i="2" s="1"/>
  <c r="AI11" i="2" l="1"/>
  <c r="AI14" i="2"/>
  <c r="AI12" i="2"/>
  <c r="AI7" i="2"/>
  <c r="AI24" i="2"/>
  <c r="Q33" i="2"/>
  <c r="AI8" i="2"/>
  <c r="AI15" i="2"/>
  <c r="AI23" i="2"/>
  <c r="AI10" i="2"/>
  <c r="Q30" i="2"/>
  <c r="C31" i="16"/>
  <c r="C39" i="16" s="1"/>
  <c r="W25" i="4"/>
  <c r="Q31" i="2"/>
  <c r="F31" i="16"/>
  <c r="F39" i="16" s="1"/>
  <c r="O18" i="4"/>
  <c r="E30" i="16"/>
  <c r="J30" i="16" s="1"/>
  <c r="Q28" i="2"/>
  <c r="Q45" i="2"/>
  <c r="AC15" i="2"/>
  <c r="AC12" i="2"/>
  <c r="AG24" i="2"/>
  <c r="AC21" i="2"/>
  <c r="AC24" i="2"/>
  <c r="Q35" i="2"/>
  <c r="Q32" i="2"/>
  <c r="Q38" i="2"/>
  <c r="Q36" i="2"/>
  <c r="L3" i="15"/>
  <c r="C14" i="15" s="1"/>
  <c r="L7" i="15"/>
  <c r="C15" i="15" s="1"/>
  <c r="AC14" i="2"/>
  <c r="AC7" i="2"/>
  <c r="AI22" i="2"/>
  <c r="AI21" i="2"/>
  <c r="AI19" i="2"/>
  <c r="AI20" i="2"/>
  <c r="Q56" i="2"/>
  <c r="Q57" i="2"/>
  <c r="O57" i="2"/>
  <c r="AC19" i="2"/>
  <c r="G20" i="4"/>
  <c r="E25" i="4"/>
  <c r="G25" i="4" s="1"/>
  <c r="AC23" i="2"/>
  <c r="AC20" i="2"/>
  <c r="AC17" i="2"/>
  <c r="AC18" i="2"/>
  <c r="AC22" i="2"/>
  <c r="AC9" i="2"/>
  <c r="AC10" i="2"/>
  <c r="AC11" i="2"/>
  <c r="AC8" i="2"/>
  <c r="W13" i="2"/>
  <c r="W21" i="2"/>
  <c r="W17" i="2"/>
  <c r="W11" i="2"/>
  <c r="W7" i="2"/>
  <c r="W23" i="2"/>
  <c r="W9" i="2"/>
  <c r="W18" i="2"/>
  <c r="W22" i="2"/>
  <c r="W8" i="2"/>
  <c r="W12" i="2"/>
  <c r="W19" i="2"/>
  <c r="W14" i="2"/>
  <c r="W20" i="2"/>
  <c r="W24" i="2"/>
  <c r="W10" i="2"/>
  <c r="AA24" i="2"/>
  <c r="W15" i="2"/>
  <c r="W54" i="2"/>
  <c r="W45" i="2"/>
  <c r="K36" i="2"/>
  <c r="K45" i="2"/>
  <c r="K54" i="2"/>
  <c r="W36" i="2"/>
  <c r="W55" i="2"/>
  <c r="W53" i="2"/>
  <c r="W43" i="2"/>
  <c r="W40" i="2"/>
  <c r="W31" i="2"/>
  <c r="W35" i="2"/>
  <c r="W28" i="2"/>
  <c r="W32" i="2"/>
  <c r="W42" i="2"/>
  <c r="W34" i="2"/>
  <c r="W56" i="2"/>
  <c r="W50" i="2"/>
  <c r="W49" i="2"/>
  <c r="W44" i="2"/>
  <c r="W37" i="2"/>
  <c r="W30" i="2"/>
  <c r="W57" i="2"/>
  <c r="W51" i="2"/>
  <c r="W41" i="2"/>
  <c r="W46" i="2"/>
  <c r="W29" i="2"/>
  <c r="W33" i="2"/>
  <c r="W58" i="2"/>
  <c r="W52" i="2"/>
  <c r="W47" i="2"/>
  <c r="W27" i="2"/>
  <c r="U58" i="2"/>
  <c r="W38" i="2"/>
  <c r="M20" i="4"/>
  <c r="S18" i="4"/>
  <c r="AI13" i="2"/>
  <c r="AI45" i="2"/>
  <c r="AI56" i="2"/>
  <c r="AI50" i="2"/>
  <c r="AI49" i="2"/>
  <c r="AI44" i="2"/>
  <c r="AI28" i="2"/>
  <c r="AI32" i="2"/>
  <c r="AI36" i="2"/>
  <c r="AI53" i="2"/>
  <c r="AI40" i="2"/>
  <c r="AI27" i="2"/>
  <c r="AI57" i="2"/>
  <c r="AI51" i="2"/>
  <c r="AI41" i="2"/>
  <c r="AI46" i="2"/>
  <c r="AI29" i="2"/>
  <c r="AI33" i="2"/>
  <c r="AI37" i="2"/>
  <c r="AI43" i="2"/>
  <c r="AI58" i="2"/>
  <c r="AI52" i="2"/>
  <c r="AI42" i="2"/>
  <c r="AI47" i="2"/>
  <c r="AI30" i="2"/>
  <c r="AI34" i="2"/>
  <c r="AI55" i="2"/>
  <c r="AI31" i="2"/>
  <c r="AI35" i="2"/>
  <c r="AI38" i="2"/>
  <c r="AA57" i="2"/>
  <c r="Y58" i="2"/>
  <c r="K56" i="2"/>
  <c r="K31" i="2"/>
  <c r="K35" i="2"/>
  <c r="K33" i="2"/>
  <c r="K30" i="2"/>
  <c r="K32" i="2"/>
  <c r="K29" i="2"/>
  <c r="K37" i="2"/>
  <c r="K34" i="2"/>
  <c r="K57" i="2"/>
  <c r="K22" i="4"/>
  <c r="K23" i="4"/>
  <c r="K24" i="4"/>
  <c r="K26" i="4"/>
  <c r="K7" i="5"/>
  <c r="K10" i="5"/>
  <c r="K11" i="5"/>
  <c r="K12" i="5"/>
  <c r="K13" i="5"/>
  <c r="K14" i="5"/>
  <c r="K15" i="5"/>
  <c r="K16" i="5"/>
  <c r="K18" i="5"/>
  <c r="K20" i="5"/>
  <c r="K21" i="5"/>
  <c r="K22" i="5"/>
  <c r="K23" i="5"/>
  <c r="K24" i="5"/>
  <c r="K25" i="5"/>
  <c r="K26" i="5"/>
  <c r="K28" i="5"/>
  <c r="K30" i="5"/>
  <c r="K31" i="5"/>
  <c r="K32" i="5"/>
  <c r="K33" i="5"/>
  <c r="K34" i="5"/>
  <c r="K35" i="5"/>
  <c r="K37" i="5"/>
  <c r="W7" i="6"/>
  <c r="W9" i="6"/>
  <c r="W10" i="6"/>
  <c r="W11" i="6"/>
  <c r="W12" i="6"/>
  <c r="W13" i="6"/>
  <c r="W14" i="6"/>
  <c r="W15" i="6"/>
  <c r="W16" i="6"/>
  <c r="W18" i="6"/>
  <c r="W20" i="6"/>
  <c r="W21" i="6"/>
  <c r="W22" i="6"/>
  <c r="W23" i="6"/>
  <c r="S7" i="6"/>
  <c r="S9" i="6"/>
  <c r="S10" i="6"/>
  <c r="S11" i="6"/>
  <c r="S12" i="6"/>
  <c r="S13" i="6"/>
  <c r="S14" i="6"/>
  <c r="S15" i="6"/>
  <c r="S16" i="6"/>
  <c r="S18" i="6"/>
  <c r="S20" i="6"/>
  <c r="S21" i="6"/>
  <c r="S22" i="6"/>
  <c r="S23" i="6"/>
  <c r="O7" i="6"/>
  <c r="O9" i="6"/>
  <c r="O10" i="6"/>
  <c r="O11" i="6"/>
  <c r="O12" i="6"/>
  <c r="O13" i="6"/>
  <c r="O14" i="6"/>
  <c r="O15" i="6"/>
  <c r="O16" i="6"/>
  <c r="O18" i="6"/>
  <c r="O20" i="6"/>
  <c r="O21" i="6"/>
  <c r="O22" i="6"/>
  <c r="O23" i="6"/>
  <c r="K7" i="6"/>
  <c r="K9" i="6"/>
  <c r="K10" i="6"/>
  <c r="K11" i="6"/>
  <c r="K12" i="6"/>
  <c r="K13" i="6"/>
  <c r="K14" i="6"/>
  <c r="K15" i="6"/>
  <c r="K16" i="6"/>
  <c r="K18" i="6"/>
  <c r="K20" i="6"/>
  <c r="K21" i="6"/>
  <c r="K22" i="6"/>
  <c r="K23" i="6"/>
  <c r="K25" i="4" l="1"/>
  <c r="H30" i="16"/>
  <c r="I30" i="16"/>
  <c r="K30" i="16"/>
  <c r="E31" i="16"/>
  <c r="E39" i="16" s="1"/>
  <c r="C6" i="15"/>
  <c r="M26" i="16"/>
  <c r="E27" i="4"/>
  <c r="G27" i="4" s="1"/>
  <c r="AC45" i="2"/>
  <c r="AC54" i="2"/>
  <c r="M25" i="4"/>
  <c r="S20" i="4"/>
  <c r="O20" i="4"/>
  <c r="AC50" i="2"/>
  <c r="AC57" i="2"/>
  <c r="AC51" i="2"/>
  <c r="AC41" i="2"/>
  <c r="AC46" i="2"/>
  <c r="AC29" i="2"/>
  <c r="AC33" i="2"/>
  <c r="AC37" i="2"/>
  <c r="AC58" i="2"/>
  <c r="AC42" i="2"/>
  <c r="AC47" i="2"/>
  <c r="AC30" i="2"/>
  <c r="AC34" i="2"/>
  <c r="AC38" i="2"/>
  <c r="AC52" i="2"/>
  <c r="AC55" i="2"/>
  <c r="AC53" i="2"/>
  <c r="AC43" i="2"/>
  <c r="AC40" i="2"/>
  <c r="AC31" i="2"/>
  <c r="AC35" i="2"/>
  <c r="AC27" i="2"/>
  <c r="AC56" i="2"/>
  <c r="AC49" i="2"/>
  <c r="AC44" i="2"/>
  <c r="AC28" i="2"/>
  <c r="AC32" i="2"/>
  <c r="AC36" i="2"/>
  <c r="AG58" i="2"/>
  <c r="AA58" i="2"/>
  <c r="K7" i="4"/>
  <c r="K10" i="4"/>
  <c r="K11" i="4"/>
  <c r="K12" i="4"/>
  <c r="K13" i="4"/>
  <c r="K15" i="4"/>
  <c r="K16" i="4"/>
  <c r="K17" i="4"/>
  <c r="K20" i="4"/>
  <c r="K33" i="4"/>
  <c r="K34" i="4"/>
  <c r="K37" i="4"/>
  <c r="K39" i="4"/>
  <c r="K6" i="4"/>
  <c r="M27" i="4" l="1"/>
  <c r="S25" i="4"/>
  <c r="O25" i="4"/>
  <c r="O17" i="2"/>
  <c r="O18" i="2"/>
  <c r="O19" i="2"/>
  <c r="O20" i="2"/>
  <c r="O21" i="2"/>
  <c r="O22" i="2"/>
  <c r="O27" i="2"/>
  <c r="O38" i="2"/>
  <c r="O40" i="2"/>
  <c r="O41" i="2"/>
  <c r="O42" i="2"/>
  <c r="O43" i="2"/>
  <c r="O44" i="2"/>
  <c r="O46" i="2"/>
  <c r="O49" i="2"/>
  <c r="O8" i="2"/>
  <c r="O9" i="2"/>
  <c r="O10" i="2"/>
  <c r="O11" i="2"/>
  <c r="O12" i="2"/>
  <c r="O14" i="2"/>
  <c r="O7" i="2"/>
  <c r="M15" i="2"/>
  <c r="U15" i="2" s="1"/>
  <c r="M23" i="2"/>
  <c r="U23" i="2" s="1"/>
  <c r="S27" i="4" l="1"/>
  <c r="O27" i="4"/>
  <c r="M24" i="2"/>
  <c r="K36" i="5"/>
  <c r="Q13" i="2" l="1"/>
  <c r="U24" i="2"/>
  <c r="K27" i="5"/>
  <c r="K17" i="5"/>
  <c r="K8" i="4"/>
  <c r="K18" i="4"/>
  <c r="Q18" i="2"/>
  <c r="Q22" i="2"/>
  <c r="Q8" i="2"/>
  <c r="Q12" i="2"/>
  <c r="Q20" i="2"/>
  <c r="Q10" i="2"/>
  <c r="Q19" i="2"/>
  <c r="Q9" i="2"/>
  <c r="Q14" i="2"/>
  <c r="Q15" i="2"/>
  <c r="Q7" i="2"/>
  <c r="Q17" i="2"/>
  <c r="Q21" i="2"/>
  <c r="Q11" i="2"/>
  <c r="Q23" i="2"/>
  <c r="Q50" i="2"/>
  <c r="Q49" i="2"/>
  <c r="Q44" i="2"/>
  <c r="Q47" i="2"/>
  <c r="Q51" i="2"/>
  <c r="Q41" i="2"/>
  <c r="Q46" i="2"/>
  <c r="Q40" i="2"/>
  <c r="Q52" i="2"/>
  <c r="Q42" i="2"/>
  <c r="Q53" i="2"/>
  <c r="Q43" i="2"/>
  <c r="Q27" i="2"/>
  <c r="Q55" i="2"/>
  <c r="G23" i="2"/>
  <c r="I23" i="2" s="1"/>
  <c r="G15" i="2"/>
  <c r="I15" i="2" s="1"/>
  <c r="K14" i="4" l="1"/>
  <c r="O23" i="2"/>
  <c r="O47" i="2"/>
  <c r="O15" i="2"/>
  <c r="G24" i="2"/>
  <c r="K13" i="2" l="1"/>
  <c r="I24" i="2"/>
  <c r="K15" i="2"/>
  <c r="K19" i="4"/>
  <c r="O24" i="2"/>
  <c r="K18" i="2"/>
  <c r="K22" i="2"/>
  <c r="K8" i="2"/>
  <c r="K12" i="2"/>
  <c r="K20" i="2"/>
  <c r="K10" i="2"/>
  <c r="K19" i="2"/>
  <c r="K9" i="2"/>
  <c r="K14" i="2"/>
  <c r="K17" i="2"/>
  <c r="K7" i="2"/>
  <c r="K11" i="2"/>
  <c r="K21" i="2"/>
  <c r="O58" i="2"/>
  <c r="K50" i="2"/>
  <c r="K49" i="2"/>
  <c r="K44" i="2"/>
  <c r="K52" i="2"/>
  <c r="K42" i="2"/>
  <c r="K28" i="2"/>
  <c r="K51" i="2"/>
  <c r="K41" i="2"/>
  <c r="K46" i="2"/>
  <c r="K40" i="2"/>
  <c r="K43" i="2"/>
  <c r="K53" i="2"/>
  <c r="K38" i="2"/>
  <c r="K27" i="2"/>
  <c r="K23" i="2"/>
  <c r="K55" i="2"/>
  <c r="K47" i="2"/>
  <c r="K27" i="4" l="1"/>
  <c r="K29" i="4" l="1"/>
  <c r="N18" i="14" l="1"/>
  <c r="N12" i="14"/>
  <c r="N6" i="14"/>
  <c r="N7" i="14" s="1"/>
  <c r="U10" i="14" l="1"/>
  <c r="S8" i="14"/>
  <c r="T9" i="14"/>
  <c r="S13" i="14"/>
  <c r="U15" i="14"/>
  <c r="T14" i="14"/>
  <c r="T20" i="14"/>
  <c r="S19" i="14"/>
  <c r="U21" i="14"/>
  <c r="N16" i="14"/>
  <c r="N22" i="14" s="1"/>
  <c r="Q13" i="14" l="1"/>
  <c r="R13" i="14"/>
  <c r="O13" i="14"/>
  <c r="P13" i="14"/>
  <c r="R19" i="14"/>
  <c r="Q19" i="14"/>
  <c r="O19" i="14"/>
  <c r="P19" i="14"/>
  <c r="G29" i="16"/>
  <c r="G31" i="16" s="1"/>
  <c r="G39" i="16" s="1"/>
  <c r="M27" i="16"/>
  <c r="Q8" i="14"/>
  <c r="O8" i="14"/>
  <c r="O5" i="14" s="1"/>
  <c r="R8" i="14"/>
  <c r="P8" i="14"/>
  <c r="P5" i="14" l="1"/>
  <c r="O11" i="14"/>
  <c r="O17" i="14"/>
  <c r="O18" i="14" s="1"/>
  <c r="O6" i="14"/>
  <c r="O7" i="14" s="1"/>
  <c r="H36" i="16"/>
  <c r="H34" i="16"/>
  <c r="H32" i="16"/>
  <c r="O12" i="14" l="1"/>
  <c r="O16" i="14"/>
  <c r="O22" i="14" s="1"/>
  <c r="P11" i="14"/>
  <c r="Q5" i="14"/>
  <c r="I34" i="16"/>
  <c r="I32" i="16"/>
  <c r="P6" i="14"/>
  <c r="P7" i="14" s="1"/>
  <c r="I36" i="16"/>
  <c r="P17" i="14"/>
  <c r="P18" i="14" s="1"/>
  <c r="P12" i="14" l="1"/>
  <c r="P16" i="14"/>
  <c r="P22" i="14" s="1"/>
  <c r="H29" i="16"/>
  <c r="H31" i="16" s="1"/>
  <c r="H39" i="16" s="1"/>
  <c r="H41" i="16" s="1"/>
  <c r="R5" i="14"/>
  <c r="Q11" i="14"/>
  <c r="Q12" i="14" s="1"/>
  <c r="J36" i="16"/>
  <c r="Q6" i="14"/>
  <c r="Q7" i="14" s="1"/>
  <c r="J32" i="16"/>
  <c r="Q17" i="14"/>
  <c r="Q18" i="14" s="1"/>
  <c r="J34" i="16"/>
  <c r="R11" i="14" l="1"/>
  <c r="K32" i="16"/>
  <c r="K34" i="16"/>
  <c r="K36" i="16"/>
  <c r="R17" i="14"/>
  <c r="R18" i="14" s="1"/>
  <c r="R6" i="14"/>
  <c r="R7" i="14" s="1"/>
  <c r="I29" i="16"/>
  <c r="I31" i="16" s="1"/>
  <c r="I39" i="16" s="1"/>
  <c r="I41" i="16" s="1"/>
  <c r="Q16" i="14"/>
  <c r="Q22" i="14" s="1"/>
  <c r="J29" i="16" l="1"/>
  <c r="J31" i="16" s="1"/>
  <c r="J39" i="16" s="1"/>
  <c r="J41" i="16" s="1"/>
  <c r="R12" i="14"/>
  <c r="R16" i="14"/>
  <c r="R22" i="14" s="1"/>
  <c r="K29" i="16" l="1"/>
  <c r="K31" i="16" s="1"/>
  <c r="K39" i="16" s="1"/>
  <c r="H42" i="16" l="1"/>
  <c r="J42" i="16"/>
  <c r="I42" i="16"/>
  <c r="G42" i="16"/>
  <c r="K42" i="16"/>
</calcChain>
</file>

<file path=xl/sharedStrings.xml><?xml version="1.0" encoding="utf-8"?>
<sst xmlns="http://schemas.openxmlformats.org/spreadsheetml/2006/main" count="353" uniqueCount="256">
  <si>
    <t>31.12.2016</t>
  </si>
  <si>
    <t>31.12.2015</t>
  </si>
  <si>
    <t>2016</t>
  </si>
  <si>
    <t>2015</t>
  </si>
  <si>
    <t xml:space="preserve"> </t>
  </si>
  <si>
    <t>-1036</t>
  </si>
  <si>
    <t>Delta 15 - 16</t>
  </si>
  <si>
    <t>Back to Index</t>
  </si>
  <si>
    <t>2015 in % of total assets</t>
  </si>
  <si>
    <t>2016 in % of total assets</t>
  </si>
  <si>
    <t>31.12.2012</t>
  </si>
  <si>
    <t>2012 in % of total assets</t>
  </si>
  <si>
    <t>31.12.2013</t>
  </si>
  <si>
    <t>Delta 12 - 13</t>
  </si>
  <si>
    <t>2013 in % of total assets</t>
  </si>
  <si>
    <t>31.12.2014</t>
  </si>
  <si>
    <t>Delta 13 - 14</t>
  </si>
  <si>
    <t>2014 in % of total assets</t>
  </si>
  <si>
    <t>Delta 14 - 15</t>
  </si>
  <si>
    <t>2012</t>
  </si>
  <si>
    <t>2013</t>
  </si>
  <si>
    <t>2014</t>
  </si>
  <si>
    <t>in million $</t>
  </si>
  <si>
    <t>Current assets</t>
  </si>
  <si>
    <t>Non-current assets</t>
  </si>
  <si>
    <t>Cash and cash equivalents</t>
  </si>
  <si>
    <t>Short-term investments</t>
  </si>
  <si>
    <t>Trade receivables</t>
  </si>
  <si>
    <t>Miscellaneous receivables</t>
  </si>
  <si>
    <t>Deferred tax assets</t>
  </si>
  <si>
    <t>Inventories</t>
  </si>
  <si>
    <t>Other current assets</t>
  </si>
  <si>
    <t>Property, Plant and Equipment</t>
  </si>
  <si>
    <t>Goodwill</t>
  </si>
  <si>
    <t>Other Intangible Assets</t>
  </si>
  <si>
    <t>Noncurrent Deferred Tax Assets</t>
  </si>
  <si>
    <t>Long-Term Receivables</t>
  </si>
  <si>
    <t>Other Assets</t>
  </si>
  <si>
    <t>Total assets</t>
  </si>
  <si>
    <t>Current liabilities</t>
  </si>
  <si>
    <t>Short-term debt, including current portion of long-term debt</t>
  </si>
  <si>
    <t>Accounts payable</t>
  </si>
  <si>
    <t>Income taxes payable</t>
  </si>
  <si>
    <t>Accrued compensation and benefits</t>
  </si>
  <si>
    <t>Accrued marketing programs</t>
  </si>
  <si>
    <t>Deferred revenues</t>
  </si>
  <si>
    <t>Grower production accruals</t>
  </si>
  <si>
    <t>Dividends payable</t>
  </si>
  <si>
    <t>Customer payable</t>
  </si>
  <si>
    <t>Restructuring reserves</t>
  </si>
  <si>
    <t>Miscellaneous short-term accruals</t>
  </si>
  <si>
    <t>Noncurrent liabilities</t>
  </si>
  <si>
    <t>Long-Term Debt</t>
  </si>
  <si>
    <t>Postretirement Liabilities</t>
  </si>
  <si>
    <t>Long-Term Deferred Revenue</t>
  </si>
  <si>
    <t>Noncurrent Deferred Tax Liabilities</t>
  </si>
  <si>
    <t>Long-Term Portion of Environmental and Litigation Liabilities</t>
  </si>
  <si>
    <t>Other Liabilities</t>
  </si>
  <si>
    <t>Shareowner´s Equity</t>
  </si>
  <si>
    <t>Common stock</t>
  </si>
  <si>
    <t>Treasury stock</t>
  </si>
  <si>
    <t>Additional contributed capital</t>
  </si>
  <si>
    <t>Retained earnings</t>
  </si>
  <si>
    <t>Accumulated other comprehensive loss</t>
  </si>
  <si>
    <t>Reserve for ESOP debt retirement</t>
  </si>
  <si>
    <t>Noncontrolling Interest</t>
  </si>
  <si>
    <t>Total Liabilities and Shareowners’ Equity</t>
  </si>
  <si>
    <t>245</t>
  </si>
  <si>
    <t>313</t>
  </si>
  <si>
    <t>-3045</t>
  </si>
  <si>
    <t>10371</t>
  </si>
  <si>
    <t>-4140</t>
  </si>
  <si>
    <t>10783</t>
  </si>
  <si>
    <t>10003</t>
  </si>
  <si>
    <t>Long-Term Restructuring Reserve</t>
  </si>
  <si>
    <t>11464</t>
  </si>
  <si>
    <t>Assets held for sale</t>
  </si>
  <si>
    <t>11626</t>
  </si>
  <si>
    <t>Selling, general and administrative expenses</t>
  </si>
  <si>
    <t>Restructuring charges</t>
  </si>
  <si>
    <t>Net Sales</t>
  </si>
  <si>
    <t>Cost of goods sold</t>
  </si>
  <si>
    <t>Gross Profit</t>
  </si>
  <si>
    <t>Operating Expenses:</t>
  </si>
  <si>
    <t>Research and development expenses</t>
  </si>
  <si>
    <t>Total Operating Expenses</t>
  </si>
  <si>
    <t>Income from Operations</t>
  </si>
  <si>
    <t>Interest expense</t>
  </si>
  <si>
    <t>Interest income</t>
  </si>
  <si>
    <t>Other expense</t>
  </si>
  <si>
    <t>Income from Continuing Operations Before Income Taxes</t>
  </si>
  <si>
    <t>Income tax provision</t>
  </si>
  <si>
    <t>Income from Continuing Operations Including Portion Attributable to Noncontrolling Interest</t>
  </si>
  <si>
    <t>Discontinued Operations:</t>
  </si>
  <si>
    <t>Income from operations of discontinued businesses</t>
  </si>
  <si>
    <t>Income on Discontinued Operations</t>
  </si>
  <si>
    <t>Net Income</t>
  </si>
  <si>
    <t>Less: Net income attributable to noncontrolling interest</t>
  </si>
  <si>
    <t>Net Income Attributable to Monsanto Company</t>
  </si>
  <si>
    <t>Amounts Attributable to Monsanto Company:</t>
  </si>
  <si>
    <t>Income from continuing operations</t>
  </si>
  <si>
    <t>Income on discontinued operations</t>
  </si>
  <si>
    <t>Basic Earnings per Share Attributable to Monsanto Company:</t>
  </si>
  <si>
    <t>Diluted Earnings per Share Attributable to Monsanto Company:</t>
  </si>
  <si>
    <t>Weighted Average Shares Outstanding:</t>
  </si>
  <si>
    <t>Basic</t>
  </si>
  <si>
    <t>Diluted</t>
  </si>
  <si>
    <t>Comprehensive Income Attributable to Monsanto Company</t>
  </si>
  <si>
    <t>Net income attributable to Monsanto Company</t>
  </si>
  <si>
    <t>Other comprehensive income (loss), net of tax:</t>
  </si>
  <si>
    <t>Foreign currency translation</t>
  </si>
  <si>
    <t>Postretirement benefit plan activity</t>
  </si>
  <si>
    <t>Unrealized net losses on investment holdings</t>
  </si>
  <si>
    <t>Realized net losses on investment holdings</t>
  </si>
  <si>
    <t>Unrealized net derivative gains</t>
  </si>
  <si>
    <t>Realized net derivative (gains) losses</t>
  </si>
  <si>
    <t>Total other comprehensive income (loss), net of tax</t>
  </si>
  <si>
    <t>Comprehensive income attributable to Monsanto Company</t>
  </si>
  <si>
    <t>Comprehensive Income Attributable to Noncontrolling Interests</t>
  </si>
  <si>
    <t>Net income attributable to noncontrolling interests</t>
  </si>
  <si>
    <t>Comprehensive income attributable to noncontrolling interests</t>
  </si>
  <si>
    <t>Total Comprehensive Income</t>
  </si>
  <si>
    <t>5</t>
  </si>
  <si>
    <t>16</t>
  </si>
  <si>
    <t>-50</t>
  </si>
  <si>
    <t>Operating Activities:</t>
  </si>
  <si>
    <t>Adjustments to reconcile cash provided by operating activities:</t>
  </si>
  <si>
    <t>Items that did not require (provide) cash:</t>
  </si>
  <si>
    <t>Depreciation and amortization</t>
  </si>
  <si>
    <t>Bad-debt expense</t>
  </si>
  <si>
    <t>Stock-based compensation expense</t>
  </si>
  <si>
    <t>Excess tax benefits from stock-based compensation</t>
  </si>
  <si>
    <t>Deferred income taxes</t>
  </si>
  <si>
    <t>Restructuring charges, net</t>
  </si>
  <si>
    <t>Equity affiliate income, net</t>
  </si>
  <si>
    <t>Net gain on sales of a business or other assets</t>
  </si>
  <si>
    <t>Other items</t>
  </si>
  <si>
    <t>Changes in assets and liabilities that provided (required) cash, net of acquisitions:</t>
  </si>
  <si>
    <t>Trade receivables, net</t>
  </si>
  <si>
    <t>Inventory, net</t>
  </si>
  <si>
    <t>Accounts payable and other accrued liabilities</t>
  </si>
  <si>
    <t>Restructuring cash payments</t>
  </si>
  <si>
    <t>Pension contributions</t>
  </si>
  <si>
    <t>Net investment hedge settlement</t>
  </si>
  <si>
    <t>Net Cash Provided by Operating Activities</t>
  </si>
  <si>
    <t>Cash Flows Provided (Required) by Investing Activities:</t>
  </si>
  <si>
    <t>Purchases of short-term investments</t>
  </si>
  <si>
    <t>Maturities of short-term investments</t>
  </si>
  <si>
    <t>Capital expenditures</t>
  </si>
  <si>
    <t>Acquisition of businesses, net of cash acquired</t>
  </si>
  <si>
    <t>Purchases of long-term debt and equity securities</t>
  </si>
  <si>
    <t>Technology and other investments</t>
  </si>
  <si>
    <t>Other investments and property disposal proceeds</t>
  </si>
  <si>
    <t>Net Cash Required by Investing Activities</t>
  </si>
  <si>
    <t>Cash Flows Provided (Required) by Financing Activities:</t>
  </si>
  <si>
    <t>Net change in financing with less than 90-day maturities</t>
  </si>
  <si>
    <t>Short-term debt proceeds</t>
  </si>
  <si>
    <t>Short-term debt reductions</t>
  </si>
  <si>
    <t>Long-term debt proceeds</t>
  </si>
  <si>
    <t>Long-term debt reductions</t>
  </si>
  <si>
    <t>Payments on other financing</t>
  </si>
  <si>
    <t>Debt issuance costs</t>
  </si>
  <si>
    <t>Treasury stock purchases</t>
  </si>
  <si>
    <t>Stock option exercises</t>
  </si>
  <si>
    <t>Tax withholding on restricted stock and restricted stock units</t>
  </si>
  <si>
    <t>Dividend payments</t>
  </si>
  <si>
    <t>Proceeds from noncontrolling interest</t>
  </si>
  <si>
    <t>Dividend payments to noncontrolling interests</t>
  </si>
  <si>
    <t>Net Cash Required by Financing Activities</t>
  </si>
  <si>
    <t>Cash Assumed from Initial Consolidations of Variable Interest Entities</t>
  </si>
  <si>
    <t>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</si>
  <si>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</si>
  <si>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</si>
  <si>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</si>
  <si>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Monsanto Statements of Consolidated Financial Position</t>
  </si>
  <si>
    <t>Monsanto Statements of Consolidated Operations</t>
  </si>
  <si>
    <t>Monsanto Statements of Consolidated Comprehensive Income</t>
  </si>
  <si>
    <t>Statements of Consolidated Cash Flows</t>
  </si>
  <si>
    <t>31.12.2011</t>
  </si>
  <si>
    <t>2011 in % of total assets</t>
  </si>
  <si>
    <t>Delta 11 - 12</t>
  </si>
  <si>
    <t>337</t>
  </si>
  <si>
    <t>152</t>
  </si>
  <si>
    <t>-2613</t>
  </si>
  <si>
    <t>10096</t>
  </si>
  <si>
    <t>2011</t>
  </si>
  <si>
    <t>WACC</t>
  </si>
  <si>
    <t>FY</t>
  </si>
  <si>
    <t>Revenue</t>
  </si>
  <si>
    <t>Growth</t>
  </si>
  <si>
    <t>Growth (%)</t>
  </si>
  <si>
    <t>CoGS</t>
  </si>
  <si>
    <t>CoGS (%)</t>
  </si>
  <si>
    <t>EBIT = OP</t>
  </si>
  <si>
    <t>NOPAT</t>
  </si>
  <si>
    <t>Tax</t>
  </si>
  <si>
    <t>FCF</t>
  </si>
  <si>
    <t>Delta NWC</t>
  </si>
  <si>
    <t>ß</t>
  </si>
  <si>
    <t>Total Operating Expenses in %</t>
  </si>
  <si>
    <t>Past</t>
  </si>
  <si>
    <t>Actual</t>
  </si>
  <si>
    <t>Future</t>
  </si>
  <si>
    <t>Average 5 years</t>
  </si>
  <si>
    <t>Median 5 years</t>
  </si>
  <si>
    <t>Average 10 years</t>
  </si>
  <si>
    <t>Average 11-15</t>
  </si>
  <si>
    <t>Average 06-15</t>
  </si>
  <si>
    <t>Median 06-15</t>
  </si>
  <si>
    <t>tax rate</t>
  </si>
  <si>
    <t>debt</t>
  </si>
  <si>
    <t>debt ratio</t>
  </si>
  <si>
    <t>equity interest rate</t>
  </si>
  <si>
    <t>http://www.market-risk-premia.com/us.html</t>
  </si>
  <si>
    <t>in mio. $</t>
  </si>
  <si>
    <t>share price Monsanto</t>
  </si>
  <si>
    <t>shares outstanding</t>
  </si>
  <si>
    <t>source</t>
  </si>
  <si>
    <t>risk free rate</t>
  </si>
  <si>
    <t>market interest rate</t>
  </si>
  <si>
    <t>market risk premium</t>
  </si>
  <si>
    <t>debt interest ratio</t>
  </si>
  <si>
    <t>equity ratio (market value)</t>
  </si>
  <si>
    <t>total liabilities and equity</t>
  </si>
  <si>
    <t>equity (market value)</t>
  </si>
  <si>
    <t>VALUATION OF MONSANTO</t>
  </si>
  <si>
    <t>US$ in millions</t>
  </si>
  <si>
    <t>Net sales</t>
  </si>
  <si>
    <t>Gross profit</t>
  </si>
  <si>
    <t>Pending Bayer transaction related costs</t>
  </si>
  <si>
    <t>Operating expenses</t>
  </si>
  <si>
    <t>Income from operations</t>
  </si>
  <si>
    <t>Other income (expense), net</t>
  </si>
  <si>
    <t>Income from continuing operations before income taxes</t>
  </si>
  <si>
    <t>Income from continuing operations including portion attributable to noncontrolling interest</t>
  </si>
  <si>
    <t>Net income</t>
  </si>
  <si>
    <t>Net (income) loss attributable to noncontrolling interest</t>
  </si>
  <si>
    <t>EBIT</t>
  </si>
  <si>
    <t>(+)depreciation</t>
  </si>
  <si>
    <t>(-) CapEx</t>
  </si>
  <si>
    <t>(-) increase/(+) decrease NWC</t>
  </si>
  <si>
    <t>Forecast</t>
  </si>
  <si>
    <t>depreciation in %</t>
  </si>
  <si>
    <t>CapEx in %</t>
  </si>
  <si>
    <t>NWC in %</t>
  </si>
  <si>
    <t>https://www.treasury.gov/resource-center/data-chart-center/interest-rates/Pages/TextView.aspx?data=yieldYear&amp;year=2016</t>
  </si>
  <si>
    <t>monsanto annual report 2016</t>
  </si>
  <si>
    <t>Period</t>
  </si>
  <si>
    <t>NWC in 2011</t>
  </si>
  <si>
    <t>EV DCF</t>
  </si>
  <si>
    <t>g</t>
  </si>
  <si>
    <t>sum</t>
  </si>
  <si>
    <t>inflation</t>
  </si>
  <si>
    <t>productivity</t>
  </si>
  <si>
    <t>discounted fcf 2016</t>
  </si>
  <si>
    <t>Calculation of NOPAT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</si>
</sst>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);\(#,##0\);&quot;—&quot;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39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sz val="9"/>
      <color rgb="FF0070C0"/>
      <name val="Arial"/>
      <family val="2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0070C0"/>
      <name val="Arial"/>
      <family val="2"/>
    </font>
    <font>
      <sz val="8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52525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rgb="FF4D4D4D"/>
      </top>
      <bottom style="medium">
        <color rgb="FF4D4D4D"/>
      </bottom>
      <diagonal/>
    </border>
    <border>
      <left/>
      <right/>
      <top style="thin">
        <color rgb="FFE2E2E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309">
    <xf numFmtId="0" fontId="0" fillId="0" borderId="0" xfId="0"/>
    <xf numFmtId="0" fontId="1" fillId="0" borderId="0" xfId="1" applyBorder="1" applyAlignment="1" applyProtection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Fill="1"/>
    <xf numFmtId="0" fontId="7" fillId="0" borderId="0" xfId="0" applyFont="1" applyFill="1" applyAlignment="1">
      <alignment horizontal="right" wrapText="1"/>
    </xf>
    <xf numFmtId="49" fontId="7" fillId="0" borderId="0" xfId="0" applyNumberFormat="1" applyFont="1" applyFill="1" applyBorder="1"/>
    <xf numFmtId="49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right"/>
    </xf>
    <xf numFmtId="49" fontId="8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right" wrapText="1"/>
    </xf>
    <xf numFmtId="49" fontId="8" fillId="0" borderId="1" xfId="0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right" wrapText="1"/>
    </xf>
    <xf numFmtId="49" fontId="6" fillId="0" borderId="1" xfId="0" applyNumberFormat="1" applyFont="1" applyFill="1" applyBorder="1"/>
    <xf numFmtId="49" fontId="7" fillId="0" borderId="3" xfId="0" applyNumberFormat="1" applyFont="1" applyFill="1" applyBorder="1" applyAlignment="1">
      <alignment wrapText="1"/>
    </xf>
    <xf numFmtId="49" fontId="7" fillId="0" borderId="5" xfId="0" applyNumberFormat="1" applyFont="1" applyFill="1" applyBorder="1" applyAlignment="1">
      <alignment horizontal="right"/>
    </xf>
    <xf numFmtId="49" fontId="7" fillId="0" borderId="7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right" wrapText="1"/>
    </xf>
    <xf numFmtId="49" fontId="8" fillId="0" borderId="9" xfId="0" applyNumberFormat="1" applyFont="1" applyFill="1" applyBorder="1" applyAlignment="1">
      <alignment wrapText="1"/>
    </xf>
    <xf numFmtId="49" fontId="7" fillId="0" borderId="9" xfId="0" applyNumberFormat="1" applyFont="1" applyFill="1" applyBorder="1" applyAlignment="1">
      <alignment wrapText="1"/>
    </xf>
    <xf numFmtId="3" fontId="7" fillId="0" borderId="8" xfId="0" applyNumberFormat="1" applyFont="1" applyFill="1" applyBorder="1" applyAlignment="1">
      <alignment horizontal="right" wrapText="1"/>
    </xf>
    <xf numFmtId="49" fontId="8" fillId="0" borderId="10" xfId="0" applyNumberFormat="1" applyFont="1" applyFill="1" applyBorder="1" applyAlignment="1">
      <alignment wrapText="1"/>
    </xf>
    <xf numFmtId="0" fontId="1" fillId="0" borderId="0" xfId="1" applyBorder="1" applyAlignment="1" applyProtection="1"/>
    <xf numFmtId="0" fontId="6" fillId="0" borderId="0" xfId="0" applyFont="1" applyAlignment="1">
      <alignment wrapText="1"/>
    </xf>
    <xf numFmtId="49" fontId="7" fillId="0" borderId="10" xfId="0" applyNumberFormat="1" applyFont="1" applyFill="1" applyBorder="1" applyAlignment="1">
      <alignment wrapText="1"/>
    </xf>
    <xf numFmtId="49" fontId="8" fillId="0" borderId="11" xfId="0" applyNumberFormat="1" applyFont="1" applyFill="1" applyBorder="1"/>
    <xf numFmtId="49" fontId="7" fillId="0" borderId="5" xfId="0" applyNumberFormat="1" applyFont="1" applyFill="1" applyBorder="1"/>
    <xf numFmtId="4" fontId="7" fillId="0" borderId="1" xfId="0" applyNumberFormat="1" applyFont="1" applyFill="1" applyBorder="1" applyAlignment="1">
      <alignment horizontal="right"/>
    </xf>
    <xf numFmtId="4" fontId="8" fillId="0" borderId="1" xfId="0" applyNumberFormat="1" applyFont="1" applyFill="1" applyBorder="1" applyAlignment="1">
      <alignment horizontal="right"/>
    </xf>
    <xf numFmtId="4" fontId="8" fillId="0" borderId="11" xfId="0" applyNumberFormat="1" applyFont="1" applyFill="1" applyBorder="1" applyAlignment="1">
      <alignment horizontal="righ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right"/>
    </xf>
    <xf numFmtId="3" fontId="8" fillId="0" borderId="1" xfId="0" applyNumberFormat="1" applyFont="1" applyFill="1" applyBorder="1"/>
    <xf numFmtId="3" fontId="8" fillId="0" borderId="1" xfId="0" applyNumberFormat="1" applyFont="1" applyFill="1" applyBorder="1" applyAlignment="1">
      <alignment horizontal="right"/>
    </xf>
    <xf numFmtId="3" fontId="8" fillId="0" borderId="11" xfId="0" applyNumberFormat="1" applyFont="1" applyFill="1" applyBorder="1" applyAlignment="1">
      <alignment horizontal="right"/>
    </xf>
    <xf numFmtId="3" fontId="7" fillId="0" borderId="0" xfId="0" applyNumberFormat="1" applyFont="1" applyFill="1" applyAlignment="1">
      <alignment horizontal="right" wrapText="1"/>
    </xf>
    <xf numFmtId="3" fontId="6" fillId="0" borderId="0" xfId="0" applyNumberFormat="1" applyFont="1" applyFill="1"/>
    <xf numFmtId="0" fontId="2" fillId="0" borderId="0" xfId="1" applyNumberFormat="1" applyFont="1" applyBorder="1" applyAlignment="1" applyProtection="1">
      <alignment wrapText="1"/>
    </xf>
    <xf numFmtId="0" fontId="1" fillId="0" borderId="0" xfId="1" applyBorder="1" applyAlignment="1" applyProtection="1"/>
    <xf numFmtId="0" fontId="6" fillId="0" borderId="0" xfId="0" applyFont="1" applyAlignment="1">
      <alignment wrapText="1"/>
    </xf>
    <xf numFmtId="4" fontId="7" fillId="0" borderId="1" xfId="0" applyNumberFormat="1" applyFont="1" applyFill="1" applyBorder="1"/>
    <xf numFmtId="4" fontId="8" fillId="0" borderId="1" xfId="0" applyNumberFormat="1" applyFont="1" applyFill="1" applyBorder="1"/>
    <xf numFmtId="4" fontId="8" fillId="0" borderId="11" xfId="0" applyNumberFormat="1" applyFont="1" applyFill="1" applyBorder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0" fillId="0" borderId="0" xfId="0" applyFill="1"/>
    <xf numFmtId="0" fontId="3" fillId="0" borderId="0" xfId="0" applyFont="1" applyFill="1" applyAlignment="1">
      <alignment horizontal="right" wrapText="1"/>
    </xf>
    <xf numFmtId="0" fontId="10" fillId="0" borderId="0" xfId="0" applyFont="1" applyFill="1" applyAlignment="1">
      <alignment horizontal="right" wrapText="1"/>
    </xf>
    <xf numFmtId="0" fontId="10" fillId="0" borderId="0" xfId="0" applyFont="1" applyFill="1"/>
    <xf numFmtId="0" fontId="10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right" wrapText="1"/>
    </xf>
    <xf numFmtId="3" fontId="7" fillId="0" borderId="3" xfId="0" applyNumberFormat="1" applyFont="1" applyFill="1" applyBorder="1" applyAlignment="1">
      <alignment wrapText="1"/>
    </xf>
    <xf numFmtId="3" fontId="7" fillId="0" borderId="5" xfId="0" applyNumberFormat="1" applyFont="1" applyFill="1" applyBorder="1"/>
    <xf numFmtId="3" fontId="7" fillId="0" borderId="13" xfId="0" applyNumberFormat="1" applyFont="1" applyFill="1" applyBorder="1" applyAlignment="1">
      <alignment wrapText="1"/>
    </xf>
    <xf numFmtId="3" fontId="7" fillId="0" borderId="9" xfId="0" applyNumberFormat="1" applyFont="1" applyFill="1" applyBorder="1" applyAlignment="1">
      <alignment wrapText="1"/>
    </xf>
    <xf numFmtId="3" fontId="8" fillId="0" borderId="9" xfId="0" applyNumberFormat="1" applyFont="1" applyFill="1" applyBorder="1" applyAlignment="1">
      <alignment wrapText="1"/>
    </xf>
    <xf numFmtId="3" fontId="8" fillId="0" borderId="10" xfId="0" applyNumberFormat="1" applyFont="1" applyFill="1" applyBorder="1" applyAlignment="1">
      <alignment wrapText="1"/>
    </xf>
    <xf numFmtId="0" fontId="7" fillId="0" borderId="5" xfId="0" applyNumberFormat="1" applyFont="1" applyFill="1" applyBorder="1" applyAlignment="1">
      <alignment horizontal="right"/>
    </xf>
    <xf numFmtId="0" fontId="7" fillId="0" borderId="5" xfId="0" applyNumberFormat="1" applyFont="1" applyFill="1" applyBorder="1"/>
    <xf numFmtId="0" fontId="10" fillId="0" borderId="0" xfId="0" applyFont="1"/>
    <xf numFmtId="0" fontId="11" fillId="0" borderId="0" xfId="0" applyFont="1" applyFill="1" applyAlignment="1">
      <alignment wrapText="1"/>
    </xf>
    <xf numFmtId="0" fontId="11" fillId="0" borderId="0" xfId="0" applyFont="1" applyFill="1" applyAlignment="1">
      <alignment horizontal="right" wrapText="1"/>
    </xf>
    <xf numFmtId="0" fontId="5" fillId="0" borderId="0" xfId="1" applyFont="1" applyBorder="1" applyAlignment="1" applyProtection="1">
      <alignment vertical="center" wrapText="1"/>
    </xf>
    <xf numFmtId="0" fontId="6" fillId="0" borderId="0" xfId="0" applyFont="1" applyFill="1" applyAlignment="1">
      <alignment wrapText="1"/>
    </xf>
    <xf numFmtId="49" fontId="8" fillId="0" borderId="0" xfId="0" applyNumberFormat="1" applyFont="1" applyFill="1" applyBorder="1" applyAlignment="1">
      <alignment horizontal="right"/>
    </xf>
    <xf numFmtId="49" fontId="8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 wrapText="1"/>
    </xf>
    <xf numFmtId="49" fontId="11" fillId="0" borderId="14" xfId="0" applyNumberFormat="1" applyFont="1" applyFill="1" applyBorder="1" applyAlignment="1">
      <alignment wrapText="1"/>
    </xf>
    <xf numFmtId="49" fontId="11" fillId="0" borderId="15" xfId="0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9" fontId="8" fillId="0" borderId="4" xfId="0" applyNumberFormat="1" applyFont="1" applyFill="1" applyBorder="1"/>
    <xf numFmtId="49" fontId="8" fillId="0" borderId="7" xfId="0" applyNumberFormat="1" applyFont="1" applyFill="1" applyBorder="1" applyAlignment="1">
      <alignment wrapText="1"/>
    </xf>
    <xf numFmtId="49" fontId="8" fillId="0" borderId="2" xfId="0" applyNumberFormat="1" applyFont="1" applyFill="1" applyBorder="1"/>
    <xf numFmtId="49" fontId="13" fillId="0" borderId="1" xfId="0" applyNumberFormat="1" applyFont="1" applyFill="1" applyBorder="1"/>
    <xf numFmtId="49" fontId="13" fillId="0" borderId="11" xfId="0" applyNumberFormat="1" applyFont="1" applyFill="1" applyBorder="1"/>
    <xf numFmtId="3" fontId="7" fillId="0" borderId="11" xfId="0" applyNumberFormat="1" applyFont="1" applyFill="1" applyBorder="1" applyAlignment="1">
      <alignment horizontal="right" wrapText="1"/>
    </xf>
    <xf numFmtId="49" fontId="8" fillId="0" borderId="2" xfId="0" applyNumberFormat="1" applyFont="1" applyFill="1" applyBorder="1" applyAlignment="1">
      <alignment horizontal="right"/>
    </xf>
    <xf numFmtId="49" fontId="7" fillId="0" borderId="2" xfId="0" applyNumberFormat="1" applyFont="1" applyFill="1" applyBorder="1" applyAlignment="1">
      <alignment horizontal="right"/>
    </xf>
    <xf numFmtId="49" fontId="7" fillId="2" borderId="1" xfId="0" applyNumberFormat="1" applyFont="1" applyFill="1" applyBorder="1" applyAlignment="1">
      <alignment horizontal="right" wrapText="1"/>
    </xf>
    <xf numFmtId="49" fontId="8" fillId="2" borderId="1" xfId="0" applyNumberFormat="1" applyFont="1" applyFill="1" applyBorder="1" applyAlignment="1">
      <alignment horizontal="right" wrapText="1"/>
    </xf>
    <xf numFmtId="3" fontId="7" fillId="2" borderId="1" xfId="0" applyNumberFormat="1" applyFont="1" applyFill="1" applyBorder="1" applyAlignment="1">
      <alignment horizontal="right" wrapText="1"/>
    </xf>
    <xf numFmtId="1" fontId="7" fillId="2" borderId="1" xfId="0" applyNumberFormat="1" applyFont="1" applyFill="1" applyBorder="1" applyAlignment="1">
      <alignment horizontal="right" wrapText="1"/>
    </xf>
    <xf numFmtId="3" fontId="8" fillId="2" borderId="1" xfId="0" applyNumberFormat="1" applyFont="1" applyFill="1" applyBorder="1" applyAlignment="1">
      <alignment horizontal="right" wrapText="1"/>
    </xf>
    <xf numFmtId="3" fontId="8" fillId="2" borderId="11" xfId="0" applyNumberFormat="1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left" vertical="top" wrapText="1"/>
    </xf>
    <xf numFmtId="49" fontId="8" fillId="0" borderId="5" xfId="0" applyNumberFormat="1" applyFont="1" applyFill="1" applyBorder="1" applyAlignment="1">
      <alignment horizontal="left" vertical="top"/>
    </xf>
    <xf numFmtId="49" fontId="8" fillId="0" borderId="16" xfId="0" applyNumberFormat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/>
    </xf>
    <xf numFmtId="49" fontId="8" fillId="0" borderId="2" xfId="0" applyNumberFormat="1" applyFont="1" applyFill="1" applyBorder="1" applyAlignment="1">
      <alignment horizontal="left" vertical="top"/>
    </xf>
    <xf numFmtId="0" fontId="1" fillId="0" borderId="0" xfId="1" applyFont="1" applyBorder="1" applyAlignment="1" applyProtection="1"/>
    <xf numFmtId="49" fontId="7" fillId="0" borderId="5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10" fontId="7" fillId="0" borderId="1" xfId="0" applyNumberFormat="1" applyFont="1" applyFill="1" applyBorder="1" applyAlignment="1">
      <alignment horizontal="right" wrapText="1"/>
    </xf>
    <xf numFmtId="10" fontId="7" fillId="0" borderId="11" xfId="0" applyNumberFormat="1" applyFont="1" applyFill="1" applyBorder="1" applyAlignment="1">
      <alignment horizontal="right" wrapText="1"/>
    </xf>
    <xf numFmtId="49" fontId="7" fillId="0" borderId="6" xfId="0" applyNumberFormat="1" applyFont="1" applyFill="1" applyBorder="1" applyAlignment="1">
      <alignment horizontal="left" vertical="top" wrapText="1"/>
    </xf>
    <xf numFmtId="49" fontId="7" fillId="0" borderId="8" xfId="0" applyNumberFormat="1" applyFont="1" applyFill="1" applyBorder="1" applyAlignment="1">
      <alignment horizontal="left" vertical="top" wrapText="1"/>
    </xf>
    <xf numFmtId="10" fontId="7" fillId="0" borderId="8" xfId="0" applyNumberFormat="1" applyFont="1" applyFill="1" applyBorder="1" applyAlignment="1">
      <alignment horizontal="right" wrapText="1"/>
    </xf>
    <xf numFmtId="10" fontId="7" fillId="0" borderId="12" xfId="0" applyNumberFormat="1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right" wrapText="1"/>
    </xf>
    <xf numFmtId="4" fontId="7" fillId="2" borderId="1" xfId="0" applyNumberFormat="1" applyFont="1" applyFill="1" applyBorder="1" applyAlignment="1">
      <alignment horizontal="right" wrapText="1"/>
    </xf>
    <xf numFmtId="4" fontId="8" fillId="2" borderId="1" xfId="0" applyNumberFormat="1" applyFont="1" applyFill="1" applyBorder="1" applyAlignment="1">
      <alignment horizontal="right" wrapText="1"/>
    </xf>
    <xf numFmtId="4" fontId="7" fillId="2" borderId="11" xfId="0" applyNumberFormat="1" applyFont="1" applyFill="1" applyBorder="1" applyAlignment="1">
      <alignment horizontal="right" wrapText="1"/>
    </xf>
    <xf numFmtId="49" fontId="7" fillId="0" borderId="16" xfId="0" applyNumberFormat="1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>
      <alignment horizontal="right"/>
    </xf>
    <xf numFmtId="4" fontId="7" fillId="0" borderId="2" xfId="0" applyNumberFormat="1" applyFont="1" applyFill="1" applyBorder="1" applyAlignment="1">
      <alignment horizontal="right"/>
    </xf>
    <xf numFmtId="4" fontId="8" fillId="0" borderId="2" xfId="0" applyNumberFormat="1" applyFont="1" applyFill="1" applyBorder="1" applyAlignment="1">
      <alignment horizontal="right"/>
    </xf>
    <xf numFmtId="4" fontId="8" fillId="0" borderId="17" xfId="0" applyNumberFormat="1" applyFont="1" applyFill="1" applyBorder="1" applyAlignment="1">
      <alignment horizontal="right"/>
    </xf>
    <xf numFmtId="49" fontId="7" fillId="0" borderId="11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0" fontId="3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49" fontId="6" fillId="0" borderId="0" xfId="0" applyNumberFormat="1" applyFont="1" applyFill="1" applyBorder="1"/>
    <xf numFmtId="49" fontId="13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 applyAlignment="1">
      <alignment horizontal="right" wrapText="1"/>
    </xf>
    <xf numFmtId="2" fontId="7" fillId="0" borderId="1" xfId="0" applyNumberFormat="1" applyFont="1" applyFill="1" applyBorder="1" applyAlignment="1">
      <alignment horizontal="right" wrapText="1"/>
    </xf>
    <xf numFmtId="2" fontId="7" fillId="0" borderId="11" xfId="0" applyNumberFormat="1" applyFont="1" applyFill="1" applyBorder="1" applyAlignment="1">
      <alignment horizontal="right" wrapText="1"/>
    </xf>
    <xf numFmtId="1" fontId="7" fillId="0" borderId="1" xfId="0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2" fontId="12" fillId="0" borderId="0" xfId="0" applyNumberFormat="1" applyFont="1" applyFill="1" applyAlignment="1">
      <alignment wrapText="1"/>
    </xf>
    <xf numFmtId="2" fontId="6" fillId="0" borderId="0" xfId="0" applyNumberFormat="1" applyFont="1" applyFill="1" applyAlignment="1">
      <alignment wrapText="1"/>
    </xf>
    <xf numFmtId="0" fontId="6" fillId="0" borderId="0" xfId="0" applyFont="1" applyAlignment="1">
      <alignment wrapText="1"/>
    </xf>
    <xf numFmtId="1" fontId="8" fillId="2" borderId="1" xfId="0" applyNumberFormat="1" applyFont="1" applyFill="1" applyBorder="1" applyAlignment="1">
      <alignment horizontal="right" wrapText="1"/>
    </xf>
    <xf numFmtId="49" fontId="11" fillId="0" borderId="1" xfId="0" applyNumberFormat="1" applyFont="1" applyFill="1" applyBorder="1"/>
    <xf numFmtId="0" fontId="6" fillId="0" borderId="0" xfId="0" applyFont="1" applyBorder="1" applyAlignment="1">
      <alignment wrapText="1"/>
    </xf>
    <xf numFmtId="0" fontId="10" fillId="0" borderId="0" xfId="0" applyFont="1" applyBorder="1"/>
    <xf numFmtId="49" fontId="11" fillId="0" borderId="5" xfId="0" applyNumberFormat="1" applyFont="1" applyFill="1" applyBorder="1" applyAlignment="1">
      <alignment horizontal="right"/>
    </xf>
    <xf numFmtId="1" fontId="8" fillId="2" borderId="5" xfId="0" applyNumberFormat="1" applyFont="1" applyFill="1" applyBorder="1" applyAlignment="1">
      <alignment horizontal="right" wrapText="1"/>
    </xf>
    <xf numFmtId="49" fontId="11" fillId="0" borderId="5" xfId="0" applyNumberFormat="1" applyFont="1" applyFill="1" applyBorder="1"/>
    <xf numFmtId="49" fontId="8" fillId="0" borderId="18" xfId="0" applyNumberFormat="1" applyFont="1" applyFill="1" applyBorder="1" applyAlignment="1">
      <alignment wrapText="1"/>
    </xf>
    <xf numFmtId="49" fontId="7" fillId="0" borderId="18" xfId="0" applyNumberFormat="1" applyFont="1" applyFill="1" applyBorder="1" applyAlignment="1">
      <alignment horizontal="left" wrapText="1" indent="1"/>
    </xf>
    <xf numFmtId="49" fontId="7" fillId="0" borderId="18" xfId="0" applyNumberFormat="1" applyFont="1" applyFill="1" applyBorder="1" applyAlignment="1">
      <alignment horizontal="left" wrapText="1" indent="3"/>
    </xf>
    <xf numFmtId="49" fontId="8" fillId="0" borderId="18" xfId="0" applyNumberFormat="1" applyFont="1" applyFill="1" applyBorder="1" applyAlignment="1">
      <alignment horizontal="left" wrapText="1" indent="2"/>
    </xf>
    <xf numFmtId="49" fontId="7" fillId="0" borderId="18" xfId="0" applyNumberFormat="1" applyFont="1" applyFill="1" applyBorder="1" applyAlignment="1">
      <alignment horizontal="left" wrapText="1" indent="2"/>
    </xf>
    <xf numFmtId="2" fontId="6" fillId="0" borderId="0" xfId="0" applyNumberFormat="1" applyFont="1" applyFill="1" applyBorder="1" applyAlignment="1">
      <alignment wrapText="1"/>
    </xf>
    <xf numFmtId="0" fontId="10" fillId="0" borderId="0" xfId="0" applyFont="1" applyBorder="1" applyAlignment="1">
      <alignment horizontal="right" wrapText="1"/>
    </xf>
    <xf numFmtId="49" fontId="11" fillId="0" borderId="16" xfId="0" applyNumberFormat="1" applyFont="1" applyFill="1" applyBorder="1" applyAlignment="1">
      <alignment horizontal="right"/>
    </xf>
    <xf numFmtId="3" fontId="7" fillId="0" borderId="12" xfId="0" applyNumberFormat="1" applyFont="1" applyFill="1" applyBorder="1" applyAlignment="1">
      <alignment horizontal="right" wrapText="1"/>
    </xf>
    <xf numFmtId="0" fontId="8" fillId="2" borderId="5" xfId="0" applyNumberFormat="1" applyFont="1" applyFill="1" applyBorder="1" applyAlignment="1">
      <alignment horizontal="right" wrapText="1"/>
    </xf>
    <xf numFmtId="0" fontId="7" fillId="0" borderId="16" xfId="0" applyNumberFormat="1" applyFont="1" applyFill="1" applyBorder="1"/>
    <xf numFmtId="3" fontId="7" fillId="0" borderId="2" xfId="0" applyNumberFormat="1" applyFont="1" applyFill="1" applyBorder="1"/>
    <xf numFmtId="3" fontId="8" fillId="0" borderId="2" xfId="0" applyNumberFormat="1" applyFont="1" applyFill="1" applyBorder="1"/>
    <xf numFmtId="49" fontId="7" fillId="0" borderId="20" xfId="0" applyNumberFormat="1" applyFont="1" applyFill="1" applyBorder="1" applyAlignment="1">
      <alignment wrapText="1"/>
    </xf>
    <xf numFmtId="49" fontId="13" fillId="0" borderId="21" xfId="0" applyNumberFormat="1" applyFont="1" applyFill="1" applyBorder="1"/>
    <xf numFmtId="3" fontId="8" fillId="2" borderId="21" xfId="0" applyNumberFormat="1" applyFont="1" applyFill="1" applyBorder="1" applyAlignment="1">
      <alignment horizontal="right" wrapText="1"/>
    </xf>
    <xf numFmtId="3" fontId="7" fillId="2" borderId="21" xfId="0" applyNumberFormat="1" applyFont="1" applyFill="1" applyBorder="1" applyAlignment="1">
      <alignment horizontal="right" wrapText="1"/>
    </xf>
    <xf numFmtId="49" fontId="8" fillId="0" borderId="20" xfId="0" applyNumberFormat="1" applyFont="1" applyFill="1" applyBorder="1" applyAlignment="1">
      <alignment wrapText="1"/>
    </xf>
    <xf numFmtId="49" fontId="8" fillId="0" borderId="21" xfId="0" applyNumberFormat="1" applyFont="1" applyFill="1" applyBorder="1"/>
    <xf numFmtId="4" fontId="7" fillId="2" borderId="21" xfId="0" applyNumberFormat="1" applyFont="1" applyFill="1" applyBorder="1" applyAlignment="1">
      <alignment horizontal="right" wrapText="1"/>
    </xf>
    <xf numFmtId="4" fontId="8" fillId="0" borderId="21" xfId="0" applyNumberFormat="1" applyFont="1" applyFill="1" applyBorder="1"/>
    <xf numFmtId="49" fontId="7" fillId="0" borderId="21" xfId="0" applyNumberFormat="1" applyFont="1" applyFill="1" applyBorder="1" applyAlignment="1">
      <alignment horizontal="right"/>
    </xf>
    <xf numFmtId="3" fontId="7" fillId="0" borderId="21" xfId="0" applyNumberFormat="1" applyFont="1" applyFill="1" applyBorder="1" applyAlignment="1">
      <alignment horizontal="right"/>
    </xf>
    <xf numFmtId="4" fontId="7" fillId="0" borderId="22" xfId="0" applyNumberFormat="1" applyFont="1" applyFill="1" applyBorder="1" applyAlignment="1">
      <alignment horizontal="right"/>
    </xf>
    <xf numFmtId="4" fontId="7" fillId="0" borderId="21" xfId="0" applyNumberFormat="1" applyFont="1" applyFill="1" applyBorder="1" applyAlignment="1">
      <alignment horizontal="right"/>
    </xf>
    <xf numFmtId="4" fontId="8" fillId="2" borderId="21" xfId="0" applyNumberFormat="1" applyFont="1" applyFill="1" applyBorder="1" applyAlignment="1">
      <alignment horizontal="right" wrapText="1"/>
    </xf>
    <xf numFmtId="49" fontId="8" fillId="0" borderId="21" xfId="0" applyNumberFormat="1" applyFont="1" applyFill="1" applyBorder="1" applyAlignment="1">
      <alignment horizontal="right"/>
    </xf>
    <xf numFmtId="3" fontId="8" fillId="0" borderId="21" xfId="0" applyNumberFormat="1" applyFont="1" applyFill="1" applyBorder="1" applyAlignment="1">
      <alignment horizontal="right"/>
    </xf>
    <xf numFmtId="4" fontId="8" fillId="0" borderId="22" xfId="0" applyNumberFormat="1" applyFont="1" applyFill="1" applyBorder="1" applyAlignment="1">
      <alignment horizontal="right"/>
    </xf>
    <xf numFmtId="4" fontId="8" fillId="0" borderId="21" xfId="0" applyNumberFormat="1" applyFont="1" applyFill="1" applyBorder="1" applyAlignment="1">
      <alignment horizontal="right"/>
    </xf>
    <xf numFmtId="1" fontId="7" fillId="0" borderId="8" xfId="0" applyNumberFormat="1" applyFont="1" applyFill="1" applyBorder="1" applyAlignment="1">
      <alignment horizontal="right" wrapText="1"/>
    </xf>
    <xf numFmtId="1" fontId="7" fillId="0" borderId="11" xfId="0" applyNumberFormat="1" applyFont="1" applyFill="1" applyBorder="1" applyAlignment="1">
      <alignment horizontal="right" wrapText="1"/>
    </xf>
    <xf numFmtId="1" fontId="7" fillId="0" borderId="12" xfId="0" applyNumberFormat="1" applyFont="1" applyFill="1" applyBorder="1" applyAlignment="1">
      <alignment horizontal="right" wrapText="1"/>
    </xf>
    <xf numFmtId="49" fontId="8" fillId="0" borderId="19" xfId="0" applyNumberFormat="1" applyFont="1" applyFill="1" applyBorder="1" applyAlignment="1">
      <alignment horizontal="left" wrapText="1" indent="2"/>
    </xf>
    <xf numFmtId="49" fontId="8" fillId="0" borderId="17" xfId="0" applyNumberFormat="1" applyFont="1" applyFill="1" applyBorder="1" applyAlignment="1">
      <alignment horizontal="right"/>
    </xf>
    <xf numFmtId="1" fontId="8" fillId="2" borderId="11" xfId="0" applyNumberFormat="1" applyFont="1" applyFill="1" applyBorder="1" applyAlignment="1">
      <alignment horizontal="right" wrapText="1"/>
    </xf>
    <xf numFmtId="49" fontId="8" fillId="0" borderId="11" xfId="0" applyNumberFormat="1" applyFont="1" applyFill="1" applyBorder="1" applyAlignment="1">
      <alignment horizontal="right"/>
    </xf>
    <xf numFmtId="3" fontId="8" fillId="0" borderId="11" xfId="0" applyNumberFormat="1" applyFont="1" applyFill="1" applyBorder="1"/>
    <xf numFmtId="3" fontId="8" fillId="0" borderId="17" xfId="0" applyNumberFormat="1" applyFont="1" applyFill="1" applyBorder="1"/>
    <xf numFmtId="0" fontId="2" fillId="0" borderId="0" xfId="1" applyNumberFormat="1" applyFont="1" applyFill="1" applyBorder="1" applyAlignment="1" applyProtection="1">
      <alignment wrapText="1"/>
    </xf>
    <xf numFmtId="0" fontId="5" fillId="0" borderId="0" xfId="1" applyFont="1" applyFill="1" applyBorder="1" applyAlignment="1" applyProtection="1">
      <alignment vertical="center" wrapText="1"/>
    </xf>
    <xf numFmtId="0" fontId="15" fillId="0" borderId="1" xfId="0" applyFont="1" applyBorder="1"/>
    <xf numFmtId="0" fontId="0" fillId="0" borderId="1" xfId="0" applyBorder="1"/>
    <xf numFmtId="0" fontId="14" fillId="0" borderId="1" xfId="0" applyFont="1" applyBorder="1"/>
    <xf numFmtId="10" fontId="0" fillId="0" borderId="1" xfId="3" applyNumberFormat="1" applyFont="1" applyBorder="1"/>
    <xf numFmtId="10" fontId="0" fillId="0" borderId="1" xfId="0" applyNumberFormat="1" applyBorder="1"/>
    <xf numFmtId="10" fontId="14" fillId="4" borderId="21" xfId="0" applyNumberFormat="1" applyFont="1" applyFill="1" applyBorder="1"/>
    <xf numFmtId="10" fontId="0" fillId="0" borderId="21" xfId="3" applyNumberFormat="1" applyFont="1" applyBorder="1"/>
    <xf numFmtId="10" fontId="0" fillId="0" borderId="21" xfId="0" applyNumberFormat="1" applyBorder="1"/>
    <xf numFmtId="10" fontId="0" fillId="0" borderId="24" xfId="0" applyNumberFormat="1" applyBorder="1"/>
    <xf numFmtId="0" fontId="14" fillId="0" borderId="23" xfId="0" applyFont="1" applyBorder="1"/>
    <xf numFmtId="0" fontId="0" fillId="0" borderId="23" xfId="0" applyBorder="1"/>
    <xf numFmtId="10" fontId="0" fillId="0" borderId="0" xfId="0" applyNumberFormat="1"/>
    <xf numFmtId="0" fontId="15" fillId="0" borderId="0" xfId="0" applyFont="1"/>
    <xf numFmtId="164" fontId="0" fillId="0" borderId="0" xfId="2" applyFont="1"/>
    <xf numFmtId="164" fontId="0" fillId="0" borderId="1" xfId="2" applyFont="1" applyFill="1" applyBorder="1"/>
    <xf numFmtId="0" fontId="0" fillId="3" borderId="1" xfId="0" applyFill="1" applyBorder="1"/>
    <xf numFmtId="10" fontId="0" fillId="0" borderId="0" xfId="3" applyNumberFormat="1" applyFont="1"/>
    <xf numFmtId="164" fontId="15" fillId="0" borderId="0" xfId="2" applyFont="1"/>
    <xf numFmtId="164" fontId="18" fillId="0" borderId="0" xfId="2" applyFont="1" applyBorder="1" applyAlignment="1">
      <alignment wrapText="1"/>
    </xf>
    <xf numFmtId="0" fontId="1" fillId="0" borderId="0" xfId="1" applyAlignment="1" applyProtection="1"/>
    <xf numFmtId="14" fontId="0" fillId="0" borderId="0" xfId="0" applyNumberFormat="1"/>
    <xf numFmtId="0" fontId="0" fillId="8" borderId="1" xfId="0" applyFill="1" applyBorder="1"/>
    <xf numFmtId="10" fontId="0" fillId="8" borderId="1" xfId="3" applyNumberFormat="1" applyFont="1" applyFill="1" applyBorder="1"/>
    <xf numFmtId="10" fontId="0" fillId="8" borderId="21" xfId="3" applyNumberFormat="1" applyFont="1" applyFill="1" applyBorder="1"/>
    <xf numFmtId="10" fontId="0" fillId="8" borderId="21" xfId="0" applyNumberFormat="1" applyFill="1" applyBorder="1"/>
    <xf numFmtId="164" fontId="0" fillId="0" borderId="0" xfId="2" applyFont="1" applyBorder="1"/>
    <xf numFmtId="10" fontId="0" fillId="0" borderId="0" xfId="3" applyNumberFormat="1" applyFont="1" applyBorder="1"/>
    <xf numFmtId="0" fontId="0" fillId="9" borderId="1" xfId="0" applyFill="1" applyBorder="1"/>
    <xf numFmtId="10" fontId="0" fillId="9" borderId="1" xfId="3" applyNumberFormat="1" applyFont="1" applyFill="1" applyBorder="1"/>
    <xf numFmtId="10" fontId="0" fillId="9" borderId="21" xfId="3" applyNumberFormat="1" applyFont="1" applyFill="1" applyBorder="1"/>
    <xf numFmtId="10" fontId="0" fillId="9" borderId="21" xfId="0" applyNumberFormat="1" applyFill="1" applyBorder="1"/>
    <xf numFmtId="0" fontId="14" fillId="5" borderId="26" xfId="0" applyFont="1" applyFill="1" applyBorder="1"/>
    <xf numFmtId="0" fontId="0" fillId="7" borderId="26" xfId="0" applyFill="1" applyBorder="1"/>
    <xf numFmtId="10" fontId="0" fillId="0" borderId="23" xfId="0" applyNumberFormat="1" applyBorder="1"/>
    <xf numFmtId="10" fontId="0" fillId="3" borderId="1" xfId="3" applyNumberFormat="1" applyFont="1" applyFill="1" applyBorder="1" applyAlignment="1">
      <alignment horizontal="right"/>
    </xf>
    <xf numFmtId="10" fontId="0" fillId="3" borderId="21" xfId="3" applyNumberFormat="1" applyFont="1" applyFill="1" applyBorder="1" applyAlignment="1">
      <alignment horizontal="right"/>
    </xf>
    <xf numFmtId="10" fontId="0" fillId="3" borderId="21" xfId="0" applyNumberFormat="1" applyFill="1" applyBorder="1" applyAlignment="1">
      <alignment horizontal="right"/>
    </xf>
    <xf numFmtId="2" fontId="0" fillId="0" borderId="1" xfId="2" applyNumberFormat="1" applyFont="1" applyBorder="1"/>
    <xf numFmtId="2" fontId="0" fillId="9" borderId="1" xfId="2" applyNumberFormat="1" applyFont="1" applyFill="1" applyBorder="1"/>
    <xf numFmtId="2" fontId="0" fillId="8" borderId="1" xfId="2" applyNumberFormat="1" applyFont="1" applyFill="1" applyBorder="1"/>
    <xf numFmtId="2" fontId="0" fillId="3" borderId="1" xfId="2" applyNumberFormat="1" applyFont="1" applyFill="1" applyBorder="1" applyAlignment="1">
      <alignment horizontal="right"/>
    </xf>
    <xf numFmtId="2" fontId="0" fillId="9" borderId="25" xfId="2" applyNumberFormat="1" applyFont="1" applyFill="1" applyBorder="1"/>
    <xf numFmtId="2" fontId="0" fillId="8" borderId="25" xfId="2" applyNumberFormat="1" applyFont="1" applyFill="1" applyBorder="1"/>
    <xf numFmtId="2" fontId="0" fillId="3" borderId="25" xfId="2" applyNumberFormat="1" applyFont="1" applyFill="1" applyBorder="1" applyAlignment="1">
      <alignment horizontal="right"/>
    </xf>
    <xf numFmtId="2" fontId="0" fillId="0" borderId="23" xfId="0" applyNumberFormat="1" applyBorder="1"/>
    <xf numFmtId="2" fontId="0" fillId="9" borderId="23" xfId="0" applyNumberFormat="1" applyFill="1" applyBorder="1"/>
    <xf numFmtId="2" fontId="0" fillId="8" borderId="23" xfId="0" applyNumberFormat="1" applyFill="1" applyBorder="1"/>
    <xf numFmtId="2" fontId="0" fillId="3" borderId="23" xfId="0" applyNumberFormat="1" applyFill="1" applyBorder="1" applyAlignment="1">
      <alignment horizontal="right"/>
    </xf>
    <xf numFmtId="2" fontId="17" fillId="6" borderId="26" xfId="2" applyNumberFormat="1" applyFont="1" applyFill="1" applyBorder="1"/>
    <xf numFmtId="10" fontId="14" fillId="0" borderId="1" xfId="0" applyNumberFormat="1" applyFont="1" applyBorder="1"/>
    <xf numFmtId="10" fontId="14" fillId="0" borderId="23" xfId="0" applyNumberFormat="1" applyFont="1" applyBorder="1"/>
    <xf numFmtId="0" fontId="1" fillId="0" borderId="0" xfId="1"/>
    <xf numFmtId="2" fontId="0" fillId="0" borderId="0" xfId="3" applyNumberFormat="1" applyFont="1" applyFill="1"/>
    <xf numFmtId="14" fontId="15" fillId="0" borderId="0" xfId="0" applyNumberFormat="1" applyFont="1"/>
    <xf numFmtId="0" fontId="21" fillId="0" borderId="0" xfId="1" applyFont="1" applyAlignment="1" applyProtection="1"/>
    <xf numFmtId="0" fontId="22" fillId="10" borderId="27" xfId="0" applyFont="1" applyFill="1" applyBorder="1" applyAlignment="1">
      <alignment horizontal="right" vertical="top"/>
    </xf>
    <xf numFmtId="0" fontId="22" fillId="10" borderId="27" xfId="0" applyFont="1" applyFill="1" applyBorder="1" applyAlignment="1">
      <alignment horizontal="center" vertical="top"/>
    </xf>
    <xf numFmtId="0" fontId="0" fillId="4" borderId="0" xfId="0" applyFill="1" applyAlignment="1">
      <alignment horizontal="left" wrapText="1" indent="1"/>
    </xf>
    <xf numFmtId="165" fontId="0" fillId="4" borderId="0" xfId="0" applyNumberFormat="1" applyFill="1" applyAlignment="1">
      <alignment horizontal="right"/>
    </xf>
    <xf numFmtId="0" fontId="22" fillId="4" borderId="0" xfId="0" applyFont="1" applyFill="1" applyAlignment="1">
      <alignment horizontal="left" wrapText="1" indent="2"/>
    </xf>
    <xf numFmtId="165" fontId="22" fillId="4" borderId="28" xfId="0" applyNumberFormat="1" applyFont="1" applyFill="1" applyBorder="1" applyAlignment="1">
      <alignment horizontal="right"/>
    </xf>
    <xf numFmtId="0" fontId="22" fillId="4" borderId="0" xfId="0" applyFont="1" applyFill="1" applyAlignment="1">
      <alignment horizontal="left" wrapText="1" indent="3"/>
    </xf>
    <xf numFmtId="0" fontId="22" fillId="4" borderId="0" xfId="0" applyFont="1" applyFill="1" applyAlignment="1">
      <alignment horizontal="left" wrapText="1" indent="1"/>
    </xf>
    <xf numFmtId="1" fontId="0" fillId="0" borderId="0" xfId="0" applyNumberFormat="1"/>
    <xf numFmtId="3" fontId="0" fillId="0" borderId="0" xfId="0" applyNumberFormat="1"/>
    <xf numFmtId="165" fontId="22" fillId="4" borderId="0" xfId="0" applyNumberFormat="1" applyFont="1" applyFill="1" applyBorder="1" applyAlignment="1">
      <alignment horizontal="right"/>
    </xf>
    <xf numFmtId="1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10" fontId="15" fillId="0" borderId="1" xfId="3" applyNumberFormat="1" applyFont="1" applyFill="1" applyBorder="1"/>
    <xf numFmtId="0" fontId="19" fillId="11" borderId="1" xfId="0" applyFont="1" applyFill="1" applyBorder="1"/>
    <xf numFmtId="0" fontId="19" fillId="11" borderId="24" xfId="0" applyFont="1" applyFill="1" applyBorder="1"/>
    <xf numFmtId="0" fontId="19" fillId="11" borderId="23" xfId="0" applyFont="1" applyFill="1" applyBorder="1"/>
    <xf numFmtId="10" fontId="15" fillId="12" borderId="1" xfId="3" applyNumberFormat="1" applyFont="1" applyFill="1" applyBorder="1"/>
    <xf numFmtId="10" fontId="15" fillId="12" borderId="24" xfId="3" applyNumberFormat="1" applyFont="1" applyFill="1" applyBorder="1"/>
    <xf numFmtId="10" fontId="15" fillId="12" borderId="23" xfId="3" applyNumberFormat="1" applyFont="1" applyFill="1" applyBorder="1"/>
    <xf numFmtId="0" fontId="15" fillId="0" borderId="0" xfId="0" applyFont="1" applyFill="1" applyBorder="1"/>
    <xf numFmtId="164" fontId="17" fillId="0" borderId="0" xfId="2" applyFont="1" applyFill="1" applyBorder="1"/>
    <xf numFmtId="0" fontId="14" fillId="0" borderId="0" xfId="0" applyFont="1" applyFill="1" applyBorder="1"/>
    <xf numFmtId="164" fontId="17" fillId="0" borderId="0" xfId="2" quotePrefix="1" applyFont="1" applyFill="1" applyBorder="1"/>
    <xf numFmtId="9" fontId="0" fillId="0" borderId="0" xfId="0" applyNumberFormat="1"/>
    <xf numFmtId="0" fontId="22" fillId="0" borderId="0" xfId="0" applyFont="1" applyFill="1" applyBorder="1" applyAlignment="1">
      <alignment horizontal="left" wrapText="1" indent="1"/>
    </xf>
    <xf numFmtId="165" fontId="22" fillId="0" borderId="0" xfId="0" applyNumberFormat="1" applyFont="1" applyFill="1" applyBorder="1" applyAlignment="1">
      <alignment horizontal="right"/>
    </xf>
    <xf numFmtId="0" fontId="14" fillId="4" borderId="25" xfId="0" applyFont="1" applyFill="1" applyBorder="1"/>
    <xf numFmtId="2" fontId="0" fillId="4" borderId="25" xfId="2" applyNumberFormat="1" applyFont="1" applyFill="1" applyBorder="1"/>
    <xf numFmtId="0" fontId="0" fillId="4" borderId="25" xfId="0" applyFill="1" applyBorder="1"/>
    <xf numFmtId="0" fontId="0" fillId="4" borderId="0" xfId="0" applyFill="1"/>
    <xf numFmtId="0" fontId="0" fillId="13" borderId="1" xfId="0" applyFill="1" applyBorder="1"/>
    <xf numFmtId="2" fontId="0" fillId="13" borderId="1" xfId="2" applyNumberFormat="1" applyFont="1" applyFill="1" applyBorder="1"/>
    <xf numFmtId="10" fontId="0" fillId="13" borderId="1" xfId="3" applyNumberFormat="1" applyFont="1" applyFill="1" applyBorder="1"/>
    <xf numFmtId="10" fontId="0" fillId="13" borderId="21" xfId="3" applyNumberFormat="1" applyFont="1" applyFill="1" applyBorder="1"/>
    <xf numFmtId="10" fontId="0" fillId="13" borderId="21" xfId="0" applyNumberFormat="1" applyFill="1" applyBorder="1"/>
    <xf numFmtId="2" fontId="0" fillId="13" borderId="25" xfId="2" applyNumberFormat="1" applyFont="1" applyFill="1" applyBorder="1"/>
    <xf numFmtId="2" fontId="0" fillId="13" borderId="23" xfId="0" applyNumberFormat="1" applyFill="1" applyBorder="1"/>
    <xf numFmtId="0" fontId="0" fillId="0" borderId="0" xfId="0" applyAlignment="1">
      <alignment horizontal="center"/>
    </xf>
    <xf numFmtId="0" fontId="0" fillId="14" borderId="14" xfId="0" applyFill="1" applyBorder="1"/>
    <xf numFmtId="0" fontId="0" fillId="14" borderId="4" xfId="0" applyFill="1" applyBorder="1"/>
    <xf numFmtId="2" fontId="0" fillId="0" borderId="15" xfId="0" applyNumberFormat="1" applyBorder="1"/>
    <xf numFmtId="2" fontId="0" fillId="0" borderId="0" xfId="0" applyNumberFormat="1" applyBorder="1"/>
    <xf numFmtId="2" fontId="0" fillId="2" borderId="0" xfId="0" applyNumberFormat="1" applyFill="1" applyBorder="1"/>
    <xf numFmtId="9" fontId="0" fillId="0" borderId="15" xfId="3" applyFont="1" applyBorder="1"/>
    <xf numFmtId="9" fontId="0" fillId="0" borderId="0" xfId="3" applyFont="1" applyBorder="1"/>
    <xf numFmtId="9" fontId="0" fillId="2" borderId="0" xfId="0" applyNumberFormat="1" applyFill="1" applyBorder="1"/>
    <xf numFmtId="3" fontId="0" fillId="0" borderId="15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10" fontId="0" fillId="0" borderId="15" xfId="3" applyNumberFormat="1" applyFont="1" applyBorder="1"/>
    <xf numFmtId="10" fontId="0" fillId="2" borderId="0" xfId="3" applyNumberFormat="1" applyFont="1" applyFill="1" applyBorder="1"/>
    <xf numFmtId="10" fontId="0" fillId="2" borderId="0" xfId="0" applyNumberFormat="1" applyFill="1" applyBorder="1"/>
    <xf numFmtId="0" fontId="0" fillId="2" borderId="0" xfId="0" applyFill="1" applyBorder="1"/>
    <xf numFmtId="1" fontId="0" fillId="2" borderId="0" xfId="0" applyNumberFormat="1" applyFill="1" applyBorder="1"/>
    <xf numFmtId="0" fontId="0" fillId="0" borderId="15" xfId="0" applyBorder="1"/>
    <xf numFmtId="0" fontId="0" fillId="0" borderId="30" xfId="0" applyBorder="1"/>
    <xf numFmtId="0" fontId="0" fillId="0" borderId="31" xfId="0" applyFill="1" applyBorder="1"/>
    <xf numFmtId="0" fontId="0" fillId="0" borderId="32" xfId="0" applyFill="1" applyBorder="1"/>
    <xf numFmtId="164" fontId="17" fillId="0" borderId="32" xfId="2" applyFont="1" applyFill="1" applyBorder="1"/>
    <xf numFmtId="0" fontId="0" fillId="0" borderId="33" xfId="0" applyBorder="1"/>
    <xf numFmtId="10" fontId="0" fillId="0" borderId="29" xfId="0" applyNumberFormat="1" applyBorder="1"/>
    <xf numFmtId="10" fontId="0" fillId="0" borderId="33" xfId="0" applyNumberFormat="1" applyBorder="1"/>
    <xf numFmtId="0" fontId="0" fillId="14" borderId="15" xfId="0" applyFill="1" applyBorder="1"/>
    <xf numFmtId="0" fontId="0" fillId="0" borderId="29" xfId="0" applyBorder="1"/>
    <xf numFmtId="2" fontId="0" fillId="0" borderId="30" xfId="0" applyNumberFormat="1" applyBorder="1"/>
    <xf numFmtId="0" fontId="0" fillId="0" borderId="32" xfId="0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B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'[1]Herleitung der Prognosewerte'!$B$7</c:f>
              <c:strCache>
                <c:ptCount val="1"/>
                <c:pt idx="0">
                  <c:v>Growth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2222222222222223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72-4D6F-96C6-BDE0EC85A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'[1]Herleitung der Prognosewerte'!$R$4:$V$4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'[1]Herleitung der Prognosewerte'!$R$7:$V$7</c:f>
              <c:numCache>
                <c:formatCode>General</c:formatCode>
                <c:ptCount val="5"/>
                <c:pt idx="0">
                  <c:v>-5.216209670909238E-2</c:v>
                </c:pt>
                <c:pt idx="1">
                  <c:v>-0.18309699215034989</c:v>
                </c:pt>
                <c:pt idx="2">
                  <c:v>6.3822762814943521E-2</c:v>
                </c:pt>
                <c:pt idx="3">
                  <c:v>2.3716577103376182E-2</c:v>
                </c:pt>
                <c:pt idx="4">
                  <c:v>-9.3657758276824883E-3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2-4D6F-96C6-BDE0EC85A479}"/>
            </c:ext>
          </c:extLst>
        </c:ser>
        <c:ser>
          <c:idx val="1"/>
          <c:order val="1"/>
          <c:tx>
            <c:strRef>
              <c:f>'[1]Herleitung der Prognosewerte'!$B$8</c:f>
              <c:strCache>
                <c:ptCount val="1"/>
                <c:pt idx="0">
                  <c:v>Mittelwert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72-4D6F-96C6-BDE0EC85A4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72-4D6F-96C6-BDE0EC85A47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72-4D6F-96C6-BDE0EC85A47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72-4D6F-96C6-BDE0EC85A479}"/>
                </c:ext>
              </c:extLst>
            </c:dLbl>
            <c:dLbl>
              <c:idx val="4"/>
              <c:layout>
                <c:manualLayout>
                  <c:x val="-4.7222222222222221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72-4D6F-96C6-BDE0EC85A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'[1]Herleitung der Prognosewerte'!$R$4:$V$4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'[1]Herleitung der Prognosewerte'!$R$8:$V$8</c:f>
              <c:numCache>
                <c:formatCode>General</c:formatCode>
                <c:ptCount val="5"/>
                <c:pt idx="0">
                  <c:v>-3.1417104953761016E-2</c:v>
                </c:pt>
                <c:pt idx="1">
                  <c:v>-3.1417104953761016E-2</c:v>
                </c:pt>
                <c:pt idx="2">
                  <c:v>-3.1417104953761016E-2</c:v>
                </c:pt>
                <c:pt idx="3">
                  <c:v>-3.1417104953761016E-2</c:v>
                </c:pt>
                <c:pt idx="4">
                  <c:v>-3.1417104953761016E-2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72-4D6F-96C6-BDE0EC8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70080"/>
        <c:axId val="1"/>
      </c:lineChart>
      <c:catAx>
        <c:axId val="3966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70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60281020219288"/>
          <c:y val="0.89247633976753393"/>
          <c:w val="0.48557739803353139"/>
          <c:h val="7.526908889605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'[1]Herleitung der Prognosewerte'!$B$11</c:f>
              <c:strCache>
                <c:ptCount val="1"/>
                <c:pt idx="0">
                  <c:v>CoGS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'[1]Herleitung der Prognosewerte'!$C$4:$AA$4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'[1]Herleitung der Prognosewerte'!$C$11:$V$11</c:f>
              <c:numCache>
                <c:formatCode>General</c:formatCode>
                <c:ptCount val="20"/>
                <c:pt idx="0">
                  <c:v>0.64694263617648695</c:v>
                </c:pt>
                <c:pt idx="1">
                  <c:v>0.68270769230769235</c:v>
                </c:pt>
                <c:pt idx="2">
                  <c:v>0.67720006208288064</c:v>
                </c:pt>
                <c:pt idx="3">
                  <c:v>0.69940949012319775</c:v>
                </c:pt>
                <c:pt idx="4">
                  <c:v>0.68521725231105313</c:v>
                </c:pt>
                <c:pt idx="5">
                  <c:v>0.69170663235466134</c:v>
                </c:pt>
                <c:pt idx="6">
                  <c:v>0.71655578787302798</c:v>
                </c:pt>
                <c:pt idx="7">
                  <c:v>0.72300736829390344</c:v>
                </c:pt>
                <c:pt idx="8">
                  <c:v>0.74561825885978428</c:v>
                </c:pt>
                <c:pt idx="9">
                  <c:v>0.723610754936579</c:v>
                </c:pt>
                <c:pt idx="10">
                  <c:v>0.70937641883111802</c:v>
                </c:pt>
                <c:pt idx="11">
                  <c:v>0.73453338231492438</c:v>
                </c:pt>
                <c:pt idx="12">
                  <c:v>0.75234649031596168</c:v>
                </c:pt>
                <c:pt idx="13">
                  <c:v>0.75130115041974777</c:v>
                </c:pt>
                <c:pt idx="14">
                  <c:v>0.75265721281920195</c:v>
                </c:pt>
                <c:pt idx="15">
                  <c:v>0.7292083634969978</c:v>
                </c:pt>
                <c:pt idx="16">
                  <c:v>0.68227628149435271</c:v>
                </c:pt>
                <c:pt idx="17">
                  <c:v>0.67933619718079807</c:v>
                </c:pt>
                <c:pt idx="18">
                  <c:v>0.70712405265257283</c:v>
                </c:pt>
                <c:pt idx="19">
                  <c:v>0.71470600867585787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C-4A41-96BA-74D9B16CD6CD}"/>
            </c:ext>
          </c:extLst>
        </c:ser>
        <c:ser>
          <c:idx val="1"/>
          <c:order val="1"/>
          <c:tx>
            <c:strRef>
              <c:f>'[1]Herleitung der Prognosewerte'!$B$12</c:f>
              <c:strCache>
                <c:ptCount val="1"/>
                <c:pt idx="0">
                  <c:v>Mittelwert 00-19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'[1]Herleitung der Prognosewerte'!$C$4:$AA$4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'[1]Herleitung der Prognosewerte'!$C$12:$V$12</c:f>
              <c:numCache>
                <c:formatCode>General</c:formatCode>
                <c:ptCount val="20"/>
                <c:pt idx="0">
                  <c:v>0.71024207467603984</c:v>
                </c:pt>
                <c:pt idx="1">
                  <c:v>0.71024207467603984</c:v>
                </c:pt>
                <c:pt idx="2">
                  <c:v>0.71024207467603984</c:v>
                </c:pt>
                <c:pt idx="3">
                  <c:v>0.71024207467603984</c:v>
                </c:pt>
                <c:pt idx="4">
                  <c:v>0.71024207467603984</c:v>
                </c:pt>
                <c:pt idx="5">
                  <c:v>0.71024207467603984</c:v>
                </c:pt>
                <c:pt idx="6">
                  <c:v>0.71024207467603984</c:v>
                </c:pt>
                <c:pt idx="7">
                  <c:v>0.71024207467603984</c:v>
                </c:pt>
                <c:pt idx="8">
                  <c:v>0.71024207467603984</c:v>
                </c:pt>
                <c:pt idx="9">
                  <c:v>0.71024207467603984</c:v>
                </c:pt>
                <c:pt idx="10">
                  <c:v>0.71024207467603984</c:v>
                </c:pt>
                <c:pt idx="11">
                  <c:v>0.71024207467603984</c:v>
                </c:pt>
                <c:pt idx="12">
                  <c:v>0.71024207467603984</c:v>
                </c:pt>
                <c:pt idx="13">
                  <c:v>0.71024207467603984</c:v>
                </c:pt>
                <c:pt idx="14">
                  <c:v>0.71024207467603984</c:v>
                </c:pt>
                <c:pt idx="15">
                  <c:v>0.71024207467603984</c:v>
                </c:pt>
                <c:pt idx="16">
                  <c:v>0.71024207467603984</c:v>
                </c:pt>
                <c:pt idx="17">
                  <c:v>0.71024207467603984</c:v>
                </c:pt>
                <c:pt idx="18">
                  <c:v>0.71024207467603984</c:v>
                </c:pt>
                <c:pt idx="19">
                  <c:v>0.71024207467603984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C-4A41-96BA-74D9B16CD6CD}"/>
            </c:ext>
          </c:extLst>
        </c:ser>
        <c:ser>
          <c:idx val="2"/>
          <c:order val="2"/>
          <c:tx>
            <c:strRef>
              <c:f>'[1]Herleitung der Prognosewerte'!$B$24</c:f>
              <c:strCache>
                <c:ptCount val="1"/>
                <c:pt idx="0">
                  <c:v>Prognose CoGS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2.5000000000000001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8C-4A41-96BA-74D9B16CD6CD}"/>
                </c:ext>
              </c:extLst>
            </c:dLbl>
            <c:dLbl>
              <c:idx val="20"/>
              <c:layout>
                <c:manualLayout>
                  <c:x val="-1.1111111111111112E-2"/>
                  <c:y val="-3.7037037037037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C-4A41-96BA-74D9B16CD6CD}"/>
                </c:ext>
              </c:extLst>
            </c:dLbl>
            <c:dLbl>
              <c:idx val="21"/>
              <c:layout>
                <c:manualLayout>
                  <c:x val="-0.10833333333333343"/>
                  <c:y val="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C-4A41-96BA-74D9B16CD6CD}"/>
                </c:ext>
              </c:extLst>
            </c:dLbl>
            <c:dLbl>
              <c:idx val="22"/>
              <c:layout>
                <c:manualLayout>
                  <c:x val="-2.7777777777777981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8C-4A41-96BA-74D9B16CD6CD}"/>
                </c:ext>
              </c:extLst>
            </c:dLbl>
            <c:dLbl>
              <c:idx val="23"/>
              <c:layout>
                <c:manualLayout>
                  <c:x val="-9.166666666666666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8C-4A41-96BA-74D9B16CD6CD}"/>
                </c:ext>
              </c:extLst>
            </c:dLbl>
            <c:dLbl>
              <c:idx val="24"/>
              <c:layout>
                <c:manualLayout>
                  <c:x val="-8.3333333333333332E-3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8C-4A41-96BA-74D9B16CD6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'[1]Herleitung der Prognosewerte'!$C$24:$AA$24</c:f>
              <c:numCache>
                <c:formatCode>General</c:formatCode>
                <c:ptCount val="25"/>
                <c:pt idx="19">
                  <c:v>0.71470600867585787</c:v>
                </c:pt>
                <c:pt idx="20">
                  <c:v>0.67391688857980481</c:v>
                </c:pt>
                <c:pt idx="21">
                  <c:v>0.64773780944651238</c:v>
                </c:pt>
                <c:pt idx="22">
                  <c:v>0.62254662009183481</c:v>
                </c:pt>
                <c:pt idx="23">
                  <c:v>0.59828843775029328</c:v>
                </c:pt>
                <c:pt idx="24">
                  <c:v>0.57491237113026239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8C-4A41-96BA-74D9B16C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80184"/>
        <c:axId val="1"/>
      </c:lineChart>
      <c:catAx>
        <c:axId val="3981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0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621808195660126"/>
          <c:y val="0.89544616889039574"/>
          <c:w val="0.71634685452471469"/>
          <c:h val="7.506734349979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1447944006998"/>
          <c:y val="5.0925925925925923E-2"/>
          <c:w val="0.85341885389326333"/>
          <c:h val="0.70218358121901425"/>
        </c:manualLayout>
      </c:layout>
      <c:lineChart>
        <c:grouping val="standard"/>
        <c:varyColors val="0"/>
        <c:ser>
          <c:idx val="0"/>
          <c:order val="0"/>
          <c:tx>
            <c:strRef>
              <c:f>'[1]Herleitung der Prognosewerte'!$B$15</c:f>
              <c:strCache>
                <c:ptCount val="1"/>
                <c:pt idx="0">
                  <c:v>G&amp;A, Sales, R&amp;D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'[1]Herleitung der Prognosewerte'!$C$4:$AA$4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'[1]Herleitung der Prognosewerte'!$C$15:$V$15</c:f>
              <c:numCache>
                <c:formatCode>General</c:formatCode>
                <c:ptCount val="20"/>
                <c:pt idx="0">
                  <c:v>0.22492071440494074</c:v>
                </c:pt>
                <c:pt idx="1">
                  <c:v>0.21692307692307691</c:v>
                </c:pt>
                <c:pt idx="2">
                  <c:v>0.20484246469036163</c:v>
                </c:pt>
                <c:pt idx="3">
                  <c:v>0.18974251371361769</c:v>
                </c:pt>
                <c:pt idx="4">
                  <c:v>0.15994885046753871</c:v>
                </c:pt>
                <c:pt idx="5">
                  <c:v>0.14146683822669318</c:v>
                </c:pt>
                <c:pt idx="6">
                  <c:v>0.13620984603687511</c:v>
                </c:pt>
                <c:pt idx="7">
                  <c:v>0.13861710755638385</c:v>
                </c:pt>
                <c:pt idx="8">
                  <c:v>0.13145223420647151</c:v>
                </c:pt>
                <c:pt idx="9">
                  <c:v>0.16171858047462173</c:v>
                </c:pt>
                <c:pt idx="10">
                  <c:v>0.1460711098586257</c:v>
                </c:pt>
                <c:pt idx="11">
                  <c:v>0.13936623263534567</c:v>
                </c:pt>
                <c:pt idx="12">
                  <c:v>0.14609934977609559</c:v>
                </c:pt>
                <c:pt idx="13">
                  <c:v>0.143849783028943</c:v>
                </c:pt>
                <c:pt idx="14">
                  <c:v>0.14448510615397034</c:v>
                </c:pt>
                <c:pt idx="15">
                  <c:v>0.16244375363738306</c:v>
                </c:pt>
                <c:pt idx="16">
                  <c:v>0.19051259774109469</c:v>
                </c:pt>
                <c:pt idx="17">
                  <c:v>0.18546951309148524</c:v>
                </c:pt>
                <c:pt idx="18">
                  <c:v>0.19213402473075389</c:v>
                </c:pt>
                <c:pt idx="19">
                  <c:v>0.19677447064381737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B-43E0-89CF-09F26E9D9756}"/>
            </c:ext>
          </c:extLst>
        </c:ser>
        <c:ser>
          <c:idx val="1"/>
          <c:order val="1"/>
          <c:tx>
            <c:strRef>
              <c:f>'[1]Herleitung der Prognosewerte'!$B$16</c:f>
              <c:strCache>
                <c:ptCount val="1"/>
                <c:pt idx="0">
                  <c:v>Mittelwert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'[1]Herleitung der Prognosewerte'!$C$4:$AA$4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'[1]Herleitung der Prognosewerte'!$C$16:$V$16</c:f>
              <c:numCache>
                <c:formatCode>General</c:formatCode>
                <c:ptCount val="20"/>
                <c:pt idx="0">
                  <c:v>0.18546687196890685</c:v>
                </c:pt>
                <c:pt idx="1">
                  <c:v>0.18546687196890685</c:v>
                </c:pt>
                <c:pt idx="2">
                  <c:v>0.18546687196890685</c:v>
                </c:pt>
                <c:pt idx="3">
                  <c:v>0.18546687196890685</c:v>
                </c:pt>
                <c:pt idx="4">
                  <c:v>0.18546687196890685</c:v>
                </c:pt>
                <c:pt idx="5">
                  <c:v>0.18546687196890685</c:v>
                </c:pt>
                <c:pt idx="6">
                  <c:v>0.18546687196890685</c:v>
                </c:pt>
                <c:pt idx="7">
                  <c:v>0.18546687196890685</c:v>
                </c:pt>
                <c:pt idx="8">
                  <c:v>0.18546687196890685</c:v>
                </c:pt>
                <c:pt idx="9">
                  <c:v>0.18546687196890685</c:v>
                </c:pt>
                <c:pt idx="10">
                  <c:v>0.18546687196890685</c:v>
                </c:pt>
                <c:pt idx="11">
                  <c:v>0.18546687196890685</c:v>
                </c:pt>
                <c:pt idx="12">
                  <c:v>0.18546687196890685</c:v>
                </c:pt>
                <c:pt idx="13">
                  <c:v>0.18546687196890685</c:v>
                </c:pt>
                <c:pt idx="14">
                  <c:v>0.18546687196890685</c:v>
                </c:pt>
                <c:pt idx="15">
                  <c:v>0.18546687196890685</c:v>
                </c:pt>
                <c:pt idx="16">
                  <c:v>0.18546687196890685</c:v>
                </c:pt>
                <c:pt idx="17">
                  <c:v>0.18546687196890685</c:v>
                </c:pt>
                <c:pt idx="18">
                  <c:v>0.18546687196890685</c:v>
                </c:pt>
                <c:pt idx="19">
                  <c:v>0.18546687196890685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B-43E0-89CF-09F26E9D9756}"/>
            </c:ext>
          </c:extLst>
        </c:ser>
        <c:ser>
          <c:idx val="2"/>
          <c:order val="2"/>
          <c:tx>
            <c:strRef>
              <c:f>'[1]Herleitung der Prognosewerte'!$B$27</c:f>
              <c:strCache>
                <c:ptCount val="1"/>
                <c:pt idx="0">
                  <c:v>Prognose G&amp;A, Sales, R&amp;D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6.6666666666666666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1B-43E0-89CF-09F26E9D9756}"/>
                </c:ext>
              </c:extLst>
            </c:dLbl>
            <c:dLbl>
              <c:idx val="20"/>
              <c:layout>
                <c:manualLayout>
                  <c:x val="-0.11388888888888889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1B-43E0-89CF-09F26E9D9756}"/>
                </c:ext>
              </c:extLst>
            </c:dLbl>
            <c:dLbl>
              <c:idx val="21"/>
              <c:layout>
                <c:manualLayout>
                  <c:x val="-5.2777777777777882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1B-43E0-89CF-09F26E9D9756}"/>
                </c:ext>
              </c:extLst>
            </c:dLbl>
            <c:dLbl>
              <c:idx val="22"/>
              <c:layout>
                <c:manualLayout>
                  <c:x val="-0.1000000000000001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1B-43E0-89CF-09F26E9D9756}"/>
                </c:ext>
              </c:extLst>
            </c:dLbl>
            <c:dLbl>
              <c:idx val="23"/>
              <c:layout>
                <c:manualLayout>
                  <c:x val="-2.7777777777777776E-2"/>
                  <c:y val="-4.629629629629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1B-43E0-89CF-09F26E9D9756}"/>
                </c:ext>
              </c:extLst>
            </c:dLbl>
            <c:dLbl>
              <c:idx val="24"/>
              <c:layout>
                <c:manualLayout>
                  <c:x val="-8.3333333333333332E-3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1B-43E0-89CF-09F26E9D97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'[1]Herleitung der Prognosewerte'!$C$26:$AA$26</c:f>
              <c:numCache>
                <c:formatCode>General</c:formatCode>
                <c:ptCount val="25"/>
                <c:pt idx="19">
                  <c:v>0.19677447064381737</c:v>
                </c:pt>
                <c:pt idx="20">
                  <c:v>0.17553654883688613</c:v>
                </c:pt>
                <c:pt idx="21">
                  <c:v>0.16871762905514556</c:v>
                </c:pt>
                <c:pt idx="22">
                  <c:v>0.16215602700101781</c:v>
                </c:pt>
                <c:pt idx="23">
                  <c:v>0.15583744724519111</c:v>
                </c:pt>
                <c:pt idx="24">
                  <c:v>0.14974863402593994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1B-43E0-89CF-09F26E9D9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82152"/>
        <c:axId val="1"/>
      </c:lineChart>
      <c:catAx>
        <c:axId val="3981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2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2500061133028792E-2"/>
          <c:y val="0.89544616889039574"/>
          <c:w val="0.86538546184193721"/>
          <c:h val="7.506734349979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44</xdr:row>
      <xdr:rowOff>91440</xdr:rowOff>
    </xdr:from>
    <xdr:to>
      <xdr:col>15</xdr:col>
      <xdr:colOff>571500</xdr:colOff>
      <xdr:row>61</xdr:row>
      <xdr:rowOff>76200</xdr:rowOff>
    </xdr:to>
    <xdr:graphicFrame macro="">
      <xdr:nvGraphicFramePr>
        <xdr:cNvPr id="4" name="Diagramm 4">
          <a:extLst>
            <a:ext uri="{FF2B5EF4-FFF2-40B4-BE49-F238E27FC236}">
              <a16:creationId xmlns:a16="http://schemas.microsoft.com/office/drawing/2014/main" id="{3953F4A3-3342-4B17-BBB1-ADC29D010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45</xdr:row>
      <xdr:rowOff>7620</xdr:rowOff>
    </xdr:from>
    <xdr:to>
      <xdr:col>8</xdr:col>
      <xdr:colOff>525780</xdr:colOff>
      <xdr:row>62</xdr:row>
      <xdr:rowOff>0</xdr:rowOff>
    </xdr:to>
    <xdr:graphicFrame macro="">
      <xdr:nvGraphicFramePr>
        <xdr:cNvPr id="5" name="Diagramm 5">
          <a:extLst>
            <a:ext uri="{FF2B5EF4-FFF2-40B4-BE49-F238E27FC236}">
              <a16:creationId xmlns:a16="http://schemas.microsoft.com/office/drawing/2014/main" id="{FA8C421C-2C5A-4A47-9EA0-5693D832D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62</xdr:row>
      <xdr:rowOff>129540</xdr:rowOff>
    </xdr:from>
    <xdr:to>
      <xdr:col>8</xdr:col>
      <xdr:colOff>518160</xdr:colOff>
      <xdr:row>79</xdr:row>
      <xdr:rowOff>121920</xdr:rowOff>
    </xdr:to>
    <xdr:graphicFrame macro="">
      <xdr:nvGraphicFramePr>
        <xdr:cNvPr id="6" name="Diagramm 6">
          <a:extLst>
            <a:ext uri="{FF2B5EF4-FFF2-40B4-BE49-F238E27FC236}">
              <a16:creationId xmlns:a16="http://schemas.microsoft.com/office/drawing/2014/main" id="{8F4BFD46-B7B6-4AE0-9AA6-A725800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624840</xdr:colOff>
      <xdr:row>37</xdr:row>
      <xdr:rowOff>146685</xdr:rowOff>
    </xdr:from>
    <xdr:to>
      <xdr:col>9</xdr:col>
      <xdr:colOff>544814</xdr:colOff>
      <xdr:row>39</xdr:row>
      <xdr:rowOff>76262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0">
              <a:extLst>
                <a:ext uri="{FF2B5EF4-FFF2-40B4-BE49-F238E27FC236}">
                  <a16:creationId xmlns:a16="http://schemas.microsoft.com/office/drawing/2014/main" id="{7FCC4ADA-DBDC-4A22-B6B1-297173DF0C17}"/>
                </a:ext>
              </a:extLst>
            </xdr:cNvPr>
            <xdr:cNvSpPr txBox="1"/>
          </xdr:nvSpPr>
          <xdr:spPr>
            <a:xfrm>
              <a:off x="3108960" y="6791325"/>
              <a:ext cx="5482574" cy="2953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b="0" i="1">
                            <a:latin typeface="Cambria Math" panose="02040503050406030204" pitchFamily="18" charset="0"/>
                          </a:rPr>
                          <m:t>𝐸𝐾</m:t>
                        </m:r>
                      </m:sup>
                    </m:sSup>
                    <m:r>
                      <a:rPr lang="de-DE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de-DE" b="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p>
                    <m:r>
                      <a:rPr lang="de-DE" b="0" i="1">
                        <a:latin typeface="Cambria Math" panose="02040503050406030204" pitchFamily="18" charset="0"/>
                      </a:rPr>
                      <m:t>+ß</m:t>
                    </m:r>
                    <m:r>
                      <a:rPr lang="de-DE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∗(</m:t>
                    </m:r>
                    <m:sSup>
                      <m:sSupPr>
                        <m:ctrlPr>
                          <a:rPr lang="de-DE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sup>
                    </m:sSup>
                    <m:r>
                      <a:rPr lang="de-DE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</m:t>
                    </m:r>
                    <m:sSup>
                      <m:sSupPr>
                        <m:ctrlPr>
                          <a:rPr lang="de-DE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de-DE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sup>
                    </m:sSup>
                    <m:r>
                      <a:rPr lang="de-DE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e-DE"/>
            </a:p>
          </xdr:txBody>
        </xdr:sp>
      </mc:Choice>
      <mc:Fallback xmlns="">
        <xdr:sp macro="" textlink="">
          <xdr:nvSpPr>
            <xdr:cNvPr id="2" name="Textfeld 10">
              <a:extLst>
                <a:ext uri="{FF2B5EF4-FFF2-40B4-BE49-F238E27FC236}">
                  <a16:creationId xmlns:a16="http://schemas.microsoft.com/office/drawing/2014/main" id="{7FCC4ADA-DBDC-4A22-B6B1-297173DF0C17}"/>
                </a:ext>
              </a:extLst>
            </xdr:cNvPr>
            <xdr:cNvSpPr txBox="1"/>
          </xdr:nvSpPr>
          <xdr:spPr>
            <a:xfrm>
              <a:off x="3108960" y="6791325"/>
              <a:ext cx="5482574" cy="2953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de-DE" b="0" i="0">
                  <a:latin typeface="Cambria Math" panose="02040503050406030204" pitchFamily="18" charset="0"/>
                </a:rPr>
                <a:t>𝑘^𝐸𝐾=𝑅^𝑓+ß</a:t>
              </a:r>
              <a:r>
                <a:rPr lang="de-D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∗(𝑘^𝑀  −𝑅^𝑓)</a:t>
              </a:r>
              <a:endParaRPr lang="de-DE"/>
            </a:p>
          </xdr:txBody>
        </xdr:sp>
      </mc:Fallback>
    </mc:AlternateContent>
    <xdr:clientData/>
  </xdr:twoCellAnchor>
  <xdr:twoCellAnchor>
    <xdr:from>
      <xdr:col>10</xdr:col>
      <xdr:colOff>53340</xdr:colOff>
      <xdr:row>35</xdr:row>
      <xdr:rowOff>30480</xdr:rowOff>
    </xdr:from>
    <xdr:to>
      <xdr:col>16</xdr:col>
      <xdr:colOff>118104</xdr:colOff>
      <xdr:row>38</xdr:row>
      <xdr:rowOff>165150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11">
              <a:extLst>
                <a:ext uri="{FF2B5EF4-FFF2-40B4-BE49-F238E27FC236}">
                  <a16:creationId xmlns:a16="http://schemas.microsoft.com/office/drawing/2014/main" id="{EDA13494-50B7-4778-910B-EEF6ABA4BCE1}"/>
                </a:ext>
              </a:extLst>
            </xdr:cNvPr>
            <xdr:cNvSpPr txBox="1"/>
          </xdr:nvSpPr>
          <xdr:spPr>
            <a:xfrm>
              <a:off x="9715500" y="6309360"/>
              <a:ext cx="5048244" cy="6833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b="0" i="1">
                        <a:latin typeface="Cambria Math" panose="02040503050406030204" pitchFamily="18" charset="0"/>
                      </a:rPr>
                      <m:t>𝑊𝐴𝐶𝐶</m:t>
                    </m:r>
                    <m:r>
                      <a:rPr lang="de-DE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de-DE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b="0" i="1">
                                <a:latin typeface="Cambria Math" panose="02040503050406030204" pitchFamily="18" charset="0"/>
                              </a:rPr>
                              <m:t>𝐸𝐾</m:t>
                            </m:r>
                          </m:num>
                          <m:den>
                            <m:r>
                              <a:rPr lang="de-DE" b="0" i="1">
                                <a:latin typeface="Cambria Math" panose="02040503050406030204" pitchFamily="18" charset="0"/>
                              </a:rPr>
                              <m:t>𝐺𝐾</m:t>
                            </m:r>
                          </m:den>
                        </m:f>
                      </m:e>
                    </m:d>
                    <m:r>
                      <a:rPr lang="de-DE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de-DE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b="0" i="1">
                            <a:latin typeface="Cambria Math" panose="02040503050406030204" pitchFamily="18" charset="0"/>
                          </a:rPr>
                          <m:t>𝐸𝐾</m:t>
                        </m:r>
                      </m:sup>
                    </m:sSup>
                    <m:r>
                      <a:rPr lang="de-DE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de-DE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b="0" i="1">
                                <a:latin typeface="Cambria Math" panose="02040503050406030204" pitchFamily="18" charset="0"/>
                              </a:rPr>
                              <m:t>𝐹𝐾</m:t>
                            </m:r>
                          </m:num>
                          <m:den>
                            <m:r>
                              <a:rPr lang="de-DE" b="0" i="1">
                                <a:latin typeface="Cambria Math" panose="02040503050406030204" pitchFamily="18" charset="0"/>
                              </a:rPr>
                              <m:t>𝐺𝐾</m:t>
                            </m:r>
                          </m:den>
                        </m:f>
                      </m:e>
                    </m:d>
                    <m:r>
                      <a:rPr lang="de-DE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de-DE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b="0" i="1">
                            <a:latin typeface="Cambria Math" panose="02040503050406030204" pitchFamily="18" charset="0"/>
                          </a:rPr>
                          <m:t>𝐹𝐾</m:t>
                        </m:r>
                      </m:sup>
                    </m:sSup>
                    <m:r>
                      <a:rPr lang="de-DE" b="0" i="1">
                        <a:latin typeface="Cambria Math" panose="02040503050406030204" pitchFamily="18" charset="0"/>
                      </a:rPr>
                      <m:t> ∗(1−</m:t>
                    </m:r>
                    <m:r>
                      <a:rPr lang="de-DE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de-DE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e-DE"/>
            </a:p>
          </xdr:txBody>
        </xdr:sp>
      </mc:Choice>
      <mc:Fallback xmlns="">
        <xdr:sp macro="" textlink="">
          <xdr:nvSpPr>
            <xdr:cNvPr id="3" name="Textfeld 11">
              <a:extLst>
                <a:ext uri="{FF2B5EF4-FFF2-40B4-BE49-F238E27FC236}">
                  <a16:creationId xmlns:a16="http://schemas.microsoft.com/office/drawing/2014/main" id="{EDA13494-50B7-4778-910B-EEF6ABA4BCE1}"/>
                </a:ext>
              </a:extLst>
            </xdr:cNvPr>
            <xdr:cNvSpPr txBox="1"/>
          </xdr:nvSpPr>
          <xdr:spPr>
            <a:xfrm>
              <a:off x="9715500" y="6309360"/>
              <a:ext cx="5048244" cy="6833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de-DE" b="0" i="0">
                  <a:latin typeface="Cambria Math" panose="02040503050406030204" pitchFamily="18" charset="0"/>
                </a:rPr>
                <a:t>𝑊𝐴𝐶𝐶=(𝐸𝐾/𝐺𝐾)∗𝑘^𝐸𝐾+(𝐹𝐾/𝐺𝐾)∗𝑘^𝐹𝐾  ∗(1−𝑠)</a:t>
              </a:r>
              <a:endParaRPr lang="de-DE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ITH%20RAJAN\Downloads\Konzernabschlussbeispiel%20UB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uv"/>
      <sheetName val="Herleitung der Prognosewerte"/>
      <sheetName val="UGW_MVA"/>
      <sheetName val="WACC"/>
      <sheetName val="kapitalflussrechnung"/>
      <sheetName val="Einstellungen"/>
      <sheetName val="gesamtergebnisrechnung"/>
      <sheetName val="ertrag_u_aufwand_aktionaere"/>
      <sheetName val="bilanz"/>
      <sheetName val="eigenkapital"/>
    </sheetNames>
    <sheetDataSet>
      <sheetData sheetId="0"/>
      <sheetData sheetId="1"/>
      <sheetData sheetId="2">
        <row r="4">
          <cell r="C4">
            <v>2000</v>
          </cell>
          <cell r="D4">
            <v>2001</v>
          </cell>
          <cell r="E4">
            <v>2002</v>
          </cell>
          <cell r="F4">
            <v>2003</v>
          </cell>
          <cell r="G4">
            <v>2004</v>
          </cell>
          <cell r="H4">
            <v>2005</v>
          </cell>
          <cell r="I4">
            <v>2006</v>
          </cell>
          <cell r="J4">
            <v>2007</v>
          </cell>
          <cell r="K4">
            <v>2008</v>
          </cell>
          <cell r="L4">
            <v>2009</v>
          </cell>
          <cell r="M4">
            <v>2010</v>
          </cell>
          <cell r="N4">
            <v>2011</v>
          </cell>
          <cell r="O4">
            <v>2012</v>
          </cell>
          <cell r="P4">
            <v>2013</v>
          </cell>
          <cell r="Q4">
            <v>2014</v>
          </cell>
          <cell r="R4">
            <v>2015</v>
          </cell>
          <cell r="S4">
            <v>2016</v>
          </cell>
          <cell r="T4">
            <v>2017</v>
          </cell>
          <cell r="U4">
            <v>2018</v>
          </cell>
          <cell r="V4">
            <v>2019</v>
          </cell>
          <cell r="W4">
            <v>2020</v>
          </cell>
          <cell r="X4">
            <v>2021</v>
          </cell>
          <cell r="Y4">
            <v>2022</v>
          </cell>
          <cell r="Z4">
            <v>2023</v>
          </cell>
          <cell r="AA4">
            <v>2024</v>
          </cell>
        </row>
        <row r="7">
          <cell r="B7" t="str">
            <v>Growth (%)</v>
          </cell>
          <cell r="R7">
            <v>-5.216209670909238E-2</v>
          </cell>
          <cell r="S7">
            <v>-0.18309699215034989</v>
          </cell>
          <cell r="T7">
            <v>6.3822762814943521E-2</v>
          </cell>
          <cell r="U7">
            <v>2.3716577103376182E-2</v>
          </cell>
          <cell r="V7">
            <v>-9.3657758276824883E-3</v>
          </cell>
        </row>
        <row r="8">
          <cell r="B8" t="str">
            <v>Mittelwert 15-19</v>
          </cell>
          <cell r="R8">
            <v>-3.1417104953761016E-2</v>
          </cell>
          <cell r="S8">
            <v>-3.1417104953761016E-2</v>
          </cell>
          <cell r="T8">
            <v>-3.1417104953761016E-2</v>
          </cell>
          <cell r="U8">
            <v>-3.1417104953761016E-2</v>
          </cell>
          <cell r="V8">
            <v>-3.1417104953761016E-2</v>
          </cell>
        </row>
        <row r="11">
          <cell r="B11" t="str">
            <v>CoGS (%)</v>
          </cell>
          <cell r="C11">
            <v>0.64694263617648695</v>
          </cell>
          <cell r="D11">
            <v>0.68270769230769235</v>
          </cell>
          <cell r="E11">
            <v>0.67720006208288064</v>
          </cell>
          <cell r="F11">
            <v>0.69940949012319775</v>
          </cell>
          <cell r="G11">
            <v>0.68521725231105313</v>
          </cell>
          <cell r="H11">
            <v>0.69170663235466134</v>
          </cell>
          <cell r="I11">
            <v>0.71655578787302798</v>
          </cell>
          <cell r="J11">
            <v>0.72300736829390344</v>
          </cell>
          <cell r="K11">
            <v>0.74561825885978428</v>
          </cell>
          <cell r="L11">
            <v>0.723610754936579</v>
          </cell>
          <cell r="M11">
            <v>0.70937641883111802</v>
          </cell>
          <cell r="N11">
            <v>0.73453338231492438</v>
          </cell>
          <cell r="O11">
            <v>0.75234649031596168</v>
          </cell>
          <cell r="P11">
            <v>0.75130115041974777</v>
          </cell>
          <cell r="Q11">
            <v>0.75265721281920195</v>
          </cell>
          <cell r="R11">
            <v>0.7292083634969978</v>
          </cell>
          <cell r="S11">
            <v>0.68227628149435271</v>
          </cell>
          <cell r="T11">
            <v>0.67933619718079807</v>
          </cell>
          <cell r="U11">
            <v>0.70712405265257283</v>
          </cell>
          <cell r="V11">
            <v>0.71470600867585787</v>
          </cell>
        </row>
        <row r="12">
          <cell r="B12" t="str">
            <v>Mittelwert 00-19</v>
          </cell>
          <cell r="C12">
            <v>0.71024207467603984</v>
          </cell>
          <cell r="D12">
            <v>0.71024207467603984</v>
          </cell>
          <cell r="E12">
            <v>0.71024207467603984</v>
          </cell>
          <cell r="F12">
            <v>0.71024207467603984</v>
          </cell>
          <cell r="G12">
            <v>0.71024207467603984</v>
          </cell>
          <cell r="H12">
            <v>0.71024207467603984</v>
          </cell>
          <cell r="I12">
            <v>0.71024207467603984</v>
          </cell>
          <cell r="J12">
            <v>0.71024207467603984</v>
          </cell>
          <cell r="K12">
            <v>0.71024207467603984</v>
          </cell>
          <cell r="L12">
            <v>0.71024207467603984</v>
          </cell>
          <cell r="M12">
            <v>0.71024207467603984</v>
          </cell>
          <cell r="N12">
            <v>0.71024207467603984</v>
          </cell>
          <cell r="O12">
            <v>0.71024207467603984</v>
          </cell>
          <cell r="P12">
            <v>0.71024207467603984</v>
          </cell>
          <cell r="Q12">
            <v>0.71024207467603984</v>
          </cell>
          <cell r="R12">
            <v>0.71024207467603984</v>
          </cell>
          <cell r="S12">
            <v>0.71024207467603984</v>
          </cell>
          <cell r="T12">
            <v>0.71024207467603984</v>
          </cell>
          <cell r="U12">
            <v>0.71024207467603984</v>
          </cell>
          <cell r="V12">
            <v>0.71024207467603984</v>
          </cell>
        </row>
        <row r="15">
          <cell r="B15" t="str">
            <v>G&amp;A, Sales, R&amp;D %</v>
          </cell>
          <cell r="C15">
            <v>0.22492071440494074</v>
          </cell>
          <cell r="D15">
            <v>0.21692307692307691</v>
          </cell>
          <cell r="E15">
            <v>0.20484246469036163</v>
          </cell>
          <cell r="F15">
            <v>0.18974251371361769</v>
          </cell>
          <cell r="G15">
            <v>0.15994885046753871</v>
          </cell>
          <cell r="H15">
            <v>0.14146683822669318</v>
          </cell>
          <cell r="I15">
            <v>0.13620984603687511</v>
          </cell>
          <cell r="J15">
            <v>0.13861710755638385</v>
          </cell>
          <cell r="K15">
            <v>0.13145223420647151</v>
          </cell>
          <cell r="L15">
            <v>0.16171858047462173</v>
          </cell>
          <cell r="M15">
            <v>0.1460711098586257</v>
          </cell>
          <cell r="N15">
            <v>0.13936623263534567</v>
          </cell>
          <cell r="O15">
            <v>0.14609934977609559</v>
          </cell>
          <cell r="P15">
            <v>0.143849783028943</v>
          </cell>
          <cell r="Q15">
            <v>0.14448510615397034</v>
          </cell>
          <cell r="R15">
            <v>0.16244375363738306</v>
          </cell>
          <cell r="S15">
            <v>0.19051259774109469</v>
          </cell>
          <cell r="T15">
            <v>0.18546951309148524</v>
          </cell>
          <cell r="U15">
            <v>0.19213402473075389</v>
          </cell>
          <cell r="V15">
            <v>0.19677447064381737</v>
          </cell>
        </row>
        <row r="16">
          <cell r="B16" t="str">
            <v>Mittelwert 15-19</v>
          </cell>
          <cell r="C16">
            <v>0.18546687196890685</v>
          </cell>
          <cell r="D16">
            <v>0.18546687196890685</v>
          </cell>
          <cell r="E16">
            <v>0.18546687196890685</v>
          </cell>
          <cell r="F16">
            <v>0.18546687196890685</v>
          </cell>
          <cell r="G16">
            <v>0.18546687196890685</v>
          </cell>
          <cell r="H16">
            <v>0.18546687196890685</v>
          </cell>
          <cell r="I16">
            <v>0.18546687196890685</v>
          </cell>
          <cell r="J16">
            <v>0.18546687196890685</v>
          </cell>
          <cell r="K16">
            <v>0.18546687196890685</v>
          </cell>
          <cell r="L16">
            <v>0.18546687196890685</v>
          </cell>
          <cell r="M16">
            <v>0.18546687196890685</v>
          </cell>
          <cell r="N16">
            <v>0.18546687196890685</v>
          </cell>
          <cell r="O16">
            <v>0.18546687196890685</v>
          </cell>
          <cell r="P16">
            <v>0.18546687196890685</v>
          </cell>
          <cell r="Q16">
            <v>0.18546687196890685</v>
          </cell>
          <cell r="R16">
            <v>0.18546687196890685</v>
          </cell>
          <cell r="S16">
            <v>0.18546687196890685</v>
          </cell>
          <cell r="T16">
            <v>0.18546687196890685</v>
          </cell>
          <cell r="U16">
            <v>0.18546687196890685</v>
          </cell>
          <cell r="V16">
            <v>0.18546687196890685</v>
          </cell>
        </row>
        <row r="24">
          <cell r="B24" t="str">
            <v>Prognose CoGS</v>
          </cell>
          <cell r="V24">
            <v>0.71470600867585787</v>
          </cell>
          <cell r="W24">
            <v>0.67391688857980481</v>
          </cell>
          <cell r="X24">
            <v>0.64773780944651238</v>
          </cell>
          <cell r="Y24">
            <v>0.62254662009183481</v>
          </cell>
          <cell r="Z24">
            <v>0.59828843775029328</v>
          </cell>
          <cell r="AA24">
            <v>0.57491237113026239</v>
          </cell>
        </row>
        <row r="26">
          <cell r="V26">
            <v>0.19677447064381737</v>
          </cell>
          <cell r="W26">
            <v>0.17553654883688613</v>
          </cell>
          <cell r="X26">
            <v>0.16871762905514556</v>
          </cell>
          <cell r="Y26">
            <v>0.16215602700101781</v>
          </cell>
          <cell r="Z26">
            <v>0.15583744724519111</v>
          </cell>
          <cell r="AA26">
            <v>0.14974863402593994</v>
          </cell>
        </row>
        <row r="27">
          <cell r="B27" t="str">
            <v>Prognose G&amp;A, Sales, R&amp;D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treasury.gov/resource-center/data-chart-center/interest-rates/Pages/TextView.aspx?data=yieldYear&amp;year=2016" TargetMode="External"/><Relationship Id="rId1" Type="http://schemas.openxmlformats.org/officeDocument/2006/relationships/hyperlink" Target="http://www.market-risk-premia.com/us.html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A702-99A2-440D-B1C0-0FFADE840BD2}">
  <dimension ref="B3:U33"/>
  <sheetViews>
    <sheetView topLeftCell="D1" zoomScale="90" zoomScaleNormal="90" workbookViewId="0">
      <selection activeCell="O5" sqref="O5"/>
    </sheetView>
  </sheetViews>
  <sheetFormatPr defaultColWidth="11.5546875" defaultRowHeight="14.4" x14ac:dyDescent="0.3"/>
  <cols>
    <col min="2" max="2" width="28.21875" customWidth="1"/>
    <col min="18" max="18" width="14.33203125" bestFit="1" customWidth="1"/>
    <col min="19" max="19" width="14.44140625" customWidth="1"/>
    <col min="20" max="20" width="13.6640625" customWidth="1"/>
    <col min="21" max="21" width="15.77734375" customWidth="1"/>
    <col min="249" max="249" width="18.5546875" bestFit="1" customWidth="1"/>
    <col min="250" max="250" width="11.88671875" bestFit="1" customWidth="1"/>
    <col min="270" max="270" width="14.33203125" bestFit="1" customWidth="1"/>
    <col min="505" max="505" width="18.5546875" bestFit="1" customWidth="1"/>
    <col min="506" max="506" width="11.88671875" bestFit="1" customWidth="1"/>
    <col min="526" max="526" width="14.33203125" bestFit="1" customWidth="1"/>
    <col min="761" max="761" width="18.5546875" bestFit="1" customWidth="1"/>
    <col min="762" max="762" width="11.88671875" bestFit="1" customWidth="1"/>
    <col min="782" max="782" width="14.33203125" bestFit="1" customWidth="1"/>
    <col min="1017" max="1017" width="18.5546875" bestFit="1" customWidth="1"/>
    <col min="1018" max="1018" width="11.88671875" bestFit="1" customWidth="1"/>
    <col min="1038" max="1038" width="14.33203125" bestFit="1" customWidth="1"/>
    <col min="1273" max="1273" width="18.5546875" bestFit="1" customWidth="1"/>
    <col min="1274" max="1274" width="11.88671875" bestFit="1" customWidth="1"/>
    <col min="1294" max="1294" width="14.33203125" bestFit="1" customWidth="1"/>
    <col min="1529" max="1529" width="18.5546875" bestFit="1" customWidth="1"/>
    <col min="1530" max="1530" width="11.88671875" bestFit="1" customWidth="1"/>
    <col min="1550" max="1550" width="14.33203125" bestFit="1" customWidth="1"/>
    <col min="1785" max="1785" width="18.5546875" bestFit="1" customWidth="1"/>
    <col min="1786" max="1786" width="11.88671875" bestFit="1" customWidth="1"/>
    <col min="1806" max="1806" width="14.33203125" bestFit="1" customWidth="1"/>
    <col min="2041" max="2041" width="18.5546875" bestFit="1" customWidth="1"/>
    <col min="2042" max="2042" width="11.88671875" bestFit="1" customWidth="1"/>
    <col min="2062" max="2062" width="14.33203125" bestFit="1" customWidth="1"/>
    <col min="2297" max="2297" width="18.5546875" bestFit="1" customWidth="1"/>
    <col min="2298" max="2298" width="11.88671875" bestFit="1" customWidth="1"/>
    <col min="2318" max="2318" width="14.33203125" bestFit="1" customWidth="1"/>
    <col min="2553" max="2553" width="18.5546875" bestFit="1" customWidth="1"/>
    <col min="2554" max="2554" width="11.88671875" bestFit="1" customWidth="1"/>
    <col min="2574" max="2574" width="14.33203125" bestFit="1" customWidth="1"/>
    <col min="2809" max="2809" width="18.5546875" bestFit="1" customWidth="1"/>
    <col min="2810" max="2810" width="11.88671875" bestFit="1" customWidth="1"/>
    <col min="2830" max="2830" width="14.33203125" bestFit="1" customWidth="1"/>
    <col min="3065" max="3065" width="18.5546875" bestFit="1" customWidth="1"/>
    <col min="3066" max="3066" width="11.88671875" bestFit="1" customWidth="1"/>
    <col min="3086" max="3086" width="14.33203125" bestFit="1" customWidth="1"/>
    <col min="3321" max="3321" width="18.5546875" bestFit="1" customWidth="1"/>
    <col min="3322" max="3322" width="11.88671875" bestFit="1" customWidth="1"/>
    <col min="3342" max="3342" width="14.33203125" bestFit="1" customWidth="1"/>
    <col min="3577" max="3577" width="18.5546875" bestFit="1" customWidth="1"/>
    <col min="3578" max="3578" width="11.88671875" bestFit="1" customWidth="1"/>
    <col min="3598" max="3598" width="14.33203125" bestFit="1" customWidth="1"/>
    <col min="3833" max="3833" width="18.5546875" bestFit="1" customWidth="1"/>
    <col min="3834" max="3834" width="11.88671875" bestFit="1" customWidth="1"/>
    <col min="3854" max="3854" width="14.33203125" bestFit="1" customWidth="1"/>
    <col min="4089" max="4089" width="18.5546875" bestFit="1" customWidth="1"/>
    <col min="4090" max="4090" width="11.88671875" bestFit="1" customWidth="1"/>
    <col min="4110" max="4110" width="14.33203125" bestFit="1" customWidth="1"/>
    <col min="4345" max="4345" width="18.5546875" bestFit="1" customWidth="1"/>
    <col min="4346" max="4346" width="11.88671875" bestFit="1" customWidth="1"/>
    <col min="4366" max="4366" width="14.33203125" bestFit="1" customWidth="1"/>
    <col min="4601" max="4601" width="18.5546875" bestFit="1" customWidth="1"/>
    <col min="4602" max="4602" width="11.88671875" bestFit="1" customWidth="1"/>
    <col min="4622" max="4622" width="14.33203125" bestFit="1" customWidth="1"/>
    <col min="4857" max="4857" width="18.5546875" bestFit="1" customWidth="1"/>
    <col min="4858" max="4858" width="11.88671875" bestFit="1" customWidth="1"/>
    <col min="4878" max="4878" width="14.33203125" bestFit="1" customWidth="1"/>
    <col min="5113" max="5113" width="18.5546875" bestFit="1" customWidth="1"/>
    <col min="5114" max="5114" width="11.88671875" bestFit="1" customWidth="1"/>
    <col min="5134" max="5134" width="14.33203125" bestFit="1" customWidth="1"/>
    <col min="5369" max="5369" width="18.5546875" bestFit="1" customWidth="1"/>
    <col min="5370" max="5370" width="11.88671875" bestFit="1" customWidth="1"/>
    <col min="5390" max="5390" width="14.33203125" bestFit="1" customWidth="1"/>
    <col min="5625" max="5625" width="18.5546875" bestFit="1" customWidth="1"/>
    <col min="5626" max="5626" width="11.88671875" bestFit="1" customWidth="1"/>
    <col min="5646" max="5646" width="14.33203125" bestFit="1" customWidth="1"/>
    <col min="5881" max="5881" width="18.5546875" bestFit="1" customWidth="1"/>
    <col min="5882" max="5882" width="11.88671875" bestFit="1" customWidth="1"/>
    <col min="5902" max="5902" width="14.33203125" bestFit="1" customWidth="1"/>
    <col min="6137" max="6137" width="18.5546875" bestFit="1" customWidth="1"/>
    <col min="6138" max="6138" width="11.88671875" bestFit="1" customWidth="1"/>
    <col min="6158" max="6158" width="14.33203125" bestFit="1" customWidth="1"/>
    <col min="6393" max="6393" width="18.5546875" bestFit="1" customWidth="1"/>
    <col min="6394" max="6394" width="11.88671875" bestFit="1" customWidth="1"/>
    <col min="6414" max="6414" width="14.33203125" bestFit="1" customWidth="1"/>
    <col min="6649" max="6649" width="18.5546875" bestFit="1" customWidth="1"/>
    <col min="6650" max="6650" width="11.88671875" bestFit="1" customWidth="1"/>
    <col min="6670" max="6670" width="14.33203125" bestFit="1" customWidth="1"/>
    <col min="6905" max="6905" width="18.5546875" bestFit="1" customWidth="1"/>
    <col min="6906" max="6906" width="11.88671875" bestFit="1" customWidth="1"/>
    <col min="6926" max="6926" width="14.33203125" bestFit="1" customWidth="1"/>
    <col min="7161" max="7161" width="18.5546875" bestFit="1" customWidth="1"/>
    <col min="7162" max="7162" width="11.88671875" bestFit="1" customWidth="1"/>
    <col min="7182" max="7182" width="14.33203125" bestFit="1" customWidth="1"/>
    <col min="7417" max="7417" width="18.5546875" bestFit="1" customWidth="1"/>
    <col min="7418" max="7418" width="11.88671875" bestFit="1" customWidth="1"/>
    <col min="7438" max="7438" width="14.33203125" bestFit="1" customWidth="1"/>
    <col min="7673" max="7673" width="18.5546875" bestFit="1" customWidth="1"/>
    <col min="7674" max="7674" width="11.88671875" bestFit="1" customWidth="1"/>
    <col min="7694" max="7694" width="14.33203125" bestFit="1" customWidth="1"/>
    <col min="7929" max="7929" width="18.5546875" bestFit="1" customWidth="1"/>
    <col min="7930" max="7930" width="11.88671875" bestFit="1" customWidth="1"/>
    <col min="7950" max="7950" width="14.33203125" bestFit="1" customWidth="1"/>
    <col min="8185" max="8185" width="18.5546875" bestFit="1" customWidth="1"/>
    <col min="8186" max="8186" width="11.88671875" bestFit="1" customWidth="1"/>
    <col min="8206" max="8206" width="14.33203125" bestFit="1" customWidth="1"/>
    <col min="8441" max="8441" width="18.5546875" bestFit="1" customWidth="1"/>
    <col min="8442" max="8442" width="11.88671875" bestFit="1" customWidth="1"/>
    <col min="8462" max="8462" width="14.33203125" bestFit="1" customWidth="1"/>
    <col min="8697" max="8697" width="18.5546875" bestFit="1" customWidth="1"/>
    <col min="8698" max="8698" width="11.88671875" bestFit="1" customWidth="1"/>
    <col min="8718" max="8718" width="14.33203125" bestFit="1" customWidth="1"/>
    <col min="8953" max="8953" width="18.5546875" bestFit="1" customWidth="1"/>
    <col min="8954" max="8954" width="11.88671875" bestFit="1" customWidth="1"/>
    <col min="8974" max="8974" width="14.33203125" bestFit="1" customWidth="1"/>
    <col min="9209" max="9209" width="18.5546875" bestFit="1" customWidth="1"/>
    <col min="9210" max="9210" width="11.88671875" bestFit="1" customWidth="1"/>
    <col min="9230" max="9230" width="14.33203125" bestFit="1" customWidth="1"/>
    <col min="9465" max="9465" width="18.5546875" bestFit="1" customWidth="1"/>
    <col min="9466" max="9466" width="11.88671875" bestFit="1" customWidth="1"/>
    <col min="9486" max="9486" width="14.33203125" bestFit="1" customWidth="1"/>
    <col min="9721" max="9721" width="18.5546875" bestFit="1" customWidth="1"/>
    <col min="9722" max="9722" width="11.88671875" bestFit="1" customWidth="1"/>
    <col min="9742" max="9742" width="14.33203125" bestFit="1" customWidth="1"/>
    <col min="9977" max="9977" width="18.5546875" bestFit="1" customWidth="1"/>
    <col min="9978" max="9978" width="11.88671875" bestFit="1" customWidth="1"/>
    <col min="9998" max="9998" width="14.33203125" bestFit="1" customWidth="1"/>
    <col min="10233" max="10233" width="18.5546875" bestFit="1" customWidth="1"/>
    <col min="10234" max="10234" width="11.88671875" bestFit="1" customWidth="1"/>
    <col min="10254" max="10254" width="14.33203125" bestFit="1" customWidth="1"/>
    <col min="10489" max="10489" width="18.5546875" bestFit="1" customWidth="1"/>
    <col min="10490" max="10490" width="11.88671875" bestFit="1" customWidth="1"/>
    <col min="10510" max="10510" width="14.33203125" bestFit="1" customWidth="1"/>
    <col min="10745" max="10745" width="18.5546875" bestFit="1" customWidth="1"/>
    <col min="10746" max="10746" width="11.88671875" bestFit="1" customWidth="1"/>
    <col min="10766" max="10766" width="14.33203125" bestFit="1" customWidth="1"/>
    <col min="11001" max="11001" width="18.5546875" bestFit="1" customWidth="1"/>
    <col min="11002" max="11002" width="11.88671875" bestFit="1" customWidth="1"/>
    <col min="11022" max="11022" width="14.33203125" bestFit="1" customWidth="1"/>
    <col min="11257" max="11257" width="18.5546875" bestFit="1" customWidth="1"/>
    <col min="11258" max="11258" width="11.88671875" bestFit="1" customWidth="1"/>
    <col min="11278" max="11278" width="14.33203125" bestFit="1" customWidth="1"/>
    <col min="11513" max="11513" width="18.5546875" bestFit="1" customWidth="1"/>
    <col min="11514" max="11514" width="11.88671875" bestFit="1" customWidth="1"/>
    <col min="11534" max="11534" width="14.33203125" bestFit="1" customWidth="1"/>
    <col min="11769" max="11769" width="18.5546875" bestFit="1" customWidth="1"/>
    <col min="11770" max="11770" width="11.88671875" bestFit="1" customWidth="1"/>
    <col min="11790" max="11790" width="14.33203125" bestFit="1" customWidth="1"/>
    <col min="12025" max="12025" width="18.5546875" bestFit="1" customWidth="1"/>
    <col min="12026" max="12026" width="11.88671875" bestFit="1" customWidth="1"/>
    <col min="12046" max="12046" width="14.33203125" bestFit="1" customWidth="1"/>
    <col min="12281" max="12281" width="18.5546875" bestFit="1" customWidth="1"/>
    <col min="12282" max="12282" width="11.88671875" bestFit="1" customWidth="1"/>
    <col min="12302" max="12302" width="14.33203125" bestFit="1" customWidth="1"/>
    <col min="12537" max="12537" width="18.5546875" bestFit="1" customWidth="1"/>
    <col min="12538" max="12538" width="11.88671875" bestFit="1" customWidth="1"/>
    <col min="12558" max="12558" width="14.33203125" bestFit="1" customWidth="1"/>
    <col min="12793" max="12793" width="18.5546875" bestFit="1" customWidth="1"/>
    <col min="12794" max="12794" width="11.88671875" bestFit="1" customWidth="1"/>
    <col min="12814" max="12814" width="14.33203125" bestFit="1" customWidth="1"/>
    <col min="13049" max="13049" width="18.5546875" bestFit="1" customWidth="1"/>
    <col min="13050" max="13050" width="11.88671875" bestFit="1" customWidth="1"/>
    <col min="13070" max="13070" width="14.33203125" bestFit="1" customWidth="1"/>
    <col min="13305" max="13305" width="18.5546875" bestFit="1" customWidth="1"/>
    <col min="13306" max="13306" width="11.88671875" bestFit="1" customWidth="1"/>
    <col min="13326" max="13326" width="14.33203125" bestFit="1" customWidth="1"/>
    <col min="13561" max="13561" width="18.5546875" bestFit="1" customWidth="1"/>
    <col min="13562" max="13562" width="11.88671875" bestFit="1" customWidth="1"/>
    <col min="13582" max="13582" width="14.33203125" bestFit="1" customWidth="1"/>
    <col min="13817" max="13817" width="18.5546875" bestFit="1" customWidth="1"/>
    <col min="13818" max="13818" width="11.88671875" bestFit="1" customWidth="1"/>
    <col min="13838" max="13838" width="14.33203125" bestFit="1" customWidth="1"/>
    <col min="14073" max="14073" width="18.5546875" bestFit="1" customWidth="1"/>
    <col min="14074" max="14074" width="11.88671875" bestFit="1" customWidth="1"/>
    <col min="14094" max="14094" width="14.33203125" bestFit="1" customWidth="1"/>
    <col min="14329" max="14329" width="18.5546875" bestFit="1" customWidth="1"/>
    <col min="14330" max="14330" width="11.88671875" bestFit="1" customWidth="1"/>
    <col min="14350" max="14350" width="14.33203125" bestFit="1" customWidth="1"/>
    <col min="14585" max="14585" width="18.5546875" bestFit="1" customWidth="1"/>
    <col min="14586" max="14586" width="11.88671875" bestFit="1" customWidth="1"/>
    <col min="14606" max="14606" width="14.33203125" bestFit="1" customWidth="1"/>
    <col min="14841" max="14841" width="18.5546875" bestFit="1" customWidth="1"/>
    <col min="14842" max="14842" width="11.88671875" bestFit="1" customWidth="1"/>
    <col min="14862" max="14862" width="14.33203125" bestFit="1" customWidth="1"/>
    <col min="15097" max="15097" width="18.5546875" bestFit="1" customWidth="1"/>
    <col min="15098" max="15098" width="11.88671875" bestFit="1" customWidth="1"/>
    <col min="15118" max="15118" width="14.33203125" bestFit="1" customWidth="1"/>
    <col min="15353" max="15353" width="18.5546875" bestFit="1" customWidth="1"/>
    <col min="15354" max="15354" width="11.88671875" bestFit="1" customWidth="1"/>
    <col min="15374" max="15374" width="14.33203125" bestFit="1" customWidth="1"/>
    <col min="15609" max="15609" width="18.5546875" bestFit="1" customWidth="1"/>
    <col min="15610" max="15610" width="11.88671875" bestFit="1" customWidth="1"/>
    <col min="15630" max="15630" width="14.33203125" bestFit="1" customWidth="1"/>
    <col min="15865" max="15865" width="18.5546875" bestFit="1" customWidth="1"/>
    <col min="15866" max="15866" width="11.88671875" bestFit="1" customWidth="1"/>
    <col min="15886" max="15886" width="14.33203125" bestFit="1" customWidth="1"/>
    <col min="16121" max="16121" width="18.5546875" bestFit="1" customWidth="1"/>
    <col min="16122" max="16122" width="11.88671875" bestFit="1" customWidth="1"/>
    <col min="16142" max="16142" width="14.33203125" bestFit="1" customWidth="1"/>
  </cols>
  <sheetData>
    <row r="3" spans="2:21" x14ac:dyDescent="0.3">
      <c r="D3" t="s">
        <v>200</v>
      </c>
      <c r="N3" t="s">
        <v>201</v>
      </c>
      <c r="O3" t="s">
        <v>202</v>
      </c>
    </row>
    <row r="4" spans="2:21" x14ac:dyDescent="0.3">
      <c r="B4" s="187" t="s">
        <v>187</v>
      </c>
      <c r="C4" s="188">
        <v>2005</v>
      </c>
      <c r="D4" s="208">
        <v>2006</v>
      </c>
      <c r="E4" s="208">
        <v>2007</v>
      </c>
      <c r="F4" s="208">
        <v>2008</v>
      </c>
      <c r="G4" s="208">
        <v>2009</v>
      </c>
      <c r="H4" s="208">
        <v>2010</v>
      </c>
      <c r="I4" s="214">
        <v>2011</v>
      </c>
      <c r="J4" s="214">
        <v>2012</v>
      </c>
      <c r="K4" s="214">
        <v>2013</v>
      </c>
      <c r="L4" s="214">
        <v>2014</v>
      </c>
      <c r="M4" s="214">
        <v>2015</v>
      </c>
      <c r="N4" s="202">
        <v>2016</v>
      </c>
      <c r="O4" s="273">
        <v>2017</v>
      </c>
      <c r="P4" s="273">
        <v>2018</v>
      </c>
      <c r="Q4" s="273">
        <v>2019</v>
      </c>
      <c r="R4" s="273">
        <v>2020</v>
      </c>
      <c r="S4" s="187" t="s">
        <v>203</v>
      </c>
      <c r="T4" s="187" t="s">
        <v>204</v>
      </c>
      <c r="U4" s="187" t="s">
        <v>205</v>
      </c>
    </row>
    <row r="5" spans="2:21" x14ac:dyDescent="0.3">
      <c r="B5" s="189" t="s">
        <v>188</v>
      </c>
      <c r="C5" s="224">
        <v>6294</v>
      </c>
      <c r="D5" s="226">
        <v>7344</v>
      </c>
      <c r="E5" s="226">
        <v>8563</v>
      </c>
      <c r="F5" s="226">
        <v>11365</v>
      </c>
      <c r="G5" s="226">
        <v>11724</v>
      </c>
      <c r="H5" s="226">
        <v>10483</v>
      </c>
      <c r="I5" s="225">
        <f>'Statement of Operations'!C6</f>
        <v>11822</v>
      </c>
      <c r="J5" s="225">
        <f>'Statement of Operations'!E6</f>
        <v>13504</v>
      </c>
      <c r="K5" s="225">
        <f>'Statement of Operations'!I6</f>
        <v>14861</v>
      </c>
      <c r="L5" s="225">
        <f>'Statement of Operations'!M6</f>
        <v>15855</v>
      </c>
      <c r="M5" s="225">
        <f>'Statement of Operations'!Q6</f>
        <v>15001</v>
      </c>
      <c r="N5" s="227">
        <f>'Statement of Operations'!U6</f>
        <v>13502</v>
      </c>
      <c r="O5" s="274">
        <f>N5*(1+O8)*(1+T24)</f>
        <v>14131.734542909444</v>
      </c>
      <c r="P5" s="274">
        <f>O5*(1+P8)*(1+T24)</f>
        <v>14790.839963802398</v>
      </c>
      <c r="Q5" s="274">
        <f>P5*(1+Q8)*(1+T24)</f>
        <v>15480.686123175221</v>
      </c>
      <c r="R5" s="274">
        <f>Q5*(1+R8)*(1+T24)</f>
        <v>16202.706771945945</v>
      </c>
      <c r="S5" s="188"/>
      <c r="T5" s="188"/>
      <c r="U5" s="188"/>
    </row>
    <row r="6" spans="2:21" x14ac:dyDescent="0.3">
      <c r="B6" s="189" t="s">
        <v>189</v>
      </c>
      <c r="C6" s="224"/>
      <c r="D6" s="226">
        <f>D5-C5</f>
        <v>1050</v>
      </c>
      <c r="E6" s="226">
        <f t="shared" ref="E6:Q6" si="0">E5-D5</f>
        <v>1219</v>
      </c>
      <c r="F6" s="226">
        <f t="shared" si="0"/>
        <v>2802</v>
      </c>
      <c r="G6" s="226">
        <f t="shared" si="0"/>
        <v>359</v>
      </c>
      <c r="H6" s="226">
        <f t="shared" si="0"/>
        <v>-1241</v>
      </c>
      <c r="I6" s="225">
        <f t="shared" si="0"/>
        <v>1339</v>
      </c>
      <c r="J6" s="225">
        <f t="shared" si="0"/>
        <v>1682</v>
      </c>
      <c r="K6" s="225">
        <f t="shared" si="0"/>
        <v>1357</v>
      </c>
      <c r="L6" s="225">
        <f t="shared" si="0"/>
        <v>994</v>
      </c>
      <c r="M6" s="225">
        <f t="shared" si="0"/>
        <v>-854</v>
      </c>
      <c r="N6" s="227">
        <f t="shared" si="0"/>
        <v>-1499</v>
      </c>
      <c r="O6" s="274">
        <f t="shared" si="0"/>
        <v>629.73454290944392</v>
      </c>
      <c r="P6" s="274">
        <f t="shared" si="0"/>
        <v>659.1054208929545</v>
      </c>
      <c r="Q6" s="274">
        <f t="shared" si="0"/>
        <v>689.84615937282251</v>
      </c>
      <c r="R6" s="274">
        <f t="shared" ref="R6" si="1">R5-Q5</f>
        <v>722.02064877072371</v>
      </c>
      <c r="S6" s="191"/>
      <c r="T6" s="191"/>
      <c r="U6" s="191"/>
    </row>
    <row r="7" spans="2:21" s="198" customFormat="1" x14ac:dyDescent="0.3">
      <c r="B7" s="236" t="s">
        <v>190</v>
      </c>
      <c r="C7" s="190"/>
      <c r="D7" s="209">
        <f>D6/C5</f>
        <v>0.16682554814108674</v>
      </c>
      <c r="E7" s="209">
        <f t="shared" ref="E7:Q7" si="2">E6/D5</f>
        <v>0.16598583877995643</v>
      </c>
      <c r="F7" s="209">
        <f t="shared" si="2"/>
        <v>0.32722176807193742</v>
      </c>
      <c r="G7" s="209">
        <f t="shared" si="2"/>
        <v>3.1588209414870214E-2</v>
      </c>
      <c r="H7" s="209">
        <f t="shared" si="2"/>
        <v>-0.10585124530876834</v>
      </c>
      <c r="I7" s="215">
        <f t="shared" si="2"/>
        <v>0.12773061146618334</v>
      </c>
      <c r="J7" s="215">
        <f t="shared" si="2"/>
        <v>0.14227711047200137</v>
      </c>
      <c r="K7" s="215">
        <f t="shared" si="2"/>
        <v>0.10048874407582939</v>
      </c>
      <c r="L7" s="215">
        <f t="shared" si="2"/>
        <v>6.6886481394253419E-2</v>
      </c>
      <c r="M7" s="215">
        <f t="shared" si="2"/>
        <v>-5.3863134657836646E-2</v>
      </c>
      <c r="N7" s="221">
        <f t="shared" si="2"/>
        <v>-9.9926671555229649E-2</v>
      </c>
      <c r="O7" s="275">
        <f t="shared" si="2"/>
        <v>4.6640093534990663E-2</v>
      </c>
      <c r="P7" s="275">
        <f t="shared" si="2"/>
        <v>4.6640093534990629E-2</v>
      </c>
      <c r="Q7" s="275">
        <f t="shared" si="2"/>
        <v>4.6640093534990712E-2</v>
      </c>
      <c r="R7" s="275">
        <f t="shared" ref="R7" si="3">R6/Q5</f>
        <v>4.6640093534990629E-2</v>
      </c>
      <c r="S7" s="191"/>
      <c r="T7" s="191"/>
      <c r="U7" s="191"/>
    </row>
    <row r="8" spans="2:21" s="198" customFormat="1" x14ac:dyDescent="0.3">
      <c r="B8" s="236" t="s">
        <v>206</v>
      </c>
      <c r="C8" s="190"/>
      <c r="D8" s="209"/>
      <c r="E8" s="209"/>
      <c r="F8" s="209"/>
      <c r="G8" s="209"/>
      <c r="H8" s="209"/>
      <c r="I8" s="215"/>
      <c r="J8" s="215"/>
      <c r="K8" s="215"/>
      <c r="L8" s="215"/>
      <c r="M8" s="215"/>
      <c r="N8" s="221"/>
      <c r="O8" s="275">
        <f>$S$8</f>
        <v>3.1172505945803574E-2</v>
      </c>
      <c r="P8" s="275">
        <f>$S$8</f>
        <v>3.1172505945803574E-2</v>
      </c>
      <c r="Q8" s="275">
        <f>$S$8</f>
        <v>3.1172505945803574E-2</v>
      </c>
      <c r="R8" s="275">
        <f>$S$8</f>
        <v>3.1172505945803574E-2</v>
      </c>
      <c r="S8" s="191">
        <f>AVERAGE(J7:N7)</f>
        <v>3.1172505945803574E-2</v>
      </c>
      <c r="T8" s="191"/>
      <c r="U8" s="191"/>
    </row>
    <row r="9" spans="2:21" s="198" customFormat="1" x14ac:dyDescent="0.3">
      <c r="B9" s="236" t="s">
        <v>208</v>
      </c>
      <c r="C9" s="190"/>
      <c r="D9" s="209"/>
      <c r="E9" s="209"/>
      <c r="F9" s="209"/>
      <c r="G9" s="209"/>
      <c r="H9" s="209"/>
      <c r="I9" s="215"/>
      <c r="J9" s="215"/>
      <c r="K9" s="215"/>
      <c r="L9" s="215"/>
      <c r="M9" s="215"/>
      <c r="N9" s="221"/>
      <c r="O9" s="275"/>
      <c r="P9" s="275"/>
      <c r="Q9" s="275"/>
      <c r="R9" s="275"/>
      <c r="S9" s="191"/>
      <c r="T9" s="191">
        <f>MEDIAN(J7:N7)</f>
        <v>6.6886481394253419E-2</v>
      </c>
      <c r="U9" s="191"/>
    </row>
    <row r="10" spans="2:21" s="198" customFormat="1" x14ac:dyDescent="0.3">
      <c r="B10" s="236" t="s">
        <v>207</v>
      </c>
      <c r="C10" s="190"/>
      <c r="D10" s="209"/>
      <c r="E10" s="209"/>
      <c r="F10" s="209"/>
      <c r="G10" s="209"/>
      <c r="H10" s="209"/>
      <c r="I10" s="215"/>
      <c r="J10" s="215"/>
      <c r="K10" s="215"/>
      <c r="L10" s="215"/>
      <c r="M10" s="215"/>
      <c r="N10" s="221"/>
      <c r="O10" s="275"/>
      <c r="P10" s="275"/>
      <c r="Q10" s="275"/>
      <c r="R10" s="275"/>
      <c r="S10" s="191"/>
      <c r="T10" s="191"/>
      <c r="U10" s="191">
        <f>AVERAGE(E7:N7)</f>
        <v>7.0253771215319699E-2</v>
      </c>
    </row>
    <row r="11" spans="2:21" x14ac:dyDescent="0.3">
      <c r="B11" s="189" t="s">
        <v>191</v>
      </c>
      <c r="C11" s="224">
        <v>3290</v>
      </c>
      <c r="D11" s="226">
        <v>3796</v>
      </c>
      <c r="E11" s="226">
        <v>4277</v>
      </c>
      <c r="F11" s="226">
        <v>5188</v>
      </c>
      <c r="G11" s="226">
        <v>4962</v>
      </c>
      <c r="H11" s="226">
        <v>5416</v>
      </c>
      <c r="I11" s="225">
        <f>'Statement of Operations'!C7</f>
        <v>5743</v>
      </c>
      <c r="J11" s="225">
        <f>'Statement of Operations'!E7</f>
        <v>6459</v>
      </c>
      <c r="K11" s="225">
        <f>'Statement of Operations'!I7</f>
        <v>7208</v>
      </c>
      <c r="L11" s="225">
        <f>'Statement of Operations'!M7</f>
        <v>7281</v>
      </c>
      <c r="M11" s="225">
        <f>'Statement of Operations'!Q7</f>
        <v>6819</v>
      </c>
      <c r="N11" s="227">
        <f>'Statement of Operations'!U7</f>
        <v>6485</v>
      </c>
      <c r="O11" s="274">
        <f>O5*O13*(1-T25)</f>
        <v>6529.6394654913602</v>
      </c>
      <c r="P11" s="274">
        <f>P5*P13*(1-T25)</f>
        <v>6834.1824609116438</v>
      </c>
      <c r="Q11" s="274">
        <f>Q5*Q13*(1-T25)</f>
        <v>7152.9293701237566</v>
      </c>
      <c r="R11" s="274">
        <f>R5*R13*(1-T25)</f>
        <v>7486.5426649955089</v>
      </c>
      <c r="S11" s="191"/>
      <c r="T11" s="188"/>
      <c r="U11" s="188"/>
    </row>
    <row r="12" spans="2:21" s="198" customFormat="1" x14ac:dyDescent="0.3">
      <c r="B12" s="192" t="s">
        <v>192</v>
      </c>
      <c r="C12" s="193">
        <f t="shared" ref="C12:R12" si="4">C11/C5</f>
        <v>0.52272005084207185</v>
      </c>
      <c r="D12" s="210">
        <f t="shared" si="4"/>
        <v>0.51688453159041392</v>
      </c>
      <c r="E12" s="210">
        <f t="shared" si="4"/>
        <v>0.49947448324185451</v>
      </c>
      <c r="F12" s="210">
        <f t="shared" si="4"/>
        <v>0.45648922129344477</v>
      </c>
      <c r="G12" s="210">
        <f t="shared" si="4"/>
        <v>0.42323439099283522</v>
      </c>
      <c r="H12" s="210">
        <f t="shared" si="4"/>
        <v>0.51664599828293423</v>
      </c>
      <c r="I12" s="216">
        <f t="shared" si="4"/>
        <v>0.48578920656403318</v>
      </c>
      <c r="J12" s="216">
        <f t="shared" si="4"/>
        <v>0.47830272511848343</v>
      </c>
      <c r="K12" s="216">
        <f t="shared" si="4"/>
        <v>0.48502792544243323</v>
      </c>
      <c r="L12" s="216">
        <f t="shared" si="4"/>
        <v>0.45922421948912018</v>
      </c>
      <c r="M12" s="216">
        <f t="shared" si="4"/>
        <v>0.45456969535364311</v>
      </c>
      <c r="N12" s="222">
        <f t="shared" si="4"/>
        <v>0.48029921493112132</v>
      </c>
      <c r="O12" s="276">
        <f t="shared" si="4"/>
        <v>0.46205506094562099</v>
      </c>
      <c r="P12" s="276">
        <f t="shared" si="4"/>
        <v>0.46205506094562099</v>
      </c>
      <c r="Q12" s="276">
        <f t="shared" si="4"/>
        <v>0.46205506094562104</v>
      </c>
      <c r="R12" s="276">
        <f t="shared" si="4"/>
        <v>0.46205506094562093</v>
      </c>
      <c r="S12" s="191"/>
      <c r="T12" s="191"/>
      <c r="U12" s="191"/>
    </row>
    <row r="13" spans="2:21" s="198" customFormat="1" x14ac:dyDescent="0.3">
      <c r="B13" s="236" t="s">
        <v>206</v>
      </c>
      <c r="C13" s="193"/>
      <c r="D13" s="210"/>
      <c r="E13" s="210"/>
      <c r="F13" s="210"/>
      <c r="G13" s="210"/>
      <c r="H13" s="210"/>
      <c r="I13" s="216"/>
      <c r="J13" s="216"/>
      <c r="K13" s="216"/>
      <c r="L13" s="216"/>
      <c r="M13" s="216"/>
      <c r="N13" s="222"/>
      <c r="O13" s="276">
        <f>$S$13</f>
        <v>0.47148475606696022</v>
      </c>
      <c r="P13" s="276">
        <f>$S$13</f>
        <v>0.47148475606696022</v>
      </c>
      <c r="Q13" s="276">
        <f>$S$13</f>
        <v>0.47148475606696022</v>
      </c>
      <c r="R13" s="276">
        <f>$S$13</f>
        <v>0.47148475606696022</v>
      </c>
      <c r="S13" s="191">
        <f>AVERAGE(J12:N12)</f>
        <v>0.47148475606696022</v>
      </c>
      <c r="T13" s="191"/>
      <c r="U13" s="191"/>
    </row>
    <row r="14" spans="2:21" s="198" customFormat="1" x14ac:dyDescent="0.3">
      <c r="B14" s="236" t="s">
        <v>208</v>
      </c>
      <c r="C14" s="193"/>
      <c r="D14" s="210"/>
      <c r="E14" s="210"/>
      <c r="F14" s="210"/>
      <c r="G14" s="210"/>
      <c r="H14" s="210"/>
      <c r="I14" s="216"/>
      <c r="J14" s="216"/>
      <c r="K14" s="216"/>
      <c r="L14" s="216"/>
      <c r="M14" s="216"/>
      <c r="N14" s="222"/>
      <c r="O14" s="276"/>
      <c r="P14" s="276"/>
      <c r="Q14" s="276"/>
      <c r="R14" s="276"/>
      <c r="S14" s="191"/>
      <c r="T14" s="191">
        <f>MEDIAN(J12:N12)</f>
        <v>0.47830272511848343</v>
      </c>
      <c r="U14" s="191"/>
    </row>
    <row r="15" spans="2:21" s="198" customFormat="1" ht="15" thickBot="1" x14ac:dyDescent="0.35">
      <c r="B15" s="236" t="s">
        <v>207</v>
      </c>
      <c r="C15" s="194"/>
      <c r="D15" s="211"/>
      <c r="E15" s="211"/>
      <c r="F15" s="211"/>
      <c r="G15" s="211"/>
      <c r="H15" s="211"/>
      <c r="I15" s="217"/>
      <c r="J15" s="217"/>
      <c r="K15" s="217"/>
      <c r="L15" s="217"/>
      <c r="M15" s="217"/>
      <c r="N15" s="223"/>
      <c r="O15" s="277"/>
      <c r="P15" s="277"/>
      <c r="Q15" s="277"/>
      <c r="R15" s="277"/>
      <c r="S15" s="220"/>
      <c r="T15" s="195"/>
      <c r="U15" s="191">
        <f>AVERAGE(E12:N12)</f>
        <v>0.47390570807099025</v>
      </c>
    </row>
    <row r="16" spans="2:21" s="272" customFormat="1" ht="15.6" thickTop="1" thickBot="1" x14ac:dyDescent="0.35">
      <c r="B16" s="269" t="s">
        <v>82</v>
      </c>
      <c r="C16" s="270">
        <f t="shared" ref="C16:R16" si="5">C5-C11</f>
        <v>3004</v>
      </c>
      <c r="D16" s="229">
        <f t="shared" si="5"/>
        <v>3548</v>
      </c>
      <c r="E16" s="229">
        <f t="shared" si="5"/>
        <v>4286</v>
      </c>
      <c r="F16" s="229">
        <f t="shared" si="5"/>
        <v>6177</v>
      </c>
      <c r="G16" s="229">
        <f t="shared" si="5"/>
        <v>6762</v>
      </c>
      <c r="H16" s="229">
        <f t="shared" si="5"/>
        <v>5067</v>
      </c>
      <c r="I16" s="228">
        <f t="shared" si="5"/>
        <v>6079</v>
      </c>
      <c r="J16" s="228">
        <f t="shared" si="5"/>
        <v>7045</v>
      </c>
      <c r="K16" s="228">
        <f t="shared" si="5"/>
        <v>7653</v>
      </c>
      <c r="L16" s="228">
        <f t="shared" si="5"/>
        <v>8574</v>
      </c>
      <c r="M16" s="228">
        <f t="shared" si="5"/>
        <v>8182</v>
      </c>
      <c r="N16" s="230">
        <f t="shared" si="5"/>
        <v>7017</v>
      </c>
      <c r="O16" s="278">
        <f t="shared" si="5"/>
        <v>7602.0950774180837</v>
      </c>
      <c r="P16" s="278">
        <f t="shared" si="5"/>
        <v>7956.6575028907546</v>
      </c>
      <c r="Q16" s="278">
        <f t="shared" si="5"/>
        <v>8327.7567530514643</v>
      </c>
      <c r="R16" s="278">
        <f t="shared" si="5"/>
        <v>8716.1641069504367</v>
      </c>
      <c r="S16" s="271"/>
      <c r="T16" s="271"/>
      <c r="U16" s="271"/>
    </row>
    <row r="17" spans="2:21" ht="15" thickTop="1" x14ac:dyDescent="0.3">
      <c r="B17" s="196" t="s">
        <v>85</v>
      </c>
      <c r="C17" s="231">
        <v>2262</v>
      </c>
      <c r="D17" s="233">
        <v>2371</v>
      </c>
      <c r="E17" s="233">
        <v>2868</v>
      </c>
      <c r="F17" s="233">
        <v>3456</v>
      </c>
      <c r="G17" s="233">
        <v>3659</v>
      </c>
      <c r="H17" s="233">
        <v>3464</v>
      </c>
      <c r="I17" s="232">
        <f>'Statement of Operations'!C13</f>
        <v>3577</v>
      </c>
      <c r="J17" s="232">
        <f>'Statement of Operations'!E13</f>
        <v>3897</v>
      </c>
      <c r="K17" s="232">
        <f>'Statement of Operations'!I13</f>
        <v>4083</v>
      </c>
      <c r="L17" s="232">
        <f>'Statement of Operations'!M13</f>
        <v>4499</v>
      </c>
      <c r="M17" s="232">
        <f>'Statement of Operations'!Q13</f>
        <v>4659</v>
      </c>
      <c r="N17" s="234">
        <f>'Statement of Operations'!U13</f>
        <v>4642</v>
      </c>
      <c r="O17" s="279">
        <f>O5*O19</f>
        <v>4243.6649750245961</v>
      </c>
      <c r="P17" s="279">
        <f>P5*P19</f>
        <v>4441.5899063909073</v>
      </c>
      <c r="Q17" s="279">
        <f>Q5*Q19</f>
        <v>4648.7460750690498</v>
      </c>
      <c r="R17" s="279">
        <f>R5*R19</f>
        <v>4865.5640268306906</v>
      </c>
      <c r="S17" s="197"/>
      <c r="T17" s="197"/>
      <c r="U17" s="197"/>
    </row>
    <row r="18" spans="2:21" s="198" customFormat="1" x14ac:dyDescent="0.3">
      <c r="B18" s="237" t="s">
        <v>199</v>
      </c>
      <c r="C18" s="190">
        <f t="shared" ref="C18:R18" si="6">C17/C$5</f>
        <v>0.35938989513822689</v>
      </c>
      <c r="D18" s="209">
        <f t="shared" si="6"/>
        <v>0.32284858387799564</v>
      </c>
      <c r="E18" s="209">
        <f t="shared" si="6"/>
        <v>0.33492934719140488</v>
      </c>
      <c r="F18" s="209">
        <f t="shared" si="6"/>
        <v>0.30409150901891774</v>
      </c>
      <c r="G18" s="209">
        <f t="shared" si="6"/>
        <v>0.31209484817468441</v>
      </c>
      <c r="H18" s="209">
        <f t="shared" si="6"/>
        <v>0.33043975961079841</v>
      </c>
      <c r="I18" s="215">
        <f t="shared" si="6"/>
        <v>0.30257147690746067</v>
      </c>
      <c r="J18" s="215">
        <f t="shared" si="6"/>
        <v>0.28858116113744076</v>
      </c>
      <c r="K18" s="215">
        <f t="shared" si="6"/>
        <v>0.27474597940919182</v>
      </c>
      <c r="L18" s="215">
        <f t="shared" si="6"/>
        <v>0.28375906654052352</v>
      </c>
      <c r="M18" s="215">
        <f t="shared" si="6"/>
        <v>0.31057929471368573</v>
      </c>
      <c r="N18" s="221">
        <f t="shared" si="6"/>
        <v>0.34380091838246185</v>
      </c>
      <c r="O18" s="275">
        <f t="shared" si="6"/>
        <v>0.30029328403666078</v>
      </c>
      <c r="P18" s="275">
        <f t="shared" si="6"/>
        <v>0.30029328403666078</v>
      </c>
      <c r="Q18" s="275">
        <f t="shared" si="6"/>
        <v>0.30029328403666078</v>
      </c>
      <c r="R18" s="275">
        <f t="shared" si="6"/>
        <v>0.30029328403666078</v>
      </c>
      <c r="S18" s="191"/>
      <c r="T18" s="191"/>
      <c r="U18" s="191"/>
    </row>
    <row r="19" spans="2:21" s="198" customFormat="1" x14ac:dyDescent="0.3">
      <c r="B19" s="236" t="s">
        <v>206</v>
      </c>
      <c r="C19" s="190"/>
      <c r="D19" s="209"/>
      <c r="E19" s="209"/>
      <c r="F19" s="209"/>
      <c r="G19" s="209"/>
      <c r="H19" s="209"/>
      <c r="I19" s="215"/>
      <c r="J19" s="215"/>
      <c r="K19" s="215"/>
      <c r="L19" s="215"/>
      <c r="M19" s="215"/>
      <c r="N19" s="221"/>
      <c r="O19" s="275">
        <f>$S$19</f>
        <v>0.30029328403666078</v>
      </c>
      <c r="P19" s="275">
        <f>$S$19</f>
        <v>0.30029328403666078</v>
      </c>
      <c r="Q19" s="275">
        <f>$S$19</f>
        <v>0.30029328403666078</v>
      </c>
      <c r="R19" s="275">
        <f>$S$19</f>
        <v>0.30029328403666078</v>
      </c>
      <c r="S19" s="191">
        <f>AVERAGE(J18:N18)</f>
        <v>0.30029328403666078</v>
      </c>
      <c r="T19" s="191"/>
      <c r="U19" s="191"/>
    </row>
    <row r="20" spans="2:21" s="198" customFormat="1" x14ac:dyDescent="0.3">
      <c r="B20" s="236" t="s">
        <v>208</v>
      </c>
      <c r="C20" s="190"/>
      <c r="D20" s="209"/>
      <c r="E20" s="209"/>
      <c r="F20" s="209"/>
      <c r="G20" s="209"/>
      <c r="H20" s="209"/>
      <c r="I20" s="215"/>
      <c r="J20" s="215"/>
      <c r="K20" s="215"/>
      <c r="L20" s="215"/>
      <c r="M20" s="215"/>
      <c r="N20" s="221"/>
      <c r="O20" s="275"/>
      <c r="P20" s="275"/>
      <c r="Q20" s="275"/>
      <c r="R20" s="275"/>
      <c r="S20" s="191"/>
      <c r="T20" s="191">
        <f>MEDIAN(J18:N18)</f>
        <v>0.28858116113744076</v>
      </c>
      <c r="U20" s="191"/>
    </row>
    <row r="21" spans="2:21" s="198" customFormat="1" x14ac:dyDescent="0.3">
      <c r="B21" s="236" t="s">
        <v>207</v>
      </c>
      <c r="C21" s="190"/>
      <c r="D21" s="209"/>
      <c r="E21" s="209"/>
      <c r="F21" s="209"/>
      <c r="G21" s="209"/>
      <c r="H21" s="209"/>
      <c r="I21" s="215"/>
      <c r="J21" s="215"/>
      <c r="K21" s="215"/>
      <c r="L21" s="215"/>
      <c r="M21" s="215"/>
      <c r="N21" s="221"/>
      <c r="O21" s="275"/>
      <c r="P21" s="275"/>
      <c r="Q21" s="275"/>
      <c r="R21" s="275"/>
      <c r="S21" s="191"/>
      <c r="T21" s="191"/>
      <c r="U21" s="191">
        <f>AVERAGE(E18:N18)</f>
        <v>0.30855933610865699</v>
      </c>
    </row>
    <row r="22" spans="2:21" ht="15" thickBot="1" x14ac:dyDescent="0.35">
      <c r="B22" s="218" t="s">
        <v>193</v>
      </c>
      <c r="C22" s="235">
        <f t="shared" ref="C22:R22" si="7">C16-C17</f>
        <v>742</v>
      </c>
      <c r="D22" s="235">
        <f t="shared" si="7"/>
        <v>1177</v>
      </c>
      <c r="E22" s="235">
        <f t="shared" si="7"/>
        <v>1418</v>
      </c>
      <c r="F22" s="235">
        <f t="shared" si="7"/>
        <v>2721</v>
      </c>
      <c r="G22" s="235">
        <f t="shared" si="7"/>
        <v>3103</v>
      </c>
      <c r="H22" s="235">
        <f t="shared" si="7"/>
        <v>1603</v>
      </c>
      <c r="I22" s="235">
        <f>I16-I17</f>
        <v>2502</v>
      </c>
      <c r="J22" s="235">
        <f>J16-J17</f>
        <v>3148</v>
      </c>
      <c r="K22" s="235">
        <f t="shared" si="7"/>
        <v>3570</v>
      </c>
      <c r="L22" s="235">
        <f t="shared" si="7"/>
        <v>4075</v>
      </c>
      <c r="M22" s="235">
        <f t="shared" si="7"/>
        <v>3523</v>
      </c>
      <c r="N22" s="235">
        <f t="shared" si="7"/>
        <v>2375</v>
      </c>
      <c r="O22" s="235">
        <f t="shared" si="7"/>
        <v>3358.4301023934877</v>
      </c>
      <c r="P22" s="235">
        <f t="shared" si="7"/>
        <v>3515.0675964998472</v>
      </c>
      <c r="Q22" s="235">
        <f t="shared" si="7"/>
        <v>3679.0106779824146</v>
      </c>
      <c r="R22" s="235">
        <f t="shared" si="7"/>
        <v>3850.6000801197461</v>
      </c>
      <c r="S22" s="219"/>
      <c r="T22" s="219"/>
      <c r="U22" s="219"/>
    </row>
    <row r="23" spans="2:21" ht="15" thickTop="1" x14ac:dyDescent="0.3"/>
    <row r="24" spans="2:21" x14ac:dyDescent="0.3">
      <c r="B24" s="199"/>
      <c r="P24" s="125"/>
      <c r="Q24" s="125"/>
      <c r="R24" s="212"/>
      <c r="S24" s="125" t="s">
        <v>252</v>
      </c>
      <c r="T24" s="266">
        <v>1.4999999999999999E-2</v>
      </c>
    </row>
    <row r="25" spans="2:21" x14ac:dyDescent="0.3">
      <c r="B25" s="199"/>
      <c r="P25" s="125"/>
      <c r="Q25" s="125"/>
      <c r="R25" s="212"/>
      <c r="S25" s="125" t="s">
        <v>253</v>
      </c>
      <c r="T25" s="266">
        <v>0.02</v>
      </c>
    </row>
    <row r="26" spans="2:21" x14ac:dyDescent="0.3">
      <c r="B26" s="199"/>
      <c r="P26" s="125"/>
      <c r="Q26" s="213"/>
      <c r="R26" s="213"/>
      <c r="S26" s="125"/>
    </row>
    <row r="27" spans="2:21" x14ac:dyDescent="0.3">
      <c r="B27" s="199"/>
      <c r="P27" s="125"/>
      <c r="Q27" s="125"/>
      <c r="R27" s="212"/>
      <c r="S27" s="125"/>
    </row>
    <row r="28" spans="2:21" x14ac:dyDescent="0.3">
      <c r="B28" s="199"/>
      <c r="P28" s="125"/>
      <c r="Q28" s="125"/>
      <c r="R28" s="212"/>
      <c r="S28" s="125"/>
    </row>
    <row r="29" spans="2:21" x14ac:dyDescent="0.3">
      <c r="B29" s="199"/>
      <c r="P29" s="125"/>
      <c r="Q29" s="213"/>
      <c r="R29" s="213"/>
      <c r="S29" s="125"/>
    </row>
    <row r="30" spans="2:21" x14ac:dyDescent="0.3">
      <c r="B30" s="199"/>
      <c r="P30" s="125"/>
      <c r="Q30" s="125"/>
      <c r="R30" s="212"/>
      <c r="S30" s="125"/>
    </row>
    <row r="31" spans="2:21" x14ac:dyDescent="0.3">
      <c r="B31" s="199"/>
      <c r="P31" s="125"/>
      <c r="Q31" s="213"/>
      <c r="R31" s="213"/>
      <c r="S31" s="125"/>
    </row>
    <row r="32" spans="2:21" x14ac:dyDescent="0.3">
      <c r="B32" s="199"/>
      <c r="P32" s="125"/>
      <c r="Q32" s="125"/>
      <c r="R32" s="125"/>
      <c r="S32" s="125"/>
    </row>
    <row r="33" spans="16:19" x14ac:dyDescent="0.3">
      <c r="P33" s="125"/>
      <c r="Q33" s="125"/>
      <c r="R33" s="125"/>
      <c r="S33" s="12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2AA4-E5CA-4487-BF23-83BF563B05D2}">
  <dimension ref="A1:N58"/>
  <sheetViews>
    <sheetView topLeftCell="B21" workbookViewId="0">
      <selection activeCell="K42" sqref="K42"/>
    </sheetView>
  </sheetViews>
  <sheetFormatPr defaultColWidth="8.88671875" defaultRowHeight="14.4" x14ac:dyDescent="0.3"/>
  <cols>
    <col min="1" max="1" width="32.5546875" customWidth="1"/>
    <col min="2" max="2" width="31.109375" customWidth="1"/>
    <col min="3" max="3" width="19.6640625" customWidth="1"/>
    <col min="4" max="4" width="19.33203125" customWidth="1"/>
    <col min="5" max="5" width="17.109375" customWidth="1"/>
    <col min="6" max="6" width="17.77734375" customWidth="1"/>
    <col min="7" max="7" width="22.6640625" customWidth="1"/>
    <col min="8" max="8" width="21.44140625" customWidth="1"/>
    <col min="9" max="9" width="18.88671875" customWidth="1"/>
    <col min="10" max="10" width="18.33203125" customWidth="1"/>
    <col min="11" max="11" width="19.88671875" customWidth="1"/>
    <col min="12" max="12" width="12" bestFit="1" customWidth="1"/>
  </cols>
  <sheetData>
    <row r="1" spans="1:14" x14ac:dyDescent="0.3">
      <c r="A1" s="280" t="s">
        <v>225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</row>
    <row r="2" spans="1:14" x14ac:dyDescent="0.3">
      <c r="A2" t="s">
        <v>226</v>
      </c>
    </row>
    <row r="3" spans="1:14" ht="15" thickBot="1" x14ac:dyDescent="0.35">
      <c r="A3" s="242"/>
      <c r="B3" s="243">
        <v>2016</v>
      </c>
      <c r="C3" s="243">
        <v>2015</v>
      </c>
      <c r="D3" s="243">
        <v>2014</v>
      </c>
      <c r="E3" s="243">
        <v>2013</v>
      </c>
      <c r="F3" s="243">
        <v>2012</v>
      </c>
    </row>
    <row r="4" spans="1:14" x14ac:dyDescent="0.3">
      <c r="A4" s="244" t="s">
        <v>227</v>
      </c>
      <c r="B4" s="245">
        <v>13502</v>
      </c>
      <c r="C4" s="245">
        <v>15001</v>
      </c>
      <c r="D4" s="245">
        <v>15855</v>
      </c>
      <c r="E4" s="245">
        <v>14861</v>
      </c>
      <c r="F4" s="245">
        <v>13504</v>
      </c>
    </row>
    <row r="5" spans="1:14" x14ac:dyDescent="0.3">
      <c r="A5" s="244" t="s">
        <v>81</v>
      </c>
      <c r="B5" s="245">
        <v>-6485</v>
      </c>
      <c r="C5" s="245">
        <v>-6819</v>
      </c>
      <c r="D5" s="245">
        <v>-7281</v>
      </c>
      <c r="E5" s="245">
        <v>-7208</v>
      </c>
      <c r="F5" s="245">
        <v>-6459</v>
      </c>
    </row>
    <row r="6" spans="1:14" x14ac:dyDescent="0.3">
      <c r="A6" s="246" t="s">
        <v>228</v>
      </c>
      <c r="B6" s="247">
        <v>7017</v>
      </c>
      <c r="C6" s="247">
        <v>8182</v>
      </c>
      <c r="D6" s="247">
        <v>8574</v>
      </c>
      <c r="E6" s="247">
        <v>7653</v>
      </c>
      <c r="F6" s="247">
        <v>7045</v>
      </c>
    </row>
    <row r="7" spans="1:14" ht="28.8" x14ac:dyDescent="0.3">
      <c r="A7" s="244" t="s">
        <v>78</v>
      </c>
      <c r="B7" s="245">
        <v>-2833</v>
      </c>
      <c r="C7" s="245">
        <v>-2686</v>
      </c>
      <c r="D7" s="245">
        <v>-2774</v>
      </c>
      <c r="E7" s="245">
        <v>-2550</v>
      </c>
      <c r="F7" s="245">
        <v>-2390</v>
      </c>
    </row>
    <row r="8" spans="1:14" ht="28.8" x14ac:dyDescent="0.3">
      <c r="A8" s="244" t="s">
        <v>84</v>
      </c>
      <c r="B8" s="245">
        <v>-1512</v>
      </c>
      <c r="C8" s="245">
        <v>-1580</v>
      </c>
      <c r="D8" s="245">
        <v>-1725</v>
      </c>
      <c r="E8" s="245">
        <v>-1533</v>
      </c>
      <c r="F8" s="245">
        <v>-1517</v>
      </c>
    </row>
    <row r="9" spans="1:14" x14ac:dyDescent="0.3">
      <c r="A9" s="244" t="s">
        <v>79</v>
      </c>
      <c r="B9" s="245">
        <v>-297</v>
      </c>
      <c r="C9" s="245">
        <v>-393</v>
      </c>
      <c r="D9" s="245">
        <v>0</v>
      </c>
      <c r="E9" s="245">
        <v>0</v>
      </c>
      <c r="F9" s="245">
        <v>10</v>
      </c>
    </row>
    <row r="10" spans="1:14" ht="28.8" x14ac:dyDescent="0.3">
      <c r="A10" s="244" t="s">
        <v>229</v>
      </c>
      <c r="B10" s="245">
        <v>0</v>
      </c>
      <c r="C10" s="245">
        <v>0</v>
      </c>
      <c r="D10" s="245">
        <v>0</v>
      </c>
      <c r="E10" s="245">
        <v>0</v>
      </c>
      <c r="F10" s="245">
        <v>0</v>
      </c>
    </row>
    <row r="11" spans="1:14" x14ac:dyDescent="0.3">
      <c r="A11" s="248" t="s">
        <v>230</v>
      </c>
      <c r="B11" s="247">
        <v>-4642</v>
      </c>
      <c r="C11" s="247">
        <v>-4659</v>
      </c>
      <c r="D11" s="247">
        <v>-4499</v>
      </c>
      <c r="E11" s="247">
        <v>-4083</v>
      </c>
      <c r="F11" s="247">
        <v>-3897</v>
      </c>
    </row>
    <row r="12" spans="1:14" x14ac:dyDescent="0.3">
      <c r="A12" s="246" t="s">
        <v>231</v>
      </c>
      <c r="B12" s="247">
        <v>2375</v>
      </c>
      <c r="C12" s="247">
        <v>3523</v>
      </c>
      <c r="D12" s="247">
        <v>4075</v>
      </c>
      <c r="E12" s="247">
        <v>3570</v>
      </c>
      <c r="F12" s="247">
        <v>3148</v>
      </c>
    </row>
    <row r="13" spans="1:14" x14ac:dyDescent="0.3">
      <c r="A13" s="244" t="s">
        <v>87</v>
      </c>
      <c r="B13" s="245">
        <v>-436</v>
      </c>
      <c r="C13" s="245">
        <v>-433</v>
      </c>
      <c r="D13" s="245">
        <v>-248</v>
      </c>
      <c r="E13" s="245">
        <v>-172</v>
      </c>
      <c r="F13" s="245">
        <v>-191</v>
      </c>
    </row>
    <row r="14" spans="1:14" x14ac:dyDescent="0.3">
      <c r="A14" s="244" t="s">
        <v>88</v>
      </c>
      <c r="B14" s="245">
        <v>74</v>
      </c>
      <c r="C14" s="245">
        <v>105</v>
      </c>
      <c r="D14" s="245">
        <v>102</v>
      </c>
      <c r="E14" s="245">
        <v>92</v>
      </c>
      <c r="F14" s="245">
        <v>77</v>
      </c>
    </row>
    <row r="15" spans="1:14" x14ac:dyDescent="0.3">
      <c r="A15" s="244" t="s">
        <v>232</v>
      </c>
      <c r="B15" s="245">
        <v>-22</v>
      </c>
      <c r="C15" s="245">
        <v>-34</v>
      </c>
      <c r="D15" s="245">
        <v>-102</v>
      </c>
      <c r="E15" s="245">
        <v>-61</v>
      </c>
      <c r="F15" s="245">
        <v>-46</v>
      </c>
    </row>
    <row r="16" spans="1:14" ht="28.8" x14ac:dyDescent="0.3">
      <c r="A16" s="246" t="s">
        <v>233</v>
      </c>
      <c r="B16" s="247">
        <v>1991</v>
      </c>
      <c r="C16" s="247">
        <v>3161</v>
      </c>
      <c r="D16" s="247">
        <v>3827</v>
      </c>
      <c r="E16" s="247">
        <v>3429</v>
      </c>
      <c r="F16" s="247">
        <v>2988</v>
      </c>
    </row>
    <row r="17" spans="1:13" x14ac:dyDescent="0.3">
      <c r="A17" s="244" t="s">
        <v>91</v>
      </c>
      <c r="B17" s="245">
        <v>-695</v>
      </c>
      <c r="C17" s="245">
        <v>-864</v>
      </c>
      <c r="D17" s="245">
        <v>-1078</v>
      </c>
      <c r="E17" s="245">
        <v>-915</v>
      </c>
      <c r="F17" s="245">
        <v>-901</v>
      </c>
    </row>
    <row r="18" spans="1:13" ht="57.6" x14ac:dyDescent="0.3">
      <c r="A18" s="246" t="s">
        <v>234</v>
      </c>
      <c r="B18" s="247">
        <v>1296</v>
      </c>
      <c r="C18" s="247">
        <v>2297</v>
      </c>
      <c r="D18" s="247">
        <v>2749</v>
      </c>
      <c r="E18" s="247">
        <v>2514</v>
      </c>
      <c r="F18" s="247">
        <v>2087</v>
      </c>
    </row>
    <row r="19" spans="1:13" x14ac:dyDescent="0.3">
      <c r="A19" s="244" t="s">
        <v>101</v>
      </c>
      <c r="B19" s="245">
        <v>17</v>
      </c>
      <c r="C19" s="245">
        <v>28</v>
      </c>
      <c r="D19" s="245">
        <v>13</v>
      </c>
      <c r="E19" s="245">
        <v>11</v>
      </c>
      <c r="F19" s="245">
        <v>6</v>
      </c>
    </row>
    <row r="20" spans="1:13" x14ac:dyDescent="0.3">
      <c r="A20" s="246" t="s">
        <v>235</v>
      </c>
      <c r="B20" s="247">
        <v>1313</v>
      </c>
      <c r="C20" s="247">
        <v>2325</v>
      </c>
      <c r="D20" s="247">
        <v>2762</v>
      </c>
      <c r="E20" s="247">
        <v>2525</v>
      </c>
      <c r="F20" s="247">
        <v>2093</v>
      </c>
    </row>
    <row r="21" spans="1:13" ht="28.8" x14ac:dyDescent="0.3">
      <c r="A21" s="244" t="s">
        <v>236</v>
      </c>
      <c r="B21" s="245">
        <v>23</v>
      </c>
      <c r="C21" s="245">
        <v>-11</v>
      </c>
      <c r="D21" s="245">
        <v>-22</v>
      </c>
      <c r="E21" s="245">
        <v>-43</v>
      </c>
      <c r="F21" s="245">
        <v>-48</v>
      </c>
    </row>
    <row r="22" spans="1:13" ht="28.8" x14ac:dyDescent="0.3">
      <c r="A22" s="249" t="s">
        <v>108</v>
      </c>
      <c r="B22" s="247">
        <v>1336</v>
      </c>
      <c r="C22" s="247">
        <v>2314</v>
      </c>
      <c r="D22" s="247">
        <v>2740</v>
      </c>
      <c r="E22" s="247">
        <v>2482</v>
      </c>
      <c r="F22" s="247">
        <v>2045</v>
      </c>
    </row>
    <row r="23" spans="1:13" x14ac:dyDescent="0.3">
      <c r="A23" s="249"/>
      <c r="B23" s="252"/>
      <c r="C23" s="252"/>
      <c r="D23" s="252"/>
      <c r="E23" s="252"/>
      <c r="F23" s="252"/>
    </row>
    <row r="24" spans="1:13" x14ac:dyDescent="0.3">
      <c r="A24" s="267"/>
      <c r="B24" s="268"/>
      <c r="C24" s="268"/>
      <c r="D24" s="268"/>
      <c r="E24" s="268"/>
      <c r="F24" s="268"/>
      <c r="G24" s="60"/>
      <c r="H24" s="60"/>
      <c r="I24" s="60"/>
      <c r="J24" s="60"/>
      <c r="K24" s="60"/>
    </row>
    <row r="25" spans="1:13" ht="15" thickBot="1" x14ac:dyDescent="0.35">
      <c r="A25" s="267"/>
      <c r="B25" s="268"/>
      <c r="C25" s="268"/>
      <c r="D25" s="268"/>
      <c r="E25" s="268"/>
      <c r="F25" s="268"/>
      <c r="G25" s="60"/>
      <c r="H25" s="60"/>
      <c r="I25" s="60"/>
      <c r="J25" s="60"/>
      <c r="K25" s="60"/>
    </row>
    <row r="26" spans="1:13" x14ac:dyDescent="0.3">
      <c r="A26" s="267"/>
      <c r="B26" s="268"/>
      <c r="C26" s="268"/>
      <c r="D26" s="268"/>
      <c r="E26" s="268"/>
      <c r="F26" s="268"/>
      <c r="G26" s="60"/>
      <c r="H26" s="60"/>
      <c r="I26" s="60"/>
      <c r="J26" s="60"/>
      <c r="K26" s="60"/>
      <c r="L26" s="281" t="s">
        <v>186</v>
      </c>
      <c r="M26" s="303">
        <f>WACC!C6</f>
        <v>3.502111516640756E-2</v>
      </c>
    </row>
    <row r="27" spans="1:13" ht="15" thickBot="1" x14ac:dyDescent="0.35">
      <c r="A27" s="60"/>
      <c r="B27" s="60"/>
      <c r="C27" s="60"/>
      <c r="D27" s="60"/>
      <c r="E27" s="60"/>
      <c r="F27" s="60"/>
      <c r="G27" s="60" t="s">
        <v>201</v>
      </c>
      <c r="H27" s="60" t="s">
        <v>241</v>
      </c>
      <c r="I27" s="60"/>
      <c r="J27" s="60"/>
      <c r="K27" s="60"/>
      <c r="L27" s="305" t="s">
        <v>250</v>
      </c>
      <c r="M27" s="304">
        <f>Forecast!S8</f>
        <v>3.1172505945803574E-2</v>
      </c>
    </row>
    <row r="28" spans="1:13" x14ac:dyDescent="0.3">
      <c r="C28" s="281">
        <v>2012</v>
      </c>
      <c r="D28" s="282">
        <v>2013</v>
      </c>
      <c r="E28" s="282">
        <v>2014</v>
      </c>
      <c r="F28" s="282">
        <v>2015</v>
      </c>
      <c r="G28" s="282">
        <v>2016</v>
      </c>
      <c r="H28" s="282">
        <v>2017</v>
      </c>
      <c r="I28" s="282">
        <v>2018</v>
      </c>
      <c r="J28" s="282">
        <v>2019</v>
      </c>
      <c r="K28" s="282">
        <v>2020</v>
      </c>
      <c r="L28" s="306"/>
    </row>
    <row r="29" spans="1:13" x14ac:dyDescent="0.3">
      <c r="A29" t="s">
        <v>255</v>
      </c>
      <c r="B29" t="s">
        <v>237</v>
      </c>
      <c r="C29" s="283">
        <f>Forecast!J22</f>
        <v>3148</v>
      </c>
      <c r="D29" s="284">
        <f>Forecast!K22</f>
        <v>3570</v>
      </c>
      <c r="E29" s="284">
        <f>Forecast!L22</f>
        <v>4075</v>
      </c>
      <c r="F29" s="284">
        <f>Forecast!M22</f>
        <v>3523</v>
      </c>
      <c r="G29" s="284">
        <f>Forecast!N22</f>
        <v>2375</v>
      </c>
      <c r="H29" s="285">
        <f>Forecast!O22</f>
        <v>3358.4301023934877</v>
      </c>
      <c r="I29" s="285">
        <f>Forecast!P22</f>
        <v>3515.0675964998472</v>
      </c>
      <c r="J29" s="285">
        <f>Forecast!Q22</f>
        <v>3679.0106779824146</v>
      </c>
      <c r="K29" s="285">
        <f>Forecast!R22</f>
        <v>3850.6000801197461</v>
      </c>
      <c r="L29" s="298"/>
    </row>
    <row r="30" spans="1:13" x14ac:dyDescent="0.3">
      <c r="B30" t="s">
        <v>195</v>
      </c>
      <c r="C30" s="286">
        <f>'Statement of Operations'!E19/'Statement of Operations'!E18</f>
        <v>0.30153949129852742</v>
      </c>
      <c r="D30" s="287">
        <f>'Statement of Operations'!I19/'Statement of Operations'!I18</f>
        <v>0.2668416447944007</v>
      </c>
      <c r="E30" s="287">
        <f>'Statement of Operations'!M19/'Statement of Operations'!M18</f>
        <v>0.28168278024562321</v>
      </c>
      <c r="F30" s="287">
        <f>'Statement of Operations'!Q19/'Statement of Operations'!Q18</f>
        <v>0.27333122429610884</v>
      </c>
      <c r="G30" s="287">
        <f>'Statement of Operations'!U19/'Statement of Operations'!U18</f>
        <v>0.34907081868407835</v>
      </c>
      <c r="H30" s="288">
        <f>AVERAGE($C$30:$G$30)</f>
        <v>0.29449319186374767</v>
      </c>
      <c r="I30" s="288">
        <f t="shared" ref="I30:K30" si="0">AVERAGE($C$30:$G$30)</f>
        <v>0.29449319186374767</v>
      </c>
      <c r="J30" s="288">
        <f t="shared" si="0"/>
        <v>0.29449319186374767</v>
      </c>
      <c r="K30" s="288">
        <f t="shared" si="0"/>
        <v>0.29449319186374767</v>
      </c>
      <c r="L30" s="298"/>
    </row>
    <row r="31" spans="1:13" x14ac:dyDescent="0.3">
      <c r="B31" t="s">
        <v>194</v>
      </c>
      <c r="C31" s="283">
        <f>C29*(1-C30)</f>
        <v>2198.7536813922356</v>
      </c>
      <c r="D31" s="284">
        <f t="shared" ref="D31:G31" si="1">D29*(1-D30)</f>
        <v>2617.3753280839896</v>
      </c>
      <c r="E31" s="284">
        <f t="shared" si="1"/>
        <v>2927.1426704990854</v>
      </c>
      <c r="F31" s="284">
        <f t="shared" si="1"/>
        <v>2560.0540968048085</v>
      </c>
      <c r="G31" s="284">
        <f t="shared" si="1"/>
        <v>1545.956805625314</v>
      </c>
      <c r="H31" s="285">
        <f>H29*(1-H30)</f>
        <v>2369.3953018883367</v>
      </c>
      <c r="I31" s="285">
        <f t="shared" ref="I31:K31" si="2">I29*(1-I30)</f>
        <v>2479.9041203897755</v>
      </c>
      <c r="J31" s="285">
        <f t="shared" si="2"/>
        <v>2595.5670805225632</v>
      </c>
      <c r="K31" s="285">
        <f t="shared" si="2"/>
        <v>2716.6245719344797</v>
      </c>
      <c r="L31" s="298"/>
    </row>
    <row r="32" spans="1:13" x14ac:dyDescent="0.3">
      <c r="B32" s="250" t="s">
        <v>238</v>
      </c>
      <c r="C32" s="289">
        <f>'Statements of Cash Flow'!E10</f>
        <v>622</v>
      </c>
      <c r="D32" s="290">
        <f>'Statements of Cash Flow'!I10</f>
        <v>615</v>
      </c>
      <c r="E32" s="290">
        <f>'Statements of Cash Flow'!M10</f>
        <v>691</v>
      </c>
      <c r="F32" s="290">
        <f>'Statements of Cash Flow'!Q10</f>
        <v>716</v>
      </c>
      <c r="G32" s="290">
        <f>'Statements of Cash Flow'!U10</f>
        <v>727</v>
      </c>
      <c r="H32" s="291">
        <f>H33*Forecast!O5</f>
        <v>657.40943821643179</v>
      </c>
      <c r="I32" s="291">
        <f>I33*Forecast!P5</f>
        <v>688.07107590563191</v>
      </c>
      <c r="J32" s="291">
        <f>J33*Forecast!Q5</f>
        <v>720.16277524459224</v>
      </c>
      <c r="K32" s="291">
        <f>K33*Forecast!R5</f>
        <v>753.75123444241842</v>
      </c>
      <c r="L32" s="298"/>
    </row>
    <row r="33" spans="1:12" x14ac:dyDescent="0.3">
      <c r="B33" s="250" t="s">
        <v>242</v>
      </c>
      <c r="C33" s="292">
        <f>C32/Forecast!J5</f>
        <v>4.606042654028436E-2</v>
      </c>
      <c r="D33" s="213">
        <f>D32/Forecast!K5</f>
        <v>4.1383486979341903E-2</v>
      </c>
      <c r="E33" s="213">
        <f>E32/Forecast!L5</f>
        <v>4.3582466099022388E-2</v>
      </c>
      <c r="F33" s="213">
        <f>F32/Forecast!M5</f>
        <v>4.7730151323245117E-2</v>
      </c>
      <c r="G33" s="213">
        <f>G32/Forecast!N5</f>
        <v>5.3843874981484227E-2</v>
      </c>
      <c r="H33" s="293">
        <f>AVERAGE($C$33:$G$33)</f>
        <v>4.6520081184675599E-2</v>
      </c>
      <c r="I33" s="293">
        <f t="shared" ref="I33:K33" si="3">AVERAGE($C$33:$G$33)</f>
        <v>4.6520081184675599E-2</v>
      </c>
      <c r="J33" s="293">
        <f t="shared" si="3"/>
        <v>4.6520081184675599E-2</v>
      </c>
      <c r="K33" s="293">
        <f t="shared" si="3"/>
        <v>4.6520081184675599E-2</v>
      </c>
      <c r="L33" s="298"/>
    </row>
    <row r="34" spans="1:12" x14ac:dyDescent="0.3">
      <c r="B34" t="s">
        <v>239</v>
      </c>
      <c r="C34" s="289">
        <f>'Statements of Cash Flow'!E32</f>
        <v>-646</v>
      </c>
      <c r="D34" s="290">
        <f>'Statements of Cash Flow'!I32</f>
        <v>-741</v>
      </c>
      <c r="E34" s="290">
        <f>'Statements of Cash Flow'!M32</f>
        <v>-1005</v>
      </c>
      <c r="F34" s="290">
        <f>'Statements of Cash Flow'!Q32</f>
        <v>-967</v>
      </c>
      <c r="G34" s="290">
        <f>'Statements of Cash Flow'!U32</f>
        <v>-923</v>
      </c>
      <c r="H34" s="285">
        <f>H35*Forecast!O5</f>
        <v>-830.68961051711597</v>
      </c>
      <c r="I34" s="285">
        <f>I35*Forecast!P5</f>
        <v>-869.4330516501791</v>
      </c>
      <c r="J34" s="285">
        <f>J35*Forecast!Q5</f>
        <v>-909.98349050155593</v>
      </c>
      <c r="K34" s="285">
        <f>K35*Forecast!R5</f>
        <v>-952.42520561384572</v>
      </c>
      <c r="L34" s="298"/>
    </row>
    <row r="35" spans="1:12" x14ac:dyDescent="0.3">
      <c r="A35" t="s">
        <v>248</v>
      </c>
      <c r="B35" t="s">
        <v>243</v>
      </c>
      <c r="C35" s="292">
        <f>C34/Forecast!J5</f>
        <v>-4.7837677725118481E-2</v>
      </c>
      <c r="D35" s="213">
        <f>D34/Forecast!K5</f>
        <v>-4.9862055043402194E-2</v>
      </c>
      <c r="E35" s="213">
        <f>E34/Forecast!L5</f>
        <v>-6.3386944181646171E-2</v>
      </c>
      <c r="F35" s="213">
        <f>F34/Forecast!M5</f>
        <v>-6.4462369175388307E-2</v>
      </c>
      <c r="G35" s="213">
        <f>G34/Forecast!N5</f>
        <v>-6.8360242926973777E-2</v>
      </c>
      <c r="H35" s="294">
        <f>AVERAGE($C$35:$G$35)</f>
        <v>-5.8781857810505787E-2</v>
      </c>
      <c r="I35" s="294">
        <f t="shared" ref="I35:K35" si="4">AVERAGE($C$35:$G$35)</f>
        <v>-5.8781857810505787E-2</v>
      </c>
      <c r="J35" s="294">
        <f t="shared" si="4"/>
        <v>-5.8781857810505787E-2</v>
      </c>
      <c r="K35" s="294">
        <f t="shared" si="4"/>
        <v>-5.8781857810505787E-2</v>
      </c>
      <c r="L35" s="298"/>
    </row>
    <row r="36" spans="1:12" x14ac:dyDescent="0.3">
      <c r="A36" s="251">
        <v>-1048</v>
      </c>
      <c r="B36" t="s">
        <v>197</v>
      </c>
      <c r="C36" s="289">
        <f>'Statements of Cash Flow'!E20+'Statements of Cash Flow'!E21-'Statements of Cash Flow'!E23</f>
        <v>-763</v>
      </c>
      <c r="D36" s="290">
        <f>'Statements of Cash Flow'!I20+'Statements of Cash Flow'!I21-'Statements of Cash Flow'!I23</f>
        <v>134</v>
      </c>
      <c r="E36" s="290">
        <f>'Statements of Cash Flow'!M20+'Statements of Cash Flow'!M21-'Statements of Cash Flow'!M23</f>
        <v>-1531</v>
      </c>
      <c r="F36" s="290">
        <f>'Statements of Cash Flow'!Q20+'Statements of Cash Flow'!Q21-'Statements of Cash Flow'!Q23</f>
        <v>-592</v>
      </c>
      <c r="G36" s="290">
        <f>'Statements of Cash Flow'!U21+'Statements of Cash Flow'!U20-'Statements of Cash Flow'!U23</f>
        <v>-493</v>
      </c>
      <c r="H36" s="285">
        <f>H37*Forecast!O5</f>
        <v>-621.86593522775934</v>
      </c>
      <c r="I36" s="285">
        <f>I37*Forecast!P5</f>
        <v>-650.86982061300637</v>
      </c>
      <c r="J36" s="285">
        <f>J37*Forecast!Q5</f>
        <v>-681.22644992549965</v>
      </c>
      <c r="K36" s="285">
        <f>K37*Forecast!R5</f>
        <v>-712.99891526853457</v>
      </c>
      <c r="L36" s="298"/>
    </row>
    <row r="37" spans="1:12" x14ac:dyDescent="0.3">
      <c r="A37" s="251"/>
      <c r="B37" t="s">
        <v>244</v>
      </c>
      <c r="C37" s="292">
        <f>C36/Forecast!J5</f>
        <v>-5.6501777251184833E-2</v>
      </c>
      <c r="D37" s="213">
        <f>D36/Forecast!K5</f>
        <v>9.0168898459053893E-3</v>
      </c>
      <c r="E37" s="213">
        <f>E36/Forecast!L5</f>
        <v>-9.656259854935352E-2</v>
      </c>
      <c r="F37" s="213">
        <f>F36/Forecast!M5</f>
        <v>-3.9464035730951273E-2</v>
      </c>
      <c r="G37" s="213">
        <f>G36/Forecast!N5</f>
        <v>-3.6513109169012001E-2</v>
      </c>
      <c r="H37" s="294">
        <f>AVERAGE($C$37:$G$37)</f>
        <v>-4.4004926170919244E-2</v>
      </c>
      <c r="I37" s="294">
        <f t="shared" ref="I37:K37" si="5">AVERAGE($C$37:$G$37)</f>
        <v>-4.4004926170919244E-2</v>
      </c>
      <c r="J37" s="294">
        <f t="shared" si="5"/>
        <v>-4.4004926170919244E-2</v>
      </c>
      <c r="K37" s="294">
        <f t="shared" si="5"/>
        <v>-4.4004926170919244E-2</v>
      </c>
      <c r="L37" s="298"/>
    </row>
    <row r="38" spans="1:12" x14ac:dyDescent="0.3">
      <c r="B38" t="s">
        <v>240</v>
      </c>
      <c r="C38" s="289">
        <f>C36-A36</f>
        <v>285</v>
      </c>
      <c r="D38" s="290">
        <f>D36-C36</f>
        <v>897</v>
      </c>
      <c r="E38" s="290">
        <f>E36-D36</f>
        <v>-1665</v>
      </c>
      <c r="F38" s="290">
        <f>F36-E36</f>
        <v>939</v>
      </c>
      <c r="G38" s="290">
        <f>G36-F36</f>
        <v>99</v>
      </c>
      <c r="H38" s="295"/>
      <c r="I38" s="295"/>
      <c r="J38" s="295"/>
      <c r="K38" s="295"/>
      <c r="L38" s="298"/>
    </row>
    <row r="39" spans="1:12" x14ac:dyDescent="0.3">
      <c r="B39" t="s">
        <v>196</v>
      </c>
      <c r="C39" s="283">
        <f>C31+C32+C34-C38</f>
        <v>1889.7536813922356</v>
      </c>
      <c r="D39" s="284">
        <f>D31+D32+D34-D38</f>
        <v>1594.3753280839896</v>
      </c>
      <c r="E39" s="284">
        <f>E31+E32+E34-E38</f>
        <v>4278.1426704990854</v>
      </c>
      <c r="F39" s="284">
        <f>F31+F32+F34-F38</f>
        <v>1370.0540968048085</v>
      </c>
      <c r="G39" s="284">
        <f>G31+G32+G34-G38</f>
        <v>1250.9568056253138</v>
      </c>
      <c r="H39" s="285">
        <f>H31+H32+H34+H36</f>
        <v>1574.2491943598932</v>
      </c>
      <c r="I39" s="285">
        <f>I31+I32+I34+I36</f>
        <v>1647.6723240322219</v>
      </c>
      <c r="J39" s="285">
        <f>J31+J32+J34+J36</f>
        <v>1724.5199153400999</v>
      </c>
      <c r="K39" s="285">
        <f>K31+K32+K34+K36</f>
        <v>1804.951685494518</v>
      </c>
      <c r="L39" s="298"/>
    </row>
    <row r="40" spans="1:12" x14ac:dyDescent="0.3">
      <c r="B40" t="s">
        <v>247</v>
      </c>
      <c r="C40" s="283"/>
      <c r="D40" s="284"/>
      <c r="E40" s="284"/>
      <c r="F40" s="284"/>
      <c r="G40" s="284"/>
      <c r="H40" s="296">
        <v>1</v>
      </c>
      <c r="I40" s="296">
        <v>2</v>
      </c>
      <c r="J40" s="296">
        <v>3</v>
      </c>
      <c r="K40" s="296">
        <v>4</v>
      </c>
      <c r="L40" s="298" t="s">
        <v>251</v>
      </c>
    </row>
    <row r="41" spans="1:12" x14ac:dyDescent="0.3">
      <c r="B41" t="s">
        <v>254</v>
      </c>
      <c r="C41" s="297"/>
      <c r="D41" s="125"/>
      <c r="E41" s="125"/>
      <c r="F41" s="125"/>
      <c r="G41" s="125"/>
      <c r="H41" s="284">
        <f>H39/(1+$M$26)^Valuation!H40</f>
        <v>1520.9826845965265</v>
      </c>
      <c r="I41" s="284">
        <f>I39/(1+$M$26)^Valuation!I40</f>
        <v>1538.0569883497162</v>
      </c>
      <c r="J41" s="284">
        <f>J39/(1+$M$26)^Valuation!J40</f>
        <v>1555.3229654543572</v>
      </c>
      <c r="K41" s="125">
        <f>(K39/M26)/(1+M26)^J40</f>
        <v>46482.339762890369</v>
      </c>
      <c r="L41" s="307">
        <f>SUM(H41:K41)</f>
        <v>51096.702401290968</v>
      </c>
    </row>
    <row r="42" spans="1:12" ht="15" thickBot="1" x14ac:dyDescent="0.35">
      <c r="B42" s="262" t="s">
        <v>249</v>
      </c>
      <c r="C42" s="299"/>
      <c r="D42" s="300"/>
      <c r="E42" s="301"/>
      <c r="F42" s="301"/>
      <c r="G42" s="301">
        <f>H39/(1+M26)^H40+I39/(1+M26)^I40+J39/(1+M26)^J40+(K39/M26)/(1+M26)^J40</f>
        <v>51096.702401290968</v>
      </c>
      <c r="H42" s="301">
        <f>I39/(1+M26)^H40+J39/(1+M26)^I40+(K39/M26)/(1+M26)^I40</f>
        <v>51311.916706350341</v>
      </c>
      <c r="I42" s="301">
        <f>J39/(1+M26)^H40+(K39/M26)/(1+M26)^H40</f>
        <v>51461.244926700318</v>
      </c>
      <c r="J42" s="301">
        <f>K39/(1+M26)+(K39/M26)/(1+M26)</f>
        <v>51538.955196544892</v>
      </c>
      <c r="K42" s="308">
        <f>K39/M26</f>
        <v>51538.955196544892</v>
      </c>
      <c r="L42" s="302"/>
    </row>
    <row r="43" spans="1:12" x14ac:dyDescent="0.3">
      <c r="B43" s="262"/>
      <c r="C43" s="60"/>
      <c r="D43" s="60"/>
      <c r="E43" s="263"/>
      <c r="F43" s="263"/>
      <c r="G43" s="263"/>
      <c r="H43" s="263"/>
      <c r="I43" s="263"/>
      <c r="J43" s="263"/>
    </row>
    <row r="44" spans="1:12" x14ac:dyDescent="0.3">
      <c r="B44" s="262"/>
      <c r="C44" s="60"/>
      <c r="D44" s="60"/>
      <c r="E44" s="263"/>
      <c r="F44" s="263"/>
      <c r="G44" s="263"/>
      <c r="H44" s="263"/>
      <c r="I44" s="263"/>
      <c r="J44" s="263"/>
    </row>
    <row r="45" spans="1:12" x14ac:dyDescent="0.3">
      <c r="B45" s="264"/>
      <c r="C45" s="60"/>
      <c r="D45" s="265"/>
      <c r="E45" s="263"/>
      <c r="F45" s="263"/>
      <c r="G45" s="263"/>
      <c r="H45" s="263"/>
      <c r="I45" s="263"/>
      <c r="J45" s="60"/>
    </row>
    <row r="47" spans="1:12" x14ac:dyDescent="0.3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</row>
    <row r="48" spans="1:12" x14ac:dyDescent="0.3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</row>
    <row r="49" spans="1:11" x14ac:dyDescent="0.3">
      <c r="A49" s="60"/>
      <c r="B49" s="262"/>
      <c r="C49" s="60"/>
      <c r="D49" s="60"/>
      <c r="E49" s="263"/>
      <c r="F49" s="263"/>
      <c r="G49" s="263"/>
      <c r="H49" s="263"/>
      <c r="I49" s="263"/>
      <c r="J49" s="263"/>
      <c r="K49" s="60"/>
    </row>
    <row r="50" spans="1:11" x14ac:dyDescent="0.3">
      <c r="A50" s="60"/>
      <c r="B50" s="262"/>
      <c r="C50" s="60"/>
      <c r="D50" s="60"/>
      <c r="E50" s="263"/>
      <c r="F50" s="263"/>
      <c r="G50" s="263"/>
      <c r="H50" s="263"/>
      <c r="I50" s="263"/>
      <c r="J50" s="263"/>
      <c r="K50" s="60"/>
    </row>
    <row r="51" spans="1:11" x14ac:dyDescent="0.3">
      <c r="A51" s="60"/>
      <c r="B51" s="262"/>
      <c r="C51" s="60"/>
      <c r="D51" s="60"/>
      <c r="E51" s="263"/>
      <c r="F51" s="263"/>
      <c r="G51" s="263"/>
      <c r="H51" s="263"/>
      <c r="I51" s="263"/>
      <c r="J51" s="263"/>
      <c r="K51" s="60"/>
    </row>
    <row r="52" spans="1:11" x14ac:dyDescent="0.3">
      <c r="A52" s="60"/>
      <c r="B52" s="262"/>
      <c r="C52" s="60"/>
      <c r="D52" s="60"/>
      <c r="E52" s="263"/>
      <c r="F52" s="263"/>
      <c r="G52" s="263"/>
      <c r="H52" s="263"/>
      <c r="I52" s="263"/>
      <c r="J52" s="263"/>
      <c r="K52" s="60"/>
    </row>
    <row r="53" spans="1:11" x14ac:dyDescent="0.3">
      <c r="A53" s="60"/>
      <c r="B53" s="262"/>
      <c r="C53" s="60"/>
      <c r="D53" s="60"/>
      <c r="E53" s="263"/>
      <c r="F53" s="263"/>
      <c r="G53" s="263"/>
      <c r="H53" s="263"/>
      <c r="I53" s="263"/>
      <c r="J53" s="263"/>
      <c r="K53" s="60"/>
    </row>
    <row r="54" spans="1:11" x14ac:dyDescent="0.3">
      <c r="A54" s="60"/>
      <c r="B54" s="262"/>
      <c r="C54" s="60"/>
      <c r="D54" s="60"/>
      <c r="E54" s="263"/>
      <c r="F54" s="263"/>
      <c r="G54" s="263"/>
      <c r="H54" s="263"/>
      <c r="I54" s="263"/>
      <c r="J54" s="263"/>
      <c r="K54" s="60"/>
    </row>
    <row r="55" spans="1:11" x14ac:dyDescent="0.3">
      <c r="A55" s="60"/>
      <c r="B55" s="264"/>
      <c r="C55" s="60"/>
      <c r="D55" s="265"/>
      <c r="E55" s="263"/>
      <c r="F55" s="263"/>
      <c r="G55" s="263"/>
      <c r="H55" s="263"/>
      <c r="I55" s="263"/>
      <c r="J55" s="60"/>
      <c r="K55" s="60"/>
    </row>
    <row r="56" spans="1:11" x14ac:dyDescent="0.3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</row>
    <row r="57" spans="1:11" x14ac:dyDescent="0.3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</row>
    <row r="58" spans="1:11" x14ac:dyDescent="0.3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</row>
  </sheetData>
  <mergeCells count="1">
    <mergeCell ref="A1:N1"/>
  </mergeCells>
  <phoneticPr fontId="20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E34E-A42C-49BE-95B2-D72CE6315EF3}">
  <dimension ref="A2:M65536"/>
  <sheetViews>
    <sheetView workbookViewId="0">
      <selection activeCell="E25" sqref="E25"/>
    </sheetView>
  </sheetViews>
  <sheetFormatPr defaultColWidth="11.5546875" defaultRowHeight="14.4" x14ac:dyDescent="0.3"/>
  <cols>
    <col min="1" max="1" width="2" bestFit="1" customWidth="1"/>
    <col min="2" max="2" width="22.6640625" customWidth="1"/>
    <col min="5" max="5" width="23.33203125" customWidth="1"/>
    <col min="10" max="10" width="23.5546875" bestFit="1" customWidth="1"/>
    <col min="11" max="11" width="14.88671875" bestFit="1" customWidth="1"/>
    <col min="257" max="257" width="2" bestFit="1" customWidth="1"/>
    <col min="258" max="258" width="8.88671875" customWidth="1"/>
    <col min="266" max="266" width="23.5546875" bestFit="1" customWidth="1"/>
    <col min="267" max="267" width="14.88671875" bestFit="1" customWidth="1"/>
    <col min="513" max="513" width="2" bestFit="1" customWidth="1"/>
    <col min="514" max="514" width="8.88671875" customWidth="1"/>
    <col min="522" max="522" width="23.5546875" bestFit="1" customWidth="1"/>
    <col min="523" max="523" width="14.88671875" bestFit="1" customWidth="1"/>
    <col min="769" max="769" width="2" bestFit="1" customWidth="1"/>
    <col min="770" max="770" width="8.88671875" customWidth="1"/>
    <col min="778" max="778" width="23.5546875" bestFit="1" customWidth="1"/>
    <col min="779" max="779" width="14.88671875" bestFit="1" customWidth="1"/>
    <col min="1025" max="1025" width="2" bestFit="1" customWidth="1"/>
    <col min="1026" max="1026" width="8.88671875" customWidth="1"/>
    <col min="1034" max="1034" width="23.5546875" bestFit="1" customWidth="1"/>
    <col min="1035" max="1035" width="14.88671875" bestFit="1" customWidth="1"/>
    <col min="1281" max="1281" width="2" bestFit="1" customWidth="1"/>
    <col min="1282" max="1282" width="8.88671875" customWidth="1"/>
    <col min="1290" max="1290" width="23.5546875" bestFit="1" customWidth="1"/>
    <col min="1291" max="1291" width="14.88671875" bestFit="1" customWidth="1"/>
    <col min="1537" max="1537" width="2" bestFit="1" customWidth="1"/>
    <col min="1538" max="1538" width="8.88671875" customWidth="1"/>
    <col min="1546" max="1546" width="23.5546875" bestFit="1" customWidth="1"/>
    <col min="1547" max="1547" width="14.88671875" bestFit="1" customWidth="1"/>
    <col min="1793" max="1793" width="2" bestFit="1" customWidth="1"/>
    <col min="1794" max="1794" width="8.88671875" customWidth="1"/>
    <col min="1802" max="1802" width="23.5546875" bestFit="1" customWidth="1"/>
    <col min="1803" max="1803" width="14.88671875" bestFit="1" customWidth="1"/>
    <col min="2049" max="2049" width="2" bestFit="1" customWidth="1"/>
    <col min="2050" max="2050" width="8.88671875" customWidth="1"/>
    <col min="2058" max="2058" width="23.5546875" bestFit="1" customWidth="1"/>
    <col min="2059" max="2059" width="14.88671875" bestFit="1" customWidth="1"/>
    <col min="2305" max="2305" width="2" bestFit="1" customWidth="1"/>
    <col min="2306" max="2306" width="8.88671875" customWidth="1"/>
    <col min="2314" max="2314" width="23.5546875" bestFit="1" customWidth="1"/>
    <col min="2315" max="2315" width="14.88671875" bestFit="1" customWidth="1"/>
    <col min="2561" max="2561" width="2" bestFit="1" customWidth="1"/>
    <col min="2562" max="2562" width="8.88671875" customWidth="1"/>
    <col min="2570" max="2570" width="23.5546875" bestFit="1" customWidth="1"/>
    <col min="2571" max="2571" width="14.88671875" bestFit="1" customWidth="1"/>
    <col min="2817" max="2817" width="2" bestFit="1" customWidth="1"/>
    <col min="2818" max="2818" width="8.88671875" customWidth="1"/>
    <col min="2826" max="2826" width="23.5546875" bestFit="1" customWidth="1"/>
    <col min="2827" max="2827" width="14.88671875" bestFit="1" customWidth="1"/>
    <col min="3073" max="3073" width="2" bestFit="1" customWidth="1"/>
    <col min="3074" max="3074" width="8.88671875" customWidth="1"/>
    <col min="3082" max="3082" width="23.5546875" bestFit="1" customWidth="1"/>
    <col min="3083" max="3083" width="14.88671875" bestFit="1" customWidth="1"/>
    <col min="3329" max="3329" width="2" bestFit="1" customWidth="1"/>
    <col min="3330" max="3330" width="8.88671875" customWidth="1"/>
    <col min="3338" max="3338" width="23.5546875" bestFit="1" customWidth="1"/>
    <col min="3339" max="3339" width="14.88671875" bestFit="1" customWidth="1"/>
    <col min="3585" max="3585" width="2" bestFit="1" customWidth="1"/>
    <col min="3586" max="3586" width="8.88671875" customWidth="1"/>
    <col min="3594" max="3594" width="23.5546875" bestFit="1" customWidth="1"/>
    <col min="3595" max="3595" width="14.88671875" bestFit="1" customWidth="1"/>
    <col min="3841" max="3841" width="2" bestFit="1" customWidth="1"/>
    <col min="3842" max="3842" width="8.88671875" customWidth="1"/>
    <col min="3850" max="3850" width="23.5546875" bestFit="1" customWidth="1"/>
    <col min="3851" max="3851" width="14.88671875" bestFit="1" customWidth="1"/>
    <col min="4097" max="4097" width="2" bestFit="1" customWidth="1"/>
    <col min="4098" max="4098" width="8.88671875" customWidth="1"/>
    <col min="4106" max="4106" width="23.5546875" bestFit="1" customWidth="1"/>
    <col min="4107" max="4107" width="14.88671875" bestFit="1" customWidth="1"/>
    <col min="4353" max="4353" width="2" bestFit="1" customWidth="1"/>
    <col min="4354" max="4354" width="8.88671875" customWidth="1"/>
    <col min="4362" max="4362" width="23.5546875" bestFit="1" customWidth="1"/>
    <col min="4363" max="4363" width="14.88671875" bestFit="1" customWidth="1"/>
    <col min="4609" max="4609" width="2" bestFit="1" customWidth="1"/>
    <col min="4610" max="4610" width="8.88671875" customWidth="1"/>
    <col min="4618" max="4618" width="23.5546875" bestFit="1" customWidth="1"/>
    <col min="4619" max="4619" width="14.88671875" bestFit="1" customWidth="1"/>
    <col min="4865" max="4865" width="2" bestFit="1" customWidth="1"/>
    <col min="4866" max="4866" width="8.88671875" customWidth="1"/>
    <col min="4874" max="4874" width="23.5546875" bestFit="1" customWidth="1"/>
    <col min="4875" max="4875" width="14.88671875" bestFit="1" customWidth="1"/>
    <col min="5121" max="5121" width="2" bestFit="1" customWidth="1"/>
    <col min="5122" max="5122" width="8.88671875" customWidth="1"/>
    <col min="5130" max="5130" width="23.5546875" bestFit="1" customWidth="1"/>
    <col min="5131" max="5131" width="14.88671875" bestFit="1" customWidth="1"/>
    <col min="5377" max="5377" width="2" bestFit="1" customWidth="1"/>
    <col min="5378" max="5378" width="8.88671875" customWidth="1"/>
    <col min="5386" max="5386" width="23.5546875" bestFit="1" customWidth="1"/>
    <col min="5387" max="5387" width="14.88671875" bestFit="1" customWidth="1"/>
    <col min="5633" max="5633" width="2" bestFit="1" customWidth="1"/>
    <col min="5634" max="5634" width="8.88671875" customWidth="1"/>
    <col min="5642" max="5642" width="23.5546875" bestFit="1" customWidth="1"/>
    <col min="5643" max="5643" width="14.88671875" bestFit="1" customWidth="1"/>
    <col min="5889" max="5889" width="2" bestFit="1" customWidth="1"/>
    <col min="5890" max="5890" width="8.88671875" customWidth="1"/>
    <col min="5898" max="5898" width="23.5546875" bestFit="1" customWidth="1"/>
    <col min="5899" max="5899" width="14.88671875" bestFit="1" customWidth="1"/>
    <col min="6145" max="6145" width="2" bestFit="1" customWidth="1"/>
    <col min="6146" max="6146" width="8.88671875" customWidth="1"/>
    <col min="6154" max="6154" width="23.5546875" bestFit="1" customWidth="1"/>
    <col min="6155" max="6155" width="14.88671875" bestFit="1" customWidth="1"/>
    <col min="6401" max="6401" width="2" bestFit="1" customWidth="1"/>
    <col min="6402" max="6402" width="8.88671875" customWidth="1"/>
    <col min="6410" max="6410" width="23.5546875" bestFit="1" customWidth="1"/>
    <col min="6411" max="6411" width="14.88671875" bestFit="1" customWidth="1"/>
    <col min="6657" max="6657" width="2" bestFit="1" customWidth="1"/>
    <col min="6658" max="6658" width="8.88671875" customWidth="1"/>
    <col min="6666" max="6666" width="23.5546875" bestFit="1" customWidth="1"/>
    <col min="6667" max="6667" width="14.88671875" bestFit="1" customWidth="1"/>
    <col min="6913" max="6913" width="2" bestFit="1" customWidth="1"/>
    <col min="6914" max="6914" width="8.88671875" customWidth="1"/>
    <col min="6922" max="6922" width="23.5546875" bestFit="1" customWidth="1"/>
    <col min="6923" max="6923" width="14.88671875" bestFit="1" customWidth="1"/>
    <col min="7169" max="7169" width="2" bestFit="1" customWidth="1"/>
    <col min="7170" max="7170" width="8.88671875" customWidth="1"/>
    <col min="7178" max="7178" width="23.5546875" bestFit="1" customWidth="1"/>
    <col min="7179" max="7179" width="14.88671875" bestFit="1" customWidth="1"/>
    <col min="7425" max="7425" width="2" bestFit="1" customWidth="1"/>
    <col min="7426" max="7426" width="8.88671875" customWidth="1"/>
    <col min="7434" max="7434" width="23.5546875" bestFit="1" customWidth="1"/>
    <col min="7435" max="7435" width="14.88671875" bestFit="1" customWidth="1"/>
    <col min="7681" max="7681" width="2" bestFit="1" customWidth="1"/>
    <col min="7682" max="7682" width="8.88671875" customWidth="1"/>
    <col min="7690" max="7690" width="23.5546875" bestFit="1" customWidth="1"/>
    <col min="7691" max="7691" width="14.88671875" bestFit="1" customWidth="1"/>
    <col min="7937" max="7937" width="2" bestFit="1" customWidth="1"/>
    <col min="7938" max="7938" width="8.88671875" customWidth="1"/>
    <col min="7946" max="7946" width="23.5546875" bestFit="1" customWidth="1"/>
    <col min="7947" max="7947" width="14.88671875" bestFit="1" customWidth="1"/>
    <col min="8193" max="8193" width="2" bestFit="1" customWidth="1"/>
    <col min="8194" max="8194" width="8.88671875" customWidth="1"/>
    <col min="8202" max="8202" width="23.5546875" bestFit="1" customWidth="1"/>
    <col min="8203" max="8203" width="14.88671875" bestFit="1" customWidth="1"/>
    <col min="8449" max="8449" width="2" bestFit="1" customWidth="1"/>
    <col min="8450" max="8450" width="8.88671875" customWidth="1"/>
    <col min="8458" max="8458" width="23.5546875" bestFit="1" customWidth="1"/>
    <col min="8459" max="8459" width="14.88671875" bestFit="1" customWidth="1"/>
    <col min="8705" max="8705" width="2" bestFit="1" customWidth="1"/>
    <col min="8706" max="8706" width="8.88671875" customWidth="1"/>
    <col min="8714" max="8714" width="23.5546875" bestFit="1" customWidth="1"/>
    <col min="8715" max="8715" width="14.88671875" bestFit="1" customWidth="1"/>
    <col min="8961" max="8961" width="2" bestFit="1" customWidth="1"/>
    <col min="8962" max="8962" width="8.88671875" customWidth="1"/>
    <col min="8970" max="8970" width="23.5546875" bestFit="1" customWidth="1"/>
    <col min="8971" max="8971" width="14.88671875" bestFit="1" customWidth="1"/>
    <col min="9217" max="9217" width="2" bestFit="1" customWidth="1"/>
    <col min="9218" max="9218" width="8.88671875" customWidth="1"/>
    <col min="9226" max="9226" width="23.5546875" bestFit="1" customWidth="1"/>
    <col min="9227" max="9227" width="14.88671875" bestFit="1" customWidth="1"/>
    <col min="9473" max="9473" width="2" bestFit="1" customWidth="1"/>
    <col min="9474" max="9474" width="8.88671875" customWidth="1"/>
    <col min="9482" max="9482" width="23.5546875" bestFit="1" customWidth="1"/>
    <col min="9483" max="9483" width="14.88671875" bestFit="1" customWidth="1"/>
    <col min="9729" max="9729" width="2" bestFit="1" customWidth="1"/>
    <col min="9730" max="9730" width="8.88671875" customWidth="1"/>
    <col min="9738" max="9738" width="23.5546875" bestFit="1" customWidth="1"/>
    <col min="9739" max="9739" width="14.88671875" bestFit="1" customWidth="1"/>
    <col min="9985" max="9985" width="2" bestFit="1" customWidth="1"/>
    <col min="9986" max="9986" width="8.88671875" customWidth="1"/>
    <col min="9994" max="9994" width="23.5546875" bestFit="1" customWidth="1"/>
    <col min="9995" max="9995" width="14.88671875" bestFit="1" customWidth="1"/>
    <col min="10241" max="10241" width="2" bestFit="1" customWidth="1"/>
    <col min="10242" max="10242" width="8.88671875" customWidth="1"/>
    <col min="10250" max="10250" width="23.5546875" bestFit="1" customWidth="1"/>
    <col min="10251" max="10251" width="14.88671875" bestFit="1" customWidth="1"/>
    <col min="10497" max="10497" width="2" bestFit="1" customWidth="1"/>
    <col min="10498" max="10498" width="8.88671875" customWidth="1"/>
    <col min="10506" max="10506" width="23.5546875" bestFit="1" customWidth="1"/>
    <col min="10507" max="10507" width="14.88671875" bestFit="1" customWidth="1"/>
    <col min="10753" max="10753" width="2" bestFit="1" customWidth="1"/>
    <col min="10754" max="10754" width="8.88671875" customWidth="1"/>
    <col min="10762" max="10762" width="23.5546875" bestFit="1" customWidth="1"/>
    <col min="10763" max="10763" width="14.88671875" bestFit="1" customWidth="1"/>
    <col min="11009" max="11009" width="2" bestFit="1" customWidth="1"/>
    <col min="11010" max="11010" width="8.88671875" customWidth="1"/>
    <col min="11018" max="11018" width="23.5546875" bestFit="1" customWidth="1"/>
    <col min="11019" max="11019" width="14.88671875" bestFit="1" customWidth="1"/>
    <col min="11265" max="11265" width="2" bestFit="1" customWidth="1"/>
    <col min="11266" max="11266" width="8.88671875" customWidth="1"/>
    <col min="11274" max="11274" width="23.5546875" bestFit="1" customWidth="1"/>
    <col min="11275" max="11275" width="14.88671875" bestFit="1" customWidth="1"/>
    <col min="11521" max="11521" width="2" bestFit="1" customWidth="1"/>
    <col min="11522" max="11522" width="8.88671875" customWidth="1"/>
    <col min="11530" max="11530" width="23.5546875" bestFit="1" customWidth="1"/>
    <col min="11531" max="11531" width="14.88671875" bestFit="1" customWidth="1"/>
    <col min="11777" max="11777" width="2" bestFit="1" customWidth="1"/>
    <col min="11778" max="11778" width="8.88671875" customWidth="1"/>
    <col min="11786" max="11786" width="23.5546875" bestFit="1" customWidth="1"/>
    <col min="11787" max="11787" width="14.88671875" bestFit="1" customWidth="1"/>
    <col min="12033" max="12033" width="2" bestFit="1" customWidth="1"/>
    <col min="12034" max="12034" width="8.88671875" customWidth="1"/>
    <col min="12042" max="12042" width="23.5546875" bestFit="1" customWidth="1"/>
    <col min="12043" max="12043" width="14.88671875" bestFit="1" customWidth="1"/>
    <col min="12289" max="12289" width="2" bestFit="1" customWidth="1"/>
    <col min="12290" max="12290" width="8.88671875" customWidth="1"/>
    <col min="12298" max="12298" width="23.5546875" bestFit="1" customWidth="1"/>
    <col min="12299" max="12299" width="14.88671875" bestFit="1" customWidth="1"/>
    <col min="12545" max="12545" width="2" bestFit="1" customWidth="1"/>
    <col min="12546" max="12546" width="8.88671875" customWidth="1"/>
    <col min="12554" max="12554" width="23.5546875" bestFit="1" customWidth="1"/>
    <col min="12555" max="12555" width="14.88671875" bestFit="1" customWidth="1"/>
    <col min="12801" max="12801" width="2" bestFit="1" customWidth="1"/>
    <col min="12802" max="12802" width="8.88671875" customWidth="1"/>
    <col min="12810" max="12810" width="23.5546875" bestFit="1" customWidth="1"/>
    <col min="12811" max="12811" width="14.88671875" bestFit="1" customWidth="1"/>
    <col min="13057" max="13057" width="2" bestFit="1" customWidth="1"/>
    <col min="13058" max="13058" width="8.88671875" customWidth="1"/>
    <col min="13066" max="13066" width="23.5546875" bestFit="1" customWidth="1"/>
    <col min="13067" max="13067" width="14.88671875" bestFit="1" customWidth="1"/>
    <col min="13313" max="13313" width="2" bestFit="1" customWidth="1"/>
    <col min="13314" max="13314" width="8.88671875" customWidth="1"/>
    <col min="13322" max="13322" width="23.5546875" bestFit="1" customWidth="1"/>
    <col min="13323" max="13323" width="14.88671875" bestFit="1" customWidth="1"/>
    <col min="13569" max="13569" width="2" bestFit="1" customWidth="1"/>
    <col min="13570" max="13570" width="8.88671875" customWidth="1"/>
    <col min="13578" max="13578" width="23.5546875" bestFit="1" customWidth="1"/>
    <col min="13579" max="13579" width="14.88671875" bestFit="1" customWidth="1"/>
    <col min="13825" max="13825" width="2" bestFit="1" customWidth="1"/>
    <col min="13826" max="13826" width="8.88671875" customWidth="1"/>
    <col min="13834" max="13834" width="23.5546875" bestFit="1" customWidth="1"/>
    <col min="13835" max="13835" width="14.88671875" bestFit="1" customWidth="1"/>
    <col min="14081" max="14081" width="2" bestFit="1" customWidth="1"/>
    <col min="14082" max="14082" width="8.88671875" customWidth="1"/>
    <col min="14090" max="14090" width="23.5546875" bestFit="1" customWidth="1"/>
    <col min="14091" max="14091" width="14.88671875" bestFit="1" customWidth="1"/>
    <col min="14337" max="14337" width="2" bestFit="1" customWidth="1"/>
    <col min="14338" max="14338" width="8.88671875" customWidth="1"/>
    <col min="14346" max="14346" width="23.5546875" bestFit="1" customWidth="1"/>
    <col min="14347" max="14347" width="14.88671875" bestFit="1" customWidth="1"/>
    <col min="14593" max="14593" width="2" bestFit="1" customWidth="1"/>
    <col min="14594" max="14594" width="8.88671875" customWidth="1"/>
    <col min="14602" max="14602" width="23.5546875" bestFit="1" customWidth="1"/>
    <col min="14603" max="14603" width="14.88671875" bestFit="1" customWidth="1"/>
    <col min="14849" max="14849" width="2" bestFit="1" customWidth="1"/>
    <col min="14850" max="14850" width="8.88671875" customWidth="1"/>
    <col min="14858" max="14858" width="23.5546875" bestFit="1" customWidth="1"/>
    <col min="14859" max="14859" width="14.88671875" bestFit="1" customWidth="1"/>
    <col min="15105" max="15105" width="2" bestFit="1" customWidth="1"/>
    <col min="15106" max="15106" width="8.88671875" customWidth="1"/>
    <col min="15114" max="15114" width="23.5546875" bestFit="1" customWidth="1"/>
    <col min="15115" max="15115" width="14.88671875" bestFit="1" customWidth="1"/>
    <col min="15361" max="15361" width="2" bestFit="1" customWidth="1"/>
    <col min="15362" max="15362" width="8.88671875" customWidth="1"/>
    <col min="15370" max="15370" width="23.5546875" bestFit="1" customWidth="1"/>
    <col min="15371" max="15371" width="14.88671875" bestFit="1" customWidth="1"/>
    <col min="15617" max="15617" width="2" bestFit="1" customWidth="1"/>
    <col min="15618" max="15618" width="8.88671875" customWidth="1"/>
    <col min="15626" max="15626" width="23.5546875" bestFit="1" customWidth="1"/>
    <col min="15627" max="15627" width="14.88671875" bestFit="1" customWidth="1"/>
    <col min="15873" max="15873" width="2" bestFit="1" customWidth="1"/>
    <col min="15874" max="15874" width="8.88671875" customWidth="1"/>
    <col min="15882" max="15882" width="23.5546875" bestFit="1" customWidth="1"/>
    <col min="15883" max="15883" width="14.88671875" bestFit="1" customWidth="1"/>
    <col min="16129" max="16129" width="2" bestFit="1" customWidth="1"/>
    <col min="16130" max="16130" width="8.88671875" customWidth="1"/>
    <col min="16138" max="16138" width="23.5546875" bestFit="1" customWidth="1"/>
    <col min="16139" max="16139" width="14.88671875" bestFit="1" customWidth="1"/>
  </cols>
  <sheetData>
    <row r="2" spans="2:13" x14ac:dyDescent="0.3">
      <c r="J2" s="199" t="s">
        <v>214</v>
      </c>
    </row>
    <row r="3" spans="2:13" x14ac:dyDescent="0.3">
      <c r="J3" s="199" t="s">
        <v>210</v>
      </c>
      <c r="K3" s="200">
        <f>'Statements of Financial Positio'!AE38+'Statements of Financial Positio'!AE47</f>
        <v>15191</v>
      </c>
      <c r="L3" s="203">
        <f>K3/$K$9</f>
        <v>0.24368548835351481</v>
      </c>
      <c r="M3" s="207">
        <v>42613</v>
      </c>
    </row>
    <row r="5" spans="2:13" x14ac:dyDescent="0.3">
      <c r="J5" s="199" t="s">
        <v>215</v>
      </c>
      <c r="K5" s="204">
        <v>106.5</v>
      </c>
      <c r="L5">
        <v>3</v>
      </c>
      <c r="M5" s="207">
        <v>42613</v>
      </c>
    </row>
    <row r="6" spans="2:13" x14ac:dyDescent="0.3">
      <c r="B6" s="188" t="s">
        <v>186</v>
      </c>
      <c r="C6" s="190">
        <f>(C8*C14)+C9*C15*(1-C13)</f>
        <v>3.502111516640756E-2</v>
      </c>
      <c r="E6" s="198"/>
      <c r="J6" s="199" t="s">
        <v>216</v>
      </c>
      <c r="K6" s="205">
        <v>442.7</v>
      </c>
    </row>
    <row r="7" spans="2:13" x14ac:dyDescent="0.3">
      <c r="B7" s="188" t="s">
        <v>198</v>
      </c>
      <c r="C7" s="201">
        <v>0.9</v>
      </c>
      <c r="J7" s="199" t="s">
        <v>224</v>
      </c>
      <c r="K7" s="200">
        <f>K5*K6</f>
        <v>47147.549999999996</v>
      </c>
      <c r="L7" s="203">
        <f>K7/$K$9</f>
        <v>0.75631451164648522</v>
      </c>
    </row>
    <row r="8" spans="2:13" ht="15.6" x14ac:dyDescent="0.35">
      <c r="B8" s="187" t="s">
        <v>221</v>
      </c>
      <c r="C8" s="255">
        <f>'Statement of Operations'!U15/K3</f>
        <v>2.8701204660654334E-2</v>
      </c>
      <c r="L8" s="203"/>
    </row>
    <row r="9" spans="2:13" x14ac:dyDescent="0.3">
      <c r="B9" s="256" t="s">
        <v>212</v>
      </c>
      <c r="C9" s="259">
        <f>C10+C7*C12</f>
        <v>5.6930000000000001E-2</v>
      </c>
      <c r="J9" s="199" t="s">
        <v>223</v>
      </c>
      <c r="K9" s="200">
        <f>K7+K3</f>
        <v>62338.549999999996</v>
      </c>
      <c r="L9" s="203">
        <v>1</v>
      </c>
    </row>
    <row r="10" spans="2:13" x14ac:dyDescent="0.3">
      <c r="B10" s="257" t="s">
        <v>218</v>
      </c>
      <c r="C10" s="260">
        <v>1.5800000000000002E-2</v>
      </c>
      <c r="D10">
        <v>1</v>
      </c>
      <c r="E10" s="240">
        <v>42613</v>
      </c>
    </row>
    <row r="11" spans="2:13" x14ac:dyDescent="0.3">
      <c r="B11" s="257" t="s">
        <v>219</v>
      </c>
      <c r="C11" s="260">
        <v>6.1499999999999999E-2</v>
      </c>
      <c r="D11">
        <v>2</v>
      </c>
      <c r="E11" s="240">
        <v>42613</v>
      </c>
    </row>
    <row r="12" spans="2:13" x14ac:dyDescent="0.3">
      <c r="B12" s="257" t="s">
        <v>220</v>
      </c>
      <c r="C12" s="260">
        <f>C11-C10</f>
        <v>4.5699999999999998E-2</v>
      </c>
      <c r="D12">
        <v>2</v>
      </c>
      <c r="E12" s="240">
        <v>42613</v>
      </c>
    </row>
    <row r="13" spans="2:13" x14ac:dyDescent="0.3">
      <c r="B13" s="258" t="s">
        <v>209</v>
      </c>
      <c r="C13" s="261">
        <f>'Statement of Operations'!U19/'Statement of Operations'!U18</f>
        <v>0.34907081868407835</v>
      </c>
    </row>
    <row r="14" spans="2:13" x14ac:dyDescent="0.3">
      <c r="B14" s="257" t="s">
        <v>211</v>
      </c>
      <c r="C14" s="260">
        <f>L3</f>
        <v>0.24368548835351481</v>
      </c>
      <c r="J14" s="199"/>
    </row>
    <row r="15" spans="2:13" x14ac:dyDescent="0.3">
      <c r="B15" s="258" t="s">
        <v>222</v>
      </c>
      <c r="C15" s="261">
        <f>L7</f>
        <v>0.75631451164648522</v>
      </c>
    </row>
    <row r="16" spans="2:13" x14ac:dyDescent="0.3">
      <c r="C16" s="198"/>
    </row>
    <row r="17" spans="1:10" x14ac:dyDescent="0.3">
      <c r="B17" s="199" t="s">
        <v>217</v>
      </c>
      <c r="C17" s="199"/>
      <c r="D17" s="199"/>
    </row>
    <row r="18" spans="1:10" x14ac:dyDescent="0.3">
      <c r="A18">
        <v>1</v>
      </c>
      <c r="B18" s="238" t="s">
        <v>245</v>
      </c>
      <c r="C18" s="199"/>
      <c r="D18" s="199"/>
    </row>
    <row r="19" spans="1:10" x14ac:dyDescent="0.3">
      <c r="A19">
        <v>2</v>
      </c>
      <c r="B19" s="206" t="s">
        <v>213</v>
      </c>
      <c r="C19" s="207"/>
      <c r="D19" s="199"/>
    </row>
    <row r="20" spans="1:10" x14ac:dyDescent="0.3">
      <c r="A20">
        <v>3</v>
      </c>
      <c r="B20" s="241" t="s">
        <v>246</v>
      </c>
      <c r="C20" s="207"/>
    </row>
    <row r="21" spans="1:10" x14ac:dyDescent="0.3">
      <c r="B21" s="238"/>
      <c r="J21" s="199"/>
    </row>
    <row r="24" spans="1:10" x14ac:dyDescent="0.3">
      <c r="F24" s="239"/>
      <c r="G24" s="238"/>
    </row>
    <row r="25" spans="1:10" x14ac:dyDescent="0.3">
      <c r="F25" s="55"/>
      <c r="G25" s="238"/>
    </row>
    <row r="26" spans="1:10" x14ac:dyDescent="0.3">
      <c r="F26" s="198"/>
      <c r="G26" s="238"/>
    </row>
    <row r="65536" spans="2:2" x14ac:dyDescent="0.3">
      <c r="B65536" s="199"/>
    </row>
  </sheetData>
  <phoneticPr fontId="20" type="noConversion"/>
  <hyperlinks>
    <hyperlink ref="B19" r:id="rId1" xr:uid="{423B1820-5A88-4264-A45B-A203CF763831}"/>
    <hyperlink ref="B18" r:id="rId2" xr:uid="{B24FD620-87B8-4D5C-90B6-982614483918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5235-7EA3-4663-9753-998D80ADA03B}">
  <dimension ref="A1:AX62"/>
  <sheetViews>
    <sheetView zoomScale="90" zoomScaleNormal="90" workbookViewId="0">
      <pane xSplit="1" topLeftCell="Y1" activePane="topRight" state="frozen"/>
      <selection activeCell="A11" sqref="A11"/>
      <selection pane="topRight" activeCell="A44" sqref="A44"/>
    </sheetView>
  </sheetViews>
  <sheetFormatPr defaultColWidth="11.44140625" defaultRowHeight="14.4" x14ac:dyDescent="0.3"/>
  <cols>
    <col min="1" max="1" width="83" style="3" customWidth="1"/>
    <col min="2" max="2" width="0.5546875" customWidth="1"/>
    <col min="3" max="3" width="18.109375" style="2" customWidth="1"/>
    <col min="4" max="4" width="0.6640625" customWidth="1"/>
    <col min="5" max="5" width="18.109375" style="2" customWidth="1"/>
    <col min="6" max="6" width="0.5546875" customWidth="1"/>
    <col min="7" max="7" width="18.109375" style="2" customWidth="1"/>
    <col min="8" max="8" width="0.6640625" customWidth="1"/>
    <col min="9" max="9" width="18.109375" style="2" customWidth="1"/>
    <col min="10" max="10" width="0.6640625" customWidth="1"/>
    <col min="11" max="11" width="18.109375" style="2" customWidth="1"/>
    <col min="12" max="12" width="0.6640625" customWidth="1"/>
    <col min="13" max="13" width="18.109375" style="2" customWidth="1"/>
    <col min="14" max="14" width="0.6640625" customWidth="1"/>
    <col min="15" max="15" width="18.109375" style="2" customWidth="1"/>
    <col min="16" max="16" width="0.6640625" customWidth="1"/>
    <col min="17" max="17" width="18.109375" style="2" customWidth="1"/>
    <col min="18" max="18" width="0.6640625" customWidth="1"/>
    <col min="19" max="19" width="18.109375" style="2" customWidth="1"/>
    <col min="20" max="20" width="0.6640625" customWidth="1"/>
    <col min="21" max="21" width="18.109375" style="2" customWidth="1"/>
    <col min="22" max="22" width="0.6640625" customWidth="1"/>
    <col min="23" max="23" width="18.109375" style="2" customWidth="1"/>
    <col min="24" max="24" width="0.6640625" customWidth="1"/>
    <col min="25" max="25" width="18.109375" style="2" customWidth="1"/>
    <col min="26" max="26" width="0.6640625" customWidth="1"/>
    <col min="27" max="27" width="18.109375" style="2" customWidth="1"/>
    <col min="28" max="28" width="0.6640625" customWidth="1"/>
    <col min="29" max="29" width="18.109375" style="2" customWidth="1"/>
    <col min="30" max="30" width="0.6640625" customWidth="1"/>
    <col min="31" max="31" width="18.109375" style="2" customWidth="1"/>
    <col min="32" max="32" width="0.6640625" customWidth="1"/>
    <col min="33" max="33" width="18.109375" style="2" customWidth="1"/>
    <col min="34" max="34" width="0.6640625" customWidth="1"/>
    <col min="35" max="35" width="18.109375" style="2" customWidth="1"/>
    <col min="36" max="50" width="11.44140625" style="2"/>
    <col min="51" max="278" width="11.44140625" style="3"/>
    <col min="279" max="279" width="83" style="3" customWidth="1"/>
    <col min="280" max="280" width="0.5546875" style="3" customWidth="1"/>
    <col min="281" max="281" width="18.109375" style="3" customWidth="1"/>
    <col min="282" max="282" width="0.6640625" style="3" customWidth="1"/>
    <col min="283" max="283" width="18.109375" style="3" customWidth="1"/>
    <col min="284" max="284" width="0.6640625" style="3" customWidth="1"/>
    <col min="285" max="285" width="18.109375" style="3" customWidth="1"/>
    <col min="286" max="534" width="11.44140625" style="3"/>
    <col min="535" max="535" width="83" style="3" customWidth="1"/>
    <col min="536" max="536" width="0.5546875" style="3" customWidth="1"/>
    <col min="537" max="537" width="18.109375" style="3" customWidth="1"/>
    <col min="538" max="538" width="0.6640625" style="3" customWidth="1"/>
    <col min="539" max="539" width="18.109375" style="3" customWidth="1"/>
    <col min="540" max="540" width="0.6640625" style="3" customWidth="1"/>
    <col min="541" max="541" width="18.109375" style="3" customWidth="1"/>
    <col min="542" max="790" width="11.44140625" style="3"/>
    <col min="791" max="791" width="83" style="3" customWidth="1"/>
    <col min="792" max="792" width="0.5546875" style="3" customWidth="1"/>
    <col min="793" max="793" width="18.109375" style="3" customWidth="1"/>
    <col min="794" max="794" width="0.6640625" style="3" customWidth="1"/>
    <col min="795" max="795" width="18.109375" style="3" customWidth="1"/>
    <col min="796" max="796" width="0.6640625" style="3" customWidth="1"/>
    <col min="797" max="797" width="18.109375" style="3" customWidth="1"/>
    <col min="798" max="1046" width="11.44140625" style="3"/>
    <col min="1047" max="1047" width="83" style="3" customWidth="1"/>
    <col min="1048" max="1048" width="0.5546875" style="3" customWidth="1"/>
    <col min="1049" max="1049" width="18.109375" style="3" customWidth="1"/>
    <col min="1050" max="1050" width="0.6640625" style="3" customWidth="1"/>
    <col min="1051" max="1051" width="18.109375" style="3" customWidth="1"/>
    <col min="1052" max="1052" width="0.6640625" style="3" customWidth="1"/>
    <col min="1053" max="1053" width="18.109375" style="3" customWidth="1"/>
    <col min="1054" max="1302" width="11.44140625" style="3"/>
    <col min="1303" max="1303" width="83" style="3" customWidth="1"/>
    <col min="1304" max="1304" width="0.5546875" style="3" customWidth="1"/>
    <col min="1305" max="1305" width="18.109375" style="3" customWidth="1"/>
    <col min="1306" max="1306" width="0.6640625" style="3" customWidth="1"/>
    <col min="1307" max="1307" width="18.109375" style="3" customWidth="1"/>
    <col min="1308" max="1308" width="0.6640625" style="3" customWidth="1"/>
    <col min="1309" max="1309" width="18.109375" style="3" customWidth="1"/>
    <col min="1310" max="1558" width="11.44140625" style="3"/>
    <col min="1559" max="1559" width="83" style="3" customWidth="1"/>
    <col min="1560" max="1560" width="0.5546875" style="3" customWidth="1"/>
    <col min="1561" max="1561" width="18.109375" style="3" customWidth="1"/>
    <col min="1562" max="1562" width="0.6640625" style="3" customWidth="1"/>
    <col min="1563" max="1563" width="18.109375" style="3" customWidth="1"/>
    <col min="1564" max="1564" width="0.6640625" style="3" customWidth="1"/>
    <col min="1565" max="1565" width="18.109375" style="3" customWidth="1"/>
    <col min="1566" max="1814" width="11.44140625" style="3"/>
    <col min="1815" max="1815" width="83" style="3" customWidth="1"/>
    <col min="1816" max="1816" width="0.5546875" style="3" customWidth="1"/>
    <col min="1817" max="1817" width="18.109375" style="3" customWidth="1"/>
    <col min="1818" max="1818" width="0.6640625" style="3" customWidth="1"/>
    <col min="1819" max="1819" width="18.109375" style="3" customWidth="1"/>
    <col min="1820" max="1820" width="0.6640625" style="3" customWidth="1"/>
    <col min="1821" max="1821" width="18.109375" style="3" customWidth="1"/>
    <col min="1822" max="2070" width="11.44140625" style="3"/>
    <col min="2071" max="2071" width="83" style="3" customWidth="1"/>
    <col min="2072" max="2072" width="0.5546875" style="3" customWidth="1"/>
    <col min="2073" max="2073" width="18.109375" style="3" customWidth="1"/>
    <col min="2074" max="2074" width="0.6640625" style="3" customWidth="1"/>
    <col min="2075" max="2075" width="18.109375" style="3" customWidth="1"/>
    <col min="2076" max="2076" width="0.6640625" style="3" customWidth="1"/>
    <col min="2077" max="2077" width="18.109375" style="3" customWidth="1"/>
    <col min="2078" max="2326" width="11.44140625" style="3"/>
    <col min="2327" max="2327" width="83" style="3" customWidth="1"/>
    <col min="2328" max="2328" width="0.5546875" style="3" customWidth="1"/>
    <col min="2329" max="2329" width="18.109375" style="3" customWidth="1"/>
    <col min="2330" max="2330" width="0.6640625" style="3" customWidth="1"/>
    <col min="2331" max="2331" width="18.109375" style="3" customWidth="1"/>
    <col min="2332" max="2332" width="0.6640625" style="3" customWidth="1"/>
    <col min="2333" max="2333" width="18.109375" style="3" customWidth="1"/>
    <col min="2334" max="2582" width="11.44140625" style="3"/>
    <col min="2583" max="2583" width="83" style="3" customWidth="1"/>
    <col min="2584" max="2584" width="0.5546875" style="3" customWidth="1"/>
    <col min="2585" max="2585" width="18.109375" style="3" customWidth="1"/>
    <col min="2586" max="2586" width="0.6640625" style="3" customWidth="1"/>
    <col min="2587" max="2587" width="18.109375" style="3" customWidth="1"/>
    <col min="2588" max="2588" width="0.6640625" style="3" customWidth="1"/>
    <col min="2589" max="2589" width="18.109375" style="3" customWidth="1"/>
    <col min="2590" max="2838" width="11.44140625" style="3"/>
    <col min="2839" max="2839" width="83" style="3" customWidth="1"/>
    <col min="2840" max="2840" width="0.5546875" style="3" customWidth="1"/>
    <col min="2841" max="2841" width="18.109375" style="3" customWidth="1"/>
    <col min="2842" max="2842" width="0.6640625" style="3" customWidth="1"/>
    <col min="2843" max="2843" width="18.109375" style="3" customWidth="1"/>
    <col min="2844" max="2844" width="0.6640625" style="3" customWidth="1"/>
    <col min="2845" max="2845" width="18.109375" style="3" customWidth="1"/>
    <col min="2846" max="3094" width="11.44140625" style="3"/>
    <col min="3095" max="3095" width="83" style="3" customWidth="1"/>
    <col min="3096" max="3096" width="0.5546875" style="3" customWidth="1"/>
    <col min="3097" max="3097" width="18.109375" style="3" customWidth="1"/>
    <col min="3098" max="3098" width="0.6640625" style="3" customWidth="1"/>
    <col min="3099" max="3099" width="18.109375" style="3" customWidth="1"/>
    <col min="3100" max="3100" width="0.6640625" style="3" customWidth="1"/>
    <col min="3101" max="3101" width="18.109375" style="3" customWidth="1"/>
    <col min="3102" max="3350" width="11.44140625" style="3"/>
    <col min="3351" max="3351" width="83" style="3" customWidth="1"/>
    <col min="3352" max="3352" width="0.5546875" style="3" customWidth="1"/>
    <col min="3353" max="3353" width="18.109375" style="3" customWidth="1"/>
    <col min="3354" max="3354" width="0.6640625" style="3" customWidth="1"/>
    <col min="3355" max="3355" width="18.109375" style="3" customWidth="1"/>
    <col min="3356" max="3356" width="0.6640625" style="3" customWidth="1"/>
    <col min="3357" max="3357" width="18.109375" style="3" customWidth="1"/>
    <col min="3358" max="3606" width="11.44140625" style="3"/>
    <col min="3607" max="3607" width="83" style="3" customWidth="1"/>
    <col min="3608" max="3608" width="0.5546875" style="3" customWidth="1"/>
    <col min="3609" max="3609" width="18.109375" style="3" customWidth="1"/>
    <col min="3610" max="3610" width="0.6640625" style="3" customWidth="1"/>
    <col min="3611" max="3611" width="18.109375" style="3" customWidth="1"/>
    <col min="3612" max="3612" width="0.6640625" style="3" customWidth="1"/>
    <col min="3613" max="3613" width="18.109375" style="3" customWidth="1"/>
    <col min="3614" max="3862" width="11.44140625" style="3"/>
    <col min="3863" max="3863" width="83" style="3" customWidth="1"/>
    <col min="3864" max="3864" width="0.5546875" style="3" customWidth="1"/>
    <col min="3865" max="3865" width="18.109375" style="3" customWidth="1"/>
    <col min="3866" max="3866" width="0.6640625" style="3" customWidth="1"/>
    <col min="3867" max="3867" width="18.109375" style="3" customWidth="1"/>
    <col min="3868" max="3868" width="0.6640625" style="3" customWidth="1"/>
    <col min="3869" max="3869" width="18.109375" style="3" customWidth="1"/>
    <col min="3870" max="4118" width="11.44140625" style="3"/>
    <col min="4119" max="4119" width="83" style="3" customWidth="1"/>
    <col min="4120" max="4120" width="0.5546875" style="3" customWidth="1"/>
    <col min="4121" max="4121" width="18.109375" style="3" customWidth="1"/>
    <col min="4122" max="4122" width="0.6640625" style="3" customWidth="1"/>
    <col min="4123" max="4123" width="18.109375" style="3" customWidth="1"/>
    <col min="4124" max="4124" width="0.6640625" style="3" customWidth="1"/>
    <col min="4125" max="4125" width="18.109375" style="3" customWidth="1"/>
    <col min="4126" max="4374" width="11.44140625" style="3"/>
    <col min="4375" max="4375" width="83" style="3" customWidth="1"/>
    <col min="4376" max="4376" width="0.5546875" style="3" customWidth="1"/>
    <col min="4377" max="4377" width="18.109375" style="3" customWidth="1"/>
    <col min="4378" max="4378" width="0.6640625" style="3" customWidth="1"/>
    <col min="4379" max="4379" width="18.109375" style="3" customWidth="1"/>
    <col min="4380" max="4380" width="0.6640625" style="3" customWidth="1"/>
    <col min="4381" max="4381" width="18.109375" style="3" customWidth="1"/>
    <col min="4382" max="4630" width="11.44140625" style="3"/>
    <col min="4631" max="4631" width="83" style="3" customWidth="1"/>
    <col min="4632" max="4632" width="0.5546875" style="3" customWidth="1"/>
    <col min="4633" max="4633" width="18.109375" style="3" customWidth="1"/>
    <col min="4634" max="4634" width="0.6640625" style="3" customWidth="1"/>
    <col min="4635" max="4635" width="18.109375" style="3" customWidth="1"/>
    <col min="4636" max="4636" width="0.6640625" style="3" customWidth="1"/>
    <col min="4637" max="4637" width="18.109375" style="3" customWidth="1"/>
    <col min="4638" max="4886" width="11.44140625" style="3"/>
    <col min="4887" max="4887" width="83" style="3" customWidth="1"/>
    <col min="4888" max="4888" width="0.5546875" style="3" customWidth="1"/>
    <col min="4889" max="4889" width="18.109375" style="3" customWidth="1"/>
    <col min="4890" max="4890" width="0.6640625" style="3" customWidth="1"/>
    <col min="4891" max="4891" width="18.109375" style="3" customWidth="1"/>
    <col min="4892" max="4892" width="0.6640625" style="3" customWidth="1"/>
    <col min="4893" max="4893" width="18.109375" style="3" customWidth="1"/>
    <col min="4894" max="5142" width="11.44140625" style="3"/>
    <col min="5143" max="5143" width="83" style="3" customWidth="1"/>
    <col min="5144" max="5144" width="0.5546875" style="3" customWidth="1"/>
    <col min="5145" max="5145" width="18.109375" style="3" customWidth="1"/>
    <col min="5146" max="5146" width="0.6640625" style="3" customWidth="1"/>
    <col min="5147" max="5147" width="18.109375" style="3" customWidth="1"/>
    <col min="5148" max="5148" width="0.6640625" style="3" customWidth="1"/>
    <col min="5149" max="5149" width="18.109375" style="3" customWidth="1"/>
    <col min="5150" max="5398" width="11.44140625" style="3"/>
    <col min="5399" max="5399" width="83" style="3" customWidth="1"/>
    <col min="5400" max="5400" width="0.5546875" style="3" customWidth="1"/>
    <col min="5401" max="5401" width="18.109375" style="3" customWidth="1"/>
    <col min="5402" max="5402" width="0.6640625" style="3" customWidth="1"/>
    <col min="5403" max="5403" width="18.109375" style="3" customWidth="1"/>
    <col min="5404" max="5404" width="0.6640625" style="3" customWidth="1"/>
    <col min="5405" max="5405" width="18.109375" style="3" customWidth="1"/>
    <col min="5406" max="5654" width="11.44140625" style="3"/>
    <col min="5655" max="5655" width="83" style="3" customWidth="1"/>
    <col min="5656" max="5656" width="0.5546875" style="3" customWidth="1"/>
    <col min="5657" max="5657" width="18.109375" style="3" customWidth="1"/>
    <col min="5658" max="5658" width="0.6640625" style="3" customWidth="1"/>
    <col min="5659" max="5659" width="18.109375" style="3" customWidth="1"/>
    <col min="5660" max="5660" width="0.6640625" style="3" customWidth="1"/>
    <col min="5661" max="5661" width="18.109375" style="3" customWidth="1"/>
    <col min="5662" max="5910" width="11.44140625" style="3"/>
    <col min="5911" max="5911" width="83" style="3" customWidth="1"/>
    <col min="5912" max="5912" width="0.5546875" style="3" customWidth="1"/>
    <col min="5913" max="5913" width="18.109375" style="3" customWidth="1"/>
    <col min="5914" max="5914" width="0.6640625" style="3" customWidth="1"/>
    <col min="5915" max="5915" width="18.109375" style="3" customWidth="1"/>
    <col min="5916" max="5916" width="0.6640625" style="3" customWidth="1"/>
    <col min="5917" max="5917" width="18.109375" style="3" customWidth="1"/>
    <col min="5918" max="6166" width="11.44140625" style="3"/>
    <col min="6167" max="6167" width="83" style="3" customWidth="1"/>
    <col min="6168" max="6168" width="0.5546875" style="3" customWidth="1"/>
    <col min="6169" max="6169" width="18.109375" style="3" customWidth="1"/>
    <col min="6170" max="6170" width="0.6640625" style="3" customWidth="1"/>
    <col min="6171" max="6171" width="18.109375" style="3" customWidth="1"/>
    <col min="6172" max="6172" width="0.6640625" style="3" customWidth="1"/>
    <col min="6173" max="6173" width="18.109375" style="3" customWidth="1"/>
    <col min="6174" max="6422" width="11.44140625" style="3"/>
    <col min="6423" max="6423" width="83" style="3" customWidth="1"/>
    <col min="6424" max="6424" width="0.5546875" style="3" customWidth="1"/>
    <col min="6425" max="6425" width="18.109375" style="3" customWidth="1"/>
    <col min="6426" max="6426" width="0.6640625" style="3" customWidth="1"/>
    <col min="6427" max="6427" width="18.109375" style="3" customWidth="1"/>
    <col min="6428" max="6428" width="0.6640625" style="3" customWidth="1"/>
    <col min="6429" max="6429" width="18.109375" style="3" customWidth="1"/>
    <col min="6430" max="6678" width="11.44140625" style="3"/>
    <col min="6679" max="6679" width="83" style="3" customWidth="1"/>
    <col min="6680" max="6680" width="0.5546875" style="3" customWidth="1"/>
    <col min="6681" max="6681" width="18.109375" style="3" customWidth="1"/>
    <col min="6682" max="6682" width="0.6640625" style="3" customWidth="1"/>
    <col min="6683" max="6683" width="18.109375" style="3" customWidth="1"/>
    <col min="6684" max="6684" width="0.6640625" style="3" customWidth="1"/>
    <col min="6685" max="6685" width="18.109375" style="3" customWidth="1"/>
    <col min="6686" max="6934" width="11.44140625" style="3"/>
    <col min="6935" max="6935" width="83" style="3" customWidth="1"/>
    <col min="6936" max="6936" width="0.5546875" style="3" customWidth="1"/>
    <col min="6937" max="6937" width="18.109375" style="3" customWidth="1"/>
    <col min="6938" max="6938" width="0.6640625" style="3" customWidth="1"/>
    <col min="6939" max="6939" width="18.109375" style="3" customWidth="1"/>
    <col min="6940" max="6940" width="0.6640625" style="3" customWidth="1"/>
    <col min="6941" max="6941" width="18.109375" style="3" customWidth="1"/>
    <col min="6942" max="7190" width="11.44140625" style="3"/>
    <col min="7191" max="7191" width="83" style="3" customWidth="1"/>
    <col min="7192" max="7192" width="0.5546875" style="3" customWidth="1"/>
    <col min="7193" max="7193" width="18.109375" style="3" customWidth="1"/>
    <col min="7194" max="7194" width="0.6640625" style="3" customWidth="1"/>
    <col min="7195" max="7195" width="18.109375" style="3" customWidth="1"/>
    <col min="7196" max="7196" width="0.6640625" style="3" customWidth="1"/>
    <col min="7197" max="7197" width="18.109375" style="3" customWidth="1"/>
    <col min="7198" max="7446" width="11.44140625" style="3"/>
    <col min="7447" max="7447" width="83" style="3" customWidth="1"/>
    <col min="7448" max="7448" width="0.5546875" style="3" customWidth="1"/>
    <col min="7449" max="7449" width="18.109375" style="3" customWidth="1"/>
    <col min="7450" max="7450" width="0.6640625" style="3" customWidth="1"/>
    <col min="7451" max="7451" width="18.109375" style="3" customWidth="1"/>
    <col min="7452" max="7452" width="0.6640625" style="3" customWidth="1"/>
    <col min="7453" max="7453" width="18.109375" style="3" customWidth="1"/>
    <col min="7454" max="7702" width="11.44140625" style="3"/>
    <col min="7703" max="7703" width="83" style="3" customWidth="1"/>
    <col min="7704" max="7704" width="0.5546875" style="3" customWidth="1"/>
    <col min="7705" max="7705" width="18.109375" style="3" customWidth="1"/>
    <col min="7706" max="7706" width="0.6640625" style="3" customWidth="1"/>
    <col min="7707" max="7707" width="18.109375" style="3" customWidth="1"/>
    <col min="7708" max="7708" width="0.6640625" style="3" customWidth="1"/>
    <col min="7709" max="7709" width="18.109375" style="3" customWidth="1"/>
    <col min="7710" max="7958" width="11.44140625" style="3"/>
    <col min="7959" max="7959" width="83" style="3" customWidth="1"/>
    <col min="7960" max="7960" width="0.5546875" style="3" customWidth="1"/>
    <col min="7961" max="7961" width="18.109375" style="3" customWidth="1"/>
    <col min="7962" max="7962" width="0.6640625" style="3" customWidth="1"/>
    <col min="7963" max="7963" width="18.109375" style="3" customWidth="1"/>
    <col min="7964" max="7964" width="0.6640625" style="3" customWidth="1"/>
    <col min="7965" max="7965" width="18.109375" style="3" customWidth="1"/>
    <col min="7966" max="8214" width="11.44140625" style="3"/>
    <col min="8215" max="8215" width="83" style="3" customWidth="1"/>
    <col min="8216" max="8216" width="0.5546875" style="3" customWidth="1"/>
    <col min="8217" max="8217" width="18.109375" style="3" customWidth="1"/>
    <col min="8218" max="8218" width="0.6640625" style="3" customWidth="1"/>
    <col min="8219" max="8219" width="18.109375" style="3" customWidth="1"/>
    <col min="8220" max="8220" width="0.6640625" style="3" customWidth="1"/>
    <col min="8221" max="8221" width="18.109375" style="3" customWidth="1"/>
    <col min="8222" max="8470" width="11.44140625" style="3"/>
    <col min="8471" max="8471" width="83" style="3" customWidth="1"/>
    <col min="8472" max="8472" width="0.5546875" style="3" customWidth="1"/>
    <col min="8473" max="8473" width="18.109375" style="3" customWidth="1"/>
    <col min="8474" max="8474" width="0.6640625" style="3" customWidth="1"/>
    <col min="8475" max="8475" width="18.109375" style="3" customWidth="1"/>
    <col min="8476" max="8476" width="0.6640625" style="3" customWidth="1"/>
    <col min="8477" max="8477" width="18.109375" style="3" customWidth="1"/>
    <col min="8478" max="8726" width="11.44140625" style="3"/>
    <col min="8727" max="8727" width="83" style="3" customWidth="1"/>
    <col min="8728" max="8728" width="0.5546875" style="3" customWidth="1"/>
    <col min="8729" max="8729" width="18.109375" style="3" customWidth="1"/>
    <col min="8730" max="8730" width="0.6640625" style="3" customWidth="1"/>
    <col min="8731" max="8731" width="18.109375" style="3" customWidth="1"/>
    <col min="8732" max="8732" width="0.6640625" style="3" customWidth="1"/>
    <col min="8733" max="8733" width="18.109375" style="3" customWidth="1"/>
    <col min="8734" max="8982" width="11.44140625" style="3"/>
    <col min="8983" max="8983" width="83" style="3" customWidth="1"/>
    <col min="8984" max="8984" width="0.5546875" style="3" customWidth="1"/>
    <col min="8985" max="8985" width="18.109375" style="3" customWidth="1"/>
    <col min="8986" max="8986" width="0.6640625" style="3" customWidth="1"/>
    <col min="8987" max="8987" width="18.109375" style="3" customWidth="1"/>
    <col min="8988" max="8988" width="0.6640625" style="3" customWidth="1"/>
    <col min="8989" max="8989" width="18.109375" style="3" customWidth="1"/>
    <col min="8990" max="9238" width="11.44140625" style="3"/>
    <col min="9239" max="9239" width="83" style="3" customWidth="1"/>
    <col min="9240" max="9240" width="0.5546875" style="3" customWidth="1"/>
    <col min="9241" max="9241" width="18.109375" style="3" customWidth="1"/>
    <col min="9242" max="9242" width="0.6640625" style="3" customWidth="1"/>
    <col min="9243" max="9243" width="18.109375" style="3" customWidth="1"/>
    <col min="9244" max="9244" width="0.6640625" style="3" customWidth="1"/>
    <col min="9245" max="9245" width="18.109375" style="3" customWidth="1"/>
    <col min="9246" max="9494" width="11.44140625" style="3"/>
    <col min="9495" max="9495" width="83" style="3" customWidth="1"/>
    <col min="9496" max="9496" width="0.5546875" style="3" customWidth="1"/>
    <col min="9497" max="9497" width="18.109375" style="3" customWidth="1"/>
    <col min="9498" max="9498" width="0.6640625" style="3" customWidth="1"/>
    <col min="9499" max="9499" width="18.109375" style="3" customWidth="1"/>
    <col min="9500" max="9500" width="0.6640625" style="3" customWidth="1"/>
    <col min="9501" max="9501" width="18.109375" style="3" customWidth="1"/>
    <col min="9502" max="9750" width="11.44140625" style="3"/>
    <col min="9751" max="9751" width="83" style="3" customWidth="1"/>
    <col min="9752" max="9752" width="0.5546875" style="3" customWidth="1"/>
    <col min="9753" max="9753" width="18.109375" style="3" customWidth="1"/>
    <col min="9754" max="9754" width="0.6640625" style="3" customWidth="1"/>
    <col min="9755" max="9755" width="18.109375" style="3" customWidth="1"/>
    <col min="9756" max="9756" width="0.6640625" style="3" customWidth="1"/>
    <col min="9757" max="9757" width="18.109375" style="3" customWidth="1"/>
    <col min="9758" max="10006" width="11.44140625" style="3"/>
    <col min="10007" max="10007" width="83" style="3" customWidth="1"/>
    <col min="10008" max="10008" width="0.5546875" style="3" customWidth="1"/>
    <col min="10009" max="10009" width="18.109375" style="3" customWidth="1"/>
    <col min="10010" max="10010" width="0.6640625" style="3" customWidth="1"/>
    <col min="10011" max="10011" width="18.109375" style="3" customWidth="1"/>
    <col min="10012" max="10012" width="0.6640625" style="3" customWidth="1"/>
    <col min="10013" max="10013" width="18.109375" style="3" customWidth="1"/>
    <col min="10014" max="10262" width="11.44140625" style="3"/>
    <col min="10263" max="10263" width="83" style="3" customWidth="1"/>
    <col min="10264" max="10264" width="0.5546875" style="3" customWidth="1"/>
    <col min="10265" max="10265" width="18.109375" style="3" customWidth="1"/>
    <col min="10266" max="10266" width="0.6640625" style="3" customWidth="1"/>
    <col min="10267" max="10267" width="18.109375" style="3" customWidth="1"/>
    <col min="10268" max="10268" width="0.6640625" style="3" customWidth="1"/>
    <col min="10269" max="10269" width="18.109375" style="3" customWidth="1"/>
    <col min="10270" max="10518" width="11.44140625" style="3"/>
    <col min="10519" max="10519" width="83" style="3" customWidth="1"/>
    <col min="10520" max="10520" width="0.5546875" style="3" customWidth="1"/>
    <col min="10521" max="10521" width="18.109375" style="3" customWidth="1"/>
    <col min="10522" max="10522" width="0.6640625" style="3" customWidth="1"/>
    <col min="10523" max="10523" width="18.109375" style="3" customWidth="1"/>
    <col min="10524" max="10524" width="0.6640625" style="3" customWidth="1"/>
    <col min="10525" max="10525" width="18.109375" style="3" customWidth="1"/>
    <col min="10526" max="10774" width="11.44140625" style="3"/>
    <col min="10775" max="10775" width="83" style="3" customWidth="1"/>
    <col min="10776" max="10776" width="0.5546875" style="3" customWidth="1"/>
    <col min="10777" max="10777" width="18.109375" style="3" customWidth="1"/>
    <col min="10778" max="10778" width="0.6640625" style="3" customWidth="1"/>
    <col min="10779" max="10779" width="18.109375" style="3" customWidth="1"/>
    <col min="10780" max="10780" width="0.6640625" style="3" customWidth="1"/>
    <col min="10781" max="10781" width="18.109375" style="3" customWidth="1"/>
    <col min="10782" max="11030" width="11.44140625" style="3"/>
    <col min="11031" max="11031" width="83" style="3" customWidth="1"/>
    <col min="11032" max="11032" width="0.5546875" style="3" customWidth="1"/>
    <col min="11033" max="11033" width="18.109375" style="3" customWidth="1"/>
    <col min="11034" max="11034" width="0.6640625" style="3" customWidth="1"/>
    <col min="11035" max="11035" width="18.109375" style="3" customWidth="1"/>
    <col min="11036" max="11036" width="0.6640625" style="3" customWidth="1"/>
    <col min="11037" max="11037" width="18.109375" style="3" customWidth="1"/>
    <col min="11038" max="11286" width="11.44140625" style="3"/>
    <col min="11287" max="11287" width="83" style="3" customWidth="1"/>
    <col min="11288" max="11288" width="0.5546875" style="3" customWidth="1"/>
    <col min="11289" max="11289" width="18.109375" style="3" customWidth="1"/>
    <col min="11290" max="11290" width="0.6640625" style="3" customWidth="1"/>
    <col min="11291" max="11291" width="18.109375" style="3" customWidth="1"/>
    <col min="11292" max="11292" width="0.6640625" style="3" customWidth="1"/>
    <col min="11293" max="11293" width="18.109375" style="3" customWidth="1"/>
    <col min="11294" max="11542" width="11.44140625" style="3"/>
    <col min="11543" max="11543" width="83" style="3" customWidth="1"/>
    <col min="11544" max="11544" width="0.5546875" style="3" customWidth="1"/>
    <col min="11545" max="11545" width="18.109375" style="3" customWidth="1"/>
    <col min="11546" max="11546" width="0.6640625" style="3" customWidth="1"/>
    <col min="11547" max="11547" width="18.109375" style="3" customWidth="1"/>
    <col min="11548" max="11548" width="0.6640625" style="3" customWidth="1"/>
    <col min="11549" max="11549" width="18.109375" style="3" customWidth="1"/>
    <col min="11550" max="11798" width="11.44140625" style="3"/>
    <col min="11799" max="11799" width="83" style="3" customWidth="1"/>
    <col min="11800" max="11800" width="0.5546875" style="3" customWidth="1"/>
    <col min="11801" max="11801" width="18.109375" style="3" customWidth="1"/>
    <col min="11802" max="11802" width="0.6640625" style="3" customWidth="1"/>
    <col min="11803" max="11803" width="18.109375" style="3" customWidth="1"/>
    <col min="11804" max="11804" width="0.6640625" style="3" customWidth="1"/>
    <col min="11805" max="11805" width="18.109375" style="3" customWidth="1"/>
    <col min="11806" max="12054" width="11.44140625" style="3"/>
    <col min="12055" max="12055" width="83" style="3" customWidth="1"/>
    <col min="12056" max="12056" width="0.5546875" style="3" customWidth="1"/>
    <col min="12057" max="12057" width="18.109375" style="3" customWidth="1"/>
    <col min="12058" max="12058" width="0.6640625" style="3" customWidth="1"/>
    <col min="12059" max="12059" width="18.109375" style="3" customWidth="1"/>
    <col min="12060" max="12060" width="0.6640625" style="3" customWidth="1"/>
    <col min="12061" max="12061" width="18.109375" style="3" customWidth="1"/>
    <col min="12062" max="12310" width="11.44140625" style="3"/>
    <col min="12311" max="12311" width="83" style="3" customWidth="1"/>
    <col min="12312" max="12312" width="0.5546875" style="3" customWidth="1"/>
    <col min="12313" max="12313" width="18.109375" style="3" customWidth="1"/>
    <col min="12314" max="12314" width="0.6640625" style="3" customWidth="1"/>
    <col min="12315" max="12315" width="18.109375" style="3" customWidth="1"/>
    <col min="12316" max="12316" width="0.6640625" style="3" customWidth="1"/>
    <col min="12317" max="12317" width="18.109375" style="3" customWidth="1"/>
    <col min="12318" max="12566" width="11.44140625" style="3"/>
    <col min="12567" max="12567" width="83" style="3" customWidth="1"/>
    <col min="12568" max="12568" width="0.5546875" style="3" customWidth="1"/>
    <col min="12569" max="12569" width="18.109375" style="3" customWidth="1"/>
    <col min="12570" max="12570" width="0.6640625" style="3" customWidth="1"/>
    <col min="12571" max="12571" width="18.109375" style="3" customWidth="1"/>
    <col min="12572" max="12572" width="0.6640625" style="3" customWidth="1"/>
    <col min="12573" max="12573" width="18.109375" style="3" customWidth="1"/>
    <col min="12574" max="12822" width="11.44140625" style="3"/>
    <col min="12823" max="12823" width="83" style="3" customWidth="1"/>
    <col min="12824" max="12824" width="0.5546875" style="3" customWidth="1"/>
    <col min="12825" max="12825" width="18.109375" style="3" customWidth="1"/>
    <col min="12826" max="12826" width="0.6640625" style="3" customWidth="1"/>
    <col min="12827" max="12827" width="18.109375" style="3" customWidth="1"/>
    <col min="12828" max="12828" width="0.6640625" style="3" customWidth="1"/>
    <col min="12829" max="12829" width="18.109375" style="3" customWidth="1"/>
    <col min="12830" max="13078" width="11.44140625" style="3"/>
    <col min="13079" max="13079" width="83" style="3" customWidth="1"/>
    <col min="13080" max="13080" width="0.5546875" style="3" customWidth="1"/>
    <col min="13081" max="13081" width="18.109375" style="3" customWidth="1"/>
    <col min="13082" max="13082" width="0.6640625" style="3" customWidth="1"/>
    <col min="13083" max="13083" width="18.109375" style="3" customWidth="1"/>
    <col min="13084" max="13084" width="0.6640625" style="3" customWidth="1"/>
    <col min="13085" max="13085" width="18.109375" style="3" customWidth="1"/>
    <col min="13086" max="13334" width="11.44140625" style="3"/>
    <col min="13335" max="13335" width="83" style="3" customWidth="1"/>
    <col min="13336" max="13336" width="0.5546875" style="3" customWidth="1"/>
    <col min="13337" max="13337" width="18.109375" style="3" customWidth="1"/>
    <col min="13338" max="13338" width="0.6640625" style="3" customWidth="1"/>
    <col min="13339" max="13339" width="18.109375" style="3" customWidth="1"/>
    <col min="13340" max="13340" width="0.6640625" style="3" customWidth="1"/>
    <col min="13341" max="13341" width="18.109375" style="3" customWidth="1"/>
    <col min="13342" max="13590" width="11.44140625" style="3"/>
    <col min="13591" max="13591" width="83" style="3" customWidth="1"/>
    <col min="13592" max="13592" width="0.5546875" style="3" customWidth="1"/>
    <col min="13593" max="13593" width="18.109375" style="3" customWidth="1"/>
    <col min="13594" max="13594" width="0.6640625" style="3" customWidth="1"/>
    <col min="13595" max="13595" width="18.109375" style="3" customWidth="1"/>
    <col min="13596" max="13596" width="0.6640625" style="3" customWidth="1"/>
    <col min="13597" max="13597" width="18.109375" style="3" customWidth="1"/>
    <col min="13598" max="13846" width="11.44140625" style="3"/>
    <col min="13847" max="13847" width="83" style="3" customWidth="1"/>
    <col min="13848" max="13848" width="0.5546875" style="3" customWidth="1"/>
    <col min="13849" max="13849" width="18.109375" style="3" customWidth="1"/>
    <col min="13850" max="13850" width="0.6640625" style="3" customWidth="1"/>
    <col min="13851" max="13851" width="18.109375" style="3" customWidth="1"/>
    <col min="13852" max="13852" width="0.6640625" style="3" customWidth="1"/>
    <col min="13853" max="13853" width="18.109375" style="3" customWidth="1"/>
    <col min="13854" max="14102" width="11.44140625" style="3"/>
    <col min="14103" max="14103" width="83" style="3" customWidth="1"/>
    <col min="14104" max="14104" width="0.5546875" style="3" customWidth="1"/>
    <col min="14105" max="14105" width="18.109375" style="3" customWidth="1"/>
    <col min="14106" max="14106" width="0.6640625" style="3" customWidth="1"/>
    <col min="14107" max="14107" width="18.109375" style="3" customWidth="1"/>
    <col min="14108" max="14108" width="0.6640625" style="3" customWidth="1"/>
    <col min="14109" max="14109" width="18.109375" style="3" customWidth="1"/>
    <col min="14110" max="14358" width="11.44140625" style="3"/>
    <col min="14359" max="14359" width="83" style="3" customWidth="1"/>
    <col min="14360" max="14360" width="0.5546875" style="3" customWidth="1"/>
    <col min="14361" max="14361" width="18.109375" style="3" customWidth="1"/>
    <col min="14362" max="14362" width="0.6640625" style="3" customWidth="1"/>
    <col min="14363" max="14363" width="18.109375" style="3" customWidth="1"/>
    <col min="14364" max="14364" width="0.6640625" style="3" customWidth="1"/>
    <col min="14365" max="14365" width="18.109375" style="3" customWidth="1"/>
    <col min="14366" max="14614" width="11.44140625" style="3"/>
    <col min="14615" max="14615" width="83" style="3" customWidth="1"/>
    <col min="14616" max="14616" width="0.5546875" style="3" customWidth="1"/>
    <col min="14617" max="14617" width="18.109375" style="3" customWidth="1"/>
    <col min="14618" max="14618" width="0.6640625" style="3" customWidth="1"/>
    <col min="14619" max="14619" width="18.109375" style="3" customWidth="1"/>
    <col min="14620" max="14620" width="0.6640625" style="3" customWidth="1"/>
    <col min="14621" max="14621" width="18.109375" style="3" customWidth="1"/>
    <col min="14622" max="14870" width="11.44140625" style="3"/>
    <col min="14871" max="14871" width="83" style="3" customWidth="1"/>
    <col min="14872" max="14872" width="0.5546875" style="3" customWidth="1"/>
    <col min="14873" max="14873" width="18.109375" style="3" customWidth="1"/>
    <col min="14874" max="14874" width="0.6640625" style="3" customWidth="1"/>
    <col min="14875" max="14875" width="18.109375" style="3" customWidth="1"/>
    <col min="14876" max="14876" width="0.6640625" style="3" customWidth="1"/>
    <col min="14877" max="14877" width="18.109375" style="3" customWidth="1"/>
    <col min="14878" max="15126" width="11.44140625" style="3"/>
    <col min="15127" max="15127" width="83" style="3" customWidth="1"/>
    <col min="15128" max="15128" width="0.5546875" style="3" customWidth="1"/>
    <col min="15129" max="15129" width="18.109375" style="3" customWidth="1"/>
    <col min="15130" max="15130" width="0.6640625" style="3" customWidth="1"/>
    <col min="15131" max="15131" width="18.109375" style="3" customWidth="1"/>
    <col min="15132" max="15132" width="0.6640625" style="3" customWidth="1"/>
    <col min="15133" max="15133" width="18.109375" style="3" customWidth="1"/>
    <col min="15134" max="15382" width="11.44140625" style="3"/>
    <col min="15383" max="15383" width="83" style="3" customWidth="1"/>
    <col min="15384" max="15384" width="0.5546875" style="3" customWidth="1"/>
    <col min="15385" max="15385" width="18.109375" style="3" customWidth="1"/>
    <col min="15386" max="15386" width="0.6640625" style="3" customWidth="1"/>
    <col min="15387" max="15387" width="18.109375" style="3" customWidth="1"/>
    <col min="15388" max="15388" width="0.6640625" style="3" customWidth="1"/>
    <col min="15389" max="15389" width="18.109375" style="3" customWidth="1"/>
    <col min="15390" max="15638" width="11.44140625" style="3"/>
    <col min="15639" max="15639" width="83" style="3" customWidth="1"/>
    <col min="15640" max="15640" width="0.5546875" style="3" customWidth="1"/>
    <col min="15641" max="15641" width="18.109375" style="3" customWidth="1"/>
    <col min="15642" max="15642" width="0.6640625" style="3" customWidth="1"/>
    <col min="15643" max="15643" width="18.109375" style="3" customWidth="1"/>
    <col min="15644" max="15644" width="0.6640625" style="3" customWidth="1"/>
    <col min="15645" max="15645" width="18.109375" style="3" customWidth="1"/>
    <col min="15646" max="15894" width="11.44140625" style="3"/>
    <col min="15895" max="15895" width="83" style="3" customWidth="1"/>
    <col min="15896" max="15896" width="0.5546875" style="3" customWidth="1"/>
    <col min="15897" max="15897" width="18.109375" style="3" customWidth="1"/>
    <col min="15898" max="15898" width="0.6640625" style="3" customWidth="1"/>
    <col min="15899" max="15899" width="18.109375" style="3" customWidth="1"/>
    <col min="15900" max="15900" width="0.6640625" style="3" customWidth="1"/>
    <col min="15901" max="15901" width="18.109375" style="3" customWidth="1"/>
    <col min="15902" max="16150" width="11.44140625" style="3"/>
    <col min="16151" max="16151" width="83" style="3" customWidth="1"/>
    <col min="16152" max="16152" width="0.5546875" style="3" customWidth="1"/>
    <col min="16153" max="16153" width="18.109375" style="3" customWidth="1"/>
    <col min="16154" max="16154" width="0.6640625" style="3" customWidth="1"/>
    <col min="16155" max="16155" width="18.109375" style="3" customWidth="1"/>
    <col min="16156" max="16156" width="0.6640625" style="3" customWidth="1"/>
    <col min="16157" max="16157" width="18.109375" style="3" customWidth="1"/>
    <col min="16158" max="16384" width="11.44140625" style="3"/>
  </cols>
  <sheetData>
    <row r="1" spans="1:35" x14ac:dyDescent="0.3">
      <c r="A1" s="46" t="s">
        <v>7</v>
      </c>
      <c r="B1" s="47"/>
      <c r="C1" s="47"/>
      <c r="D1" s="2"/>
      <c r="E1" s="103"/>
      <c r="F1" s="47"/>
      <c r="G1" s="47"/>
      <c r="H1" s="2"/>
      <c r="I1" s="103"/>
      <c r="J1" s="2"/>
      <c r="K1" s="103"/>
      <c r="L1" s="47"/>
      <c r="M1" s="47"/>
      <c r="N1" s="2"/>
      <c r="O1" s="103"/>
      <c r="P1" s="2"/>
      <c r="Q1" s="103"/>
      <c r="R1" s="2"/>
      <c r="T1" s="2"/>
      <c r="U1" s="103"/>
      <c r="V1" s="2"/>
      <c r="W1" s="103"/>
      <c r="X1" s="2"/>
      <c r="Z1" s="2"/>
      <c r="AA1" s="103"/>
      <c r="AB1" s="2"/>
      <c r="AC1" s="103"/>
      <c r="AD1" s="2"/>
      <c r="AF1" s="2"/>
      <c r="AG1" s="103"/>
      <c r="AH1" s="2"/>
      <c r="AI1" s="103"/>
    </row>
    <row r="2" spans="1:35" s="4" customFormat="1" x14ac:dyDescent="0.3">
      <c r="A2" s="74" t="s">
        <v>174</v>
      </c>
      <c r="B2" s="134"/>
      <c r="C2" s="134"/>
      <c r="D2" s="134"/>
      <c r="E2" s="134"/>
      <c r="F2" s="134"/>
      <c r="G2" s="134"/>
      <c r="I2" s="138"/>
      <c r="J2" s="134"/>
      <c r="K2" s="134"/>
      <c r="L2" s="134"/>
      <c r="M2" s="134"/>
      <c r="O2" s="48"/>
      <c r="Q2" s="48"/>
      <c r="U2" s="48"/>
      <c r="W2" s="48"/>
      <c r="AA2" s="48"/>
      <c r="AC2" s="48"/>
      <c r="AG2" s="48"/>
      <c r="AI2" s="48"/>
    </row>
    <row r="3" spans="1:35" ht="15" thickBot="1" x14ac:dyDescent="0.35">
      <c r="A3" s="7"/>
      <c r="B3" s="8"/>
      <c r="C3" s="9"/>
      <c r="D3" s="8"/>
      <c r="E3" s="9"/>
      <c r="F3" s="8"/>
      <c r="G3" s="9"/>
      <c r="H3" s="8"/>
      <c r="I3" s="9"/>
      <c r="J3" s="8"/>
      <c r="K3" s="9"/>
      <c r="L3" s="8"/>
      <c r="M3" s="9"/>
      <c r="N3" s="8"/>
      <c r="O3" s="9"/>
      <c r="P3" s="8"/>
      <c r="Q3" s="9"/>
      <c r="R3" s="8"/>
      <c r="S3" s="9"/>
      <c r="T3" s="8"/>
      <c r="U3" s="9"/>
      <c r="V3" s="8"/>
      <c r="W3" s="9"/>
      <c r="X3" s="8"/>
      <c r="Y3" s="9"/>
      <c r="Z3" s="8"/>
      <c r="AA3" s="9"/>
      <c r="AB3" s="8"/>
      <c r="AC3" s="9"/>
      <c r="AD3" s="8"/>
      <c r="AE3" s="9"/>
      <c r="AF3" s="8"/>
      <c r="AG3" s="9"/>
      <c r="AH3" s="8"/>
      <c r="AI3" s="9"/>
    </row>
    <row r="4" spans="1:35" ht="26.4" x14ac:dyDescent="0.25">
      <c r="A4" s="82"/>
      <c r="B4" s="83"/>
      <c r="C4" s="97" t="s">
        <v>178</v>
      </c>
      <c r="D4" s="98"/>
      <c r="E4" s="104" t="s">
        <v>179</v>
      </c>
      <c r="F4" s="83"/>
      <c r="G4" s="97" t="s">
        <v>10</v>
      </c>
      <c r="H4" s="98"/>
      <c r="I4" s="104" t="s">
        <v>180</v>
      </c>
      <c r="J4" s="98"/>
      <c r="K4" s="104" t="s">
        <v>11</v>
      </c>
      <c r="L4" s="98"/>
      <c r="M4" s="97" t="s">
        <v>12</v>
      </c>
      <c r="N4" s="98"/>
      <c r="O4" s="104" t="s">
        <v>13</v>
      </c>
      <c r="P4" s="98"/>
      <c r="Q4" s="104" t="s">
        <v>14</v>
      </c>
      <c r="R4" s="98"/>
      <c r="S4" s="97" t="s">
        <v>15</v>
      </c>
      <c r="T4" s="98"/>
      <c r="U4" s="104" t="s">
        <v>16</v>
      </c>
      <c r="V4" s="98"/>
      <c r="W4" s="104" t="s">
        <v>17</v>
      </c>
      <c r="X4" s="98"/>
      <c r="Y4" s="97" t="s">
        <v>1</v>
      </c>
      <c r="Z4" s="98"/>
      <c r="AA4" s="104" t="s">
        <v>18</v>
      </c>
      <c r="AB4" s="98"/>
      <c r="AC4" s="104" t="s">
        <v>8</v>
      </c>
      <c r="AD4" s="98"/>
      <c r="AE4" s="97" t="s">
        <v>0</v>
      </c>
      <c r="AF4" s="99"/>
      <c r="AG4" s="104" t="s">
        <v>6</v>
      </c>
      <c r="AH4" s="98"/>
      <c r="AI4" s="108" t="s">
        <v>9</v>
      </c>
    </row>
    <row r="5" spans="1:35" ht="13.2" x14ac:dyDescent="0.25">
      <c r="A5" s="84"/>
      <c r="B5" s="77"/>
      <c r="C5" s="100" t="s">
        <v>22</v>
      </c>
      <c r="D5" s="101"/>
      <c r="E5" s="105"/>
      <c r="F5" s="77"/>
      <c r="G5" s="100" t="s">
        <v>22</v>
      </c>
      <c r="H5" s="101"/>
      <c r="I5" s="105" t="s">
        <v>22</v>
      </c>
      <c r="J5" s="101"/>
      <c r="K5" s="105"/>
      <c r="L5" s="101"/>
      <c r="M5" s="100" t="s">
        <v>22</v>
      </c>
      <c r="N5" s="101"/>
      <c r="O5" s="105" t="s">
        <v>22</v>
      </c>
      <c r="P5" s="101"/>
      <c r="Q5" s="105"/>
      <c r="R5" s="101"/>
      <c r="S5" s="100" t="s">
        <v>22</v>
      </c>
      <c r="T5" s="101"/>
      <c r="U5" s="105" t="s">
        <v>22</v>
      </c>
      <c r="V5" s="101"/>
      <c r="W5" s="105"/>
      <c r="X5" s="101"/>
      <c r="Y5" s="100" t="s">
        <v>22</v>
      </c>
      <c r="Z5" s="101"/>
      <c r="AA5" s="105" t="s">
        <v>22</v>
      </c>
      <c r="AB5" s="101"/>
      <c r="AC5" s="105"/>
      <c r="AD5" s="101"/>
      <c r="AE5" s="100" t="s">
        <v>22</v>
      </c>
      <c r="AF5" s="102"/>
      <c r="AG5" s="105" t="s">
        <v>22</v>
      </c>
      <c r="AH5" s="101"/>
      <c r="AI5" s="109"/>
    </row>
    <row r="6" spans="1:35" ht="13.2" x14ac:dyDescent="0.25">
      <c r="A6" s="25" t="s">
        <v>23</v>
      </c>
      <c r="B6" s="85"/>
      <c r="C6" s="92"/>
      <c r="D6" s="18"/>
      <c r="E6" s="19"/>
      <c r="F6" s="85"/>
      <c r="G6" s="92"/>
      <c r="H6" s="18"/>
      <c r="I6" s="19"/>
      <c r="J6" s="18"/>
      <c r="K6" s="19"/>
      <c r="L6" s="18"/>
      <c r="M6" s="92"/>
      <c r="N6" s="18"/>
      <c r="O6" s="19"/>
      <c r="P6" s="18"/>
      <c r="Q6" s="19"/>
      <c r="R6" s="18"/>
      <c r="S6" s="92"/>
      <c r="T6" s="18"/>
      <c r="U6" s="19"/>
      <c r="V6" s="18"/>
      <c r="W6" s="19"/>
      <c r="X6" s="18"/>
      <c r="Y6" s="92"/>
      <c r="Z6" s="18"/>
      <c r="AA6" s="19"/>
      <c r="AB6" s="18"/>
      <c r="AC6" s="19"/>
      <c r="AD6" s="18"/>
      <c r="AE6" s="92"/>
      <c r="AF6" s="89"/>
      <c r="AG6" s="19"/>
      <c r="AH6" s="18"/>
      <c r="AI6" s="24"/>
    </row>
    <row r="7" spans="1:35" ht="13.2" x14ac:dyDescent="0.25">
      <c r="A7" s="26" t="s">
        <v>25</v>
      </c>
      <c r="B7" s="14"/>
      <c r="C7" s="93">
        <v>2572</v>
      </c>
      <c r="D7" s="15"/>
      <c r="E7" s="106">
        <f>C7/$C$24</f>
        <v>0.1296109655311429</v>
      </c>
      <c r="F7" s="14"/>
      <c r="G7" s="93">
        <v>3283</v>
      </c>
      <c r="H7" s="15"/>
      <c r="I7" s="17">
        <f>G7-C7</f>
        <v>711</v>
      </c>
      <c r="J7" s="15"/>
      <c r="K7" s="106">
        <f t="shared" ref="K7:K15" si="0">G7/$G$24</f>
        <v>0.16233188291139242</v>
      </c>
      <c r="L7" s="15"/>
      <c r="M7" s="93">
        <v>3668</v>
      </c>
      <c r="N7" s="15"/>
      <c r="O7" s="17">
        <f t="shared" ref="O7:O15" si="1">M7-G7</f>
        <v>385</v>
      </c>
      <c r="P7" s="15"/>
      <c r="Q7" s="106">
        <f t="shared" ref="Q7:Q15" si="2">M7/$M$24</f>
        <v>0.17750677506775067</v>
      </c>
      <c r="R7" s="15"/>
      <c r="S7" s="93">
        <v>2367</v>
      </c>
      <c r="T7" s="15"/>
      <c r="U7" s="17">
        <f>S7-M7</f>
        <v>-1301</v>
      </c>
      <c r="V7" s="15"/>
      <c r="W7" s="106">
        <f>S7/$S$24</f>
        <v>0.10768390883035349</v>
      </c>
      <c r="X7" s="15"/>
      <c r="Y7" s="93">
        <v>3701</v>
      </c>
      <c r="Z7" s="15"/>
      <c r="AA7" s="17">
        <f>Y7-S7</f>
        <v>1334</v>
      </c>
      <c r="AB7" s="15"/>
      <c r="AC7" s="106">
        <f>Y7/$Y$24</f>
        <v>0.1688412408759124</v>
      </c>
      <c r="AD7" s="15"/>
      <c r="AE7" s="93">
        <v>1676</v>
      </c>
      <c r="AF7" s="15"/>
      <c r="AG7" s="17">
        <f>AE7-Y7</f>
        <v>-2025</v>
      </c>
      <c r="AH7" s="15"/>
      <c r="AI7" s="110">
        <f>AE7/$AE$24</f>
        <v>8.4920956627482766E-2</v>
      </c>
    </row>
    <row r="8" spans="1:35" ht="13.2" x14ac:dyDescent="0.25">
      <c r="A8" s="26" t="s">
        <v>26</v>
      </c>
      <c r="B8" s="14"/>
      <c r="C8" s="93">
        <v>302</v>
      </c>
      <c r="D8" s="15"/>
      <c r="E8" s="106">
        <f t="shared" ref="E8:E15" si="3">C8/$C$24</f>
        <v>1.5218705906067324E-2</v>
      </c>
      <c r="F8" s="14"/>
      <c r="G8" s="93">
        <v>302</v>
      </c>
      <c r="H8" s="15"/>
      <c r="I8" s="17">
        <f t="shared" ref="I8:I24" si="4">G8-C8</f>
        <v>0</v>
      </c>
      <c r="J8" s="15"/>
      <c r="K8" s="106">
        <f t="shared" si="0"/>
        <v>1.4932753164556962E-2</v>
      </c>
      <c r="L8" s="15"/>
      <c r="M8" s="93">
        <v>254</v>
      </c>
      <c r="N8" s="15"/>
      <c r="O8" s="17">
        <f t="shared" si="1"/>
        <v>-48</v>
      </c>
      <c r="P8" s="15"/>
      <c r="Q8" s="106">
        <f t="shared" si="2"/>
        <v>1.2291908633372048E-2</v>
      </c>
      <c r="R8" s="15"/>
      <c r="S8" s="93">
        <v>40</v>
      </c>
      <c r="T8" s="15"/>
      <c r="U8" s="17">
        <f t="shared" ref="U8:U15" si="5">S8-M8</f>
        <v>-214</v>
      </c>
      <c r="V8" s="15"/>
      <c r="W8" s="106">
        <f t="shared" ref="W8:W15" si="6">S8/$S$24</f>
        <v>1.8197534234111279E-3</v>
      </c>
      <c r="X8" s="15"/>
      <c r="Y8" s="93">
        <v>47</v>
      </c>
      <c r="Z8" s="15"/>
      <c r="AA8" s="17">
        <f t="shared" ref="AA8:AA15" si="7">Y8-S8</f>
        <v>7</v>
      </c>
      <c r="AB8" s="15"/>
      <c r="AC8" s="106">
        <f t="shared" ref="AC8:AC15" si="8">Y8/$Y$24</f>
        <v>2.144160583941606E-3</v>
      </c>
      <c r="AD8" s="15"/>
      <c r="AE8" s="93">
        <v>60</v>
      </c>
      <c r="AF8" s="15"/>
      <c r="AG8" s="17">
        <f t="shared" ref="AG8:AG15" si="9">AE8-Y8</f>
        <v>13</v>
      </c>
      <c r="AH8" s="15"/>
      <c r="AI8" s="110">
        <f t="shared" ref="AI8:AI15" si="10">AE8/$AE$24</f>
        <v>3.0401297122010537E-3</v>
      </c>
    </row>
    <row r="9" spans="1:35" ht="13.2" x14ac:dyDescent="0.25">
      <c r="A9" s="26" t="s">
        <v>27</v>
      </c>
      <c r="B9" s="14"/>
      <c r="C9" s="93">
        <v>2117</v>
      </c>
      <c r="D9" s="15"/>
      <c r="E9" s="106">
        <f t="shared" si="3"/>
        <v>0.10668212054021367</v>
      </c>
      <c r="F9" s="14"/>
      <c r="G9" s="93">
        <v>1897</v>
      </c>
      <c r="H9" s="15"/>
      <c r="I9" s="17">
        <f t="shared" si="4"/>
        <v>-220</v>
      </c>
      <c r="J9" s="15"/>
      <c r="K9" s="106">
        <f t="shared" si="0"/>
        <v>9.3799446202531639E-2</v>
      </c>
      <c r="L9" s="15"/>
      <c r="M9" s="93">
        <v>1715</v>
      </c>
      <c r="N9" s="15"/>
      <c r="O9" s="17">
        <f t="shared" si="1"/>
        <v>-182</v>
      </c>
      <c r="P9" s="15"/>
      <c r="Q9" s="106">
        <f t="shared" si="2"/>
        <v>8.2994579945799452E-2</v>
      </c>
      <c r="R9" s="15"/>
      <c r="S9" s="93">
        <v>2014</v>
      </c>
      <c r="T9" s="15"/>
      <c r="U9" s="17">
        <f t="shared" si="5"/>
        <v>299</v>
      </c>
      <c r="V9" s="15"/>
      <c r="W9" s="106">
        <f t="shared" si="6"/>
        <v>9.1624584868750289E-2</v>
      </c>
      <c r="X9" s="15"/>
      <c r="Y9" s="93">
        <v>1636</v>
      </c>
      <c r="Z9" s="15"/>
      <c r="AA9" s="17">
        <f t="shared" si="7"/>
        <v>-378</v>
      </c>
      <c r="AB9" s="15"/>
      <c r="AC9" s="106">
        <f t="shared" si="8"/>
        <v>7.4635036496350365E-2</v>
      </c>
      <c r="AD9" s="15"/>
      <c r="AE9" s="93">
        <v>1926</v>
      </c>
      <c r="AF9" s="15"/>
      <c r="AG9" s="17">
        <f t="shared" si="9"/>
        <v>290</v>
      </c>
      <c r="AH9" s="15"/>
      <c r="AI9" s="110">
        <f t="shared" si="10"/>
        <v>9.7588163761653829E-2</v>
      </c>
    </row>
    <row r="10" spans="1:35" ht="13.2" x14ac:dyDescent="0.25">
      <c r="A10" s="26" t="s">
        <v>28</v>
      </c>
      <c r="B10" s="14"/>
      <c r="C10" s="93">
        <v>629</v>
      </c>
      <c r="D10" s="15"/>
      <c r="E10" s="106">
        <f t="shared" si="3"/>
        <v>3.1697238459987905E-2</v>
      </c>
      <c r="F10" s="14"/>
      <c r="G10" s="93">
        <v>620</v>
      </c>
      <c r="H10" s="15"/>
      <c r="I10" s="17">
        <f t="shared" si="4"/>
        <v>-9</v>
      </c>
      <c r="J10" s="15"/>
      <c r="K10" s="106">
        <f t="shared" si="0"/>
        <v>3.0656645569620253E-2</v>
      </c>
      <c r="L10" s="15"/>
      <c r="M10" s="94">
        <v>748</v>
      </c>
      <c r="N10" s="15"/>
      <c r="O10" s="17">
        <f t="shared" si="1"/>
        <v>128</v>
      </c>
      <c r="P10" s="15"/>
      <c r="Q10" s="106">
        <f t="shared" si="2"/>
        <v>3.6198219125048392E-2</v>
      </c>
      <c r="R10" s="15"/>
      <c r="S10" s="94">
        <v>817</v>
      </c>
      <c r="T10" s="15"/>
      <c r="U10" s="17">
        <f t="shared" si="5"/>
        <v>69</v>
      </c>
      <c r="V10" s="15"/>
      <c r="W10" s="106">
        <f t="shared" si="6"/>
        <v>3.7168463673172288E-2</v>
      </c>
      <c r="X10" s="15"/>
      <c r="Y10" s="94">
        <v>803</v>
      </c>
      <c r="Z10" s="15"/>
      <c r="AA10" s="17">
        <f t="shared" si="7"/>
        <v>-14</v>
      </c>
      <c r="AB10" s="15"/>
      <c r="AC10" s="106">
        <f t="shared" si="8"/>
        <v>3.6633211678832114E-2</v>
      </c>
      <c r="AD10" s="15"/>
      <c r="AE10" s="94">
        <v>755</v>
      </c>
      <c r="AF10" s="15"/>
      <c r="AG10" s="17">
        <f t="shared" si="9"/>
        <v>-48</v>
      </c>
      <c r="AH10" s="15"/>
      <c r="AI10" s="110">
        <f t="shared" si="10"/>
        <v>3.8254965545196598E-2</v>
      </c>
    </row>
    <row r="11" spans="1:35" ht="13.2" x14ac:dyDescent="0.25">
      <c r="A11" s="26" t="s">
        <v>29</v>
      </c>
      <c r="B11" s="14"/>
      <c r="C11" s="93">
        <v>446</v>
      </c>
      <c r="D11" s="15"/>
      <c r="E11" s="106">
        <f t="shared" si="3"/>
        <v>2.2475307397702076E-2</v>
      </c>
      <c r="F11" s="14"/>
      <c r="G11" s="93">
        <v>534</v>
      </c>
      <c r="H11" s="15"/>
      <c r="I11" s="17">
        <f t="shared" si="4"/>
        <v>88</v>
      </c>
      <c r="J11" s="15"/>
      <c r="K11" s="106">
        <f t="shared" si="0"/>
        <v>2.6404272151898733E-2</v>
      </c>
      <c r="L11" s="15"/>
      <c r="M11" s="93">
        <v>579</v>
      </c>
      <c r="N11" s="15"/>
      <c r="O11" s="17">
        <f t="shared" si="1"/>
        <v>45</v>
      </c>
      <c r="P11" s="15"/>
      <c r="Q11" s="106">
        <f t="shared" si="2"/>
        <v>2.8019744483159116E-2</v>
      </c>
      <c r="R11" s="15"/>
      <c r="S11" s="93">
        <v>635</v>
      </c>
      <c r="T11" s="15"/>
      <c r="U11" s="17">
        <f t="shared" si="5"/>
        <v>56</v>
      </c>
      <c r="V11" s="15"/>
      <c r="W11" s="106">
        <f t="shared" si="6"/>
        <v>2.8888585596651653E-2</v>
      </c>
      <c r="X11" s="15"/>
      <c r="Y11" s="93">
        <v>743</v>
      </c>
      <c r="Z11" s="15"/>
      <c r="AA11" s="17">
        <f t="shared" si="7"/>
        <v>108</v>
      </c>
      <c r="AB11" s="15"/>
      <c r="AC11" s="106">
        <f t="shared" si="8"/>
        <v>3.3895985401459855E-2</v>
      </c>
      <c r="AD11" s="15"/>
      <c r="AE11" s="93">
        <v>0</v>
      </c>
      <c r="AF11" s="15"/>
      <c r="AG11" s="17">
        <f t="shared" si="9"/>
        <v>-743</v>
      </c>
      <c r="AH11" s="15"/>
      <c r="AI11" s="110">
        <f t="shared" si="10"/>
        <v>0</v>
      </c>
    </row>
    <row r="12" spans="1:35" ht="13.2" x14ac:dyDescent="0.25">
      <c r="A12" s="26" t="s">
        <v>30</v>
      </c>
      <c r="B12" s="14"/>
      <c r="C12" s="94">
        <v>2591</v>
      </c>
      <c r="D12" s="15"/>
      <c r="E12" s="106">
        <f t="shared" si="3"/>
        <v>0.13056843378351138</v>
      </c>
      <c r="F12" s="14"/>
      <c r="G12" s="94">
        <v>2839</v>
      </c>
      <c r="H12" s="15"/>
      <c r="I12" s="17">
        <f t="shared" si="4"/>
        <v>248</v>
      </c>
      <c r="J12" s="15"/>
      <c r="K12" s="106">
        <f t="shared" si="0"/>
        <v>0.14037776898734178</v>
      </c>
      <c r="L12" s="15"/>
      <c r="M12" s="94">
        <v>2947</v>
      </c>
      <c r="N12" s="15"/>
      <c r="O12" s="17">
        <f t="shared" si="1"/>
        <v>108</v>
      </c>
      <c r="P12" s="15"/>
      <c r="Q12" s="106">
        <f t="shared" si="2"/>
        <v>0.14261517615176153</v>
      </c>
      <c r="R12" s="15"/>
      <c r="S12" s="94">
        <v>3597</v>
      </c>
      <c r="T12" s="15"/>
      <c r="U12" s="17">
        <f t="shared" si="5"/>
        <v>650</v>
      </c>
      <c r="V12" s="15"/>
      <c r="W12" s="106">
        <f t="shared" si="6"/>
        <v>0.16364132660024566</v>
      </c>
      <c r="X12" s="15"/>
      <c r="Y12" s="94">
        <v>3496</v>
      </c>
      <c r="Z12" s="15"/>
      <c r="AA12" s="17">
        <f t="shared" si="7"/>
        <v>-101</v>
      </c>
      <c r="AB12" s="15"/>
      <c r="AC12" s="106">
        <f t="shared" si="8"/>
        <v>0.1594890510948905</v>
      </c>
      <c r="AD12" s="15"/>
      <c r="AE12" s="94">
        <v>3241</v>
      </c>
      <c r="AF12" s="15"/>
      <c r="AG12" s="17">
        <f t="shared" si="9"/>
        <v>-255</v>
      </c>
      <c r="AH12" s="15"/>
      <c r="AI12" s="110">
        <f t="shared" si="10"/>
        <v>0.16421767328739359</v>
      </c>
    </row>
    <row r="13" spans="1:35" ht="13.2" x14ac:dyDescent="0.25">
      <c r="A13" s="26" t="s">
        <v>76</v>
      </c>
      <c r="B13" s="14"/>
      <c r="C13" s="94">
        <v>0</v>
      </c>
      <c r="D13" s="15"/>
      <c r="E13" s="106">
        <f t="shared" si="3"/>
        <v>0</v>
      </c>
      <c r="F13" s="14"/>
      <c r="G13" s="94">
        <v>0</v>
      </c>
      <c r="H13" s="15"/>
      <c r="I13" s="17">
        <f t="shared" si="4"/>
        <v>0</v>
      </c>
      <c r="J13" s="15"/>
      <c r="K13" s="106">
        <f t="shared" si="0"/>
        <v>0</v>
      </c>
      <c r="L13" s="15"/>
      <c r="M13" s="94">
        <v>0</v>
      </c>
      <c r="N13" s="15"/>
      <c r="O13" s="17">
        <f t="shared" si="1"/>
        <v>0</v>
      </c>
      <c r="P13" s="15"/>
      <c r="Q13" s="106">
        <f t="shared" si="2"/>
        <v>0</v>
      </c>
      <c r="R13" s="15"/>
      <c r="S13" s="94">
        <v>0</v>
      </c>
      <c r="T13" s="15"/>
      <c r="U13" s="17">
        <f t="shared" si="5"/>
        <v>0</v>
      </c>
      <c r="V13" s="15"/>
      <c r="W13" s="106">
        <f t="shared" si="6"/>
        <v>0</v>
      </c>
      <c r="X13" s="15"/>
      <c r="Y13" s="94">
        <v>0</v>
      </c>
      <c r="Z13" s="15"/>
      <c r="AA13" s="17">
        <f t="shared" si="7"/>
        <v>0</v>
      </c>
      <c r="AB13" s="15"/>
      <c r="AC13" s="106">
        <f t="shared" si="8"/>
        <v>0</v>
      </c>
      <c r="AD13" s="15"/>
      <c r="AE13" s="94">
        <v>272</v>
      </c>
      <c r="AF13" s="15"/>
      <c r="AG13" s="17">
        <f t="shared" si="9"/>
        <v>272</v>
      </c>
      <c r="AH13" s="15"/>
      <c r="AI13" s="110">
        <f t="shared" si="10"/>
        <v>1.3781921361978111E-2</v>
      </c>
    </row>
    <row r="14" spans="1:35" ht="13.2" x14ac:dyDescent="0.25">
      <c r="A14" s="26" t="s">
        <v>31</v>
      </c>
      <c r="B14" s="14"/>
      <c r="C14" s="93">
        <v>152</v>
      </c>
      <c r="D14" s="15"/>
      <c r="E14" s="106">
        <f t="shared" si="3"/>
        <v>7.6597460189477924E-3</v>
      </c>
      <c r="F14" s="14"/>
      <c r="G14" s="93">
        <v>183</v>
      </c>
      <c r="H14" s="15"/>
      <c r="I14" s="17">
        <f t="shared" si="4"/>
        <v>31</v>
      </c>
      <c r="J14" s="15"/>
      <c r="K14" s="106">
        <f t="shared" si="0"/>
        <v>9.0486550632911389E-3</v>
      </c>
      <c r="L14" s="15"/>
      <c r="M14" s="93">
        <v>166</v>
      </c>
      <c r="N14" s="15"/>
      <c r="O14" s="17">
        <f t="shared" si="1"/>
        <v>-17</v>
      </c>
      <c r="P14" s="15"/>
      <c r="Q14" s="106">
        <f t="shared" si="2"/>
        <v>8.0332946186604717E-3</v>
      </c>
      <c r="R14" s="15"/>
      <c r="S14" s="93">
        <v>205</v>
      </c>
      <c r="T14" s="15"/>
      <c r="U14" s="17">
        <f t="shared" si="5"/>
        <v>39</v>
      </c>
      <c r="V14" s="15"/>
      <c r="W14" s="106">
        <f t="shared" si="6"/>
        <v>9.32623629498203E-3</v>
      </c>
      <c r="X14" s="15"/>
      <c r="Y14" s="93">
        <v>199</v>
      </c>
      <c r="Z14" s="15"/>
      <c r="AA14" s="17">
        <f t="shared" si="7"/>
        <v>-6</v>
      </c>
      <c r="AB14" s="15"/>
      <c r="AC14" s="106">
        <f t="shared" si="8"/>
        <v>9.0784671532846712E-3</v>
      </c>
      <c r="AD14" s="15"/>
      <c r="AE14" s="93">
        <v>227</v>
      </c>
      <c r="AF14" s="15"/>
      <c r="AG14" s="17">
        <f t="shared" si="9"/>
        <v>28</v>
      </c>
      <c r="AH14" s="15"/>
      <c r="AI14" s="110">
        <f t="shared" si="10"/>
        <v>1.150182407782732E-2</v>
      </c>
    </row>
    <row r="15" spans="1:35" ht="13.2" x14ac:dyDescent="0.25">
      <c r="A15" s="26"/>
      <c r="B15" s="16"/>
      <c r="C15" s="95">
        <f>SUM(C7:C14)</f>
        <v>8809</v>
      </c>
      <c r="D15" s="18"/>
      <c r="E15" s="106">
        <f t="shared" si="3"/>
        <v>0.44391251763757306</v>
      </c>
      <c r="F15" s="16"/>
      <c r="G15" s="95">
        <f>SUM(G7:G14)</f>
        <v>9658</v>
      </c>
      <c r="H15" s="18"/>
      <c r="I15" s="17">
        <f t="shared" si="4"/>
        <v>849</v>
      </c>
      <c r="J15" s="18"/>
      <c r="K15" s="106">
        <f t="shared" si="0"/>
        <v>0.47755142405063289</v>
      </c>
      <c r="L15" s="18"/>
      <c r="M15" s="95">
        <f>SUM(M7:M14)</f>
        <v>10077</v>
      </c>
      <c r="N15" s="18"/>
      <c r="O15" s="17">
        <f t="shared" si="1"/>
        <v>419</v>
      </c>
      <c r="P15" s="18"/>
      <c r="Q15" s="106">
        <f t="shared" si="2"/>
        <v>0.4876596980255517</v>
      </c>
      <c r="R15" s="18"/>
      <c r="S15" s="95">
        <f>SUM(S7:S14)</f>
        <v>9675</v>
      </c>
      <c r="T15" s="18"/>
      <c r="U15" s="17">
        <f t="shared" si="5"/>
        <v>-402</v>
      </c>
      <c r="V15" s="18"/>
      <c r="W15" s="106">
        <f t="shared" si="6"/>
        <v>0.44015285928756653</v>
      </c>
      <c r="X15" s="18"/>
      <c r="Y15" s="95">
        <f>SUM(Y7:Y14)</f>
        <v>10625</v>
      </c>
      <c r="Z15" s="18"/>
      <c r="AA15" s="17">
        <f t="shared" si="7"/>
        <v>950</v>
      </c>
      <c r="AB15" s="18"/>
      <c r="AC15" s="106">
        <f t="shared" si="8"/>
        <v>0.48471715328467152</v>
      </c>
      <c r="AD15" s="18"/>
      <c r="AE15" s="95">
        <f>SUM(AE7:AE14)</f>
        <v>8157</v>
      </c>
      <c r="AF15" s="18"/>
      <c r="AG15" s="17">
        <f t="shared" si="9"/>
        <v>-2468</v>
      </c>
      <c r="AH15" s="18"/>
      <c r="AI15" s="110">
        <f t="shared" si="10"/>
        <v>0.4133056343737333</v>
      </c>
    </row>
    <row r="16" spans="1:35" ht="13.2" x14ac:dyDescent="0.25">
      <c r="A16" s="25" t="s">
        <v>24</v>
      </c>
      <c r="B16" s="16"/>
      <c r="C16" s="92"/>
      <c r="D16" s="18"/>
      <c r="E16" s="106"/>
      <c r="F16" s="16"/>
      <c r="G16" s="92"/>
      <c r="H16" s="18"/>
      <c r="I16" s="17">
        <f t="shared" si="4"/>
        <v>0</v>
      </c>
      <c r="J16" s="18"/>
      <c r="K16" s="106"/>
      <c r="L16" s="18"/>
      <c r="M16" s="92"/>
      <c r="N16" s="18"/>
      <c r="O16" s="17"/>
      <c r="P16" s="18"/>
      <c r="Q16" s="106"/>
      <c r="R16" s="18"/>
      <c r="S16" s="92"/>
      <c r="T16" s="18"/>
      <c r="U16" s="17"/>
      <c r="V16" s="18"/>
      <c r="W16" s="106"/>
      <c r="X16" s="18"/>
      <c r="Y16" s="92"/>
      <c r="Z16" s="18"/>
      <c r="AA16" s="17"/>
      <c r="AB16" s="18"/>
      <c r="AC16" s="106"/>
      <c r="AD16" s="18"/>
      <c r="AE16" s="92"/>
      <c r="AF16" s="18"/>
      <c r="AG16" s="17"/>
      <c r="AH16" s="18"/>
      <c r="AI16" s="110"/>
    </row>
    <row r="17" spans="1:38" ht="13.2" x14ac:dyDescent="0.25">
      <c r="A17" s="26" t="s">
        <v>32</v>
      </c>
      <c r="B17" s="14"/>
      <c r="C17" s="93">
        <v>4394</v>
      </c>
      <c r="D17" s="15"/>
      <c r="E17" s="106">
        <f>C17/$C$24</f>
        <v>0.22142713162668817</v>
      </c>
      <c r="F17" s="14"/>
      <c r="G17" s="93">
        <v>4365</v>
      </c>
      <c r="H17" s="15"/>
      <c r="I17" s="17">
        <f t="shared" si="4"/>
        <v>-29</v>
      </c>
      <c r="J17" s="15"/>
      <c r="K17" s="106">
        <f t="shared" ref="K17:K23" si="11">G17/$G$24</f>
        <v>0.21583267405063292</v>
      </c>
      <c r="L17" s="15"/>
      <c r="M17" s="93">
        <v>4654</v>
      </c>
      <c r="N17" s="15"/>
      <c r="O17" s="17">
        <f t="shared" ref="O17:O24" si="12">M17-G17</f>
        <v>289</v>
      </c>
      <c r="P17" s="15"/>
      <c r="Q17" s="106">
        <f t="shared" ref="Q17:Q23" si="13">M17/$M$24</f>
        <v>0.22522260936895083</v>
      </c>
      <c r="R17" s="15"/>
      <c r="S17" s="93">
        <v>5082</v>
      </c>
      <c r="T17" s="15"/>
      <c r="U17" s="17">
        <f>S17-M17</f>
        <v>428</v>
      </c>
      <c r="V17" s="15"/>
      <c r="W17" s="106">
        <f>S17/$S$24</f>
        <v>0.23119967244438377</v>
      </c>
      <c r="X17" s="15"/>
      <c r="Y17" s="93">
        <v>4973</v>
      </c>
      <c r="Z17" s="15"/>
      <c r="AA17" s="17">
        <f>Y17-S17</f>
        <v>-109</v>
      </c>
      <c r="AB17" s="15"/>
      <c r="AC17" s="106">
        <f>Y17/$Y$24</f>
        <v>0.22687043795620437</v>
      </c>
      <c r="AD17" s="15"/>
      <c r="AE17" s="93">
        <v>5231</v>
      </c>
      <c r="AF17" s="15"/>
      <c r="AG17" s="17">
        <f>AE17-Y17</f>
        <v>258</v>
      </c>
      <c r="AH17" s="15"/>
      <c r="AI17" s="110">
        <f>AE17/$AE$24</f>
        <v>0.26504864207539519</v>
      </c>
      <c r="AJ17" s="2">
        <v>2015</v>
      </c>
      <c r="AK17" s="2">
        <v>2016</v>
      </c>
    </row>
    <row r="18" spans="1:38" ht="13.2" x14ac:dyDescent="0.25">
      <c r="A18" s="26" t="s">
        <v>33</v>
      </c>
      <c r="B18" s="14"/>
      <c r="C18" s="93">
        <v>3365</v>
      </c>
      <c r="D18" s="15"/>
      <c r="E18" s="106">
        <f t="shared" ref="E18:E24" si="14">C18/$C$24</f>
        <v>0.16957266680104818</v>
      </c>
      <c r="F18" s="14"/>
      <c r="G18" s="93">
        <v>3435</v>
      </c>
      <c r="H18" s="15"/>
      <c r="I18" s="17">
        <f t="shared" si="4"/>
        <v>70</v>
      </c>
      <c r="J18" s="15"/>
      <c r="K18" s="106">
        <f t="shared" si="11"/>
        <v>0.16984770569620253</v>
      </c>
      <c r="L18" s="15"/>
      <c r="M18" s="93">
        <v>3520</v>
      </c>
      <c r="N18" s="15"/>
      <c r="O18" s="17">
        <f t="shared" si="12"/>
        <v>85</v>
      </c>
      <c r="P18" s="15"/>
      <c r="Q18" s="106">
        <f t="shared" si="13"/>
        <v>0.17034456058846303</v>
      </c>
      <c r="R18" s="15"/>
      <c r="S18" s="93">
        <v>4319</v>
      </c>
      <c r="T18" s="15"/>
      <c r="U18" s="17">
        <f t="shared" ref="U18:U24" si="15">S18-M18</f>
        <v>799</v>
      </c>
      <c r="V18" s="15"/>
      <c r="W18" s="106">
        <f t="shared" ref="W18:W24" si="16">S18/$S$24</f>
        <v>0.19648787589281652</v>
      </c>
      <c r="X18" s="15"/>
      <c r="Y18" s="93">
        <v>4061</v>
      </c>
      <c r="Z18" s="15"/>
      <c r="AA18" s="17">
        <f t="shared" ref="AA18:AA24" si="17">Y18-S18</f>
        <v>-258</v>
      </c>
      <c r="AB18" s="15"/>
      <c r="AC18" s="106">
        <f t="shared" ref="AC18:AC24" si="18">Y18/$Y$24</f>
        <v>0.18526459854014599</v>
      </c>
      <c r="AD18" s="15"/>
      <c r="AE18" s="93">
        <v>4020</v>
      </c>
      <c r="AF18" s="15"/>
      <c r="AG18" s="17">
        <f t="shared" ref="AG18:AG24" si="19">AE18-Y18</f>
        <v>-41</v>
      </c>
      <c r="AH18" s="15"/>
      <c r="AI18" s="110">
        <f t="shared" ref="AI18:AI24" si="20">AE18/$AE$24</f>
        <v>0.20368869071747062</v>
      </c>
      <c r="AJ18" s="254">
        <f>Y9+Y12-Y28</f>
        <v>4296</v>
      </c>
      <c r="AK18" s="253">
        <f>(AE12+AE9)-AE28</f>
        <v>4161</v>
      </c>
      <c r="AL18" s="253">
        <f>AK18-AJ18</f>
        <v>-135</v>
      </c>
    </row>
    <row r="19" spans="1:38" ht="13.2" x14ac:dyDescent="0.25">
      <c r="A19" s="26" t="s">
        <v>34</v>
      </c>
      <c r="B19" s="14"/>
      <c r="C19" s="93">
        <v>1309</v>
      </c>
      <c r="D19" s="15"/>
      <c r="E19" s="106">
        <f t="shared" si="14"/>
        <v>6.5964523281596452E-2</v>
      </c>
      <c r="F19" s="14"/>
      <c r="G19" s="93">
        <v>1237</v>
      </c>
      <c r="H19" s="15"/>
      <c r="I19" s="17">
        <f t="shared" si="4"/>
        <v>-72</v>
      </c>
      <c r="J19" s="15"/>
      <c r="K19" s="106">
        <f t="shared" si="11"/>
        <v>6.1164952531645569E-2</v>
      </c>
      <c r="L19" s="15"/>
      <c r="M19" s="93">
        <v>1226</v>
      </c>
      <c r="N19" s="15"/>
      <c r="O19" s="17">
        <f t="shared" si="12"/>
        <v>-11</v>
      </c>
      <c r="P19" s="15"/>
      <c r="Q19" s="106">
        <f t="shared" si="13"/>
        <v>5.9330236159504453E-2</v>
      </c>
      <c r="R19" s="15"/>
      <c r="S19" s="93">
        <v>1554</v>
      </c>
      <c r="T19" s="15"/>
      <c r="U19" s="17">
        <f t="shared" si="15"/>
        <v>328</v>
      </c>
      <c r="V19" s="15"/>
      <c r="W19" s="106">
        <f t="shared" si="16"/>
        <v>7.0697420499522309E-2</v>
      </c>
      <c r="X19" s="15"/>
      <c r="Y19" s="93">
        <v>1332</v>
      </c>
      <c r="Z19" s="15"/>
      <c r="AA19" s="17">
        <f t="shared" si="17"/>
        <v>-222</v>
      </c>
      <c r="AB19" s="15"/>
      <c r="AC19" s="106">
        <f t="shared" si="18"/>
        <v>6.0766423357664232E-2</v>
      </c>
      <c r="AD19" s="15"/>
      <c r="AE19" s="93">
        <v>1125</v>
      </c>
      <c r="AF19" s="15"/>
      <c r="AG19" s="17">
        <f t="shared" si="19"/>
        <v>-207</v>
      </c>
      <c r="AH19" s="15"/>
      <c r="AI19" s="110">
        <f t="shared" si="20"/>
        <v>5.7002432103769762E-2</v>
      </c>
    </row>
    <row r="20" spans="1:38" ht="13.2" x14ac:dyDescent="0.25">
      <c r="A20" s="26" t="s">
        <v>35</v>
      </c>
      <c r="B20" s="14"/>
      <c r="C20" s="93">
        <v>873</v>
      </c>
      <c r="D20" s="15"/>
      <c r="E20" s="106">
        <f t="shared" si="14"/>
        <v>4.3993146543035676E-2</v>
      </c>
      <c r="F20" s="14"/>
      <c r="G20" s="93">
        <v>551</v>
      </c>
      <c r="H20" s="15"/>
      <c r="I20" s="17">
        <f t="shared" si="4"/>
        <v>-322</v>
      </c>
      <c r="J20" s="15"/>
      <c r="K20" s="106">
        <f t="shared" si="11"/>
        <v>2.7244857594936708E-2</v>
      </c>
      <c r="L20" s="15"/>
      <c r="M20" s="93">
        <v>454</v>
      </c>
      <c r="N20" s="15"/>
      <c r="O20" s="17">
        <f t="shared" si="12"/>
        <v>-97</v>
      </c>
      <c r="P20" s="15"/>
      <c r="Q20" s="106">
        <f t="shared" si="13"/>
        <v>2.197057684862563E-2</v>
      </c>
      <c r="R20" s="15"/>
      <c r="S20" s="93">
        <v>450</v>
      </c>
      <c r="T20" s="15"/>
      <c r="U20" s="17">
        <f t="shared" si="15"/>
        <v>-4</v>
      </c>
      <c r="V20" s="15"/>
      <c r="W20" s="106">
        <f t="shared" si="16"/>
        <v>2.0472226013375186E-2</v>
      </c>
      <c r="X20" s="15"/>
      <c r="Y20" s="93">
        <v>277</v>
      </c>
      <c r="Z20" s="15"/>
      <c r="AA20" s="17">
        <f t="shared" si="17"/>
        <v>-173</v>
      </c>
      <c r="AB20" s="15"/>
      <c r="AC20" s="106">
        <f t="shared" si="18"/>
        <v>1.2636861313868613E-2</v>
      </c>
      <c r="AD20" s="15"/>
      <c r="AE20" s="93">
        <v>613</v>
      </c>
      <c r="AF20" s="15"/>
      <c r="AG20" s="17">
        <f t="shared" si="19"/>
        <v>336</v>
      </c>
      <c r="AH20" s="15"/>
      <c r="AI20" s="110">
        <f t="shared" si="20"/>
        <v>3.1059991892987433E-2</v>
      </c>
    </row>
    <row r="21" spans="1:38" ht="13.2" x14ac:dyDescent="0.25">
      <c r="A21" s="26" t="s">
        <v>36</v>
      </c>
      <c r="B21" s="14"/>
      <c r="C21" s="94">
        <v>475</v>
      </c>
      <c r="D21" s="15"/>
      <c r="E21" s="106">
        <f t="shared" si="14"/>
        <v>2.3936706309211853E-2</v>
      </c>
      <c r="F21" s="14"/>
      <c r="G21" s="94">
        <v>376</v>
      </c>
      <c r="H21" s="15"/>
      <c r="I21" s="17">
        <f t="shared" si="4"/>
        <v>-99</v>
      </c>
      <c r="J21" s="15"/>
      <c r="K21" s="106">
        <f t="shared" si="11"/>
        <v>1.8591772151898733E-2</v>
      </c>
      <c r="L21" s="15"/>
      <c r="M21" s="94">
        <v>237</v>
      </c>
      <c r="N21" s="15"/>
      <c r="O21" s="17">
        <f t="shared" si="12"/>
        <v>-139</v>
      </c>
      <c r="P21" s="15"/>
      <c r="Q21" s="106">
        <f t="shared" si="13"/>
        <v>1.1469221835075493E-2</v>
      </c>
      <c r="R21" s="15"/>
      <c r="S21" s="94">
        <v>92</v>
      </c>
      <c r="T21" s="15"/>
      <c r="U21" s="17">
        <f t="shared" si="15"/>
        <v>-145</v>
      </c>
      <c r="V21" s="15"/>
      <c r="W21" s="106">
        <f t="shared" si="16"/>
        <v>4.1854328738455942E-3</v>
      </c>
      <c r="X21" s="15"/>
      <c r="Y21" s="94">
        <v>42</v>
      </c>
      <c r="Z21" s="15"/>
      <c r="AA21" s="17">
        <f t="shared" si="17"/>
        <v>-50</v>
      </c>
      <c r="AB21" s="15"/>
      <c r="AC21" s="106">
        <f t="shared" si="18"/>
        <v>1.9160583941605839E-3</v>
      </c>
      <c r="AD21" s="15"/>
      <c r="AE21" s="94">
        <v>101</v>
      </c>
      <c r="AF21" s="15"/>
      <c r="AG21" s="17">
        <f t="shared" si="19"/>
        <v>59</v>
      </c>
      <c r="AH21" s="15"/>
      <c r="AI21" s="110">
        <f t="shared" si="20"/>
        <v>5.1175516822051072E-3</v>
      </c>
    </row>
    <row r="22" spans="1:38" ht="13.2" x14ac:dyDescent="0.25">
      <c r="A22" s="26" t="s">
        <v>37</v>
      </c>
      <c r="B22" s="14"/>
      <c r="C22" s="93">
        <v>619</v>
      </c>
      <c r="D22" s="15"/>
      <c r="E22" s="106">
        <f t="shared" si="14"/>
        <v>3.1193307800846604E-2</v>
      </c>
      <c r="F22" s="14"/>
      <c r="G22" s="93">
        <v>602</v>
      </c>
      <c r="H22" s="15"/>
      <c r="I22" s="17">
        <f t="shared" si="4"/>
        <v>-17</v>
      </c>
      <c r="J22" s="15"/>
      <c r="K22" s="106">
        <f t="shared" si="11"/>
        <v>2.9766613924050632E-2</v>
      </c>
      <c r="L22" s="15"/>
      <c r="M22" s="93">
        <v>496</v>
      </c>
      <c r="N22" s="15"/>
      <c r="O22" s="17">
        <f t="shared" si="12"/>
        <v>-106</v>
      </c>
      <c r="P22" s="15"/>
      <c r="Q22" s="106">
        <f t="shared" si="13"/>
        <v>2.4003097173828883E-2</v>
      </c>
      <c r="R22" s="15"/>
      <c r="S22" s="93">
        <v>809</v>
      </c>
      <c r="T22" s="15"/>
      <c r="U22" s="17">
        <f t="shared" si="15"/>
        <v>313</v>
      </c>
      <c r="V22" s="15"/>
      <c r="W22" s="106">
        <f t="shared" si="16"/>
        <v>3.6804512988490058E-2</v>
      </c>
      <c r="X22" s="15"/>
      <c r="Y22" s="93">
        <v>610</v>
      </c>
      <c r="Z22" s="15"/>
      <c r="AA22" s="17">
        <f t="shared" si="17"/>
        <v>-199</v>
      </c>
      <c r="AB22" s="15"/>
      <c r="AC22" s="106">
        <f t="shared" si="18"/>
        <v>2.7828467153284672E-2</v>
      </c>
      <c r="AD22" s="15"/>
      <c r="AE22" s="93">
        <v>489</v>
      </c>
      <c r="AF22" s="15"/>
      <c r="AG22" s="17">
        <f t="shared" si="19"/>
        <v>-121</v>
      </c>
      <c r="AH22" s="15"/>
      <c r="AI22" s="110">
        <f t="shared" si="20"/>
        <v>2.4777057154438589E-2</v>
      </c>
    </row>
    <row r="23" spans="1:38" ht="13.2" x14ac:dyDescent="0.25">
      <c r="A23" s="26"/>
      <c r="B23" s="16"/>
      <c r="C23" s="95">
        <f>SUM(C17:C22)</f>
        <v>11035</v>
      </c>
      <c r="D23" s="18"/>
      <c r="E23" s="106">
        <f t="shared" si="14"/>
        <v>0.55608748236242689</v>
      </c>
      <c r="F23" s="16"/>
      <c r="G23" s="95">
        <f>SUM(G17:G22)</f>
        <v>10566</v>
      </c>
      <c r="H23" s="18"/>
      <c r="I23" s="17">
        <f t="shared" si="4"/>
        <v>-469</v>
      </c>
      <c r="J23" s="18"/>
      <c r="K23" s="106">
        <f t="shared" si="11"/>
        <v>0.52244857594936711</v>
      </c>
      <c r="L23" s="18"/>
      <c r="M23" s="95">
        <f>SUM(M17:M22)</f>
        <v>10587</v>
      </c>
      <c r="N23" s="18"/>
      <c r="O23" s="17">
        <f t="shared" si="12"/>
        <v>21</v>
      </c>
      <c r="P23" s="18"/>
      <c r="Q23" s="106">
        <f t="shared" si="13"/>
        <v>0.51234030197444835</v>
      </c>
      <c r="R23" s="18"/>
      <c r="S23" s="95">
        <f>SUM(S17:S22)</f>
        <v>12306</v>
      </c>
      <c r="T23" s="18"/>
      <c r="U23" s="17">
        <f t="shared" si="15"/>
        <v>1719</v>
      </c>
      <c r="V23" s="18"/>
      <c r="W23" s="106">
        <f t="shared" si="16"/>
        <v>0.55984714071243347</v>
      </c>
      <c r="X23" s="18"/>
      <c r="Y23" s="95">
        <f>SUM(Y17:Y22)</f>
        <v>11295</v>
      </c>
      <c r="Z23" s="18"/>
      <c r="AA23" s="17">
        <f t="shared" si="17"/>
        <v>-1011</v>
      </c>
      <c r="AB23" s="18"/>
      <c r="AC23" s="106">
        <f t="shared" si="18"/>
        <v>0.51528284671532842</v>
      </c>
      <c r="AD23" s="18"/>
      <c r="AE23" s="95">
        <f>SUM(AE17:AE22)</f>
        <v>11579</v>
      </c>
      <c r="AF23" s="18"/>
      <c r="AG23" s="17">
        <f t="shared" si="19"/>
        <v>284</v>
      </c>
      <c r="AH23" s="18"/>
      <c r="AI23" s="110">
        <f t="shared" si="20"/>
        <v>0.58669436562626676</v>
      </c>
    </row>
    <row r="24" spans="1:38" ht="13.2" x14ac:dyDescent="0.25">
      <c r="A24" s="25" t="s">
        <v>38</v>
      </c>
      <c r="B24" s="16"/>
      <c r="C24" s="95">
        <f>C15+C23</f>
        <v>19844</v>
      </c>
      <c r="D24" s="18"/>
      <c r="E24" s="106">
        <f t="shared" si="14"/>
        <v>1</v>
      </c>
      <c r="F24" s="16"/>
      <c r="G24" s="95">
        <f>G15+G23</f>
        <v>20224</v>
      </c>
      <c r="H24" s="18"/>
      <c r="I24" s="17">
        <f t="shared" si="4"/>
        <v>380</v>
      </c>
      <c r="J24" s="18"/>
      <c r="K24" s="106">
        <v>1</v>
      </c>
      <c r="L24" s="18"/>
      <c r="M24" s="95">
        <f>M15+M23</f>
        <v>20664</v>
      </c>
      <c r="N24" s="18"/>
      <c r="O24" s="17">
        <f t="shared" si="12"/>
        <v>440</v>
      </c>
      <c r="P24" s="18"/>
      <c r="Q24" s="106">
        <v>1</v>
      </c>
      <c r="R24" s="18"/>
      <c r="S24" s="95">
        <f>S15+S23</f>
        <v>21981</v>
      </c>
      <c r="T24" s="18"/>
      <c r="U24" s="17">
        <f t="shared" si="15"/>
        <v>1317</v>
      </c>
      <c r="V24" s="18"/>
      <c r="W24" s="106">
        <f t="shared" si="16"/>
        <v>1</v>
      </c>
      <c r="X24" s="18"/>
      <c r="Y24" s="95">
        <f>Y15+Y23</f>
        <v>21920</v>
      </c>
      <c r="Z24" s="18"/>
      <c r="AA24" s="17">
        <f t="shared" si="17"/>
        <v>-61</v>
      </c>
      <c r="AB24" s="18"/>
      <c r="AC24" s="106">
        <f t="shared" si="18"/>
        <v>1</v>
      </c>
      <c r="AD24" s="18"/>
      <c r="AE24" s="95">
        <f>AE15+AE23</f>
        <v>19736</v>
      </c>
      <c r="AF24" s="18"/>
      <c r="AG24" s="17">
        <f t="shared" si="19"/>
        <v>-2184</v>
      </c>
      <c r="AH24" s="18"/>
      <c r="AI24" s="110">
        <f t="shared" si="20"/>
        <v>1</v>
      </c>
    </row>
    <row r="25" spans="1:38" ht="13.2" x14ac:dyDescent="0.25">
      <c r="A25" s="26"/>
      <c r="B25" s="16"/>
      <c r="C25" s="92"/>
      <c r="D25" s="18"/>
      <c r="E25" s="106"/>
      <c r="F25" s="16"/>
      <c r="G25" s="92"/>
      <c r="H25" s="18"/>
      <c r="I25" s="17"/>
      <c r="J25" s="18"/>
      <c r="K25" s="106"/>
      <c r="L25" s="18"/>
      <c r="M25" s="92"/>
      <c r="N25" s="18"/>
      <c r="O25" s="17"/>
      <c r="P25" s="18"/>
      <c r="Q25" s="106"/>
      <c r="R25" s="18"/>
      <c r="S25" s="92"/>
      <c r="T25" s="18"/>
      <c r="U25" s="17"/>
      <c r="V25" s="18"/>
      <c r="W25" s="106"/>
      <c r="X25" s="18"/>
      <c r="Y25" s="92"/>
      <c r="Z25" s="18"/>
      <c r="AA25" s="17"/>
      <c r="AB25" s="18"/>
      <c r="AC25" s="106"/>
      <c r="AD25" s="18"/>
      <c r="AE25" s="92"/>
      <c r="AF25" s="18"/>
      <c r="AG25" s="17"/>
      <c r="AH25" s="18"/>
      <c r="AI25" s="110"/>
    </row>
    <row r="26" spans="1:38" ht="13.2" x14ac:dyDescent="0.25">
      <c r="A26" s="25" t="s">
        <v>39</v>
      </c>
      <c r="B26" s="16"/>
      <c r="C26" s="92"/>
      <c r="D26" s="18"/>
      <c r="E26" s="106"/>
      <c r="F26" s="16"/>
      <c r="G26" s="92"/>
      <c r="H26" s="18"/>
      <c r="I26" s="17"/>
      <c r="J26" s="18"/>
      <c r="K26" s="106"/>
      <c r="L26" s="18"/>
      <c r="M26" s="92"/>
      <c r="N26" s="18"/>
      <c r="O26" s="17"/>
      <c r="P26" s="18"/>
      <c r="Q26" s="106"/>
      <c r="R26" s="18"/>
      <c r="S26" s="92"/>
      <c r="T26" s="18"/>
      <c r="U26" s="17"/>
      <c r="V26" s="18"/>
      <c r="W26" s="106"/>
      <c r="X26" s="18"/>
      <c r="Y26" s="92"/>
      <c r="Z26" s="18"/>
      <c r="AA26" s="17"/>
      <c r="AB26" s="18"/>
      <c r="AC26" s="106"/>
      <c r="AD26" s="18"/>
      <c r="AE26" s="92"/>
      <c r="AF26" s="18"/>
      <c r="AG26" s="17"/>
      <c r="AH26" s="18"/>
      <c r="AI26" s="110"/>
    </row>
    <row r="27" spans="1:38" ht="13.2" x14ac:dyDescent="0.25">
      <c r="A27" s="26" t="s">
        <v>40</v>
      </c>
      <c r="B27" s="14"/>
      <c r="C27" s="93">
        <v>678</v>
      </c>
      <c r="D27" s="15"/>
      <c r="E27" s="106">
        <f>C27/$C$58</f>
        <v>3.4166498689780285E-2</v>
      </c>
      <c r="F27" s="14"/>
      <c r="G27" s="93">
        <v>36</v>
      </c>
      <c r="H27" s="15"/>
      <c r="I27" s="17">
        <f>G27-C27</f>
        <v>-642</v>
      </c>
      <c r="J27" s="15"/>
      <c r="K27" s="106">
        <f>G27/$G$58</f>
        <v>1.7800632911392405E-3</v>
      </c>
      <c r="L27" s="15"/>
      <c r="M27" s="93">
        <v>51</v>
      </c>
      <c r="N27" s="15"/>
      <c r="O27" s="17">
        <f t="shared" ref="O27:O38" si="21">M27-G27</f>
        <v>15</v>
      </c>
      <c r="P27" s="15"/>
      <c r="Q27" s="106">
        <f>M27/$M$58</f>
        <v>2.4680603948896633E-3</v>
      </c>
      <c r="R27" s="15"/>
      <c r="S27" s="93">
        <v>233</v>
      </c>
      <c r="T27" s="15"/>
      <c r="U27" s="17">
        <f>S27-M27</f>
        <v>182</v>
      </c>
      <c r="V27" s="15"/>
      <c r="W27" s="106">
        <f>S27/$S$58</f>
        <v>1.0600063691369819E-2</v>
      </c>
      <c r="X27" s="15"/>
      <c r="Y27" s="93">
        <v>615</v>
      </c>
      <c r="Z27" s="15"/>
      <c r="AA27" s="17">
        <f>Y27-S27</f>
        <v>382</v>
      </c>
      <c r="AB27" s="15"/>
      <c r="AC27" s="106">
        <f>Y27/$Y$58</f>
        <v>2.8056569343065694E-2</v>
      </c>
      <c r="AD27" s="15"/>
      <c r="AE27" s="93">
        <v>1587</v>
      </c>
      <c r="AF27" s="15"/>
      <c r="AG27" s="17">
        <f>AE27-Y27</f>
        <v>972</v>
      </c>
      <c r="AH27" s="15"/>
      <c r="AI27" s="110">
        <f>AE27/$AE$58</f>
        <v>8.0411430887717877E-2</v>
      </c>
    </row>
    <row r="28" spans="1:38" ht="13.2" x14ac:dyDescent="0.25">
      <c r="A28" s="26" t="s">
        <v>41</v>
      </c>
      <c r="B28" s="14"/>
      <c r="C28" s="93">
        <v>839</v>
      </c>
      <c r="D28" s="15"/>
      <c r="E28" s="106">
        <f t="shared" ref="E28:E38" si="22">C28/$C$58</f>
        <v>4.2279782301955254E-2</v>
      </c>
      <c r="F28" s="14"/>
      <c r="G28" s="93">
        <v>794</v>
      </c>
      <c r="H28" s="15"/>
      <c r="I28" s="17">
        <f t="shared" ref="I28:I58" si="23">G28-C28</f>
        <v>-45</v>
      </c>
      <c r="J28" s="15"/>
      <c r="K28" s="106">
        <f>G28/$G$58</f>
        <v>3.9260284810126583E-2</v>
      </c>
      <c r="L28" s="15"/>
      <c r="M28" s="93">
        <v>995</v>
      </c>
      <c r="N28" s="15"/>
      <c r="O28" s="17">
        <f t="shared" si="21"/>
        <v>201</v>
      </c>
      <c r="P28" s="15"/>
      <c r="Q28" s="106">
        <f t="shared" ref="Q28:Q38" si="24">M28/$M$58</f>
        <v>4.8151374370886568E-2</v>
      </c>
      <c r="R28" s="15"/>
      <c r="S28" s="93">
        <v>1111</v>
      </c>
      <c r="T28" s="15"/>
      <c r="U28" s="17">
        <f t="shared" ref="U28:U36" si="25">S28-M28</f>
        <v>116</v>
      </c>
      <c r="V28" s="15"/>
      <c r="W28" s="106">
        <f t="shared" ref="W28:W38" si="26">S28/$S$58</f>
        <v>5.0543651335244077E-2</v>
      </c>
      <c r="X28" s="15"/>
      <c r="Y28" s="93">
        <v>836</v>
      </c>
      <c r="Z28" s="15"/>
      <c r="AA28" s="17">
        <f t="shared" ref="AA28:AA36" si="27">Y28-S28</f>
        <v>-275</v>
      </c>
      <c r="AB28" s="15"/>
      <c r="AC28" s="106">
        <f t="shared" ref="AC28:AC38" si="28">Y28/$Y$58</f>
        <v>3.8138686131386865E-2</v>
      </c>
      <c r="AD28" s="15"/>
      <c r="AE28" s="93">
        <v>1006</v>
      </c>
      <c r="AF28" s="15"/>
      <c r="AG28" s="17">
        <f t="shared" ref="AG28:AG36" si="29">AE28-Y28</f>
        <v>170</v>
      </c>
      <c r="AH28" s="15"/>
      <c r="AI28" s="110">
        <f t="shared" ref="AI28:AI38" si="30">AE28/$AE$58</f>
        <v>5.0972841507904335E-2</v>
      </c>
    </row>
    <row r="29" spans="1:38" ht="13.2" x14ac:dyDescent="0.25">
      <c r="A29" s="26" t="s">
        <v>42</v>
      </c>
      <c r="B29" s="14"/>
      <c r="C29" s="93">
        <v>117</v>
      </c>
      <c r="D29" s="15"/>
      <c r="E29" s="106">
        <f t="shared" si="22"/>
        <v>5.8959887119532355E-3</v>
      </c>
      <c r="F29" s="14"/>
      <c r="G29" s="93">
        <v>75</v>
      </c>
      <c r="H29" s="15"/>
      <c r="I29" s="17">
        <f t="shared" si="23"/>
        <v>-42</v>
      </c>
      <c r="J29" s="15"/>
      <c r="K29" s="106">
        <f t="shared" ref="K29:K37" si="31">G29/$G$58</f>
        <v>3.7084651898734175E-3</v>
      </c>
      <c r="L29" s="15"/>
      <c r="M29" s="93">
        <v>91</v>
      </c>
      <c r="N29" s="15"/>
      <c r="O29" s="17">
        <f t="shared" si="21"/>
        <v>16</v>
      </c>
      <c r="P29" s="15"/>
      <c r="Q29" s="106">
        <f t="shared" si="24"/>
        <v>4.4037940379403791E-3</v>
      </c>
      <c r="R29" s="15"/>
      <c r="S29" s="93">
        <v>99</v>
      </c>
      <c r="T29" s="15"/>
      <c r="U29" s="17">
        <f t="shared" si="25"/>
        <v>8</v>
      </c>
      <c r="V29" s="15"/>
      <c r="W29" s="106">
        <f t="shared" si="26"/>
        <v>4.5038897229425414E-3</v>
      </c>
      <c r="X29" s="15"/>
      <c r="Y29" s="93">
        <v>234</v>
      </c>
      <c r="Z29" s="15"/>
      <c r="AA29" s="17">
        <f t="shared" si="27"/>
        <v>135</v>
      </c>
      <c r="AB29" s="15"/>
      <c r="AC29" s="106">
        <f t="shared" si="28"/>
        <v>1.0675182481751824E-2</v>
      </c>
      <c r="AD29" s="15"/>
      <c r="AE29" s="93">
        <v>41</v>
      </c>
      <c r="AF29" s="15"/>
      <c r="AG29" s="17">
        <f t="shared" si="29"/>
        <v>-193</v>
      </c>
      <c r="AH29" s="15"/>
      <c r="AI29" s="110">
        <f t="shared" si="30"/>
        <v>2.0774219700040535E-3</v>
      </c>
    </row>
    <row r="30" spans="1:38" ht="13.2" x14ac:dyDescent="0.25">
      <c r="A30" s="26" t="s">
        <v>43</v>
      </c>
      <c r="B30" s="14"/>
      <c r="C30" s="93">
        <v>427</v>
      </c>
      <c r="D30" s="15"/>
      <c r="E30" s="106">
        <f t="shared" si="22"/>
        <v>2.1517839145333603E-2</v>
      </c>
      <c r="F30" s="14"/>
      <c r="G30" s="93">
        <v>546</v>
      </c>
      <c r="H30" s="15"/>
      <c r="I30" s="17">
        <f t="shared" si="23"/>
        <v>119</v>
      </c>
      <c r="J30" s="15"/>
      <c r="K30" s="106">
        <f t="shared" si="31"/>
        <v>2.6997626582278483E-2</v>
      </c>
      <c r="L30" s="15"/>
      <c r="M30" s="93">
        <v>492</v>
      </c>
      <c r="N30" s="15"/>
      <c r="O30" s="17">
        <f t="shared" si="21"/>
        <v>-54</v>
      </c>
      <c r="P30" s="15"/>
      <c r="Q30" s="106">
        <f t="shared" si="24"/>
        <v>2.3809523809523808E-2</v>
      </c>
      <c r="R30" s="15"/>
      <c r="S30" s="93">
        <v>500</v>
      </c>
      <c r="T30" s="15"/>
      <c r="U30" s="17">
        <f t="shared" si="25"/>
        <v>8</v>
      </c>
      <c r="V30" s="15"/>
      <c r="W30" s="106">
        <f t="shared" si="26"/>
        <v>2.2746917792639099E-2</v>
      </c>
      <c r="X30" s="15"/>
      <c r="Y30" s="93">
        <v>304</v>
      </c>
      <c r="Z30" s="15"/>
      <c r="AA30" s="17">
        <f t="shared" si="27"/>
        <v>-196</v>
      </c>
      <c r="AB30" s="15"/>
      <c r="AC30" s="106">
        <f t="shared" si="28"/>
        <v>1.3868613138686132E-2</v>
      </c>
      <c r="AD30" s="15"/>
      <c r="AE30" s="93">
        <v>239</v>
      </c>
      <c r="AF30" s="15"/>
      <c r="AG30" s="17">
        <f t="shared" si="29"/>
        <v>-65</v>
      </c>
      <c r="AH30" s="15"/>
      <c r="AI30" s="110">
        <f t="shared" si="30"/>
        <v>1.2109850020267531E-2</v>
      </c>
    </row>
    <row r="31" spans="1:38" ht="13.2" x14ac:dyDescent="0.25">
      <c r="A31" s="26" t="s">
        <v>44</v>
      </c>
      <c r="B31" s="14"/>
      <c r="C31" s="93">
        <v>1110</v>
      </c>
      <c r="D31" s="15"/>
      <c r="E31" s="106">
        <f t="shared" si="22"/>
        <v>5.5936303164684537E-2</v>
      </c>
      <c r="F31" s="14"/>
      <c r="G31" s="93">
        <v>1281</v>
      </c>
      <c r="H31" s="15"/>
      <c r="I31" s="17">
        <f t="shared" si="23"/>
        <v>171</v>
      </c>
      <c r="J31" s="15"/>
      <c r="K31" s="106">
        <f t="shared" si="31"/>
        <v>6.3340585443037972E-2</v>
      </c>
      <c r="L31" s="15"/>
      <c r="M31" s="93">
        <v>1078</v>
      </c>
      <c r="N31" s="15"/>
      <c r="O31" s="17">
        <f t="shared" si="21"/>
        <v>-203</v>
      </c>
      <c r="P31" s="15"/>
      <c r="Q31" s="106">
        <f t="shared" si="24"/>
        <v>5.2168021680216801E-2</v>
      </c>
      <c r="R31" s="15"/>
      <c r="S31" s="93">
        <v>1394</v>
      </c>
      <c r="T31" s="15"/>
      <c r="U31" s="17">
        <f t="shared" si="25"/>
        <v>316</v>
      </c>
      <c r="V31" s="15"/>
      <c r="W31" s="106">
        <f t="shared" si="26"/>
        <v>6.3418406805877806E-2</v>
      </c>
      <c r="X31" s="15"/>
      <c r="Y31" s="93">
        <v>1492</v>
      </c>
      <c r="Z31" s="15"/>
      <c r="AA31" s="17">
        <f t="shared" si="27"/>
        <v>98</v>
      </c>
      <c r="AB31" s="15"/>
      <c r="AC31" s="106">
        <f t="shared" si="28"/>
        <v>6.8065693430656937E-2</v>
      </c>
      <c r="AD31" s="15"/>
      <c r="AE31" s="93">
        <v>1650</v>
      </c>
      <c r="AF31" s="15"/>
      <c r="AG31" s="17">
        <f t="shared" si="29"/>
        <v>158</v>
      </c>
      <c r="AH31" s="15"/>
      <c r="AI31" s="110">
        <f t="shared" si="30"/>
        <v>8.3603567085528976E-2</v>
      </c>
    </row>
    <row r="32" spans="1:38" ht="13.2" x14ac:dyDescent="0.25">
      <c r="A32" s="26" t="s">
        <v>45</v>
      </c>
      <c r="B32" s="14"/>
      <c r="C32" s="93">
        <v>373</v>
      </c>
      <c r="D32" s="15"/>
      <c r="E32" s="106">
        <f t="shared" si="22"/>
        <v>1.8796613585970571E-2</v>
      </c>
      <c r="F32" s="14"/>
      <c r="G32" s="93">
        <v>396</v>
      </c>
      <c r="H32" s="15"/>
      <c r="I32" s="17">
        <f t="shared" si="23"/>
        <v>23</v>
      </c>
      <c r="J32" s="15"/>
      <c r="K32" s="106">
        <f t="shared" si="31"/>
        <v>1.9580696202531646E-2</v>
      </c>
      <c r="L32" s="15"/>
      <c r="M32" s="93">
        <v>517</v>
      </c>
      <c r="N32" s="15"/>
      <c r="O32" s="17">
        <f t="shared" si="21"/>
        <v>121</v>
      </c>
      <c r="P32" s="15"/>
      <c r="Q32" s="106">
        <f t="shared" si="24"/>
        <v>2.5019357336430507E-2</v>
      </c>
      <c r="R32" s="15"/>
      <c r="S32" s="93">
        <v>438</v>
      </c>
      <c r="T32" s="15"/>
      <c r="U32" s="17">
        <f t="shared" si="25"/>
        <v>-79</v>
      </c>
      <c r="V32" s="15"/>
      <c r="W32" s="106">
        <f t="shared" si="26"/>
        <v>1.9926299986351849E-2</v>
      </c>
      <c r="X32" s="15"/>
      <c r="Y32" s="93">
        <v>370</v>
      </c>
      <c r="Z32" s="15"/>
      <c r="AA32" s="17">
        <f t="shared" si="27"/>
        <v>-68</v>
      </c>
      <c r="AB32" s="15"/>
      <c r="AC32" s="106">
        <f t="shared" si="28"/>
        <v>1.6879562043795621E-2</v>
      </c>
      <c r="AD32" s="15"/>
      <c r="AE32" s="93">
        <v>568</v>
      </c>
      <c r="AF32" s="15"/>
      <c r="AG32" s="17">
        <f t="shared" si="29"/>
        <v>198</v>
      </c>
      <c r="AH32" s="15"/>
      <c r="AI32" s="110">
        <f t="shared" si="30"/>
        <v>2.8779894608836645E-2</v>
      </c>
    </row>
    <row r="33" spans="1:35" ht="13.2" x14ac:dyDescent="0.25">
      <c r="A33" s="26" t="s">
        <v>46</v>
      </c>
      <c r="B33" s="14"/>
      <c r="C33" s="93">
        <v>87</v>
      </c>
      <c r="D33" s="15"/>
      <c r="E33" s="106">
        <f t="shared" si="22"/>
        <v>4.3841967345293288E-3</v>
      </c>
      <c r="F33" s="14"/>
      <c r="G33" s="93">
        <v>194</v>
      </c>
      <c r="H33" s="15"/>
      <c r="I33" s="17">
        <f t="shared" si="23"/>
        <v>107</v>
      </c>
      <c r="J33" s="15"/>
      <c r="K33" s="106">
        <f t="shared" si="31"/>
        <v>9.5925632911392413E-3</v>
      </c>
      <c r="L33" s="15"/>
      <c r="M33" s="93">
        <v>60</v>
      </c>
      <c r="N33" s="15"/>
      <c r="O33" s="17">
        <f t="shared" si="21"/>
        <v>-134</v>
      </c>
      <c r="P33" s="15"/>
      <c r="Q33" s="106">
        <f t="shared" si="24"/>
        <v>2.9036004645760743E-3</v>
      </c>
      <c r="R33" s="15"/>
      <c r="S33" s="93">
        <v>54</v>
      </c>
      <c r="T33" s="15"/>
      <c r="U33" s="17">
        <f t="shared" si="25"/>
        <v>-6</v>
      </c>
      <c r="V33" s="15"/>
      <c r="W33" s="106">
        <f t="shared" si="26"/>
        <v>2.4566671216050225E-3</v>
      </c>
      <c r="X33" s="15"/>
      <c r="Y33" s="93">
        <v>39</v>
      </c>
      <c r="Z33" s="15"/>
      <c r="AA33" s="17">
        <f t="shared" si="27"/>
        <v>-15</v>
      </c>
      <c r="AB33" s="15"/>
      <c r="AC33" s="106">
        <f t="shared" si="28"/>
        <v>1.7791970802919707E-3</v>
      </c>
      <c r="AD33" s="15"/>
      <c r="AE33" s="93">
        <v>47</v>
      </c>
      <c r="AF33" s="15"/>
      <c r="AG33" s="17">
        <f t="shared" si="29"/>
        <v>8</v>
      </c>
      <c r="AH33" s="15"/>
      <c r="AI33" s="110">
        <f t="shared" si="30"/>
        <v>2.3814349412241589E-3</v>
      </c>
    </row>
    <row r="34" spans="1:35" ht="13.2" x14ac:dyDescent="0.25">
      <c r="A34" s="26" t="s">
        <v>47</v>
      </c>
      <c r="B34" s="14"/>
      <c r="C34" s="93">
        <v>161</v>
      </c>
      <c r="D34" s="15"/>
      <c r="E34" s="106">
        <f t="shared" si="22"/>
        <v>8.1132836121749641E-3</v>
      </c>
      <c r="F34" s="14"/>
      <c r="G34" s="93">
        <v>200</v>
      </c>
      <c r="H34" s="15"/>
      <c r="I34" s="17">
        <f t="shared" si="23"/>
        <v>39</v>
      </c>
      <c r="J34" s="15"/>
      <c r="K34" s="106">
        <f t="shared" si="31"/>
        <v>9.8892405063291146E-3</v>
      </c>
      <c r="L34" s="15"/>
      <c r="M34" s="93">
        <v>228</v>
      </c>
      <c r="N34" s="15"/>
      <c r="O34" s="17">
        <f t="shared" si="21"/>
        <v>28</v>
      </c>
      <c r="P34" s="15"/>
      <c r="Q34" s="106">
        <f t="shared" si="24"/>
        <v>1.1033681765389082E-2</v>
      </c>
      <c r="R34" s="15"/>
      <c r="S34" s="93">
        <v>239</v>
      </c>
      <c r="T34" s="15"/>
      <c r="U34" s="17">
        <f t="shared" si="25"/>
        <v>11</v>
      </c>
      <c r="V34" s="15"/>
      <c r="W34" s="106">
        <f t="shared" si="26"/>
        <v>1.0873026704881489E-2</v>
      </c>
      <c r="X34" s="15"/>
      <c r="Y34" s="93">
        <v>254</v>
      </c>
      <c r="Z34" s="15"/>
      <c r="AA34" s="17">
        <f t="shared" si="27"/>
        <v>15</v>
      </c>
      <c r="AB34" s="15"/>
      <c r="AC34" s="106">
        <f t="shared" si="28"/>
        <v>1.1587591240875912E-2</v>
      </c>
      <c r="AD34" s="15"/>
      <c r="AE34" s="93">
        <v>237</v>
      </c>
      <c r="AF34" s="15"/>
      <c r="AG34" s="17">
        <f t="shared" si="29"/>
        <v>-17</v>
      </c>
      <c r="AH34" s="15"/>
      <c r="AI34" s="110">
        <f t="shared" si="30"/>
        <v>1.2008512363194163E-2</v>
      </c>
    </row>
    <row r="35" spans="1:35" ht="13.2" x14ac:dyDescent="0.25">
      <c r="A35" s="26" t="s">
        <v>48</v>
      </c>
      <c r="B35" s="14"/>
      <c r="C35" s="93">
        <v>94</v>
      </c>
      <c r="D35" s="15"/>
      <c r="E35" s="106">
        <f t="shared" si="22"/>
        <v>4.7369481959282402E-3</v>
      </c>
      <c r="F35" s="14"/>
      <c r="G35" s="93">
        <v>14</v>
      </c>
      <c r="H35" s="15"/>
      <c r="I35" s="17">
        <f t="shared" si="23"/>
        <v>-80</v>
      </c>
      <c r="J35" s="15"/>
      <c r="K35" s="106">
        <f t="shared" si="31"/>
        <v>6.9224683544303798E-4</v>
      </c>
      <c r="L35" s="15"/>
      <c r="M35" s="93">
        <v>12</v>
      </c>
      <c r="N35" s="15"/>
      <c r="O35" s="17">
        <f t="shared" si="21"/>
        <v>-2</v>
      </c>
      <c r="P35" s="15"/>
      <c r="Q35" s="106">
        <f t="shared" si="24"/>
        <v>5.8072009291521487E-4</v>
      </c>
      <c r="R35" s="15"/>
      <c r="S35" s="93">
        <v>82</v>
      </c>
      <c r="T35" s="15"/>
      <c r="U35" s="17">
        <f t="shared" si="25"/>
        <v>70</v>
      </c>
      <c r="V35" s="15"/>
      <c r="W35" s="106">
        <f t="shared" si="26"/>
        <v>3.7304945179928118E-3</v>
      </c>
      <c r="X35" s="15"/>
      <c r="Y35" s="93">
        <v>72</v>
      </c>
      <c r="Z35" s="15"/>
      <c r="AA35" s="17">
        <f t="shared" si="27"/>
        <v>-10</v>
      </c>
      <c r="AB35" s="15"/>
      <c r="AC35" s="106">
        <f t="shared" si="28"/>
        <v>3.2846715328467154E-3</v>
      </c>
      <c r="AD35" s="15"/>
      <c r="AE35" s="93">
        <v>123</v>
      </c>
      <c r="AF35" s="15"/>
      <c r="AG35" s="17">
        <f t="shared" si="29"/>
        <v>51</v>
      </c>
      <c r="AH35" s="15"/>
      <c r="AI35" s="110">
        <f t="shared" si="30"/>
        <v>6.2322659100121601E-3</v>
      </c>
    </row>
    <row r="36" spans="1:35" ht="13.2" x14ac:dyDescent="0.25">
      <c r="A36" s="26" t="s">
        <v>49</v>
      </c>
      <c r="B36" s="14"/>
      <c r="C36" s="93">
        <v>24</v>
      </c>
      <c r="D36" s="15"/>
      <c r="E36" s="106">
        <f t="shared" si="22"/>
        <v>1.2094335819391251E-3</v>
      </c>
      <c r="F36" s="14"/>
      <c r="G36" s="93">
        <v>0</v>
      </c>
      <c r="H36" s="15"/>
      <c r="I36" s="17">
        <f t="shared" si="23"/>
        <v>-24</v>
      </c>
      <c r="J36" s="15"/>
      <c r="K36" s="106">
        <f t="shared" si="31"/>
        <v>0</v>
      </c>
      <c r="L36" s="15"/>
      <c r="M36" s="93">
        <v>0</v>
      </c>
      <c r="N36" s="15"/>
      <c r="O36" s="17">
        <f t="shared" si="21"/>
        <v>0</v>
      </c>
      <c r="P36" s="15"/>
      <c r="Q36" s="106">
        <f t="shared" si="24"/>
        <v>0</v>
      </c>
      <c r="R36" s="15"/>
      <c r="S36" s="93">
        <v>0</v>
      </c>
      <c r="T36" s="15"/>
      <c r="U36" s="17">
        <f t="shared" si="25"/>
        <v>0</v>
      </c>
      <c r="V36" s="15"/>
      <c r="W36" s="106">
        <f t="shared" si="26"/>
        <v>0</v>
      </c>
      <c r="X36" s="15"/>
      <c r="Y36" s="93">
        <v>170</v>
      </c>
      <c r="Z36" s="15"/>
      <c r="AA36" s="17">
        <f t="shared" si="27"/>
        <v>170</v>
      </c>
      <c r="AB36" s="15"/>
      <c r="AC36" s="106">
        <f t="shared" si="28"/>
        <v>7.7554744525547446E-3</v>
      </c>
      <c r="AD36" s="15"/>
      <c r="AE36" s="93">
        <v>227</v>
      </c>
      <c r="AF36" s="15"/>
      <c r="AG36" s="17">
        <f t="shared" si="29"/>
        <v>57</v>
      </c>
      <c r="AH36" s="15"/>
      <c r="AI36" s="110">
        <f t="shared" si="30"/>
        <v>1.150182407782732E-2</v>
      </c>
    </row>
    <row r="37" spans="1:35" ht="13.2" x14ac:dyDescent="0.25">
      <c r="A37" s="26" t="s">
        <v>50</v>
      </c>
      <c r="B37" s="14"/>
      <c r="C37" s="93">
        <v>819</v>
      </c>
      <c r="D37" s="15"/>
      <c r="E37" s="106">
        <f t="shared" si="22"/>
        <v>4.1271920983672647E-2</v>
      </c>
      <c r="F37" s="14"/>
      <c r="G37" s="93">
        <v>685</v>
      </c>
      <c r="H37" s="15"/>
      <c r="I37" s="17">
        <f t="shared" si="23"/>
        <v>-134</v>
      </c>
      <c r="J37" s="15"/>
      <c r="K37" s="106">
        <f t="shared" si="31"/>
        <v>3.3870648734177215E-2</v>
      </c>
      <c r="L37" s="15"/>
      <c r="M37" s="93">
        <v>812</v>
      </c>
      <c r="N37" s="15"/>
      <c r="O37" s="17">
        <f t="shared" si="21"/>
        <v>127</v>
      </c>
      <c r="P37" s="15"/>
      <c r="Q37" s="106">
        <f t="shared" si="24"/>
        <v>3.9295392953929538E-2</v>
      </c>
      <c r="R37" s="15"/>
      <c r="S37" s="93">
        <v>962</v>
      </c>
      <c r="T37" s="15"/>
      <c r="U37" s="17">
        <f>S37-M37</f>
        <v>150</v>
      </c>
      <c r="V37" s="15"/>
      <c r="W37" s="106">
        <f t="shared" si="26"/>
        <v>4.3765069833037622E-2</v>
      </c>
      <c r="X37" s="15"/>
      <c r="Y37" s="93">
        <v>791</v>
      </c>
      <c r="Z37" s="15"/>
      <c r="AA37" s="17">
        <f>Y37-S37</f>
        <v>-171</v>
      </c>
      <c r="AB37" s="15"/>
      <c r="AC37" s="106">
        <f t="shared" si="28"/>
        <v>3.6085766423357667E-2</v>
      </c>
      <c r="AD37" s="15"/>
      <c r="AE37" s="93">
        <v>1004</v>
      </c>
      <c r="AF37" s="15"/>
      <c r="AG37" s="17">
        <f>AE37-Y37</f>
        <v>213</v>
      </c>
      <c r="AH37" s="15"/>
      <c r="AI37" s="110">
        <f t="shared" si="30"/>
        <v>5.0871503850830967E-2</v>
      </c>
    </row>
    <row r="38" spans="1:35" ht="13.2" x14ac:dyDescent="0.25">
      <c r="A38" s="26"/>
      <c r="B38" s="14"/>
      <c r="C38" s="95">
        <f>SUM(C27:C37)</f>
        <v>4729</v>
      </c>
      <c r="D38" s="15"/>
      <c r="E38" s="106">
        <f t="shared" si="22"/>
        <v>0.23830880870792179</v>
      </c>
      <c r="F38" s="14"/>
      <c r="G38" s="95">
        <f>SUM(G27:G37)</f>
        <v>4221</v>
      </c>
      <c r="H38" s="15"/>
      <c r="I38" s="17">
        <f t="shared" si="23"/>
        <v>-508</v>
      </c>
      <c r="J38" s="15"/>
      <c r="K38" s="106">
        <f>G38/$G$58</f>
        <v>0.20871242088607594</v>
      </c>
      <c r="L38" s="15"/>
      <c r="M38" s="95">
        <f>SUM(M27:M37)</f>
        <v>4336</v>
      </c>
      <c r="N38" s="15"/>
      <c r="O38" s="17">
        <f t="shared" si="21"/>
        <v>115</v>
      </c>
      <c r="P38" s="15"/>
      <c r="Q38" s="106">
        <f t="shared" si="24"/>
        <v>0.20983352690669763</v>
      </c>
      <c r="R38" s="15"/>
      <c r="S38" s="95">
        <f>SUM(S27:S37)</f>
        <v>5112</v>
      </c>
      <c r="T38" s="15"/>
      <c r="U38" s="17">
        <f>S38-M38</f>
        <v>776</v>
      </c>
      <c r="V38" s="15"/>
      <c r="W38" s="106">
        <f t="shared" si="26"/>
        <v>0.23256448751194214</v>
      </c>
      <c r="X38" s="15"/>
      <c r="Y38" s="95">
        <f>SUM(Y27:Y37)</f>
        <v>5177</v>
      </c>
      <c r="Z38" s="15"/>
      <c r="AA38" s="17">
        <f>Y38-S38</f>
        <v>65</v>
      </c>
      <c r="AB38" s="15"/>
      <c r="AC38" s="106">
        <f t="shared" si="28"/>
        <v>0.23617700729927008</v>
      </c>
      <c r="AD38" s="15"/>
      <c r="AE38" s="95">
        <f>SUM(AE27:AE37)</f>
        <v>6729</v>
      </c>
      <c r="AF38" s="15"/>
      <c r="AG38" s="17">
        <f>AE38-Y38</f>
        <v>1552</v>
      </c>
      <c r="AH38" s="15"/>
      <c r="AI38" s="110">
        <f t="shared" si="30"/>
        <v>0.34095054722334822</v>
      </c>
    </row>
    <row r="39" spans="1:35" ht="13.2" x14ac:dyDescent="0.25">
      <c r="A39" s="25" t="s">
        <v>51</v>
      </c>
      <c r="B39" s="16"/>
      <c r="C39" s="92"/>
      <c r="D39" s="18"/>
      <c r="E39" s="106"/>
      <c r="F39" s="16"/>
      <c r="G39" s="92"/>
      <c r="H39" s="18"/>
      <c r="I39" s="17"/>
      <c r="J39" s="18"/>
      <c r="K39" s="106"/>
      <c r="L39" s="18"/>
      <c r="M39" s="92"/>
      <c r="N39" s="18"/>
      <c r="O39" s="17"/>
      <c r="P39" s="18"/>
      <c r="Q39" s="106"/>
      <c r="R39" s="18"/>
      <c r="S39" s="92"/>
      <c r="T39" s="18"/>
      <c r="U39" s="17"/>
      <c r="V39" s="18"/>
      <c r="W39" s="106"/>
      <c r="X39" s="18"/>
      <c r="Y39" s="92"/>
      <c r="Z39" s="18"/>
      <c r="AA39" s="17"/>
      <c r="AB39" s="18"/>
      <c r="AC39" s="106"/>
      <c r="AD39" s="18"/>
      <c r="AE39" s="92"/>
      <c r="AF39" s="18"/>
      <c r="AG39" s="17"/>
      <c r="AH39" s="18"/>
      <c r="AI39" s="110"/>
    </row>
    <row r="40" spans="1:35" ht="13.2" x14ac:dyDescent="0.25">
      <c r="A40" s="26" t="s">
        <v>52</v>
      </c>
      <c r="B40" s="14"/>
      <c r="C40" s="93">
        <v>1543</v>
      </c>
      <c r="D40" s="15"/>
      <c r="E40" s="106">
        <f>C40/$C$58</f>
        <v>7.7756500705502926E-2</v>
      </c>
      <c r="F40" s="14"/>
      <c r="G40" s="93">
        <v>2038</v>
      </c>
      <c r="H40" s="15"/>
      <c r="I40" s="17">
        <f t="shared" si="23"/>
        <v>495</v>
      </c>
      <c r="J40" s="15"/>
      <c r="K40" s="106">
        <f t="shared" ref="K40:K47" si="32">G40/$G$58</f>
        <v>0.10077136075949367</v>
      </c>
      <c r="L40" s="15"/>
      <c r="M40" s="93">
        <v>2061</v>
      </c>
      <c r="N40" s="15"/>
      <c r="O40" s="17">
        <f t="shared" ref="O40:O47" si="33">M40-G40</f>
        <v>23</v>
      </c>
      <c r="P40" s="15"/>
      <c r="Q40" s="106">
        <f t="shared" ref="Q40:Q47" si="34">M40/$M$58</f>
        <v>9.9738675958188153E-2</v>
      </c>
      <c r="R40" s="15"/>
      <c r="S40" s="93">
        <v>7528</v>
      </c>
      <c r="T40" s="15"/>
      <c r="U40" s="17">
        <f>S40-M40</f>
        <v>5467</v>
      </c>
      <c r="V40" s="15"/>
      <c r="W40" s="106">
        <f>S40/$S$58</f>
        <v>0.34247759428597424</v>
      </c>
      <c r="X40" s="15"/>
      <c r="Y40" s="93">
        <v>8429</v>
      </c>
      <c r="Z40" s="15"/>
      <c r="AA40" s="17">
        <f>Y40-S40</f>
        <v>901</v>
      </c>
      <c r="AB40" s="15"/>
      <c r="AC40" s="106">
        <f>Y40/$Y$58</f>
        <v>0.38453467153284671</v>
      </c>
      <c r="AD40" s="15"/>
      <c r="AE40" s="93">
        <v>7453</v>
      </c>
      <c r="AF40" s="15"/>
      <c r="AG40" s="17">
        <f>AE40-Y40</f>
        <v>-976</v>
      </c>
      <c r="AH40" s="15"/>
      <c r="AI40" s="110">
        <f>AE40/$AE$58</f>
        <v>0.37763477908390758</v>
      </c>
    </row>
    <row r="41" spans="1:35" ht="13.2" x14ac:dyDescent="0.25">
      <c r="A41" s="26" t="s">
        <v>53</v>
      </c>
      <c r="B41" s="14"/>
      <c r="C41" s="93">
        <v>509</v>
      </c>
      <c r="D41" s="15"/>
      <c r="E41" s="106">
        <f t="shared" ref="E41:E47" si="35">C41/$C$58</f>
        <v>2.5650070550292281E-2</v>
      </c>
      <c r="F41" s="14"/>
      <c r="G41" s="93">
        <v>543</v>
      </c>
      <c r="H41" s="15"/>
      <c r="I41" s="17">
        <f t="shared" si="23"/>
        <v>34</v>
      </c>
      <c r="J41" s="15"/>
      <c r="K41" s="106">
        <f t="shared" si="32"/>
        <v>2.6849287974683545E-2</v>
      </c>
      <c r="L41" s="15"/>
      <c r="M41" s="93">
        <v>357</v>
      </c>
      <c r="N41" s="15"/>
      <c r="O41" s="17">
        <f t="shared" si="33"/>
        <v>-186</v>
      </c>
      <c r="P41" s="15"/>
      <c r="Q41" s="106">
        <f t="shared" si="34"/>
        <v>1.7276422764227643E-2</v>
      </c>
      <c r="R41" s="15"/>
      <c r="S41" s="93">
        <v>345</v>
      </c>
      <c r="T41" s="15"/>
      <c r="U41" s="17">
        <f t="shared" ref="U41:U47" si="36">S41-M41</f>
        <v>-12</v>
      </c>
      <c r="V41" s="15"/>
      <c r="W41" s="106">
        <f t="shared" ref="W41:W47" si="37">S41/$S$58</f>
        <v>1.5695373276920978E-2</v>
      </c>
      <c r="X41" s="15"/>
      <c r="Y41" s="93">
        <v>336</v>
      </c>
      <c r="Z41" s="15"/>
      <c r="AA41" s="17">
        <f t="shared" ref="AA41:AA47" si="38">Y41-S41</f>
        <v>-9</v>
      </c>
      <c r="AB41" s="15"/>
      <c r="AC41" s="106">
        <f t="shared" ref="AC41:AC47" si="39">Y41/$Y$58</f>
        <v>1.5328467153284672E-2</v>
      </c>
      <c r="AD41" s="15"/>
      <c r="AE41" s="93">
        <v>371</v>
      </c>
      <c r="AF41" s="15"/>
      <c r="AG41" s="17">
        <f t="shared" ref="AG41:AG47" si="40">AE41-Y41</f>
        <v>35</v>
      </c>
      <c r="AH41" s="15"/>
      <c r="AI41" s="110">
        <f t="shared" ref="AI41:AI47" si="41">AE41/$AE$58</f>
        <v>1.8798135387109852E-2</v>
      </c>
    </row>
    <row r="42" spans="1:35" ht="13.2" x14ac:dyDescent="0.25">
      <c r="A42" s="26" t="s">
        <v>54</v>
      </c>
      <c r="B42" s="14"/>
      <c r="C42" s="91" t="s">
        <v>181</v>
      </c>
      <c r="D42" s="15"/>
      <c r="E42" s="106">
        <f t="shared" si="35"/>
        <v>1.6982463213061884E-2</v>
      </c>
      <c r="F42" s="14"/>
      <c r="G42" s="91" t="s">
        <v>67</v>
      </c>
      <c r="H42" s="15"/>
      <c r="I42" s="17">
        <f t="shared" si="23"/>
        <v>-92</v>
      </c>
      <c r="J42" s="15"/>
      <c r="K42" s="106">
        <f t="shared" si="32"/>
        <v>1.2114319620253165E-2</v>
      </c>
      <c r="L42" s="15"/>
      <c r="M42" s="94">
        <v>138</v>
      </c>
      <c r="N42" s="15"/>
      <c r="O42" s="17">
        <f t="shared" si="33"/>
        <v>-107</v>
      </c>
      <c r="P42" s="15"/>
      <c r="Q42" s="106">
        <f t="shared" si="34"/>
        <v>6.6782810685249707E-3</v>
      </c>
      <c r="R42" s="15"/>
      <c r="S42" s="94">
        <v>47</v>
      </c>
      <c r="T42" s="15"/>
      <c r="U42" s="17">
        <f t="shared" si="36"/>
        <v>-91</v>
      </c>
      <c r="V42" s="15"/>
      <c r="W42" s="106">
        <f t="shared" si="37"/>
        <v>2.1382102725080753E-3</v>
      </c>
      <c r="X42" s="15"/>
      <c r="Y42" s="94">
        <v>47</v>
      </c>
      <c r="Z42" s="15"/>
      <c r="AA42" s="17">
        <f t="shared" si="38"/>
        <v>0</v>
      </c>
      <c r="AB42" s="15"/>
      <c r="AC42" s="106">
        <f t="shared" si="39"/>
        <v>2.144160583941606E-3</v>
      </c>
      <c r="AD42" s="15"/>
      <c r="AE42" s="94">
        <v>35</v>
      </c>
      <c r="AF42" s="15"/>
      <c r="AG42" s="17">
        <f t="shared" si="40"/>
        <v>-12</v>
      </c>
      <c r="AH42" s="15"/>
      <c r="AI42" s="110">
        <f t="shared" si="41"/>
        <v>1.7734089987839481E-3</v>
      </c>
    </row>
    <row r="43" spans="1:35" ht="13.2" x14ac:dyDescent="0.25">
      <c r="A43" s="26" t="s">
        <v>55</v>
      </c>
      <c r="B43" s="14"/>
      <c r="C43" s="91" t="s">
        <v>182</v>
      </c>
      <c r="D43" s="15"/>
      <c r="E43" s="106">
        <f t="shared" si="35"/>
        <v>7.6597460189477924E-3</v>
      </c>
      <c r="F43" s="14"/>
      <c r="G43" s="91" t="s">
        <v>68</v>
      </c>
      <c r="H43" s="15"/>
      <c r="I43" s="17">
        <f t="shared" si="23"/>
        <v>161</v>
      </c>
      <c r="J43" s="15"/>
      <c r="K43" s="106">
        <f t="shared" si="32"/>
        <v>1.5476661392405063E-2</v>
      </c>
      <c r="L43" s="15"/>
      <c r="M43" s="94">
        <v>469</v>
      </c>
      <c r="N43" s="15"/>
      <c r="O43" s="17">
        <f t="shared" si="33"/>
        <v>156</v>
      </c>
      <c r="P43" s="15"/>
      <c r="Q43" s="106">
        <f t="shared" si="34"/>
        <v>2.2696476964769646E-2</v>
      </c>
      <c r="R43" s="15"/>
      <c r="S43" s="94">
        <v>509</v>
      </c>
      <c r="T43" s="15"/>
      <c r="U43" s="17">
        <f t="shared" si="36"/>
        <v>40</v>
      </c>
      <c r="V43" s="15"/>
      <c r="W43" s="106">
        <f t="shared" si="37"/>
        <v>2.31563623129066E-2</v>
      </c>
      <c r="X43" s="15"/>
      <c r="Y43" s="94">
        <v>340</v>
      </c>
      <c r="Z43" s="15"/>
      <c r="AA43" s="17">
        <f t="shared" si="38"/>
        <v>-169</v>
      </c>
      <c r="AB43" s="15"/>
      <c r="AC43" s="106">
        <f t="shared" si="39"/>
        <v>1.5510948905109489E-2</v>
      </c>
      <c r="AD43" s="15"/>
      <c r="AE43" s="94">
        <v>68</v>
      </c>
      <c r="AF43" s="15"/>
      <c r="AG43" s="17">
        <f t="shared" si="40"/>
        <v>-272</v>
      </c>
      <c r="AH43" s="15"/>
      <c r="AI43" s="110">
        <f t="shared" si="41"/>
        <v>3.4454803404945279E-3</v>
      </c>
    </row>
    <row r="44" spans="1:35" ht="13.2" x14ac:dyDescent="0.25">
      <c r="A44" s="26" t="s">
        <v>56</v>
      </c>
      <c r="B44" s="14"/>
      <c r="C44" s="93">
        <v>176</v>
      </c>
      <c r="D44" s="15"/>
      <c r="E44" s="106">
        <f t="shared" si="35"/>
        <v>8.869179600886918E-3</v>
      </c>
      <c r="F44" s="14"/>
      <c r="G44" s="93">
        <v>213</v>
      </c>
      <c r="H44" s="15"/>
      <c r="I44" s="17">
        <f t="shared" si="23"/>
        <v>37</v>
      </c>
      <c r="J44" s="15"/>
      <c r="K44" s="106">
        <f t="shared" si="32"/>
        <v>1.0532041139240507E-2</v>
      </c>
      <c r="L44" s="15"/>
      <c r="M44" s="93">
        <v>193</v>
      </c>
      <c r="N44" s="15"/>
      <c r="O44" s="17">
        <f t="shared" si="33"/>
        <v>-20</v>
      </c>
      <c r="P44" s="15"/>
      <c r="Q44" s="106">
        <f t="shared" si="34"/>
        <v>9.3399148277197065E-3</v>
      </c>
      <c r="R44" s="15"/>
      <c r="S44" s="93">
        <v>184</v>
      </c>
      <c r="T44" s="15"/>
      <c r="U44" s="17">
        <f t="shared" si="36"/>
        <v>-9</v>
      </c>
      <c r="V44" s="15"/>
      <c r="W44" s="106">
        <f t="shared" si="37"/>
        <v>8.3708657476911884E-3</v>
      </c>
      <c r="X44" s="15"/>
      <c r="Y44" s="93">
        <v>194</v>
      </c>
      <c r="Z44" s="15"/>
      <c r="AA44" s="17">
        <f t="shared" si="38"/>
        <v>10</v>
      </c>
      <c r="AB44" s="15"/>
      <c r="AC44" s="106">
        <f t="shared" si="39"/>
        <v>8.8503649635036496E-3</v>
      </c>
      <c r="AD44" s="15"/>
      <c r="AE44" s="93">
        <v>200</v>
      </c>
      <c r="AF44" s="15"/>
      <c r="AG44" s="17">
        <f t="shared" si="40"/>
        <v>6</v>
      </c>
      <c r="AH44" s="15"/>
      <c r="AI44" s="110">
        <f t="shared" si="41"/>
        <v>1.0133765707336847E-2</v>
      </c>
    </row>
    <row r="45" spans="1:35" ht="13.2" x14ac:dyDescent="0.25">
      <c r="A45" s="26" t="s">
        <v>74</v>
      </c>
      <c r="B45" s="14"/>
      <c r="C45" s="93">
        <v>0</v>
      </c>
      <c r="D45" s="15"/>
      <c r="E45" s="106">
        <f t="shared" si="35"/>
        <v>0</v>
      </c>
      <c r="F45" s="14"/>
      <c r="G45" s="93">
        <v>0</v>
      </c>
      <c r="H45" s="15"/>
      <c r="I45" s="17">
        <f t="shared" si="23"/>
        <v>0</v>
      </c>
      <c r="J45" s="15"/>
      <c r="K45" s="106">
        <f t="shared" si="32"/>
        <v>0</v>
      </c>
      <c r="L45" s="15"/>
      <c r="M45" s="93">
        <v>0</v>
      </c>
      <c r="N45" s="15"/>
      <c r="O45" s="17">
        <f t="shared" si="33"/>
        <v>0</v>
      </c>
      <c r="P45" s="15"/>
      <c r="Q45" s="106">
        <f t="shared" si="34"/>
        <v>0</v>
      </c>
      <c r="R45" s="15"/>
      <c r="S45" s="93">
        <v>0</v>
      </c>
      <c r="T45" s="15"/>
      <c r="U45" s="17">
        <f t="shared" si="36"/>
        <v>0</v>
      </c>
      <c r="V45" s="15"/>
      <c r="W45" s="106">
        <f t="shared" si="37"/>
        <v>0</v>
      </c>
      <c r="X45" s="15"/>
      <c r="Y45" s="93">
        <v>47</v>
      </c>
      <c r="Z45" s="15"/>
      <c r="AA45" s="17">
        <f t="shared" si="38"/>
        <v>47</v>
      </c>
      <c r="AB45" s="15"/>
      <c r="AC45" s="106">
        <f t="shared" si="39"/>
        <v>2.144160583941606E-3</v>
      </c>
      <c r="AD45" s="15"/>
      <c r="AE45" s="93">
        <v>17</v>
      </c>
      <c r="AF45" s="15"/>
      <c r="AG45" s="17">
        <f t="shared" si="40"/>
        <v>-30</v>
      </c>
      <c r="AH45" s="15"/>
      <c r="AI45" s="110">
        <f t="shared" si="41"/>
        <v>8.6137008512363197E-4</v>
      </c>
    </row>
    <row r="46" spans="1:35" ht="13.2" x14ac:dyDescent="0.25">
      <c r="A46" s="26" t="s">
        <v>57</v>
      </c>
      <c r="B46" s="14"/>
      <c r="C46" s="94">
        <v>682</v>
      </c>
      <c r="D46" s="15"/>
      <c r="E46" s="106">
        <f t="shared" si="35"/>
        <v>3.4368070953436809E-2</v>
      </c>
      <c r="F46" s="14"/>
      <c r="G46" s="94">
        <v>615</v>
      </c>
      <c r="H46" s="15"/>
      <c r="I46" s="17">
        <f t="shared" si="23"/>
        <v>-67</v>
      </c>
      <c r="J46" s="15"/>
      <c r="K46" s="106">
        <f t="shared" si="32"/>
        <v>3.0409414556962024E-2</v>
      </c>
      <c r="L46" s="15"/>
      <c r="M46" s="93">
        <v>382</v>
      </c>
      <c r="N46" s="15"/>
      <c r="O46" s="17">
        <f t="shared" si="33"/>
        <v>-233</v>
      </c>
      <c r="P46" s="15"/>
      <c r="Q46" s="106">
        <f t="shared" si="34"/>
        <v>1.8486256291134338E-2</v>
      </c>
      <c r="R46" s="15"/>
      <c r="S46" s="93">
        <v>342</v>
      </c>
      <c r="T46" s="15"/>
      <c r="U46" s="17">
        <f t="shared" si="36"/>
        <v>-40</v>
      </c>
      <c r="V46" s="15"/>
      <c r="W46" s="106">
        <f t="shared" si="37"/>
        <v>1.5558891770165142E-2</v>
      </c>
      <c r="X46" s="15"/>
      <c r="Y46" s="93">
        <v>345</v>
      </c>
      <c r="Z46" s="15"/>
      <c r="AA46" s="17">
        <f t="shared" si="38"/>
        <v>3</v>
      </c>
      <c r="AB46" s="15"/>
      <c r="AC46" s="106">
        <f t="shared" si="39"/>
        <v>1.5739051094890513E-2</v>
      </c>
      <c r="AD46" s="15"/>
      <c r="AE46" s="93">
        <v>318</v>
      </c>
      <c r="AF46" s="15"/>
      <c r="AG46" s="17">
        <f t="shared" si="40"/>
        <v>-27</v>
      </c>
      <c r="AH46" s="15"/>
      <c r="AI46" s="110">
        <f t="shared" si="41"/>
        <v>1.6112687474665585E-2</v>
      </c>
    </row>
    <row r="47" spans="1:35" ht="13.2" x14ac:dyDescent="0.25">
      <c r="A47" s="26"/>
      <c r="B47" s="16"/>
      <c r="C47" s="95">
        <f>C40+C41+C42+C43+C44+C46</f>
        <v>3399</v>
      </c>
      <c r="D47" s="18"/>
      <c r="E47" s="106">
        <f t="shared" si="35"/>
        <v>0.17128603104212861</v>
      </c>
      <c r="F47" s="16"/>
      <c r="G47" s="95">
        <f>G40+G41+G42+G43+G44+G46</f>
        <v>3967</v>
      </c>
      <c r="H47" s="18"/>
      <c r="I47" s="17">
        <f t="shared" si="23"/>
        <v>568</v>
      </c>
      <c r="J47" s="18"/>
      <c r="K47" s="106">
        <f t="shared" si="32"/>
        <v>0.19615308544303797</v>
      </c>
      <c r="L47" s="18"/>
      <c r="M47" s="95">
        <f>M40+M41+M42+M43+M44+M46</f>
        <v>3600</v>
      </c>
      <c r="N47" s="18"/>
      <c r="O47" s="17">
        <f t="shared" si="33"/>
        <v>-367</v>
      </c>
      <c r="P47" s="18"/>
      <c r="Q47" s="106">
        <f t="shared" si="34"/>
        <v>0.17421602787456447</v>
      </c>
      <c r="R47" s="18"/>
      <c r="S47" s="95">
        <f>S40+S41+S42+S43+S44+S46</f>
        <v>8955</v>
      </c>
      <c r="T47" s="18"/>
      <c r="U47" s="17">
        <f t="shared" si="36"/>
        <v>5355</v>
      </c>
      <c r="V47" s="18"/>
      <c r="W47" s="106">
        <f t="shared" si="37"/>
        <v>0.40739729766616622</v>
      </c>
      <c r="X47" s="18"/>
      <c r="Y47" s="95">
        <f>Y40+Y41+Y42+Y43+Y44+Y45+Y46</f>
        <v>9738</v>
      </c>
      <c r="Z47" s="18"/>
      <c r="AA47" s="17">
        <f t="shared" si="38"/>
        <v>783</v>
      </c>
      <c r="AB47" s="18"/>
      <c r="AC47" s="106">
        <f t="shared" si="39"/>
        <v>0.44425182481751824</v>
      </c>
      <c r="AD47" s="18"/>
      <c r="AE47" s="95">
        <f>AE40+AE41+AE42+AE43+AE44+AE45+AE46</f>
        <v>8462</v>
      </c>
      <c r="AF47" s="18"/>
      <c r="AG47" s="17">
        <f t="shared" si="40"/>
        <v>-1276</v>
      </c>
      <c r="AH47" s="18"/>
      <c r="AI47" s="110">
        <f t="shared" si="41"/>
        <v>0.42875962707742199</v>
      </c>
    </row>
    <row r="48" spans="1:35" ht="13.2" x14ac:dyDescent="0.25">
      <c r="A48" s="25" t="s">
        <v>58</v>
      </c>
      <c r="B48" s="16"/>
      <c r="C48" s="92"/>
      <c r="D48" s="18"/>
      <c r="E48" s="106"/>
      <c r="F48" s="16"/>
      <c r="G48" s="92"/>
      <c r="H48" s="18"/>
      <c r="I48" s="17"/>
      <c r="J48" s="18"/>
      <c r="K48" s="106"/>
      <c r="L48" s="18"/>
      <c r="M48" s="92"/>
      <c r="N48" s="18"/>
      <c r="O48" s="17"/>
      <c r="P48" s="18"/>
      <c r="Q48" s="106"/>
      <c r="R48" s="18"/>
      <c r="S48" s="92"/>
      <c r="T48" s="18"/>
      <c r="U48" s="17"/>
      <c r="V48" s="18"/>
      <c r="W48" s="106"/>
      <c r="X48" s="18"/>
      <c r="Y48" s="92"/>
      <c r="Z48" s="18"/>
      <c r="AA48" s="17"/>
      <c r="AB48" s="18"/>
      <c r="AC48" s="106"/>
      <c r="AD48" s="18"/>
      <c r="AE48" s="92"/>
      <c r="AF48" s="18"/>
      <c r="AG48" s="17"/>
      <c r="AH48" s="18"/>
      <c r="AI48" s="110"/>
    </row>
    <row r="49" spans="1:35" ht="13.2" x14ac:dyDescent="0.25">
      <c r="A49" s="26" t="s">
        <v>59</v>
      </c>
      <c r="B49" s="14"/>
      <c r="C49" s="93">
        <v>6</v>
      </c>
      <c r="D49" s="15"/>
      <c r="E49" s="106">
        <f>C49/$C$58</f>
        <v>3.0235839548478128E-4</v>
      </c>
      <c r="F49" s="14"/>
      <c r="G49" s="93">
        <v>6</v>
      </c>
      <c r="H49" s="15"/>
      <c r="I49" s="17">
        <f t="shared" si="23"/>
        <v>0</v>
      </c>
      <c r="J49" s="15"/>
      <c r="K49" s="106">
        <f t="shared" ref="K49:K55" si="42">G49/$G$58</f>
        <v>2.9667721518987343E-4</v>
      </c>
      <c r="L49" s="15"/>
      <c r="M49" s="93">
        <v>6</v>
      </c>
      <c r="N49" s="15"/>
      <c r="O49" s="17">
        <f>M49-G49</f>
        <v>0</v>
      </c>
      <c r="P49" s="15"/>
      <c r="Q49" s="106">
        <f t="shared" ref="Q49:Q55" si="43">M49/$M$58</f>
        <v>2.9036004645760743E-4</v>
      </c>
      <c r="R49" s="15"/>
      <c r="S49" s="93">
        <v>6</v>
      </c>
      <c r="T49" s="15"/>
      <c r="U49" s="17">
        <f>S49-M49</f>
        <v>0</v>
      </c>
      <c r="V49" s="15"/>
      <c r="W49" s="106">
        <f>S49/$S$58</f>
        <v>2.729630135116692E-4</v>
      </c>
      <c r="X49" s="15"/>
      <c r="Y49" s="93">
        <v>6</v>
      </c>
      <c r="Z49" s="15"/>
      <c r="AA49" s="17">
        <f>Y49-S49</f>
        <v>0</v>
      </c>
      <c r="AB49" s="15"/>
      <c r="AC49" s="106">
        <f>Y49/$Y$58</f>
        <v>2.737226277372263E-4</v>
      </c>
      <c r="AD49" s="15"/>
      <c r="AE49" s="93">
        <v>6</v>
      </c>
      <c r="AF49" s="15"/>
      <c r="AG49" s="17">
        <f>AE49-Y49</f>
        <v>0</v>
      </c>
      <c r="AH49" s="15"/>
      <c r="AI49" s="110">
        <f>AE49/$AE$58</f>
        <v>3.0401297122010541E-4</v>
      </c>
    </row>
    <row r="50" spans="1:35" ht="13.2" x14ac:dyDescent="0.25">
      <c r="A50" s="26" t="s">
        <v>60</v>
      </c>
      <c r="B50" s="14"/>
      <c r="C50" s="91" t="s">
        <v>183</v>
      </c>
      <c r="D50" s="15"/>
      <c r="E50" s="106">
        <f t="shared" ref="E50:E58" si="44">C50/$C$58</f>
        <v>-0.13167708123362226</v>
      </c>
      <c r="F50" s="14"/>
      <c r="G50" s="91" t="s">
        <v>69</v>
      </c>
      <c r="H50" s="15"/>
      <c r="I50" s="17">
        <f t="shared" si="23"/>
        <v>-432</v>
      </c>
      <c r="J50" s="15"/>
      <c r="K50" s="106">
        <f t="shared" si="42"/>
        <v>-0.15056368670886075</v>
      </c>
      <c r="L50" s="15"/>
      <c r="M50" s="113" t="s">
        <v>71</v>
      </c>
      <c r="N50" s="15"/>
      <c r="O50" s="17">
        <f t="shared" ref="O50:O57" si="45">M50-G50</f>
        <v>-1095</v>
      </c>
      <c r="P50" s="15"/>
      <c r="Q50" s="106">
        <f t="shared" si="43"/>
        <v>-0.20034843205574912</v>
      </c>
      <c r="R50" s="15"/>
      <c r="S50" s="93">
        <v>-10032</v>
      </c>
      <c r="T50" s="15"/>
      <c r="U50" s="17">
        <f t="shared" ref="U50:U54" si="46">S50-M50</f>
        <v>-5892</v>
      </c>
      <c r="V50" s="15"/>
      <c r="W50" s="106">
        <f t="shared" ref="W50:W54" si="47">S50/$S$58</f>
        <v>-0.45639415859151083</v>
      </c>
      <c r="X50" s="15"/>
      <c r="Y50" s="113">
        <v>-12053</v>
      </c>
      <c r="Z50" s="15"/>
      <c r="AA50" s="17">
        <f t="shared" ref="AA50:AA54" si="48">Y50-S50</f>
        <v>-2021</v>
      </c>
      <c r="AB50" s="15"/>
      <c r="AC50" s="106">
        <f t="shared" ref="AC50:AC54" si="49">Y50/$Y$58</f>
        <v>-0.54986313868613135</v>
      </c>
      <c r="AD50" s="15"/>
      <c r="AE50" s="113">
        <v>-15053</v>
      </c>
      <c r="AF50" s="15"/>
      <c r="AG50" s="17">
        <f t="shared" ref="AG50:AG54" si="50">AE50-Y50</f>
        <v>-3000</v>
      </c>
      <c r="AH50" s="15"/>
      <c r="AI50" s="110">
        <f t="shared" ref="AI50:AI54" si="51">AE50/$AE$58</f>
        <v>-0.76271787596270779</v>
      </c>
    </row>
    <row r="51" spans="1:35" x14ac:dyDescent="0.3">
      <c r="A51" s="26" t="s">
        <v>61</v>
      </c>
      <c r="B51" s="20"/>
      <c r="C51" s="91" t="s">
        <v>184</v>
      </c>
      <c r="D51" s="14"/>
      <c r="E51" s="106">
        <f t="shared" si="44"/>
        <v>0.50876839346905867</v>
      </c>
      <c r="F51" s="20"/>
      <c r="G51" s="91" t="s">
        <v>70</v>
      </c>
      <c r="H51" s="14"/>
      <c r="I51" s="17">
        <f t="shared" si="23"/>
        <v>275</v>
      </c>
      <c r="J51" s="14"/>
      <c r="K51" s="106">
        <f t="shared" si="42"/>
        <v>0.51280656645569622</v>
      </c>
      <c r="L51" s="14"/>
      <c r="M51" s="91" t="s">
        <v>72</v>
      </c>
      <c r="N51" s="14"/>
      <c r="O51" s="17">
        <f t="shared" si="45"/>
        <v>412</v>
      </c>
      <c r="P51" s="14"/>
      <c r="Q51" s="106">
        <f t="shared" si="43"/>
        <v>0.52182539682539686</v>
      </c>
      <c r="R51" s="14"/>
      <c r="S51" s="91" t="s">
        <v>73</v>
      </c>
      <c r="T51" s="14"/>
      <c r="U51" s="17">
        <f t="shared" si="46"/>
        <v>-780</v>
      </c>
      <c r="V51" s="14"/>
      <c r="W51" s="106">
        <f t="shared" si="47"/>
        <v>0.4550748373595378</v>
      </c>
      <c r="X51" s="14"/>
      <c r="Y51" s="91" t="s">
        <v>75</v>
      </c>
      <c r="Z51" s="14"/>
      <c r="AA51" s="17">
        <f t="shared" si="48"/>
        <v>1461</v>
      </c>
      <c r="AB51" s="14"/>
      <c r="AC51" s="106">
        <f t="shared" si="49"/>
        <v>0.52299270072992698</v>
      </c>
      <c r="AD51" s="14"/>
      <c r="AE51" s="91" t="s">
        <v>77</v>
      </c>
      <c r="AF51" s="14"/>
      <c r="AG51" s="17">
        <f t="shared" si="50"/>
        <v>162</v>
      </c>
      <c r="AH51" s="14"/>
      <c r="AI51" s="110">
        <f t="shared" si="51"/>
        <v>0.58907580056749087</v>
      </c>
    </row>
    <row r="52" spans="1:35" ht="13.2" x14ac:dyDescent="0.25">
      <c r="A52" s="26" t="s">
        <v>62</v>
      </c>
      <c r="B52" s="14"/>
      <c r="C52" s="93">
        <v>4174</v>
      </c>
      <c r="D52" s="15"/>
      <c r="E52" s="106">
        <f t="shared" si="44"/>
        <v>0.21034065712557953</v>
      </c>
      <c r="F52" s="14"/>
      <c r="G52" s="93">
        <v>5537</v>
      </c>
      <c r="H52" s="15"/>
      <c r="I52" s="17">
        <f t="shared" si="23"/>
        <v>1363</v>
      </c>
      <c r="J52" s="15"/>
      <c r="K52" s="106">
        <f t="shared" si="42"/>
        <v>0.2737836234177215</v>
      </c>
      <c r="L52" s="15"/>
      <c r="M52" s="93">
        <v>7188</v>
      </c>
      <c r="N52" s="15"/>
      <c r="O52" s="17">
        <f t="shared" si="45"/>
        <v>1651</v>
      </c>
      <c r="P52" s="15"/>
      <c r="Q52" s="106">
        <f t="shared" si="43"/>
        <v>0.34785133565621368</v>
      </c>
      <c r="R52" s="15"/>
      <c r="S52" s="93">
        <v>9012</v>
      </c>
      <c r="T52" s="15"/>
      <c r="U52" s="17">
        <f t="shared" si="46"/>
        <v>1824</v>
      </c>
      <c r="V52" s="15"/>
      <c r="W52" s="106">
        <f t="shared" si="47"/>
        <v>0.40999044629452708</v>
      </c>
      <c r="X52" s="15"/>
      <c r="Y52" s="93">
        <v>10374</v>
      </c>
      <c r="Z52" s="15"/>
      <c r="AA52" s="17">
        <f t="shared" si="48"/>
        <v>1362</v>
      </c>
      <c r="AB52" s="15"/>
      <c r="AC52" s="106">
        <f t="shared" si="49"/>
        <v>0.47326642335766422</v>
      </c>
      <c r="AD52" s="15"/>
      <c r="AE52" s="93">
        <v>10763</v>
      </c>
      <c r="AF52" s="15"/>
      <c r="AG52" s="17">
        <f t="shared" si="50"/>
        <v>389</v>
      </c>
      <c r="AH52" s="15"/>
      <c r="AI52" s="110">
        <f t="shared" si="51"/>
        <v>0.54534860154033238</v>
      </c>
    </row>
    <row r="53" spans="1:35" x14ac:dyDescent="0.3">
      <c r="A53" s="26" t="s">
        <v>63</v>
      </c>
      <c r="B53" s="20"/>
      <c r="C53" s="93">
        <v>-116</v>
      </c>
      <c r="D53" s="14"/>
      <c r="E53" s="106">
        <f t="shared" si="44"/>
        <v>-5.8455956460391053E-3</v>
      </c>
      <c r="F53" s="20"/>
      <c r="G53" s="93">
        <v>-1036</v>
      </c>
      <c r="H53" s="14"/>
      <c r="I53" s="17">
        <f t="shared" si="23"/>
        <v>-920</v>
      </c>
      <c r="J53" s="14"/>
      <c r="K53" s="106">
        <f t="shared" si="42"/>
        <v>-5.1226265822784812E-2</v>
      </c>
      <c r="L53" s="14"/>
      <c r="M53" s="93">
        <v>-1278</v>
      </c>
      <c r="N53" s="14"/>
      <c r="O53" s="17">
        <f t="shared" si="45"/>
        <v>-242</v>
      </c>
      <c r="P53" s="14"/>
      <c r="Q53" s="106">
        <f t="shared" si="43"/>
        <v>-6.1846689895470382E-2</v>
      </c>
      <c r="R53" s="14"/>
      <c r="S53" s="93">
        <v>-1114</v>
      </c>
      <c r="T53" s="14"/>
      <c r="U53" s="17">
        <f t="shared" si="46"/>
        <v>164</v>
      </c>
      <c r="V53" s="14"/>
      <c r="W53" s="106">
        <f t="shared" si="47"/>
        <v>-5.068013284199991E-2</v>
      </c>
      <c r="X53" s="14"/>
      <c r="Y53" s="93">
        <v>-2801</v>
      </c>
      <c r="Z53" s="14"/>
      <c r="AA53" s="17">
        <f t="shared" si="48"/>
        <v>-1687</v>
      </c>
      <c r="AB53" s="14"/>
      <c r="AC53" s="106">
        <f t="shared" si="49"/>
        <v>-0.12778284671532847</v>
      </c>
      <c r="AD53" s="14"/>
      <c r="AE53" s="93">
        <v>-2808</v>
      </c>
      <c r="AF53" s="14"/>
      <c r="AG53" s="17">
        <f t="shared" si="50"/>
        <v>-7</v>
      </c>
      <c r="AH53" s="14"/>
      <c r="AI53" s="110">
        <f t="shared" si="51"/>
        <v>-0.14227807053100933</v>
      </c>
    </row>
    <row r="54" spans="1:35" x14ac:dyDescent="0.3">
      <c r="A54" s="26" t="s">
        <v>64</v>
      </c>
      <c r="B54" s="20"/>
      <c r="C54" s="94">
        <v>-2</v>
      </c>
      <c r="D54" s="14"/>
      <c r="E54" s="106">
        <f t="shared" si="44"/>
        <v>-1.0078613182826043E-4</v>
      </c>
      <c r="F54" s="20"/>
      <c r="G54" s="94">
        <v>0</v>
      </c>
      <c r="H54" s="14"/>
      <c r="I54" s="17">
        <f t="shared" si="23"/>
        <v>2</v>
      </c>
      <c r="J54" s="14"/>
      <c r="K54" s="106">
        <f t="shared" si="42"/>
        <v>0</v>
      </c>
      <c r="L54" s="14"/>
      <c r="M54" s="93">
        <v>0</v>
      </c>
      <c r="N54" s="14"/>
      <c r="O54" s="17">
        <f t="shared" si="45"/>
        <v>0</v>
      </c>
      <c r="P54" s="14"/>
      <c r="Q54" s="106">
        <f t="shared" si="43"/>
        <v>0</v>
      </c>
      <c r="R54" s="14"/>
      <c r="S54" s="93">
        <v>0</v>
      </c>
      <c r="T54" s="14"/>
      <c r="U54" s="17">
        <f t="shared" si="46"/>
        <v>0</v>
      </c>
      <c r="V54" s="14"/>
      <c r="W54" s="106">
        <f t="shared" si="47"/>
        <v>0</v>
      </c>
      <c r="X54" s="14"/>
      <c r="Y54" s="93">
        <v>0</v>
      </c>
      <c r="Z54" s="14"/>
      <c r="AA54" s="17">
        <f t="shared" si="48"/>
        <v>0</v>
      </c>
      <c r="AB54" s="14"/>
      <c r="AC54" s="106">
        <f t="shared" si="49"/>
        <v>0</v>
      </c>
      <c r="AD54" s="14"/>
      <c r="AE54" s="93">
        <v>0</v>
      </c>
      <c r="AF54" s="14"/>
      <c r="AG54" s="17">
        <f t="shared" si="50"/>
        <v>0</v>
      </c>
      <c r="AH54" s="14"/>
      <c r="AI54" s="110">
        <f t="shared" si="51"/>
        <v>0</v>
      </c>
    </row>
    <row r="55" spans="1:35" x14ac:dyDescent="0.3">
      <c r="A55" s="26"/>
      <c r="B55" s="86"/>
      <c r="C55" s="95">
        <f>C49+C50+C51+C52+C53+C54</f>
        <v>11545</v>
      </c>
      <c r="D55" s="86"/>
      <c r="E55" s="106">
        <f t="shared" si="44"/>
        <v>0.58178794597863337</v>
      </c>
      <c r="F55" s="86"/>
      <c r="G55" s="95">
        <f>G49+G50+G51+G52+G53+G54</f>
        <v>11833</v>
      </c>
      <c r="H55" s="86"/>
      <c r="I55" s="17">
        <f t="shared" si="23"/>
        <v>288</v>
      </c>
      <c r="J55" s="86"/>
      <c r="K55" s="106">
        <f t="shared" si="42"/>
        <v>0.585096914556962</v>
      </c>
      <c r="L55" s="86"/>
      <c r="M55" s="95">
        <f>M49+M50+M51+M52+M53+M54</f>
        <v>12559</v>
      </c>
      <c r="N55" s="86"/>
      <c r="O55" s="17">
        <f t="shared" si="45"/>
        <v>726</v>
      </c>
      <c r="P55" s="86"/>
      <c r="Q55" s="106">
        <f t="shared" si="43"/>
        <v>0.60777197057684862</v>
      </c>
      <c r="R55" s="86"/>
      <c r="S55" s="95">
        <f>S49+S50+S51+S52+S53+S54</f>
        <v>7875</v>
      </c>
      <c r="T55" s="86"/>
      <c r="U55" s="17">
        <f>S55-M55</f>
        <v>-4684</v>
      </c>
      <c r="V55" s="86"/>
      <c r="W55" s="106">
        <f>S55/$S$58</f>
        <v>0.35826395523406579</v>
      </c>
      <c r="X55" s="86"/>
      <c r="Y55" s="95">
        <f>Y49+Y50+Y51+Y52+Y53+Y54</f>
        <v>6990</v>
      </c>
      <c r="Z55" s="86"/>
      <c r="AA55" s="17">
        <f>Y55-S55</f>
        <v>-885</v>
      </c>
      <c r="AB55" s="86"/>
      <c r="AC55" s="106">
        <f>Y55/$Y$58</f>
        <v>0.31888686131386862</v>
      </c>
      <c r="AD55" s="86"/>
      <c r="AE55" s="95">
        <f>AE49+AE50+AE51+AE52+AE53+AE54</f>
        <v>4534</v>
      </c>
      <c r="AF55" s="86"/>
      <c r="AG55" s="17">
        <f>AE55-Y55</f>
        <v>-2456</v>
      </c>
      <c r="AH55" s="86"/>
      <c r="AI55" s="110">
        <f>AE55/$AE$58</f>
        <v>0.22973246858532631</v>
      </c>
    </row>
    <row r="56" spans="1:35" x14ac:dyDescent="0.3">
      <c r="A56" s="159" t="s">
        <v>65</v>
      </c>
      <c r="B56" s="160"/>
      <c r="C56" s="162">
        <v>171</v>
      </c>
      <c r="D56" s="160"/>
      <c r="E56" s="106">
        <f t="shared" si="44"/>
        <v>8.6172142713162661E-3</v>
      </c>
      <c r="F56" s="160"/>
      <c r="G56" s="162">
        <v>203</v>
      </c>
      <c r="H56" s="160"/>
      <c r="I56" s="17">
        <f t="shared" si="23"/>
        <v>32</v>
      </c>
      <c r="J56" s="160"/>
      <c r="K56" s="106">
        <f t="shared" ref="K56:K57" si="52">G56/$G$58</f>
        <v>1.003757911392405E-2</v>
      </c>
      <c r="L56" s="160"/>
      <c r="M56" s="162">
        <v>169</v>
      </c>
      <c r="N56" s="160"/>
      <c r="O56" s="17">
        <f t="shared" si="45"/>
        <v>-34</v>
      </c>
      <c r="P56" s="160"/>
      <c r="Q56" s="106">
        <f t="shared" ref="Q56:Q57" si="53">M56/$M$58</f>
        <v>8.1784746418892759E-3</v>
      </c>
      <c r="R56" s="160"/>
      <c r="S56" s="162">
        <v>39</v>
      </c>
      <c r="T56" s="160"/>
      <c r="U56" s="17">
        <f t="shared" ref="U56:U58" si="54">S56-M56</f>
        <v>-130</v>
      </c>
      <c r="V56" s="160"/>
      <c r="W56" s="106">
        <f t="shared" ref="W56:W58" si="55">S56/$S$58</f>
        <v>1.7742595878258497E-3</v>
      </c>
      <c r="X56" s="160"/>
      <c r="Y56" s="162">
        <v>15</v>
      </c>
      <c r="Z56" s="160"/>
      <c r="AA56" s="17">
        <f t="shared" ref="AA56:AA58" si="56">Y56-S56</f>
        <v>-24</v>
      </c>
      <c r="AB56" s="160"/>
      <c r="AC56" s="106">
        <f t="shared" ref="AC56:AC58" si="57">Y56/$Y$58</f>
        <v>6.8430656934306573E-4</v>
      </c>
      <c r="AD56" s="160"/>
      <c r="AE56" s="162">
        <v>11</v>
      </c>
      <c r="AF56" s="160"/>
      <c r="AG56" s="17">
        <f t="shared" ref="AG56:AG58" si="58">AE56-Y56</f>
        <v>-4</v>
      </c>
      <c r="AH56" s="160"/>
      <c r="AI56" s="110">
        <f t="shared" ref="AI56:AI58" si="59">AE56/$AE$58</f>
        <v>5.5735711390352655E-4</v>
      </c>
    </row>
    <row r="57" spans="1:35" x14ac:dyDescent="0.3">
      <c r="A57" s="159"/>
      <c r="B57" s="160"/>
      <c r="C57" s="161">
        <f>C55+C56</f>
        <v>11716</v>
      </c>
      <c r="D57" s="160"/>
      <c r="E57" s="106">
        <f t="shared" si="44"/>
        <v>0.5904051602499496</v>
      </c>
      <c r="F57" s="160"/>
      <c r="G57" s="161">
        <f>G55+G56</f>
        <v>12036</v>
      </c>
      <c r="H57" s="160"/>
      <c r="I57" s="17">
        <f t="shared" si="23"/>
        <v>320</v>
      </c>
      <c r="J57" s="160"/>
      <c r="K57" s="106">
        <f t="shared" si="52"/>
        <v>0.59513449367088611</v>
      </c>
      <c r="L57" s="160"/>
      <c r="M57" s="161">
        <f>M55+M56</f>
        <v>12728</v>
      </c>
      <c r="N57" s="160"/>
      <c r="O57" s="17">
        <f t="shared" si="45"/>
        <v>692</v>
      </c>
      <c r="P57" s="160"/>
      <c r="Q57" s="106">
        <f t="shared" si="53"/>
        <v>0.61595044521873787</v>
      </c>
      <c r="R57" s="160"/>
      <c r="S57" s="161">
        <f>S55+S56</f>
        <v>7914</v>
      </c>
      <c r="T57" s="160"/>
      <c r="U57" s="17">
        <f t="shared" si="54"/>
        <v>-4814</v>
      </c>
      <c r="V57" s="160"/>
      <c r="W57" s="106">
        <f t="shared" si="55"/>
        <v>0.36003821482189163</v>
      </c>
      <c r="X57" s="160"/>
      <c r="Y57" s="161">
        <f>Y55+Y56</f>
        <v>7005</v>
      </c>
      <c r="Z57" s="160"/>
      <c r="AA57" s="17">
        <f t="shared" si="56"/>
        <v>-909</v>
      </c>
      <c r="AB57" s="160"/>
      <c r="AC57" s="106">
        <f t="shared" si="57"/>
        <v>0.31957116788321166</v>
      </c>
      <c r="AD57" s="160"/>
      <c r="AE57" s="161">
        <f>AE55+AE56</f>
        <v>4545</v>
      </c>
      <c r="AF57" s="160"/>
      <c r="AG57" s="17">
        <f t="shared" si="58"/>
        <v>-2460</v>
      </c>
      <c r="AH57" s="160"/>
      <c r="AI57" s="110">
        <f t="shared" si="59"/>
        <v>0.23028982569922984</v>
      </c>
    </row>
    <row r="58" spans="1:35" ht="15" thickBot="1" x14ac:dyDescent="0.35">
      <c r="A58" s="28" t="s">
        <v>66</v>
      </c>
      <c r="B58" s="87"/>
      <c r="C58" s="96">
        <f>C38+C47+C57</f>
        <v>19844</v>
      </c>
      <c r="D58" s="87"/>
      <c r="E58" s="107">
        <f t="shared" si="44"/>
        <v>1</v>
      </c>
      <c r="F58" s="87"/>
      <c r="G58" s="96">
        <f>G38+G47+G57</f>
        <v>20224</v>
      </c>
      <c r="H58" s="87"/>
      <c r="I58" s="88">
        <f t="shared" si="23"/>
        <v>380</v>
      </c>
      <c r="J58" s="87"/>
      <c r="K58" s="107">
        <v>1</v>
      </c>
      <c r="L58" s="87"/>
      <c r="M58" s="96">
        <f>M38+M47+M57</f>
        <v>20664</v>
      </c>
      <c r="N58" s="87"/>
      <c r="O58" s="88">
        <f t="shared" ref="O58" si="60">M58-G58</f>
        <v>440</v>
      </c>
      <c r="P58" s="87"/>
      <c r="Q58" s="107">
        <v>1</v>
      </c>
      <c r="R58" s="87"/>
      <c r="S58" s="96">
        <f>S38+S47+S57</f>
        <v>21981</v>
      </c>
      <c r="T58" s="87"/>
      <c r="U58" s="88">
        <f t="shared" si="54"/>
        <v>1317</v>
      </c>
      <c r="V58" s="87"/>
      <c r="W58" s="107">
        <f t="shared" si="55"/>
        <v>1</v>
      </c>
      <c r="X58" s="87"/>
      <c r="Y58" s="96">
        <f>Y38+Y47+Y57</f>
        <v>21920</v>
      </c>
      <c r="Z58" s="87"/>
      <c r="AA58" s="88">
        <f t="shared" si="56"/>
        <v>-61</v>
      </c>
      <c r="AB58" s="87"/>
      <c r="AC58" s="107">
        <f t="shared" si="57"/>
        <v>1</v>
      </c>
      <c r="AD58" s="87"/>
      <c r="AE58" s="96">
        <f>AE38+AE47+AE57</f>
        <v>19736</v>
      </c>
      <c r="AF58" s="87"/>
      <c r="AG58" s="88">
        <f t="shared" si="58"/>
        <v>-2184</v>
      </c>
      <c r="AH58" s="87"/>
      <c r="AI58" s="111">
        <f t="shared" si="59"/>
        <v>1</v>
      </c>
    </row>
    <row r="59" spans="1:35" x14ac:dyDescent="0.3">
      <c r="A59" s="10"/>
      <c r="B59" s="11"/>
      <c r="C59" s="12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12"/>
      <c r="R59" s="11"/>
      <c r="S59" s="12"/>
      <c r="T59" s="11"/>
      <c r="U59" s="12"/>
      <c r="V59" s="11"/>
      <c r="W59" s="12"/>
      <c r="X59" s="11"/>
      <c r="Y59" s="12"/>
      <c r="Z59" s="11"/>
      <c r="AA59" s="12"/>
      <c r="AB59" s="11"/>
      <c r="AC59" s="12"/>
      <c r="AD59" s="11"/>
      <c r="AE59" s="12"/>
      <c r="AF59" s="11"/>
      <c r="AG59" s="12"/>
      <c r="AH59" s="11"/>
      <c r="AI59" s="12"/>
    </row>
    <row r="60" spans="1:35" x14ac:dyDescent="0.3">
      <c r="A60" s="10"/>
      <c r="B60" s="11"/>
      <c r="C60" s="12"/>
      <c r="D60" s="11"/>
      <c r="E60" s="12"/>
      <c r="F60" s="11"/>
      <c r="G60" s="12"/>
      <c r="H60" s="11"/>
      <c r="I60" s="12"/>
      <c r="J60" s="11"/>
      <c r="K60" s="12"/>
      <c r="L60" s="11"/>
      <c r="M60" s="12"/>
      <c r="N60" s="11"/>
      <c r="O60" s="12"/>
      <c r="P60" s="11"/>
      <c r="Q60" s="12"/>
      <c r="R60" s="11"/>
      <c r="S60" s="12"/>
      <c r="T60" s="11"/>
      <c r="U60" s="12"/>
      <c r="V60" s="11"/>
      <c r="W60" s="12"/>
      <c r="X60" s="11"/>
      <c r="Y60" s="12"/>
      <c r="Z60" s="11"/>
      <c r="AA60" s="12"/>
      <c r="AB60" s="11"/>
      <c r="AC60" s="12"/>
      <c r="AD60" s="11"/>
      <c r="AE60" s="12"/>
      <c r="AF60" s="11"/>
      <c r="AG60" s="12"/>
      <c r="AH60" s="11"/>
      <c r="AI60" s="12"/>
    </row>
    <row r="62" spans="1:35" x14ac:dyDescent="0.3">
      <c r="D62" s="5"/>
      <c r="H62" s="5"/>
      <c r="J62" s="5"/>
      <c r="L62" s="5"/>
      <c r="N62" s="5"/>
      <c r="P62" s="5"/>
      <c r="R62" s="5"/>
      <c r="T62" s="5"/>
      <c r="V62" s="5"/>
      <c r="X62" s="5"/>
      <c r="Z62" s="5"/>
      <c r="AB62" s="5"/>
      <c r="AD62" s="5"/>
      <c r="AF62" s="5"/>
      <c r="AH62" s="5"/>
    </row>
  </sheetData>
  <hyperlinks>
    <hyperlink ref="A1:M1" location="Index!A1" display="Zurück zum Index" xr:uid="{2DF931E3-09E0-4C8C-B5BC-719E45810A12}"/>
    <hyperlink ref="R1" location="Index!A1" display="Zurück zum Index" xr:uid="{A1F2AC68-9039-4D56-AA68-B6E7856E1270}"/>
    <hyperlink ref="S1" location="Index!A1" display="Zurück zum Index" xr:uid="{E488BBEF-8707-4CF7-8A71-A2DB7F007E86}"/>
    <hyperlink ref="O1" location="Index!A1" display="Zurück zum Index" xr:uid="{5F3A09A7-DDDC-46C4-A1BA-34A89D13D8AA}"/>
    <hyperlink ref="N1" location="Index!A1" display="Zurück zum Index" xr:uid="{857008EF-4736-44AC-A669-E20ED3AEA0E9}"/>
    <hyperlink ref="T1" location="Index!A1" display="Zurück zum Index" xr:uid="{743A31C2-A501-458A-8672-EB669DA16E82}"/>
    <hyperlink ref="U1" location="Index!A1" display="Zurück zum Index" xr:uid="{BE3E0B50-D8DA-4429-B357-CFCAFCEB2F4F}"/>
    <hyperlink ref="AA1" location="Index!A1" display="Zurück zum Index" xr:uid="{791379C2-8C92-4871-A05A-43DC08A15EB1}"/>
    <hyperlink ref="AE1" location="Index!A1" display="Zurück zum Index" xr:uid="{6CFCA2DA-2B29-44C6-8CD3-BE7B7E29495F}"/>
    <hyperlink ref="AF1" location="Index!A1" display="Zurück zum Index" xr:uid="{6565653C-FE8D-4F26-835C-46665EAAAD62}"/>
    <hyperlink ref="P1" location="Index!A1" display="Zurück zum Index" xr:uid="{3E2BD3F9-5614-4C5B-B6F6-BEBF2D3776A2}"/>
    <hyperlink ref="Y1" location="Index!A1" display="Zurück zum Index" xr:uid="{0FCF3508-ED2C-4000-B7F1-D8FE5FCD514E}"/>
    <hyperlink ref="X1" location="Index!A1" display="Zurück zum Index" xr:uid="{0404B424-F702-41EE-AFD1-3183962BC4DC}"/>
    <hyperlink ref="Z1" location="Index!A1" display="Zurück zum Index" xr:uid="{CBB6978C-85F6-4E80-BA1A-07A2F8C474B1}"/>
    <hyperlink ref="J1" location="Index!A1" display="Zurück zum Index" xr:uid="{DEEE8798-3651-4B56-8425-7684133F832B}"/>
    <hyperlink ref="V1" location="Index!A1" display="Zurück zum Index" xr:uid="{AC36B015-C8C0-4F3C-B970-A2D0232499A3}"/>
    <hyperlink ref="AD1" location="Index!A1" display="Zurück zum Index" xr:uid="{90259442-57AA-4B3D-A55C-F09A660F2D44}"/>
    <hyperlink ref="AG1" location="Index!A1" display="Zurück zum Index" xr:uid="{819A8568-3CC6-430E-BAA9-445CB7144EDC}"/>
    <hyperlink ref="AB1" location="Index!A1" display="Zurück zum Index" xr:uid="{44ACBD7B-7C81-4DA9-AB21-E978777CD895}"/>
    <hyperlink ref="AH1" location="Index!A1" display="Zurück zum Index" xr:uid="{2E1310BE-5AF5-46D3-863D-7B80FDDC8D98}"/>
    <hyperlink ref="C1" location="Index!A1" display="Zurück zum Index" xr:uid="{6B545BA3-CD9F-48C1-8696-715C7052B268}"/>
    <hyperlink ref="B1" location="Index!A1" display="Zurück zum Index" xr:uid="{55B75DEC-9FC8-4E69-A749-EEAD96E607B4}"/>
    <hyperlink ref="H1" location="Index!A1" display="Zurück zum Index" xr:uid="{205B3298-8AC3-4CD5-B039-0D2026E2B2F8}"/>
    <hyperlink ref="I1" location="Index!A1" display="Zurück zum Index" xr:uid="{9C65CA0F-8D48-44D6-BB97-95285AA92B68}"/>
  </hyperlink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4E3D-8A3E-4DE3-B8F0-D09E45B49FCA}">
  <dimension ref="A1:AL59"/>
  <sheetViews>
    <sheetView tabSelected="1" zoomScale="90" zoomScaleNormal="90" workbookViewId="0">
      <pane xSplit="1" topLeftCell="B1" activePane="topRight" state="frozen"/>
      <selection pane="topRight"/>
    </sheetView>
  </sheetViews>
  <sheetFormatPr defaultColWidth="11.44140625" defaultRowHeight="14.4" x14ac:dyDescent="0.3"/>
  <cols>
    <col min="1" max="1" width="83" style="3" customWidth="1"/>
    <col min="2" max="2" width="0.5546875" customWidth="1"/>
    <col min="3" max="3" width="18.109375" style="2" customWidth="1"/>
    <col min="4" max="4" width="0.5546875" customWidth="1"/>
    <col min="5" max="5" width="18.109375" style="2" customWidth="1"/>
    <col min="6" max="6" width="0.6640625" customWidth="1"/>
    <col min="7" max="7" width="24.44140625" style="2" customWidth="1"/>
    <col min="8" max="8" width="11.109375" customWidth="1"/>
    <col min="9" max="9" width="18.109375" style="2" customWidth="1"/>
    <col min="10" max="10" width="0.6640625" customWidth="1"/>
    <col min="11" max="11" width="18.109375" style="2" customWidth="1"/>
    <col min="12" max="12" width="0.6640625" customWidth="1"/>
    <col min="13" max="13" width="18.109375" style="2" customWidth="1"/>
    <col min="14" max="14" width="0.6640625" customWidth="1"/>
    <col min="15" max="15" width="18.109375" style="2" customWidth="1"/>
    <col min="16" max="16" width="0.6640625" customWidth="1"/>
    <col min="17" max="17" width="18.109375" style="2" customWidth="1"/>
    <col min="18" max="18" width="0.6640625" customWidth="1"/>
    <col min="19" max="19" width="18.109375" style="2" customWidth="1"/>
    <col min="20" max="20" width="0.6640625" customWidth="1"/>
    <col min="21" max="21" width="18.109375" style="2" customWidth="1"/>
    <col min="22" max="22" width="0.6640625" customWidth="1"/>
    <col min="23" max="23" width="18.109375" style="2" customWidth="1"/>
    <col min="24" max="38" width="11.44140625" style="2"/>
    <col min="39" max="266" width="11.44140625" style="3"/>
    <col min="267" max="267" width="83" style="3" customWidth="1"/>
    <col min="268" max="268" width="0.5546875" style="3" customWidth="1"/>
    <col min="269" max="269" width="18.109375" style="3" customWidth="1"/>
    <col min="270" max="270" width="0.6640625" style="3" customWidth="1"/>
    <col min="271" max="271" width="18.109375" style="3" customWidth="1"/>
    <col min="272" max="272" width="0.6640625" style="3" customWidth="1"/>
    <col min="273" max="273" width="18.109375" style="3" customWidth="1"/>
    <col min="274" max="522" width="11.44140625" style="3"/>
    <col min="523" max="523" width="83" style="3" customWidth="1"/>
    <col min="524" max="524" width="0.5546875" style="3" customWidth="1"/>
    <col min="525" max="525" width="18.109375" style="3" customWidth="1"/>
    <col min="526" max="526" width="0.6640625" style="3" customWidth="1"/>
    <col min="527" max="527" width="18.109375" style="3" customWidth="1"/>
    <col min="528" max="528" width="0.6640625" style="3" customWidth="1"/>
    <col min="529" max="529" width="18.109375" style="3" customWidth="1"/>
    <col min="530" max="778" width="11.44140625" style="3"/>
    <col min="779" max="779" width="83" style="3" customWidth="1"/>
    <col min="780" max="780" width="0.5546875" style="3" customWidth="1"/>
    <col min="781" max="781" width="18.109375" style="3" customWidth="1"/>
    <col min="782" max="782" width="0.6640625" style="3" customWidth="1"/>
    <col min="783" max="783" width="18.109375" style="3" customWidth="1"/>
    <col min="784" max="784" width="0.6640625" style="3" customWidth="1"/>
    <col min="785" max="785" width="18.109375" style="3" customWidth="1"/>
    <col min="786" max="1034" width="11.44140625" style="3"/>
    <col min="1035" max="1035" width="83" style="3" customWidth="1"/>
    <col min="1036" max="1036" width="0.5546875" style="3" customWidth="1"/>
    <col min="1037" max="1037" width="18.109375" style="3" customWidth="1"/>
    <col min="1038" max="1038" width="0.6640625" style="3" customWidth="1"/>
    <col min="1039" max="1039" width="18.109375" style="3" customWidth="1"/>
    <col min="1040" max="1040" width="0.6640625" style="3" customWidth="1"/>
    <col min="1041" max="1041" width="18.109375" style="3" customWidth="1"/>
    <col min="1042" max="1290" width="11.44140625" style="3"/>
    <col min="1291" max="1291" width="83" style="3" customWidth="1"/>
    <col min="1292" max="1292" width="0.5546875" style="3" customWidth="1"/>
    <col min="1293" max="1293" width="18.109375" style="3" customWidth="1"/>
    <col min="1294" max="1294" width="0.6640625" style="3" customWidth="1"/>
    <col min="1295" max="1295" width="18.109375" style="3" customWidth="1"/>
    <col min="1296" max="1296" width="0.6640625" style="3" customWidth="1"/>
    <col min="1297" max="1297" width="18.109375" style="3" customWidth="1"/>
    <col min="1298" max="1546" width="11.44140625" style="3"/>
    <col min="1547" max="1547" width="83" style="3" customWidth="1"/>
    <col min="1548" max="1548" width="0.5546875" style="3" customWidth="1"/>
    <col min="1549" max="1549" width="18.109375" style="3" customWidth="1"/>
    <col min="1550" max="1550" width="0.6640625" style="3" customWidth="1"/>
    <col min="1551" max="1551" width="18.109375" style="3" customWidth="1"/>
    <col min="1552" max="1552" width="0.6640625" style="3" customWidth="1"/>
    <col min="1553" max="1553" width="18.109375" style="3" customWidth="1"/>
    <col min="1554" max="1802" width="11.44140625" style="3"/>
    <col min="1803" max="1803" width="83" style="3" customWidth="1"/>
    <col min="1804" max="1804" width="0.5546875" style="3" customWidth="1"/>
    <col min="1805" max="1805" width="18.109375" style="3" customWidth="1"/>
    <col min="1806" max="1806" width="0.6640625" style="3" customWidth="1"/>
    <col min="1807" max="1807" width="18.109375" style="3" customWidth="1"/>
    <col min="1808" max="1808" width="0.6640625" style="3" customWidth="1"/>
    <col min="1809" max="1809" width="18.109375" style="3" customWidth="1"/>
    <col min="1810" max="2058" width="11.44140625" style="3"/>
    <col min="2059" max="2059" width="83" style="3" customWidth="1"/>
    <col min="2060" max="2060" width="0.5546875" style="3" customWidth="1"/>
    <col min="2061" max="2061" width="18.109375" style="3" customWidth="1"/>
    <col min="2062" max="2062" width="0.6640625" style="3" customWidth="1"/>
    <col min="2063" max="2063" width="18.109375" style="3" customWidth="1"/>
    <col min="2064" max="2064" width="0.6640625" style="3" customWidth="1"/>
    <col min="2065" max="2065" width="18.109375" style="3" customWidth="1"/>
    <col min="2066" max="2314" width="11.44140625" style="3"/>
    <col min="2315" max="2315" width="83" style="3" customWidth="1"/>
    <col min="2316" max="2316" width="0.5546875" style="3" customWidth="1"/>
    <col min="2317" max="2317" width="18.109375" style="3" customWidth="1"/>
    <col min="2318" max="2318" width="0.6640625" style="3" customWidth="1"/>
    <col min="2319" max="2319" width="18.109375" style="3" customWidth="1"/>
    <col min="2320" max="2320" width="0.6640625" style="3" customWidth="1"/>
    <col min="2321" max="2321" width="18.109375" style="3" customWidth="1"/>
    <col min="2322" max="2570" width="11.44140625" style="3"/>
    <col min="2571" max="2571" width="83" style="3" customWidth="1"/>
    <col min="2572" max="2572" width="0.5546875" style="3" customWidth="1"/>
    <col min="2573" max="2573" width="18.109375" style="3" customWidth="1"/>
    <col min="2574" max="2574" width="0.6640625" style="3" customWidth="1"/>
    <col min="2575" max="2575" width="18.109375" style="3" customWidth="1"/>
    <col min="2576" max="2576" width="0.6640625" style="3" customWidth="1"/>
    <col min="2577" max="2577" width="18.109375" style="3" customWidth="1"/>
    <col min="2578" max="2826" width="11.44140625" style="3"/>
    <col min="2827" max="2827" width="83" style="3" customWidth="1"/>
    <col min="2828" max="2828" width="0.5546875" style="3" customWidth="1"/>
    <col min="2829" max="2829" width="18.109375" style="3" customWidth="1"/>
    <col min="2830" max="2830" width="0.6640625" style="3" customWidth="1"/>
    <col min="2831" max="2831" width="18.109375" style="3" customWidth="1"/>
    <col min="2832" max="2832" width="0.6640625" style="3" customWidth="1"/>
    <col min="2833" max="2833" width="18.109375" style="3" customWidth="1"/>
    <col min="2834" max="3082" width="11.44140625" style="3"/>
    <col min="3083" max="3083" width="83" style="3" customWidth="1"/>
    <col min="3084" max="3084" width="0.5546875" style="3" customWidth="1"/>
    <col min="3085" max="3085" width="18.109375" style="3" customWidth="1"/>
    <col min="3086" max="3086" width="0.6640625" style="3" customWidth="1"/>
    <col min="3087" max="3087" width="18.109375" style="3" customWidth="1"/>
    <col min="3088" max="3088" width="0.6640625" style="3" customWidth="1"/>
    <col min="3089" max="3089" width="18.109375" style="3" customWidth="1"/>
    <col min="3090" max="3338" width="11.44140625" style="3"/>
    <col min="3339" max="3339" width="83" style="3" customWidth="1"/>
    <col min="3340" max="3340" width="0.5546875" style="3" customWidth="1"/>
    <col min="3341" max="3341" width="18.109375" style="3" customWidth="1"/>
    <col min="3342" max="3342" width="0.6640625" style="3" customWidth="1"/>
    <col min="3343" max="3343" width="18.109375" style="3" customWidth="1"/>
    <col min="3344" max="3344" width="0.6640625" style="3" customWidth="1"/>
    <col min="3345" max="3345" width="18.109375" style="3" customWidth="1"/>
    <col min="3346" max="3594" width="11.44140625" style="3"/>
    <col min="3595" max="3595" width="83" style="3" customWidth="1"/>
    <col min="3596" max="3596" width="0.5546875" style="3" customWidth="1"/>
    <col min="3597" max="3597" width="18.109375" style="3" customWidth="1"/>
    <col min="3598" max="3598" width="0.6640625" style="3" customWidth="1"/>
    <col min="3599" max="3599" width="18.109375" style="3" customWidth="1"/>
    <col min="3600" max="3600" width="0.6640625" style="3" customWidth="1"/>
    <col min="3601" max="3601" width="18.109375" style="3" customWidth="1"/>
    <col min="3602" max="3850" width="11.44140625" style="3"/>
    <col min="3851" max="3851" width="83" style="3" customWidth="1"/>
    <col min="3852" max="3852" width="0.5546875" style="3" customWidth="1"/>
    <col min="3853" max="3853" width="18.109375" style="3" customWidth="1"/>
    <col min="3854" max="3854" width="0.6640625" style="3" customWidth="1"/>
    <col min="3855" max="3855" width="18.109375" style="3" customWidth="1"/>
    <col min="3856" max="3856" width="0.6640625" style="3" customWidth="1"/>
    <col min="3857" max="3857" width="18.109375" style="3" customWidth="1"/>
    <col min="3858" max="4106" width="11.44140625" style="3"/>
    <col min="4107" max="4107" width="83" style="3" customWidth="1"/>
    <col min="4108" max="4108" width="0.5546875" style="3" customWidth="1"/>
    <col min="4109" max="4109" width="18.109375" style="3" customWidth="1"/>
    <col min="4110" max="4110" width="0.6640625" style="3" customWidth="1"/>
    <col min="4111" max="4111" width="18.109375" style="3" customWidth="1"/>
    <col min="4112" max="4112" width="0.6640625" style="3" customWidth="1"/>
    <col min="4113" max="4113" width="18.109375" style="3" customWidth="1"/>
    <col min="4114" max="4362" width="11.44140625" style="3"/>
    <col min="4363" max="4363" width="83" style="3" customWidth="1"/>
    <col min="4364" max="4364" width="0.5546875" style="3" customWidth="1"/>
    <col min="4365" max="4365" width="18.109375" style="3" customWidth="1"/>
    <col min="4366" max="4366" width="0.6640625" style="3" customWidth="1"/>
    <col min="4367" max="4367" width="18.109375" style="3" customWidth="1"/>
    <col min="4368" max="4368" width="0.6640625" style="3" customWidth="1"/>
    <col min="4369" max="4369" width="18.109375" style="3" customWidth="1"/>
    <col min="4370" max="4618" width="11.44140625" style="3"/>
    <col min="4619" max="4619" width="83" style="3" customWidth="1"/>
    <col min="4620" max="4620" width="0.5546875" style="3" customWidth="1"/>
    <col min="4621" max="4621" width="18.109375" style="3" customWidth="1"/>
    <col min="4622" max="4622" width="0.6640625" style="3" customWidth="1"/>
    <col min="4623" max="4623" width="18.109375" style="3" customWidth="1"/>
    <col min="4624" max="4624" width="0.6640625" style="3" customWidth="1"/>
    <col min="4625" max="4625" width="18.109375" style="3" customWidth="1"/>
    <col min="4626" max="4874" width="11.44140625" style="3"/>
    <col min="4875" max="4875" width="83" style="3" customWidth="1"/>
    <col min="4876" max="4876" width="0.5546875" style="3" customWidth="1"/>
    <col min="4877" max="4877" width="18.109375" style="3" customWidth="1"/>
    <col min="4878" max="4878" width="0.6640625" style="3" customWidth="1"/>
    <col min="4879" max="4879" width="18.109375" style="3" customWidth="1"/>
    <col min="4880" max="4880" width="0.6640625" style="3" customWidth="1"/>
    <col min="4881" max="4881" width="18.109375" style="3" customWidth="1"/>
    <col min="4882" max="5130" width="11.44140625" style="3"/>
    <col min="5131" max="5131" width="83" style="3" customWidth="1"/>
    <col min="5132" max="5132" width="0.5546875" style="3" customWidth="1"/>
    <col min="5133" max="5133" width="18.109375" style="3" customWidth="1"/>
    <col min="5134" max="5134" width="0.6640625" style="3" customWidth="1"/>
    <col min="5135" max="5135" width="18.109375" style="3" customWidth="1"/>
    <col min="5136" max="5136" width="0.6640625" style="3" customWidth="1"/>
    <col min="5137" max="5137" width="18.109375" style="3" customWidth="1"/>
    <col min="5138" max="5386" width="11.44140625" style="3"/>
    <col min="5387" max="5387" width="83" style="3" customWidth="1"/>
    <col min="5388" max="5388" width="0.5546875" style="3" customWidth="1"/>
    <col min="5389" max="5389" width="18.109375" style="3" customWidth="1"/>
    <col min="5390" max="5390" width="0.6640625" style="3" customWidth="1"/>
    <col min="5391" max="5391" width="18.109375" style="3" customWidth="1"/>
    <col min="5392" max="5392" width="0.6640625" style="3" customWidth="1"/>
    <col min="5393" max="5393" width="18.109375" style="3" customWidth="1"/>
    <col min="5394" max="5642" width="11.44140625" style="3"/>
    <col min="5643" max="5643" width="83" style="3" customWidth="1"/>
    <col min="5644" max="5644" width="0.5546875" style="3" customWidth="1"/>
    <col min="5645" max="5645" width="18.109375" style="3" customWidth="1"/>
    <col min="5646" max="5646" width="0.6640625" style="3" customWidth="1"/>
    <col min="5647" max="5647" width="18.109375" style="3" customWidth="1"/>
    <col min="5648" max="5648" width="0.6640625" style="3" customWidth="1"/>
    <col min="5649" max="5649" width="18.109375" style="3" customWidth="1"/>
    <col min="5650" max="5898" width="11.44140625" style="3"/>
    <col min="5899" max="5899" width="83" style="3" customWidth="1"/>
    <col min="5900" max="5900" width="0.5546875" style="3" customWidth="1"/>
    <col min="5901" max="5901" width="18.109375" style="3" customWidth="1"/>
    <col min="5902" max="5902" width="0.6640625" style="3" customWidth="1"/>
    <col min="5903" max="5903" width="18.109375" style="3" customWidth="1"/>
    <col min="5904" max="5904" width="0.6640625" style="3" customWidth="1"/>
    <col min="5905" max="5905" width="18.109375" style="3" customWidth="1"/>
    <col min="5906" max="6154" width="11.44140625" style="3"/>
    <col min="6155" max="6155" width="83" style="3" customWidth="1"/>
    <col min="6156" max="6156" width="0.5546875" style="3" customWidth="1"/>
    <col min="6157" max="6157" width="18.109375" style="3" customWidth="1"/>
    <col min="6158" max="6158" width="0.6640625" style="3" customWidth="1"/>
    <col min="6159" max="6159" width="18.109375" style="3" customWidth="1"/>
    <col min="6160" max="6160" width="0.6640625" style="3" customWidth="1"/>
    <col min="6161" max="6161" width="18.109375" style="3" customWidth="1"/>
    <col min="6162" max="6410" width="11.44140625" style="3"/>
    <col min="6411" max="6411" width="83" style="3" customWidth="1"/>
    <col min="6412" max="6412" width="0.5546875" style="3" customWidth="1"/>
    <col min="6413" max="6413" width="18.109375" style="3" customWidth="1"/>
    <col min="6414" max="6414" width="0.6640625" style="3" customWidth="1"/>
    <col min="6415" max="6415" width="18.109375" style="3" customWidth="1"/>
    <col min="6416" max="6416" width="0.6640625" style="3" customWidth="1"/>
    <col min="6417" max="6417" width="18.109375" style="3" customWidth="1"/>
    <col min="6418" max="6666" width="11.44140625" style="3"/>
    <col min="6667" max="6667" width="83" style="3" customWidth="1"/>
    <col min="6668" max="6668" width="0.5546875" style="3" customWidth="1"/>
    <col min="6669" max="6669" width="18.109375" style="3" customWidth="1"/>
    <col min="6670" max="6670" width="0.6640625" style="3" customWidth="1"/>
    <col min="6671" max="6671" width="18.109375" style="3" customWidth="1"/>
    <col min="6672" max="6672" width="0.6640625" style="3" customWidth="1"/>
    <col min="6673" max="6673" width="18.109375" style="3" customWidth="1"/>
    <col min="6674" max="6922" width="11.44140625" style="3"/>
    <col min="6923" max="6923" width="83" style="3" customWidth="1"/>
    <col min="6924" max="6924" width="0.5546875" style="3" customWidth="1"/>
    <col min="6925" max="6925" width="18.109375" style="3" customWidth="1"/>
    <col min="6926" max="6926" width="0.6640625" style="3" customWidth="1"/>
    <col min="6927" max="6927" width="18.109375" style="3" customWidth="1"/>
    <col min="6928" max="6928" width="0.6640625" style="3" customWidth="1"/>
    <col min="6929" max="6929" width="18.109375" style="3" customWidth="1"/>
    <col min="6930" max="7178" width="11.44140625" style="3"/>
    <col min="7179" max="7179" width="83" style="3" customWidth="1"/>
    <col min="7180" max="7180" width="0.5546875" style="3" customWidth="1"/>
    <col min="7181" max="7181" width="18.109375" style="3" customWidth="1"/>
    <col min="7182" max="7182" width="0.6640625" style="3" customWidth="1"/>
    <col min="7183" max="7183" width="18.109375" style="3" customWidth="1"/>
    <col min="7184" max="7184" width="0.6640625" style="3" customWidth="1"/>
    <col min="7185" max="7185" width="18.109375" style="3" customWidth="1"/>
    <col min="7186" max="7434" width="11.44140625" style="3"/>
    <col min="7435" max="7435" width="83" style="3" customWidth="1"/>
    <col min="7436" max="7436" width="0.5546875" style="3" customWidth="1"/>
    <col min="7437" max="7437" width="18.109375" style="3" customWidth="1"/>
    <col min="7438" max="7438" width="0.6640625" style="3" customWidth="1"/>
    <col min="7439" max="7439" width="18.109375" style="3" customWidth="1"/>
    <col min="7440" max="7440" width="0.6640625" style="3" customWidth="1"/>
    <col min="7441" max="7441" width="18.109375" style="3" customWidth="1"/>
    <col min="7442" max="7690" width="11.44140625" style="3"/>
    <col min="7691" max="7691" width="83" style="3" customWidth="1"/>
    <col min="7692" max="7692" width="0.5546875" style="3" customWidth="1"/>
    <col min="7693" max="7693" width="18.109375" style="3" customWidth="1"/>
    <col min="7694" max="7694" width="0.6640625" style="3" customWidth="1"/>
    <col min="7695" max="7695" width="18.109375" style="3" customWidth="1"/>
    <col min="7696" max="7696" width="0.6640625" style="3" customWidth="1"/>
    <col min="7697" max="7697" width="18.109375" style="3" customWidth="1"/>
    <col min="7698" max="7946" width="11.44140625" style="3"/>
    <col min="7947" max="7947" width="83" style="3" customWidth="1"/>
    <col min="7948" max="7948" width="0.5546875" style="3" customWidth="1"/>
    <col min="7949" max="7949" width="18.109375" style="3" customWidth="1"/>
    <col min="7950" max="7950" width="0.6640625" style="3" customWidth="1"/>
    <col min="7951" max="7951" width="18.109375" style="3" customWidth="1"/>
    <col min="7952" max="7952" width="0.6640625" style="3" customWidth="1"/>
    <col min="7953" max="7953" width="18.109375" style="3" customWidth="1"/>
    <col min="7954" max="8202" width="11.44140625" style="3"/>
    <col min="8203" max="8203" width="83" style="3" customWidth="1"/>
    <col min="8204" max="8204" width="0.5546875" style="3" customWidth="1"/>
    <col min="8205" max="8205" width="18.109375" style="3" customWidth="1"/>
    <col min="8206" max="8206" width="0.6640625" style="3" customWidth="1"/>
    <col min="8207" max="8207" width="18.109375" style="3" customWidth="1"/>
    <col min="8208" max="8208" width="0.6640625" style="3" customWidth="1"/>
    <col min="8209" max="8209" width="18.109375" style="3" customWidth="1"/>
    <col min="8210" max="8458" width="11.44140625" style="3"/>
    <col min="8459" max="8459" width="83" style="3" customWidth="1"/>
    <col min="8460" max="8460" width="0.5546875" style="3" customWidth="1"/>
    <col min="8461" max="8461" width="18.109375" style="3" customWidth="1"/>
    <col min="8462" max="8462" width="0.6640625" style="3" customWidth="1"/>
    <col min="8463" max="8463" width="18.109375" style="3" customWidth="1"/>
    <col min="8464" max="8464" width="0.6640625" style="3" customWidth="1"/>
    <col min="8465" max="8465" width="18.109375" style="3" customWidth="1"/>
    <col min="8466" max="8714" width="11.44140625" style="3"/>
    <col min="8715" max="8715" width="83" style="3" customWidth="1"/>
    <col min="8716" max="8716" width="0.5546875" style="3" customWidth="1"/>
    <col min="8717" max="8717" width="18.109375" style="3" customWidth="1"/>
    <col min="8718" max="8718" width="0.6640625" style="3" customWidth="1"/>
    <col min="8719" max="8719" width="18.109375" style="3" customWidth="1"/>
    <col min="8720" max="8720" width="0.6640625" style="3" customWidth="1"/>
    <col min="8721" max="8721" width="18.109375" style="3" customWidth="1"/>
    <col min="8722" max="8970" width="11.44140625" style="3"/>
    <col min="8971" max="8971" width="83" style="3" customWidth="1"/>
    <col min="8972" max="8972" width="0.5546875" style="3" customWidth="1"/>
    <col min="8973" max="8973" width="18.109375" style="3" customWidth="1"/>
    <col min="8974" max="8974" width="0.6640625" style="3" customWidth="1"/>
    <col min="8975" max="8975" width="18.109375" style="3" customWidth="1"/>
    <col min="8976" max="8976" width="0.6640625" style="3" customWidth="1"/>
    <col min="8977" max="8977" width="18.109375" style="3" customWidth="1"/>
    <col min="8978" max="9226" width="11.44140625" style="3"/>
    <col min="9227" max="9227" width="83" style="3" customWidth="1"/>
    <col min="9228" max="9228" width="0.5546875" style="3" customWidth="1"/>
    <col min="9229" max="9229" width="18.109375" style="3" customWidth="1"/>
    <col min="9230" max="9230" width="0.6640625" style="3" customWidth="1"/>
    <col min="9231" max="9231" width="18.109375" style="3" customWidth="1"/>
    <col min="9232" max="9232" width="0.6640625" style="3" customWidth="1"/>
    <col min="9233" max="9233" width="18.109375" style="3" customWidth="1"/>
    <col min="9234" max="9482" width="11.44140625" style="3"/>
    <col min="9483" max="9483" width="83" style="3" customWidth="1"/>
    <col min="9484" max="9484" width="0.5546875" style="3" customWidth="1"/>
    <col min="9485" max="9485" width="18.109375" style="3" customWidth="1"/>
    <col min="9486" max="9486" width="0.6640625" style="3" customWidth="1"/>
    <col min="9487" max="9487" width="18.109375" style="3" customWidth="1"/>
    <col min="9488" max="9488" width="0.6640625" style="3" customWidth="1"/>
    <col min="9489" max="9489" width="18.109375" style="3" customWidth="1"/>
    <col min="9490" max="9738" width="11.44140625" style="3"/>
    <col min="9739" max="9739" width="83" style="3" customWidth="1"/>
    <col min="9740" max="9740" width="0.5546875" style="3" customWidth="1"/>
    <col min="9741" max="9741" width="18.109375" style="3" customWidth="1"/>
    <col min="9742" max="9742" width="0.6640625" style="3" customWidth="1"/>
    <col min="9743" max="9743" width="18.109375" style="3" customWidth="1"/>
    <col min="9744" max="9744" width="0.6640625" style="3" customWidth="1"/>
    <col min="9745" max="9745" width="18.109375" style="3" customWidth="1"/>
    <col min="9746" max="9994" width="11.44140625" style="3"/>
    <col min="9995" max="9995" width="83" style="3" customWidth="1"/>
    <col min="9996" max="9996" width="0.5546875" style="3" customWidth="1"/>
    <col min="9997" max="9997" width="18.109375" style="3" customWidth="1"/>
    <col min="9998" max="9998" width="0.6640625" style="3" customWidth="1"/>
    <col min="9999" max="9999" width="18.109375" style="3" customWidth="1"/>
    <col min="10000" max="10000" width="0.6640625" style="3" customWidth="1"/>
    <col min="10001" max="10001" width="18.109375" style="3" customWidth="1"/>
    <col min="10002" max="10250" width="11.44140625" style="3"/>
    <col min="10251" max="10251" width="83" style="3" customWidth="1"/>
    <col min="10252" max="10252" width="0.5546875" style="3" customWidth="1"/>
    <col min="10253" max="10253" width="18.109375" style="3" customWidth="1"/>
    <col min="10254" max="10254" width="0.6640625" style="3" customWidth="1"/>
    <col min="10255" max="10255" width="18.109375" style="3" customWidth="1"/>
    <col min="10256" max="10256" width="0.6640625" style="3" customWidth="1"/>
    <col min="10257" max="10257" width="18.109375" style="3" customWidth="1"/>
    <col min="10258" max="10506" width="11.44140625" style="3"/>
    <col min="10507" max="10507" width="83" style="3" customWidth="1"/>
    <col min="10508" max="10508" width="0.5546875" style="3" customWidth="1"/>
    <col min="10509" max="10509" width="18.109375" style="3" customWidth="1"/>
    <col min="10510" max="10510" width="0.6640625" style="3" customWidth="1"/>
    <col min="10511" max="10511" width="18.109375" style="3" customWidth="1"/>
    <col min="10512" max="10512" width="0.6640625" style="3" customWidth="1"/>
    <col min="10513" max="10513" width="18.109375" style="3" customWidth="1"/>
    <col min="10514" max="10762" width="11.44140625" style="3"/>
    <col min="10763" max="10763" width="83" style="3" customWidth="1"/>
    <col min="10764" max="10764" width="0.5546875" style="3" customWidth="1"/>
    <col min="10765" max="10765" width="18.109375" style="3" customWidth="1"/>
    <col min="10766" max="10766" width="0.6640625" style="3" customWidth="1"/>
    <col min="10767" max="10767" width="18.109375" style="3" customWidth="1"/>
    <col min="10768" max="10768" width="0.6640625" style="3" customWidth="1"/>
    <col min="10769" max="10769" width="18.109375" style="3" customWidth="1"/>
    <col min="10770" max="11018" width="11.44140625" style="3"/>
    <col min="11019" max="11019" width="83" style="3" customWidth="1"/>
    <col min="11020" max="11020" width="0.5546875" style="3" customWidth="1"/>
    <col min="11021" max="11021" width="18.109375" style="3" customWidth="1"/>
    <col min="11022" max="11022" width="0.6640625" style="3" customWidth="1"/>
    <col min="11023" max="11023" width="18.109375" style="3" customWidth="1"/>
    <col min="11024" max="11024" width="0.6640625" style="3" customWidth="1"/>
    <col min="11025" max="11025" width="18.109375" style="3" customWidth="1"/>
    <col min="11026" max="11274" width="11.44140625" style="3"/>
    <col min="11275" max="11275" width="83" style="3" customWidth="1"/>
    <col min="11276" max="11276" width="0.5546875" style="3" customWidth="1"/>
    <col min="11277" max="11277" width="18.109375" style="3" customWidth="1"/>
    <col min="11278" max="11278" width="0.6640625" style="3" customWidth="1"/>
    <col min="11279" max="11279" width="18.109375" style="3" customWidth="1"/>
    <col min="11280" max="11280" width="0.6640625" style="3" customWidth="1"/>
    <col min="11281" max="11281" width="18.109375" style="3" customWidth="1"/>
    <col min="11282" max="11530" width="11.44140625" style="3"/>
    <col min="11531" max="11531" width="83" style="3" customWidth="1"/>
    <col min="11532" max="11532" width="0.5546875" style="3" customWidth="1"/>
    <col min="11533" max="11533" width="18.109375" style="3" customWidth="1"/>
    <col min="11534" max="11534" width="0.6640625" style="3" customWidth="1"/>
    <col min="11535" max="11535" width="18.109375" style="3" customWidth="1"/>
    <col min="11536" max="11536" width="0.6640625" style="3" customWidth="1"/>
    <col min="11537" max="11537" width="18.109375" style="3" customWidth="1"/>
    <col min="11538" max="11786" width="11.44140625" style="3"/>
    <col min="11787" max="11787" width="83" style="3" customWidth="1"/>
    <col min="11788" max="11788" width="0.5546875" style="3" customWidth="1"/>
    <col min="11789" max="11789" width="18.109375" style="3" customWidth="1"/>
    <col min="11790" max="11790" width="0.6640625" style="3" customWidth="1"/>
    <col min="11791" max="11791" width="18.109375" style="3" customWidth="1"/>
    <col min="11792" max="11792" width="0.6640625" style="3" customWidth="1"/>
    <col min="11793" max="11793" width="18.109375" style="3" customWidth="1"/>
    <col min="11794" max="12042" width="11.44140625" style="3"/>
    <col min="12043" max="12043" width="83" style="3" customWidth="1"/>
    <col min="12044" max="12044" width="0.5546875" style="3" customWidth="1"/>
    <col min="12045" max="12045" width="18.109375" style="3" customWidth="1"/>
    <col min="12046" max="12046" width="0.6640625" style="3" customWidth="1"/>
    <col min="12047" max="12047" width="18.109375" style="3" customWidth="1"/>
    <col min="12048" max="12048" width="0.6640625" style="3" customWidth="1"/>
    <col min="12049" max="12049" width="18.109375" style="3" customWidth="1"/>
    <col min="12050" max="12298" width="11.44140625" style="3"/>
    <col min="12299" max="12299" width="83" style="3" customWidth="1"/>
    <col min="12300" max="12300" width="0.5546875" style="3" customWidth="1"/>
    <col min="12301" max="12301" width="18.109375" style="3" customWidth="1"/>
    <col min="12302" max="12302" width="0.6640625" style="3" customWidth="1"/>
    <col min="12303" max="12303" width="18.109375" style="3" customWidth="1"/>
    <col min="12304" max="12304" width="0.6640625" style="3" customWidth="1"/>
    <col min="12305" max="12305" width="18.109375" style="3" customWidth="1"/>
    <col min="12306" max="12554" width="11.44140625" style="3"/>
    <col min="12555" max="12555" width="83" style="3" customWidth="1"/>
    <col min="12556" max="12556" width="0.5546875" style="3" customWidth="1"/>
    <col min="12557" max="12557" width="18.109375" style="3" customWidth="1"/>
    <col min="12558" max="12558" width="0.6640625" style="3" customWidth="1"/>
    <col min="12559" max="12559" width="18.109375" style="3" customWidth="1"/>
    <col min="12560" max="12560" width="0.6640625" style="3" customWidth="1"/>
    <col min="12561" max="12561" width="18.109375" style="3" customWidth="1"/>
    <col min="12562" max="12810" width="11.44140625" style="3"/>
    <col min="12811" max="12811" width="83" style="3" customWidth="1"/>
    <col min="12812" max="12812" width="0.5546875" style="3" customWidth="1"/>
    <col min="12813" max="12813" width="18.109375" style="3" customWidth="1"/>
    <col min="12814" max="12814" width="0.6640625" style="3" customWidth="1"/>
    <col min="12815" max="12815" width="18.109375" style="3" customWidth="1"/>
    <col min="12816" max="12816" width="0.6640625" style="3" customWidth="1"/>
    <col min="12817" max="12817" width="18.109375" style="3" customWidth="1"/>
    <col min="12818" max="13066" width="11.44140625" style="3"/>
    <col min="13067" max="13067" width="83" style="3" customWidth="1"/>
    <col min="13068" max="13068" width="0.5546875" style="3" customWidth="1"/>
    <col min="13069" max="13069" width="18.109375" style="3" customWidth="1"/>
    <col min="13070" max="13070" width="0.6640625" style="3" customWidth="1"/>
    <col min="13071" max="13071" width="18.109375" style="3" customWidth="1"/>
    <col min="13072" max="13072" width="0.6640625" style="3" customWidth="1"/>
    <col min="13073" max="13073" width="18.109375" style="3" customWidth="1"/>
    <col min="13074" max="13322" width="11.44140625" style="3"/>
    <col min="13323" max="13323" width="83" style="3" customWidth="1"/>
    <col min="13324" max="13324" width="0.5546875" style="3" customWidth="1"/>
    <col min="13325" max="13325" width="18.109375" style="3" customWidth="1"/>
    <col min="13326" max="13326" width="0.6640625" style="3" customWidth="1"/>
    <col min="13327" max="13327" width="18.109375" style="3" customWidth="1"/>
    <col min="13328" max="13328" width="0.6640625" style="3" customWidth="1"/>
    <col min="13329" max="13329" width="18.109375" style="3" customWidth="1"/>
    <col min="13330" max="13578" width="11.44140625" style="3"/>
    <col min="13579" max="13579" width="83" style="3" customWidth="1"/>
    <col min="13580" max="13580" width="0.5546875" style="3" customWidth="1"/>
    <col min="13581" max="13581" width="18.109375" style="3" customWidth="1"/>
    <col min="13582" max="13582" width="0.6640625" style="3" customWidth="1"/>
    <col min="13583" max="13583" width="18.109375" style="3" customWidth="1"/>
    <col min="13584" max="13584" width="0.6640625" style="3" customWidth="1"/>
    <col min="13585" max="13585" width="18.109375" style="3" customWidth="1"/>
    <col min="13586" max="13834" width="11.44140625" style="3"/>
    <col min="13835" max="13835" width="83" style="3" customWidth="1"/>
    <col min="13836" max="13836" width="0.5546875" style="3" customWidth="1"/>
    <col min="13837" max="13837" width="18.109375" style="3" customWidth="1"/>
    <col min="13838" max="13838" width="0.6640625" style="3" customWidth="1"/>
    <col min="13839" max="13839" width="18.109375" style="3" customWidth="1"/>
    <col min="13840" max="13840" width="0.6640625" style="3" customWidth="1"/>
    <col min="13841" max="13841" width="18.109375" style="3" customWidth="1"/>
    <col min="13842" max="14090" width="11.44140625" style="3"/>
    <col min="14091" max="14091" width="83" style="3" customWidth="1"/>
    <col min="14092" max="14092" width="0.5546875" style="3" customWidth="1"/>
    <col min="14093" max="14093" width="18.109375" style="3" customWidth="1"/>
    <col min="14094" max="14094" width="0.6640625" style="3" customWidth="1"/>
    <col min="14095" max="14095" width="18.109375" style="3" customWidth="1"/>
    <col min="14096" max="14096" width="0.6640625" style="3" customWidth="1"/>
    <col min="14097" max="14097" width="18.109375" style="3" customWidth="1"/>
    <col min="14098" max="14346" width="11.44140625" style="3"/>
    <col min="14347" max="14347" width="83" style="3" customWidth="1"/>
    <col min="14348" max="14348" width="0.5546875" style="3" customWidth="1"/>
    <col min="14349" max="14349" width="18.109375" style="3" customWidth="1"/>
    <col min="14350" max="14350" width="0.6640625" style="3" customWidth="1"/>
    <col min="14351" max="14351" width="18.109375" style="3" customWidth="1"/>
    <col min="14352" max="14352" width="0.6640625" style="3" customWidth="1"/>
    <col min="14353" max="14353" width="18.109375" style="3" customWidth="1"/>
    <col min="14354" max="14602" width="11.44140625" style="3"/>
    <col min="14603" max="14603" width="83" style="3" customWidth="1"/>
    <col min="14604" max="14604" width="0.5546875" style="3" customWidth="1"/>
    <col min="14605" max="14605" width="18.109375" style="3" customWidth="1"/>
    <col min="14606" max="14606" width="0.6640625" style="3" customWidth="1"/>
    <col min="14607" max="14607" width="18.109375" style="3" customWidth="1"/>
    <col min="14608" max="14608" width="0.6640625" style="3" customWidth="1"/>
    <col min="14609" max="14609" width="18.109375" style="3" customWidth="1"/>
    <col min="14610" max="14858" width="11.44140625" style="3"/>
    <col min="14859" max="14859" width="83" style="3" customWidth="1"/>
    <col min="14860" max="14860" width="0.5546875" style="3" customWidth="1"/>
    <col min="14861" max="14861" width="18.109375" style="3" customWidth="1"/>
    <col min="14862" max="14862" width="0.6640625" style="3" customWidth="1"/>
    <col min="14863" max="14863" width="18.109375" style="3" customWidth="1"/>
    <col min="14864" max="14864" width="0.6640625" style="3" customWidth="1"/>
    <col min="14865" max="14865" width="18.109375" style="3" customWidth="1"/>
    <col min="14866" max="15114" width="11.44140625" style="3"/>
    <col min="15115" max="15115" width="83" style="3" customWidth="1"/>
    <col min="15116" max="15116" width="0.5546875" style="3" customWidth="1"/>
    <col min="15117" max="15117" width="18.109375" style="3" customWidth="1"/>
    <col min="15118" max="15118" width="0.6640625" style="3" customWidth="1"/>
    <col min="15119" max="15119" width="18.109375" style="3" customWidth="1"/>
    <col min="15120" max="15120" width="0.6640625" style="3" customWidth="1"/>
    <col min="15121" max="15121" width="18.109375" style="3" customWidth="1"/>
    <col min="15122" max="15370" width="11.44140625" style="3"/>
    <col min="15371" max="15371" width="83" style="3" customWidth="1"/>
    <col min="15372" max="15372" width="0.5546875" style="3" customWidth="1"/>
    <col min="15373" max="15373" width="18.109375" style="3" customWidth="1"/>
    <col min="15374" max="15374" width="0.6640625" style="3" customWidth="1"/>
    <col min="15375" max="15375" width="18.109375" style="3" customWidth="1"/>
    <col min="15376" max="15376" width="0.6640625" style="3" customWidth="1"/>
    <col min="15377" max="15377" width="18.109375" style="3" customWidth="1"/>
    <col min="15378" max="15626" width="11.44140625" style="3"/>
    <col min="15627" max="15627" width="83" style="3" customWidth="1"/>
    <col min="15628" max="15628" width="0.5546875" style="3" customWidth="1"/>
    <col min="15629" max="15629" width="18.109375" style="3" customWidth="1"/>
    <col min="15630" max="15630" width="0.6640625" style="3" customWidth="1"/>
    <col min="15631" max="15631" width="18.109375" style="3" customWidth="1"/>
    <col min="15632" max="15632" width="0.6640625" style="3" customWidth="1"/>
    <col min="15633" max="15633" width="18.109375" style="3" customWidth="1"/>
    <col min="15634" max="15882" width="11.44140625" style="3"/>
    <col min="15883" max="15883" width="83" style="3" customWidth="1"/>
    <col min="15884" max="15884" width="0.5546875" style="3" customWidth="1"/>
    <col min="15885" max="15885" width="18.109375" style="3" customWidth="1"/>
    <col min="15886" max="15886" width="0.6640625" style="3" customWidth="1"/>
    <col min="15887" max="15887" width="18.109375" style="3" customWidth="1"/>
    <col min="15888" max="15888" width="0.6640625" style="3" customWidth="1"/>
    <col min="15889" max="15889" width="18.109375" style="3" customWidth="1"/>
    <col min="15890" max="16138" width="11.44140625" style="3"/>
    <col min="16139" max="16139" width="83" style="3" customWidth="1"/>
    <col min="16140" max="16140" width="0.5546875" style="3" customWidth="1"/>
    <col min="16141" max="16141" width="18.109375" style="3" customWidth="1"/>
    <col min="16142" max="16142" width="0.6640625" style="3" customWidth="1"/>
    <col min="16143" max="16143" width="18.109375" style="3" customWidth="1"/>
    <col min="16144" max="16144" width="0.6640625" style="3" customWidth="1"/>
    <col min="16145" max="16145" width="18.109375" style="3" customWidth="1"/>
    <col min="16146" max="16384" width="11.44140625" style="3"/>
  </cols>
  <sheetData>
    <row r="1" spans="1:38" x14ac:dyDescent="0.3">
      <c r="A1" s="46" t="s">
        <v>7</v>
      </c>
      <c r="B1" s="46"/>
      <c r="C1" s="46"/>
      <c r="D1" s="47"/>
      <c r="E1" s="46"/>
      <c r="F1" s="2"/>
      <c r="G1" s="103"/>
      <c r="H1" s="47"/>
      <c r="I1" s="47"/>
      <c r="J1" s="2"/>
      <c r="K1" s="103"/>
      <c r="L1" s="2"/>
      <c r="M1" s="1"/>
      <c r="N1" s="2"/>
      <c r="O1" s="103"/>
      <c r="P1" s="2"/>
      <c r="R1" s="2"/>
      <c r="S1" s="103"/>
      <c r="T1" s="2"/>
      <c r="V1" s="2"/>
      <c r="W1" s="103"/>
    </row>
    <row r="2" spans="1:38" s="4" customFormat="1" x14ac:dyDescent="0.3">
      <c r="A2" s="74" t="s">
        <v>175</v>
      </c>
      <c r="B2" s="48"/>
      <c r="C2" s="138"/>
      <c r="D2" s="138"/>
      <c r="E2" s="48"/>
      <c r="F2" s="138"/>
      <c r="G2" s="138"/>
      <c r="H2" s="48"/>
      <c r="I2" s="48"/>
      <c r="J2" s="48"/>
      <c r="K2" s="48"/>
      <c r="M2" s="6"/>
      <c r="O2" s="48"/>
      <c r="S2" s="48"/>
      <c r="W2" s="48"/>
    </row>
    <row r="3" spans="1:38" ht="15" thickBot="1" x14ac:dyDescent="0.35">
      <c r="A3" s="7"/>
      <c r="B3" s="8"/>
      <c r="C3" s="9"/>
      <c r="D3" s="8"/>
      <c r="E3" s="9"/>
      <c r="F3" s="8"/>
      <c r="G3" s="9"/>
      <c r="H3" s="8"/>
      <c r="I3" s="9"/>
      <c r="J3" s="8"/>
      <c r="K3" s="9"/>
      <c r="L3" s="8"/>
      <c r="M3" s="9"/>
      <c r="N3" s="8"/>
      <c r="O3" s="9"/>
      <c r="P3" s="8"/>
      <c r="Q3" s="9"/>
      <c r="R3" s="8"/>
      <c r="S3" s="9"/>
      <c r="T3" s="8"/>
      <c r="U3" s="9"/>
      <c r="V3" s="8"/>
      <c r="W3" s="9"/>
    </row>
    <row r="4" spans="1:38" ht="13.2" x14ac:dyDescent="0.25">
      <c r="A4" s="21"/>
      <c r="B4" s="33"/>
      <c r="C4" s="112" t="s">
        <v>185</v>
      </c>
      <c r="D4" s="33"/>
      <c r="E4" s="112" t="s">
        <v>19</v>
      </c>
      <c r="F4" s="98"/>
      <c r="G4" s="104" t="s">
        <v>180</v>
      </c>
      <c r="H4" s="33"/>
      <c r="I4" s="112" t="s">
        <v>20</v>
      </c>
      <c r="J4" s="98"/>
      <c r="K4" s="104" t="s">
        <v>13</v>
      </c>
      <c r="L4" s="22"/>
      <c r="M4" s="112" t="s">
        <v>21</v>
      </c>
      <c r="N4" s="98"/>
      <c r="O4" s="104" t="s">
        <v>16</v>
      </c>
      <c r="P4" s="116"/>
      <c r="Q4" s="112" t="s">
        <v>3</v>
      </c>
      <c r="R4" s="98"/>
      <c r="S4" s="104" t="s">
        <v>18</v>
      </c>
      <c r="T4" s="22"/>
      <c r="U4" s="112" t="s">
        <v>2</v>
      </c>
      <c r="V4" s="22"/>
      <c r="W4" s="108" t="s">
        <v>6</v>
      </c>
    </row>
    <row r="5" spans="1:38" ht="13.2" x14ac:dyDescent="0.25">
      <c r="A5" s="23"/>
      <c r="B5" s="14"/>
      <c r="C5" s="100" t="s">
        <v>22</v>
      </c>
      <c r="D5" s="14"/>
      <c r="E5" s="100" t="s">
        <v>22</v>
      </c>
      <c r="F5" s="101"/>
      <c r="G5" s="105" t="s">
        <v>22</v>
      </c>
      <c r="H5" s="14"/>
      <c r="I5" s="100" t="s">
        <v>22</v>
      </c>
      <c r="J5" s="101"/>
      <c r="K5" s="105" t="s">
        <v>22</v>
      </c>
      <c r="L5" s="18"/>
      <c r="M5" s="100" t="s">
        <v>22</v>
      </c>
      <c r="N5" s="101"/>
      <c r="O5" s="105" t="s">
        <v>22</v>
      </c>
      <c r="P5" s="89"/>
      <c r="Q5" s="100" t="s">
        <v>22</v>
      </c>
      <c r="R5" s="101"/>
      <c r="S5" s="105" t="s">
        <v>22</v>
      </c>
      <c r="T5" s="18"/>
      <c r="U5" s="100" t="s">
        <v>22</v>
      </c>
      <c r="V5" s="18"/>
      <c r="W5" s="109" t="s">
        <v>22</v>
      </c>
    </row>
    <row r="6" spans="1:38" ht="13.2" x14ac:dyDescent="0.25">
      <c r="A6" s="25" t="s">
        <v>80</v>
      </c>
      <c r="B6" s="14"/>
      <c r="C6" s="95">
        <v>11822</v>
      </c>
      <c r="D6" s="39"/>
      <c r="E6" s="95">
        <v>13504</v>
      </c>
      <c r="F6" s="18"/>
      <c r="G6" s="133">
        <f>E6-C6</f>
        <v>1682</v>
      </c>
      <c r="H6" s="49"/>
      <c r="I6" s="95">
        <v>14861</v>
      </c>
      <c r="J6" s="18"/>
      <c r="K6" s="133">
        <f>I6-E6</f>
        <v>1357</v>
      </c>
      <c r="L6" s="40"/>
      <c r="M6" s="95">
        <v>15855</v>
      </c>
      <c r="N6" s="18"/>
      <c r="O6" s="133">
        <f>M6-I6</f>
        <v>994</v>
      </c>
      <c r="P6" s="117"/>
      <c r="Q6" s="95">
        <v>15001</v>
      </c>
      <c r="R6" s="18"/>
      <c r="S6" s="133">
        <f>Q6-M6</f>
        <v>-854</v>
      </c>
      <c r="T6" s="40"/>
      <c r="U6" s="95">
        <v>13502</v>
      </c>
      <c r="V6" s="40"/>
      <c r="W6" s="176">
        <f>U6-Q6</f>
        <v>-1499</v>
      </c>
    </row>
    <row r="7" spans="1:38" ht="13.2" x14ac:dyDescent="0.25">
      <c r="A7" s="26" t="s">
        <v>81</v>
      </c>
      <c r="B7" s="16"/>
      <c r="C7" s="93">
        <v>5743</v>
      </c>
      <c r="D7" s="41"/>
      <c r="E7" s="93">
        <v>6459</v>
      </c>
      <c r="F7" s="15"/>
      <c r="G7" s="133">
        <f t="shared" ref="G7:G20" si="0">E7-C7</f>
        <v>716</v>
      </c>
      <c r="H7" s="41"/>
      <c r="I7" s="93">
        <v>7208</v>
      </c>
      <c r="J7" s="15"/>
      <c r="K7" s="133">
        <f t="shared" ref="K7:K42" si="1">I7-E7</f>
        <v>749</v>
      </c>
      <c r="L7" s="40"/>
      <c r="M7" s="93">
        <v>7281</v>
      </c>
      <c r="N7" s="15"/>
      <c r="O7" s="133">
        <f t="shared" ref="O7:O20" si="2">M7-I7</f>
        <v>73</v>
      </c>
      <c r="P7" s="117"/>
      <c r="Q7" s="93">
        <v>6819</v>
      </c>
      <c r="R7" s="15"/>
      <c r="S7" s="133">
        <f t="shared" ref="S7:S20" si="3">Q7-M7</f>
        <v>-462</v>
      </c>
      <c r="T7" s="40"/>
      <c r="U7" s="93">
        <v>6485</v>
      </c>
      <c r="V7" s="40"/>
      <c r="W7" s="176">
        <f t="shared" ref="W7:W20" si="4">U7-Q7</f>
        <v>-334</v>
      </c>
    </row>
    <row r="8" spans="1:38" s="38" customFormat="1" ht="13.2" x14ac:dyDescent="0.25">
      <c r="A8" s="25" t="s">
        <v>82</v>
      </c>
      <c r="B8" s="16"/>
      <c r="C8" s="95">
        <f>C6-C7</f>
        <v>6079</v>
      </c>
      <c r="D8" s="41"/>
      <c r="E8" s="95">
        <f>E6-E7</f>
        <v>7045</v>
      </c>
      <c r="F8" s="15"/>
      <c r="G8" s="133">
        <f t="shared" si="0"/>
        <v>966</v>
      </c>
      <c r="H8" s="41"/>
      <c r="I8" s="95">
        <f>I6-I7</f>
        <v>7653</v>
      </c>
      <c r="J8" s="15"/>
      <c r="K8" s="133">
        <f t="shared" si="1"/>
        <v>608</v>
      </c>
      <c r="L8" s="42"/>
      <c r="M8" s="95">
        <f>M6-M7</f>
        <v>8574</v>
      </c>
      <c r="N8" s="15"/>
      <c r="O8" s="133">
        <f t="shared" si="2"/>
        <v>921</v>
      </c>
      <c r="P8" s="118"/>
      <c r="Q8" s="95">
        <f>Q6-Q7</f>
        <v>8182</v>
      </c>
      <c r="R8" s="15"/>
      <c r="S8" s="133">
        <f t="shared" si="3"/>
        <v>-392</v>
      </c>
      <c r="T8" s="42"/>
      <c r="U8" s="95">
        <f>U6-U7</f>
        <v>7017</v>
      </c>
      <c r="V8" s="42"/>
      <c r="W8" s="176">
        <f t="shared" si="4"/>
        <v>-1165</v>
      </c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38" s="38" customFormat="1" ht="13.2" x14ac:dyDescent="0.25">
      <c r="A9" s="25" t="s">
        <v>83</v>
      </c>
      <c r="B9" s="16"/>
      <c r="C9" s="95"/>
      <c r="D9" s="41"/>
      <c r="E9" s="95"/>
      <c r="F9" s="18"/>
      <c r="G9" s="133"/>
      <c r="H9" s="41"/>
      <c r="I9" s="95"/>
      <c r="J9" s="18"/>
      <c r="K9" s="133"/>
      <c r="L9" s="42"/>
      <c r="M9" s="95"/>
      <c r="N9" s="18"/>
      <c r="O9" s="133"/>
      <c r="P9" s="118"/>
      <c r="Q9" s="95"/>
      <c r="R9" s="18"/>
      <c r="S9" s="133"/>
      <c r="T9" s="42"/>
      <c r="U9" s="95"/>
      <c r="V9" s="42"/>
      <c r="W9" s="176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38" ht="13.2" x14ac:dyDescent="0.25">
      <c r="A10" s="26" t="s">
        <v>78</v>
      </c>
      <c r="B10" s="16"/>
      <c r="C10" s="93">
        <v>2190</v>
      </c>
      <c r="D10" s="41"/>
      <c r="E10" s="93">
        <v>2390</v>
      </c>
      <c r="F10" s="15"/>
      <c r="G10" s="133">
        <f t="shared" si="0"/>
        <v>200</v>
      </c>
      <c r="H10" s="41"/>
      <c r="I10" s="93">
        <v>2550</v>
      </c>
      <c r="J10" s="15"/>
      <c r="K10" s="133">
        <f t="shared" si="1"/>
        <v>160</v>
      </c>
      <c r="L10" s="40"/>
      <c r="M10" s="93">
        <v>2774</v>
      </c>
      <c r="N10" s="15"/>
      <c r="O10" s="133">
        <f t="shared" si="2"/>
        <v>224</v>
      </c>
      <c r="P10" s="117"/>
      <c r="Q10" s="93">
        <v>2686</v>
      </c>
      <c r="R10" s="15"/>
      <c r="S10" s="133">
        <f t="shared" si="3"/>
        <v>-88</v>
      </c>
      <c r="T10" s="40"/>
      <c r="U10" s="93">
        <v>2833</v>
      </c>
      <c r="V10" s="40"/>
      <c r="W10" s="176">
        <f t="shared" si="4"/>
        <v>147</v>
      </c>
    </row>
    <row r="11" spans="1:38" ht="13.2" x14ac:dyDescent="0.25">
      <c r="A11" s="26" t="s">
        <v>84</v>
      </c>
      <c r="B11" s="16"/>
      <c r="C11" s="93">
        <v>1386</v>
      </c>
      <c r="D11" s="41"/>
      <c r="E11" s="93">
        <v>1517</v>
      </c>
      <c r="F11" s="15"/>
      <c r="G11" s="133">
        <f t="shared" si="0"/>
        <v>131</v>
      </c>
      <c r="H11" s="41"/>
      <c r="I11" s="93">
        <v>1533</v>
      </c>
      <c r="J11" s="15"/>
      <c r="K11" s="133">
        <f t="shared" si="1"/>
        <v>16</v>
      </c>
      <c r="L11" s="40"/>
      <c r="M11" s="93">
        <v>1725</v>
      </c>
      <c r="N11" s="15"/>
      <c r="O11" s="133">
        <f t="shared" si="2"/>
        <v>192</v>
      </c>
      <c r="P11" s="117"/>
      <c r="Q11" s="93">
        <v>1580</v>
      </c>
      <c r="R11" s="15"/>
      <c r="S11" s="133">
        <f t="shared" si="3"/>
        <v>-145</v>
      </c>
      <c r="T11" s="40"/>
      <c r="U11" s="93">
        <v>1512</v>
      </c>
      <c r="V11" s="40"/>
      <c r="W11" s="176">
        <f t="shared" si="4"/>
        <v>-68</v>
      </c>
    </row>
    <row r="12" spans="1:38" ht="13.2" x14ac:dyDescent="0.25">
      <c r="A12" s="26" t="s">
        <v>79</v>
      </c>
      <c r="B12" s="16"/>
      <c r="C12" s="93">
        <v>1</v>
      </c>
      <c r="D12" s="41"/>
      <c r="E12" s="93">
        <v>-10</v>
      </c>
      <c r="F12" s="15"/>
      <c r="G12" s="133">
        <f t="shared" si="0"/>
        <v>-11</v>
      </c>
      <c r="H12" s="41"/>
      <c r="I12" s="93">
        <v>0</v>
      </c>
      <c r="J12" s="15"/>
      <c r="K12" s="133">
        <f t="shared" si="1"/>
        <v>10</v>
      </c>
      <c r="L12" s="40"/>
      <c r="M12" s="93">
        <v>0</v>
      </c>
      <c r="N12" s="15"/>
      <c r="O12" s="133">
        <f t="shared" si="2"/>
        <v>0</v>
      </c>
      <c r="P12" s="117"/>
      <c r="Q12" s="93">
        <v>393</v>
      </c>
      <c r="R12" s="15"/>
      <c r="S12" s="133">
        <f t="shared" si="3"/>
        <v>393</v>
      </c>
      <c r="T12" s="40"/>
      <c r="U12" s="93">
        <v>297</v>
      </c>
      <c r="V12" s="40"/>
      <c r="W12" s="176">
        <f t="shared" si="4"/>
        <v>-96</v>
      </c>
    </row>
    <row r="13" spans="1:38" ht="13.2" x14ac:dyDescent="0.25">
      <c r="A13" s="26" t="s">
        <v>85</v>
      </c>
      <c r="B13" s="14"/>
      <c r="C13" s="93">
        <f>SUM(C10:C12)</f>
        <v>3577</v>
      </c>
      <c r="D13" s="39"/>
      <c r="E13" s="93">
        <f>SUM(E10:E12)</f>
        <v>3897</v>
      </c>
      <c r="F13" s="15"/>
      <c r="G13" s="133">
        <f t="shared" si="0"/>
        <v>320</v>
      </c>
      <c r="H13" s="39"/>
      <c r="I13" s="93">
        <f>SUM(I10:I12)</f>
        <v>4083</v>
      </c>
      <c r="J13" s="15"/>
      <c r="K13" s="133">
        <f t="shared" si="1"/>
        <v>186</v>
      </c>
      <c r="L13" s="40"/>
      <c r="M13" s="93">
        <f>SUM(M10:M12)</f>
        <v>4499</v>
      </c>
      <c r="N13" s="15"/>
      <c r="O13" s="133">
        <f t="shared" si="2"/>
        <v>416</v>
      </c>
      <c r="P13" s="117"/>
      <c r="Q13" s="93">
        <f>SUM(Q10:Q12)</f>
        <v>4659</v>
      </c>
      <c r="R13" s="15"/>
      <c r="S13" s="133">
        <f t="shared" si="3"/>
        <v>160</v>
      </c>
      <c r="T13" s="40"/>
      <c r="U13" s="93">
        <f>SUM(U10:U12)</f>
        <v>4642</v>
      </c>
      <c r="V13" s="40"/>
      <c r="W13" s="176">
        <f t="shared" si="4"/>
        <v>-17</v>
      </c>
    </row>
    <row r="14" spans="1:38" ht="13.2" x14ac:dyDescent="0.25">
      <c r="A14" s="25" t="s">
        <v>86</v>
      </c>
      <c r="B14" s="14"/>
      <c r="C14" s="95">
        <f>C8-C13</f>
        <v>2502</v>
      </c>
      <c r="D14" s="39"/>
      <c r="E14" s="95">
        <f>E8-E13</f>
        <v>3148</v>
      </c>
      <c r="F14" s="18"/>
      <c r="G14" s="133">
        <f t="shared" si="0"/>
        <v>646</v>
      </c>
      <c r="H14" s="39"/>
      <c r="I14" s="95">
        <f>I8-I13</f>
        <v>3570</v>
      </c>
      <c r="J14" s="18"/>
      <c r="K14" s="133">
        <f t="shared" si="1"/>
        <v>422</v>
      </c>
      <c r="L14" s="42"/>
      <c r="M14" s="95">
        <f>M8-M13</f>
        <v>4075</v>
      </c>
      <c r="N14" s="18"/>
      <c r="O14" s="133">
        <f t="shared" si="2"/>
        <v>505</v>
      </c>
      <c r="P14" s="118"/>
      <c r="Q14" s="95">
        <f>Q8-Q13</f>
        <v>3523</v>
      </c>
      <c r="R14" s="18"/>
      <c r="S14" s="133">
        <f t="shared" si="3"/>
        <v>-552</v>
      </c>
      <c r="T14" s="42"/>
      <c r="U14" s="95">
        <f>U8-U13</f>
        <v>2375</v>
      </c>
      <c r="V14" s="42"/>
      <c r="W14" s="176">
        <f t="shared" si="4"/>
        <v>-1148</v>
      </c>
    </row>
    <row r="15" spans="1:38" ht="13.2" x14ac:dyDescent="0.25">
      <c r="A15" s="26" t="s">
        <v>87</v>
      </c>
      <c r="B15" s="14"/>
      <c r="C15" s="93">
        <v>162</v>
      </c>
      <c r="D15" s="39"/>
      <c r="E15" s="93">
        <v>191</v>
      </c>
      <c r="F15" s="18"/>
      <c r="G15" s="133">
        <f t="shared" si="0"/>
        <v>29</v>
      </c>
      <c r="H15" s="39"/>
      <c r="I15" s="93">
        <v>172</v>
      </c>
      <c r="J15" s="18"/>
      <c r="K15" s="133">
        <f t="shared" si="1"/>
        <v>-19</v>
      </c>
      <c r="L15" s="40"/>
      <c r="M15" s="93">
        <v>248</v>
      </c>
      <c r="N15" s="18"/>
      <c r="O15" s="133">
        <f t="shared" si="2"/>
        <v>76</v>
      </c>
      <c r="P15" s="117"/>
      <c r="Q15" s="93">
        <v>433</v>
      </c>
      <c r="R15" s="18"/>
      <c r="S15" s="133">
        <f t="shared" si="3"/>
        <v>185</v>
      </c>
      <c r="T15" s="40"/>
      <c r="U15" s="93">
        <v>436</v>
      </c>
      <c r="V15" s="40"/>
      <c r="W15" s="176">
        <f t="shared" si="4"/>
        <v>3</v>
      </c>
    </row>
    <row r="16" spans="1:38" ht="13.2" x14ac:dyDescent="0.25">
      <c r="A16" s="26" t="s">
        <v>88</v>
      </c>
      <c r="B16" s="16"/>
      <c r="C16" s="93">
        <v>-74</v>
      </c>
      <c r="D16" s="41"/>
      <c r="E16" s="93">
        <v>-77</v>
      </c>
      <c r="F16" s="15"/>
      <c r="G16" s="133">
        <f t="shared" si="0"/>
        <v>-3</v>
      </c>
      <c r="H16" s="41"/>
      <c r="I16" s="93">
        <v>-92</v>
      </c>
      <c r="J16" s="15"/>
      <c r="K16" s="133">
        <f t="shared" si="1"/>
        <v>-15</v>
      </c>
      <c r="L16" s="42"/>
      <c r="M16" s="93">
        <v>-102</v>
      </c>
      <c r="N16" s="15"/>
      <c r="O16" s="133">
        <f t="shared" si="2"/>
        <v>-10</v>
      </c>
      <c r="P16" s="118"/>
      <c r="Q16" s="93">
        <v>-105</v>
      </c>
      <c r="R16" s="15"/>
      <c r="S16" s="133">
        <f t="shared" si="3"/>
        <v>-3</v>
      </c>
      <c r="T16" s="42"/>
      <c r="U16" s="93">
        <v>-74</v>
      </c>
      <c r="V16" s="42"/>
      <c r="W16" s="176">
        <f t="shared" si="4"/>
        <v>31</v>
      </c>
    </row>
    <row r="17" spans="1:38" ht="13.2" x14ac:dyDescent="0.25">
      <c r="A17" s="26" t="s">
        <v>89</v>
      </c>
      <c r="B17" s="14"/>
      <c r="C17" s="93">
        <v>40</v>
      </c>
      <c r="D17" s="39"/>
      <c r="E17" s="93">
        <v>46</v>
      </c>
      <c r="F17" s="15"/>
      <c r="G17" s="133">
        <f t="shared" si="0"/>
        <v>6</v>
      </c>
      <c r="H17" s="39"/>
      <c r="I17" s="93">
        <v>61</v>
      </c>
      <c r="J17" s="15"/>
      <c r="K17" s="133">
        <f t="shared" si="1"/>
        <v>15</v>
      </c>
      <c r="L17" s="40"/>
      <c r="M17" s="93">
        <v>102</v>
      </c>
      <c r="N17" s="15"/>
      <c r="O17" s="133">
        <f t="shared" si="2"/>
        <v>41</v>
      </c>
      <c r="P17" s="117"/>
      <c r="Q17" s="93">
        <v>34</v>
      </c>
      <c r="R17" s="15"/>
      <c r="S17" s="133">
        <f t="shared" si="3"/>
        <v>-68</v>
      </c>
      <c r="T17" s="40"/>
      <c r="U17" s="93">
        <v>22</v>
      </c>
      <c r="V17" s="40"/>
      <c r="W17" s="176">
        <f t="shared" si="4"/>
        <v>-12</v>
      </c>
    </row>
    <row r="18" spans="1:38" ht="13.2" x14ac:dyDescent="0.25">
      <c r="A18" s="26" t="s">
        <v>90</v>
      </c>
      <c r="B18" s="14"/>
      <c r="C18" s="93">
        <f>C14-C15-C16-C17</f>
        <v>2374</v>
      </c>
      <c r="D18" s="39"/>
      <c r="E18" s="93">
        <f>E14-E15-E16-E17</f>
        <v>2988</v>
      </c>
      <c r="F18" s="15"/>
      <c r="G18" s="133">
        <f t="shared" si="0"/>
        <v>614</v>
      </c>
      <c r="H18" s="39"/>
      <c r="I18" s="93">
        <f>I14-I15-I16-I17</f>
        <v>3429</v>
      </c>
      <c r="J18" s="15"/>
      <c r="K18" s="133">
        <f t="shared" si="1"/>
        <v>441</v>
      </c>
      <c r="L18" s="40"/>
      <c r="M18" s="93">
        <f>M14-M15-M16-M17</f>
        <v>3827</v>
      </c>
      <c r="N18" s="15"/>
      <c r="O18" s="133">
        <f t="shared" si="2"/>
        <v>398</v>
      </c>
      <c r="P18" s="117"/>
      <c r="Q18" s="93">
        <f>Q14-Q15-Q16-Q17</f>
        <v>3161</v>
      </c>
      <c r="R18" s="15"/>
      <c r="S18" s="133">
        <f t="shared" si="3"/>
        <v>-666</v>
      </c>
      <c r="T18" s="40"/>
      <c r="U18" s="93">
        <f>U14-U15-U16-U17</f>
        <v>1991</v>
      </c>
      <c r="V18" s="40"/>
      <c r="W18" s="176">
        <f t="shared" si="4"/>
        <v>-1170</v>
      </c>
    </row>
    <row r="19" spans="1:38" ht="13.2" x14ac:dyDescent="0.25">
      <c r="A19" s="26" t="s">
        <v>91</v>
      </c>
      <c r="B19" s="14"/>
      <c r="C19" s="93">
        <v>717</v>
      </c>
      <c r="D19" s="39"/>
      <c r="E19" s="93">
        <v>901</v>
      </c>
      <c r="F19" s="15"/>
      <c r="G19" s="133">
        <f t="shared" si="0"/>
        <v>184</v>
      </c>
      <c r="H19" s="39"/>
      <c r="I19" s="93">
        <v>915</v>
      </c>
      <c r="J19" s="15"/>
      <c r="K19" s="133">
        <f t="shared" si="1"/>
        <v>14</v>
      </c>
      <c r="L19" s="40"/>
      <c r="M19" s="93">
        <v>1078</v>
      </c>
      <c r="N19" s="15"/>
      <c r="O19" s="133">
        <f t="shared" si="2"/>
        <v>163</v>
      </c>
      <c r="P19" s="117"/>
      <c r="Q19" s="93">
        <v>864</v>
      </c>
      <c r="R19" s="15"/>
      <c r="S19" s="133">
        <f t="shared" si="3"/>
        <v>-214</v>
      </c>
      <c r="T19" s="40"/>
      <c r="U19" s="93">
        <v>695</v>
      </c>
      <c r="V19" s="40"/>
      <c r="W19" s="176">
        <f t="shared" si="4"/>
        <v>-169</v>
      </c>
    </row>
    <row r="20" spans="1:38" s="38" customFormat="1" ht="13.2" x14ac:dyDescent="0.25">
      <c r="A20" s="25" t="s">
        <v>92</v>
      </c>
      <c r="B20" s="16"/>
      <c r="C20" s="95">
        <f>C18-C19</f>
        <v>1657</v>
      </c>
      <c r="D20" s="41"/>
      <c r="E20" s="95">
        <f>E18-E19</f>
        <v>2087</v>
      </c>
      <c r="F20" s="18"/>
      <c r="G20" s="133">
        <f t="shared" si="0"/>
        <v>430</v>
      </c>
      <c r="H20" s="41"/>
      <c r="I20" s="95">
        <f>I18-I19</f>
        <v>2514</v>
      </c>
      <c r="J20" s="18"/>
      <c r="K20" s="133">
        <f t="shared" si="1"/>
        <v>427</v>
      </c>
      <c r="L20" s="42"/>
      <c r="M20" s="95">
        <f>M18-M19</f>
        <v>2749</v>
      </c>
      <c r="N20" s="18"/>
      <c r="O20" s="133">
        <f t="shared" si="2"/>
        <v>235</v>
      </c>
      <c r="P20" s="118"/>
      <c r="Q20" s="95">
        <f>Q18-Q19</f>
        <v>2297</v>
      </c>
      <c r="R20" s="18"/>
      <c r="S20" s="133">
        <f t="shared" si="3"/>
        <v>-452</v>
      </c>
      <c r="T20" s="42"/>
      <c r="U20" s="95">
        <f>U18-U19</f>
        <v>1296</v>
      </c>
      <c r="V20" s="42"/>
      <c r="W20" s="176">
        <f t="shared" si="4"/>
        <v>-1001</v>
      </c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1:38" s="38" customFormat="1" ht="13.2" x14ac:dyDescent="0.25">
      <c r="A21" s="25" t="s">
        <v>93</v>
      </c>
      <c r="B21" s="16"/>
      <c r="C21" s="95"/>
      <c r="D21" s="41"/>
      <c r="E21" s="95"/>
      <c r="F21" s="15"/>
      <c r="G21" s="133"/>
      <c r="H21" s="41"/>
      <c r="I21" s="95"/>
      <c r="J21" s="15"/>
      <c r="K21" s="133"/>
      <c r="L21" s="42"/>
      <c r="M21" s="95"/>
      <c r="N21" s="15"/>
      <c r="O21" s="133"/>
      <c r="P21" s="118"/>
      <c r="Q21" s="95"/>
      <c r="R21" s="15"/>
      <c r="S21" s="133"/>
      <c r="T21" s="42"/>
      <c r="U21" s="95"/>
      <c r="V21" s="42"/>
      <c r="W21" s="176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1:38" ht="13.2" x14ac:dyDescent="0.25">
      <c r="A22" s="26" t="s">
        <v>94</v>
      </c>
      <c r="B22" s="16"/>
      <c r="C22" s="93">
        <v>3</v>
      </c>
      <c r="D22" s="41"/>
      <c r="E22" s="93">
        <v>10</v>
      </c>
      <c r="F22" s="15"/>
      <c r="G22" s="133">
        <f>E22-C22</f>
        <v>7</v>
      </c>
      <c r="H22" s="41"/>
      <c r="I22" s="93">
        <v>17</v>
      </c>
      <c r="J22" s="15"/>
      <c r="K22" s="133">
        <f t="shared" si="1"/>
        <v>7</v>
      </c>
      <c r="L22" s="40"/>
      <c r="M22" s="93">
        <v>22</v>
      </c>
      <c r="N22" s="15"/>
      <c r="O22" s="133">
        <f>M22-I22</f>
        <v>5</v>
      </c>
      <c r="P22" s="117"/>
      <c r="Q22" s="93">
        <v>45</v>
      </c>
      <c r="R22" s="15"/>
      <c r="S22" s="133">
        <f>Q22-M22</f>
        <v>23</v>
      </c>
      <c r="T22" s="40"/>
      <c r="U22" s="93">
        <v>27</v>
      </c>
      <c r="V22" s="40"/>
      <c r="W22" s="176">
        <f>U22-Q22</f>
        <v>-18</v>
      </c>
    </row>
    <row r="23" spans="1:38" ht="13.2" x14ac:dyDescent="0.25">
      <c r="A23" s="26" t="s">
        <v>91</v>
      </c>
      <c r="B23" s="14"/>
      <c r="C23" s="93">
        <v>1</v>
      </c>
      <c r="D23" s="39"/>
      <c r="E23" s="93">
        <v>4</v>
      </c>
      <c r="F23" s="18"/>
      <c r="G23" s="133">
        <f t="shared" ref="G23:G42" si="5">E23-C23</f>
        <v>3</v>
      </c>
      <c r="H23" s="39"/>
      <c r="I23" s="93">
        <v>6</v>
      </c>
      <c r="J23" s="18"/>
      <c r="K23" s="133">
        <f t="shared" si="1"/>
        <v>2</v>
      </c>
      <c r="L23" s="40"/>
      <c r="M23" s="93">
        <v>9</v>
      </c>
      <c r="N23" s="18"/>
      <c r="O23" s="133">
        <f t="shared" ref="O23:O42" si="6">M23-I23</f>
        <v>3</v>
      </c>
      <c r="P23" s="117"/>
      <c r="Q23" s="93">
        <v>17</v>
      </c>
      <c r="R23" s="18"/>
      <c r="S23" s="133">
        <f t="shared" ref="S23:S42" si="7">Q23-M23</f>
        <v>8</v>
      </c>
      <c r="T23" s="40"/>
      <c r="U23" s="93">
        <v>10</v>
      </c>
      <c r="V23" s="40"/>
      <c r="W23" s="176">
        <f t="shared" ref="W23:W42" si="8">U23-Q23</f>
        <v>-7</v>
      </c>
    </row>
    <row r="24" spans="1:38" ht="13.2" x14ac:dyDescent="0.25">
      <c r="A24" s="26" t="s">
        <v>95</v>
      </c>
      <c r="B24" s="14"/>
      <c r="C24" s="93">
        <f>C22-C23</f>
        <v>2</v>
      </c>
      <c r="D24" s="39"/>
      <c r="E24" s="93">
        <f>E22-E23</f>
        <v>6</v>
      </c>
      <c r="F24" s="15"/>
      <c r="G24" s="133">
        <f t="shared" si="5"/>
        <v>4</v>
      </c>
      <c r="H24" s="39"/>
      <c r="I24" s="93">
        <f>I22-I23</f>
        <v>11</v>
      </c>
      <c r="J24" s="15"/>
      <c r="K24" s="133">
        <f t="shared" si="1"/>
        <v>5</v>
      </c>
      <c r="L24" s="40"/>
      <c r="M24" s="93">
        <f>M22-M23</f>
        <v>13</v>
      </c>
      <c r="N24" s="15"/>
      <c r="O24" s="133">
        <f t="shared" si="6"/>
        <v>2</v>
      </c>
      <c r="P24" s="117"/>
      <c r="Q24" s="93">
        <f>Q22-Q23</f>
        <v>28</v>
      </c>
      <c r="R24" s="15"/>
      <c r="S24" s="133">
        <f t="shared" si="7"/>
        <v>15</v>
      </c>
      <c r="T24" s="40"/>
      <c r="U24" s="93">
        <f>U22-U23</f>
        <v>17</v>
      </c>
      <c r="V24" s="40"/>
      <c r="W24" s="176">
        <f t="shared" si="8"/>
        <v>-11</v>
      </c>
    </row>
    <row r="25" spans="1:38" s="38" customFormat="1" ht="13.2" x14ac:dyDescent="0.25">
      <c r="A25" s="25" t="s">
        <v>96</v>
      </c>
      <c r="B25" s="16"/>
      <c r="C25" s="95">
        <f>C20+C24</f>
        <v>1659</v>
      </c>
      <c r="D25" s="41"/>
      <c r="E25" s="95">
        <f>E20+E24</f>
        <v>2093</v>
      </c>
      <c r="F25" s="18"/>
      <c r="G25" s="133">
        <f>E25-C25</f>
        <v>434</v>
      </c>
      <c r="H25" s="41"/>
      <c r="I25" s="95">
        <f>I20+I24</f>
        <v>2525</v>
      </c>
      <c r="J25" s="18"/>
      <c r="K25" s="133">
        <f t="shared" si="1"/>
        <v>432</v>
      </c>
      <c r="L25" s="42"/>
      <c r="M25" s="95">
        <f>M20+M24</f>
        <v>2762</v>
      </c>
      <c r="N25" s="18"/>
      <c r="O25" s="133">
        <f t="shared" si="6"/>
        <v>237</v>
      </c>
      <c r="P25" s="118"/>
      <c r="Q25" s="95">
        <f>Q20+Q24</f>
        <v>2325</v>
      </c>
      <c r="R25" s="18"/>
      <c r="S25" s="133">
        <f t="shared" si="7"/>
        <v>-437</v>
      </c>
      <c r="T25" s="42"/>
      <c r="U25" s="95">
        <f>U20+U24</f>
        <v>1313</v>
      </c>
      <c r="V25" s="42"/>
      <c r="W25" s="176">
        <f t="shared" si="8"/>
        <v>-1012</v>
      </c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1:38" ht="13.2" x14ac:dyDescent="0.25">
      <c r="A26" s="26" t="s">
        <v>97</v>
      </c>
      <c r="B26" s="14"/>
      <c r="C26" s="93">
        <v>52</v>
      </c>
      <c r="D26" s="39"/>
      <c r="E26" s="93">
        <v>48</v>
      </c>
      <c r="F26" s="18"/>
      <c r="G26" s="133">
        <f t="shared" si="5"/>
        <v>-4</v>
      </c>
      <c r="H26" s="39"/>
      <c r="I26" s="93">
        <v>43</v>
      </c>
      <c r="J26" s="18"/>
      <c r="K26" s="133">
        <f t="shared" si="1"/>
        <v>-5</v>
      </c>
      <c r="L26" s="40"/>
      <c r="M26" s="93">
        <v>22</v>
      </c>
      <c r="N26" s="18"/>
      <c r="O26" s="133">
        <f t="shared" si="6"/>
        <v>-21</v>
      </c>
      <c r="P26" s="117"/>
      <c r="Q26" s="93">
        <v>11</v>
      </c>
      <c r="R26" s="18"/>
      <c r="S26" s="133">
        <f t="shared" si="7"/>
        <v>-11</v>
      </c>
      <c r="T26" s="40"/>
      <c r="U26" s="93">
        <v>-23</v>
      </c>
      <c r="V26" s="40"/>
      <c r="W26" s="176">
        <f t="shared" si="8"/>
        <v>-34</v>
      </c>
    </row>
    <row r="27" spans="1:38" s="38" customFormat="1" ht="13.2" x14ac:dyDescent="0.25">
      <c r="A27" s="25" t="s">
        <v>98</v>
      </c>
      <c r="B27" s="16"/>
      <c r="C27" s="95">
        <f>C25-C26</f>
        <v>1607</v>
      </c>
      <c r="D27" s="41"/>
      <c r="E27" s="95">
        <f>E25-E26</f>
        <v>2045</v>
      </c>
      <c r="F27" s="18"/>
      <c r="G27" s="133">
        <f t="shared" si="5"/>
        <v>438</v>
      </c>
      <c r="H27" s="41"/>
      <c r="I27" s="95">
        <f>I25-I26</f>
        <v>2482</v>
      </c>
      <c r="J27" s="18"/>
      <c r="K27" s="133">
        <f t="shared" si="1"/>
        <v>437</v>
      </c>
      <c r="L27" s="42"/>
      <c r="M27" s="95">
        <f>M25-M26</f>
        <v>2740</v>
      </c>
      <c r="N27" s="18"/>
      <c r="O27" s="133">
        <f t="shared" si="6"/>
        <v>258</v>
      </c>
      <c r="P27" s="118"/>
      <c r="Q27" s="95">
        <f>Q25-Q26</f>
        <v>2314</v>
      </c>
      <c r="R27" s="18"/>
      <c r="S27" s="133">
        <f t="shared" si="7"/>
        <v>-426</v>
      </c>
      <c r="T27" s="42"/>
      <c r="U27" s="95">
        <f>U25-U26</f>
        <v>1336</v>
      </c>
      <c r="V27" s="42"/>
      <c r="W27" s="176">
        <f t="shared" si="8"/>
        <v>-978</v>
      </c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1:38" s="38" customFormat="1" ht="13.2" x14ac:dyDescent="0.25">
      <c r="A28" s="25" t="s">
        <v>99</v>
      </c>
      <c r="B28" s="16"/>
      <c r="C28" s="95"/>
      <c r="D28" s="41"/>
      <c r="E28" s="95"/>
      <c r="F28" s="18"/>
      <c r="G28" s="133"/>
      <c r="H28" s="41"/>
      <c r="I28" s="95"/>
      <c r="J28" s="18"/>
      <c r="K28" s="133"/>
      <c r="L28" s="42"/>
      <c r="M28" s="95"/>
      <c r="N28" s="18"/>
      <c r="O28" s="133"/>
      <c r="P28" s="118"/>
      <c r="Q28" s="95"/>
      <c r="R28" s="18"/>
      <c r="S28" s="133"/>
      <c r="T28" s="42"/>
      <c r="U28" s="95"/>
      <c r="V28" s="42"/>
      <c r="W28" s="176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1:38" ht="13.2" x14ac:dyDescent="0.25">
      <c r="A29" s="26" t="s">
        <v>100</v>
      </c>
      <c r="B29" s="14"/>
      <c r="C29" s="93">
        <v>1605</v>
      </c>
      <c r="D29" s="39"/>
      <c r="E29" s="93">
        <v>2039</v>
      </c>
      <c r="F29" s="15"/>
      <c r="G29" s="133">
        <f t="shared" si="5"/>
        <v>434</v>
      </c>
      <c r="H29" s="39"/>
      <c r="I29" s="93">
        <v>2471</v>
      </c>
      <c r="J29" s="15"/>
      <c r="K29" s="133">
        <f t="shared" si="1"/>
        <v>432</v>
      </c>
      <c r="L29" s="40"/>
      <c r="M29" s="93">
        <v>2727</v>
      </c>
      <c r="N29" s="15"/>
      <c r="O29" s="133">
        <f t="shared" si="6"/>
        <v>256</v>
      </c>
      <c r="P29" s="117"/>
      <c r="Q29" s="93">
        <v>2286</v>
      </c>
      <c r="R29" s="15"/>
      <c r="S29" s="133">
        <f t="shared" si="7"/>
        <v>-441</v>
      </c>
      <c r="T29" s="40"/>
      <c r="U29" s="93">
        <v>1319</v>
      </c>
      <c r="V29" s="40"/>
      <c r="W29" s="176">
        <f t="shared" si="8"/>
        <v>-967</v>
      </c>
    </row>
    <row r="30" spans="1:38" ht="13.2" x14ac:dyDescent="0.25">
      <c r="A30" s="26" t="s">
        <v>101</v>
      </c>
      <c r="B30" s="14"/>
      <c r="C30" s="93">
        <v>2</v>
      </c>
      <c r="D30" s="39"/>
      <c r="E30" s="93">
        <v>6</v>
      </c>
      <c r="F30" s="18"/>
      <c r="G30" s="133">
        <f t="shared" si="5"/>
        <v>4</v>
      </c>
      <c r="H30" s="39"/>
      <c r="I30" s="93">
        <v>11</v>
      </c>
      <c r="J30" s="18"/>
      <c r="K30" s="133">
        <f t="shared" si="1"/>
        <v>5</v>
      </c>
      <c r="L30" s="40"/>
      <c r="M30" s="93">
        <v>13</v>
      </c>
      <c r="N30" s="18"/>
      <c r="O30" s="133">
        <f t="shared" si="6"/>
        <v>2</v>
      </c>
      <c r="P30" s="117"/>
      <c r="Q30" s="93">
        <v>28</v>
      </c>
      <c r="R30" s="18"/>
      <c r="S30" s="133">
        <f t="shared" si="7"/>
        <v>15</v>
      </c>
      <c r="T30" s="40"/>
      <c r="U30" s="93">
        <v>17</v>
      </c>
      <c r="V30" s="40"/>
      <c r="W30" s="176">
        <f t="shared" si="8"/>
        <v>-11</v>
      </c>
    </row>
    <row r="31" spans="1:38" s="38" customFormat="1" ht="13.2" x14ac:dyDescent="0.25">
      <c r="A31" s="25" t="s">
        <v>98</v>
      </c>
      <c r="B31" s="16"/>
      <c r="C31" s="95">
        <f>C29+C30</f>
        <v>1607</v>
      </c>
      <c r="D31" s="41"/>
      <c r="E31" s="95">
        <f>E29+E30</f>
        <v>2045</v>
      </c>
      <c r="F31" s="18"/>
      <c r="G31" s="133">
        <f t="shared" si="5"/>
        <v>438</v>
      </c>
      <c r="H31" s="41"/>
      <c r="I31" s="95">
        <f>I29+I30</f>
        <v>2482</v>
      </c>
      <c r="J31" s="18"/>
      <c r="K31" s="133">
        <f t="shared" si="1"/>
        <v>437</v>
      </c>
      <c r="L31" s="42"/>
      <c r="M31" s="95">
        <f>M29+M30</f>
        <v>2740</v>
      </c>
      <c r="N31" s="18"/>
      <c r="O31" s="133">
        <f t="shared" si="6"/>
        <v>258</v>
      </c>
      <c r="P31" s="118"/>
      <c r="Q31" s="95">
        <f>Q29+Q30</f>
        <v>2314</v>
      </c>
      <c r="R31" s="18"/>
      <c r="S31" s="133">
        <f t="shared" si="7"/>
        <v>-426</v>
      </c>
      <c r="T31" s="42"/>
      <c r="U31" s="95">
        <f>U29+U30</f>
        <v>1336</v>
      </c>
      <c r="V31" s="42"/>
      <c r="W31" s="176">
        <f t="shared" si="8"/>
        <v>-978</v>
      </c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1:38" s="38" customFormat="1" ht="13.2" x14ac:dyDescent="0.25">
      <c r="A32" s="25" t="s">
        <v>102</v>
      </c>
      <c r="B32" s="16"/>
      <c r="C32" s="95"/>
      <c r="D32" s="41"/>
      <c r="E32" s="95"/>
      <c r="F32" s="18"/>
      <c r="G32" s="133"/>
      <c r="H32" s="41"/>
      <c r="I32" s="95"/>
      <c r="J32" s="18"/>
      <c r="K32" s="131"/>
      <c r="L32" s="42"/>
      <c r="M32" s="95"/>
      <c r="N32" s="18"/>
      <c r="O32" s="133"/>
      <c r="P32" s="118"/>
      <c r="Q32" s="95"/>
      <c r="R32" s="18"/>
      <c r="S32" s="133"/>
      <c r="T32" s="42"/>
      <c r="U32" s="95"/>
      <c r="V32" s="42"/>
      <c r="W32" s="176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1:38" ht="13.2" x14ac:dyDescent="0.25">
      <c r="A33" s="26" t="s">
        <v>100</v>
      </c>
      <c r="B33" s="14"/>
      <c r="C33" s="113">
        <v>2.99</v>
      </c>
      <c r="D33" s="49"/>
      <c r="E33" s="113">
        <v>3.82</v>
      </c>
      <c r="F33" s="18"/>
      <c r="G33" s="133">
        <f t="shared" si="5"/>
        <v>0.82999999999999963</v>
      </c>
      <c r="H33" s="49"/>
      <c r="I33" s="113">
        <v>4.63</v>
      </c>
      <c r="J33" s="18"/>
      <c r="K33" s="131">
        <f t="shared" si="1"/>
        <v>0.81</v>
      </c>
      <c r="L33" s="40"/>
      <c r="M33" s="113">
        <v>5.25</v>
      </c>
      <c r="N33" s="18"/>
      <c r="O33" s="133">
        <f t="shared" si="6"/>
        <v>0.62000000000000011</v>
      </c>
      <c r="P33" s="119"/>
      <c r="Q33" s="113">
        <v>4.79</v>
      </c>
      <c r="R33" s="18"/>
      <c r="S33" s="133">
        <f t="shared" si="7"/>
        <v>-0.45999999999999996</v>
      </c>
      <c r="T33" s="34"/>
      <c r="U33" s="113">
        <v>2.98</v>
      </c>
      <c r="V33" s="34"/>
      <c r="W33" s="176">
        <f t="shared" si="8"/>
        <v>-1.81</v>
      </c>
    </row>
    <row r="34" spans="1:38" ht="13.2" x14ac:dyDescent="0.25">
      <c r="A34" s="26" t="s">
        <v>101</v>
      </c>
      <c r="B34" s="16"/>
      <c r="C34" s="113">
        <v>0.01</v>
      </c>
      <c r="D34" s="50"/>
      <c r="E34" s="113">
        <v>0.01</v>
      </c>
      <c r="F34" s="15"/>
      <c r="G34" s="133">
        <f t="shared" si="5"/>
        <v>0</v>
      </c>
      <c r="H34" s="50"/>
      <c r="I34" s="113">
        <v>0.02</v>
      </c>
      <c r="J34" s="15"/>
      <c r="K34" s="131">
        <f t="shared" si="1"/>
        <v>0.01</v>
      </c>
      <c r="L34" s="40"/>
      <c r="M34" s="113">
        <v>0.03</v>
      </c>
      <c r="N34" s="15"/>
      <c r="O34" s="133">
        <f t="shared" si="6"/>
        <v>9.9999999999999985E-3</v>
      </c>
      <c r="P34" s="119"/>
      <c r="Q34" s="113">
        <v>0.06</v>
      </c>
      <c r="R34" s="15"/>
      <c r="S34" s="133">
        <f t="shared" si="7"/>
        <v>0.03</v>
      </c>
      <c r="T34" s="34"/>
      <c r="U34" s="113">
        <v>0.04</v>
      </c>
      <c r="V34" s="34"/>
      <c r="W34" s="176">
        <f t="shared" si="8"/>
        <v>-1.9999999999999997E-2</v>
      </c>
    </row>
    <row r="35" spans="1:38" ht="13.2" x14ac:dyDescent="0.25">
      <c r="A35" s="26" t="s">
        <v>98</v>
      </c>
      <c r="B35" s="14"/>
      <c r="C35" s="113">
        <f>C33+C34</f>
        <v>3</v>
      </c>
      <c r="D35" s="49"/>
      <c r="E35" s="113">
        <f>E33+E34</f>
        <v>3.8299999999999996</v>
      </c>
      <c r="F35" s="15"/>
      <c r="G35" s="133">
        <f t="shared" si="5"/>
        <v>0.82999999999999963</v>
      </c>
      <c r="H35" s="49"/>
      <c r="I35" s="113">
        <f>I33+I34</f>
        <v>4.6499999999999995</v>
      </c>
      <c r="J35" s="15"/>
      <c r="K35" s="131">
        <f t="shared" si="1"/>
        <v>0.81999999999999984</v>
      </c>
      <c r="L35" s="40"/>
      <c r="M35" s="113">
        <f>M33+M34</f>
        <v>5.28</v>
      </c>
      <c r="N35" s="15"/>
      <c r="O35" s="133">
        <f t="shared" si="6"/>
        <v>0.63000000000000078</v>
      </c>
      <c r="P35" s="119"/>
      <c r="Q35" s="113">
        <f>Q33+Q34</f>
        <v>4.8499999999999996</v>
      </c>
      <c r="R35" s="15"/>
      <c r="S35" s="133">
        <f t="shared" si="7"/>
        <v>-0.4300000000000006</v>
      </c>
      <c r="T35" s="34"/>
      <c r="U35" s="113">
        <f>U33+U34</f>
        <v>3.02</v>
      </c>
      <c r="V35" s="34"/>
      <c r="W35" s="176">
        <f t="shared" si="8"/>
        <v>-1.8299999999999996</v>
      </c>
    </row>
    <row r="36" spans="1:38" s="38" customFormat="1" ht="13.2" x14ac:dyDescent="0.25">
      <c r="A36" s="25" t="s">
        <v>103</v>
      </c>
      <c r="B36" s="16"/>
      <c r="C36" s="114"/>
      <c r="D36" s="50"/>
      <c r="E36" s="114"/>
      <c r="F36" s="18"/>
      <c r="G36" s="133"/>
      <c r="H36" s="50"/>
      <c r="I36" s="114"/>
      <c r="J36" s="18"/>
      <c r="K36" s="131"/>
      <c r="L36" s="42"/>
      <c r="M36" s="114"/>
      <c r="N36" s="18"/>
      <c r="O36" s="133"/>
      <c r="P36" s="120"/>
      <c r="Q36" s="114"/>
      <c r="R36" s="18"/>
      <c r="S36" s="133"/>
      <c r="T36" s="35"/>
      <c r="U36" s="114"/>
      <c r="V36" s="35"/>
      <c r="W36" s="176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1:38" ht="13.2" x14ac:dyDescent="0.25">
      <c r="A37" s="26" t="s">
        <v>100</v>
      </c>
      <c r="B37" s="16"/>
      <c r="C37" s="113">
        <v>2.96</v>
      </c>
      <c r="D37" s="50"/>
      <c r="E37" s="113">
        <v>3.78</v>
      </c>
      <c r="F37" s="15"/>
      <c r="G37" s="133">
        <f t="shared" si="5"/>
        <v>0.81999999999999984</v>
      </c>
      <c r="H37" s="50"/>
      <c r="I37" s="113">
        <v>4.58</v>
      </c>
      <c r="J37" s="15"/>
      <c r="K37" s="131">
        <f t="shared" si="1"/>
        <v>0.80000000000000027</v>
      </c>
      <c r="L37" s="40"/>
      <c r="M37" s="113">
        <v>5.19</v>
      </c>
      <c r="N37" s="15"/>
      <c r="O37" s="133">
        <f t="shared" si="6"/>
        <v>0.61000000000000032</v>
      </c>
      <c r="P37" s="119"/>
      <c r="Q37" s="113">
        <v>4.75</v>
      </c>
      <c r="R37" s="15"/>
      <c r="S37" s="133">
        <f t="shared" si="7"/>
        <v>-0.44000000000000039</v>
      </c>
      <c r="T37" s="34"/>
      <c r="U37" s="113">
        <v>2.95</v>
      </c>
      <c r="V37" s="34"/>
      <c r="W37" s="176">
        <f t="shared" si="8"/>
        <v>-1.7999999999999998</v>
      </c>
    </row>
    <row r="38" spans="1:38" ht="13.2" x14ac:dyDescent="0.25">
      <c r="A38" s="26" t="s">
        <v>101</v>
      </c>
      <c r="B38" s="14"/>
      <c r="C38" s="113">
        <v>0</v>
      </c>
      <c r="D38" s="49"/>
      <c r="E38" s="113">
        <v>0.01</v>
      </c>
      <c r="F38" s="15"/>
      <c r="G38" s="133">
        <f t="shared" si="5"/>
        <v>0.01</v>
      </c>
      <c r="H38" s="49"/>
      <c r="I38" s="113">
        <v>0.02</v>
      </c>
      <c r="J38" s="15"/>
      <c r="K38" s="131">
        <f t="shared" si="1"/>
        <v>0.01</v>
      </c>
      <c r="L38" s="40"/>
      <c r="M38" s="113">
        <v>0.03</v>
      </c>
      <c r="N38" s="15"/>
      <c r="O38" s="133">
        <f t="shared" si="6"/>
        <v>9.9999999999999985E-3</v>
      </c>
      <c r="P38" s="119"/>
      <c r="Q38" s="113">
        <v>0.06</v>
      </c>
      <c r="R38" s="15"/>
      <c r="S38" s="133">
        <f t="shared" si="7"/>
        <v>0.03</v>
      </c>
      <c r="T38" s="34"/>
      <c r="U38" s="113">
        <v>0.04</v>
      </c>
      <c r="V38" s="34"/>
      <c r="W38" s="176">
        <f t="shared" si="8"/>
        <v>-1.9999999999999997E-2</v>
      </c>
    </row>
    <row r="39" spans="1:38" ht="13.2" x14ac:dyDescent="0.25">
      <c r="A39" s="26" t="s">
        <v>98</v>
      </c>
      <c r="B39" s="14"/>
      <c r="C39" s="113">
        <f>C37+C38</f>
        <v>2.96</v>
      </c>
      <c r="D39" s="49"/>
      <c r="E39" s="113">
        <f>E37+E38</f>
        <v>3.7899999999999996</v>
      </c>
      <c r="F39" s="15"/>
      <c r="G39" s="133">
        <f t="shared" si="5"/>
        <v>0.82999999999999963</v>
      </c>
      <c r="H39" s="49"/>
      <c r="I39" s="113">
        <f>I37+I38</f>
        <v>4.5999999999999996</v>
      </c>
      <c r="J39" s="15"/>
      <c r="K39" s="131">
        <f t="shared" si="1"/>
        <v>0.81</v>
      </c>
      <c r="L39" s="40"/>
      <c r="M39" s="113">
        <f>M37+M38</f>
        <v>5.2200000000000006</v>
      </c>
      <c r="N39" s="15"/>
      <c r="O39" s="133">
        <f t="shared" si="6"/>
        <v>0.62000000000000099</v>
      </c>
      <c r="P39" s="119"/>
      <c r="Q39" s="113">
        <f>Q37+Q38</f>
        <v>4.8099999999999996</v>
      </c>
      <c r="R39" s="15"/>
      <c r="S39" s="133">
        <f t="shared" si="7"/>
        <v>-0.41000000000000103</v>
      </c>
      <c r="T39" s="34"/>
      <c r="U39" s="113">
        <f>U37+U38</f>
        <v>2.99</v>
      </c>
      <c r="V39" s="34"/>
      <c r="W39" s="176">
        <f t="shared" si="8"/>
        <v>-1.8199999999999994</v>
      </c>
    </row>
    <row r="40" spans="1:38" s="38" customFormat="1" ht="13.2" x14ac:dyDescent="0.25">
      <c r="A40" s="163" t="s">
        <v>104</v>
      </c>
      <c r="B40" s="164"/>
      <c r="C40" s="171"/>
      <c r="D40" s="166"/>
      <c r="E40" s="171"/>
      <c r="F40" s="172"/>
      <c r="G40" s="133"/>
      <c r="H40" s="166"/>
      <c r="I40" s="171"/>
      <c r="J40" s="172"/>
      <c r="K40" s="131"/>
      <c r="L40" s="173"/>
      <c r="M40" s="171"/>
      <c r="N40" s="172"/>
      <c r="O40" s="133"/>
      <c r="P40" s="174"/>
      <c r="Q40" s="171"/>
      <c r="R40" s="172"/>
      <c r="S40" s="133"/>
      <c r="T40" s="175"/>
      <c r="U40" s="171"/>
      <c r="V40" s="175"/>
      <c r="W40" s="176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1:38" ht="13.2" x14ac:dyDescent="0.25">
      <c r="A41" s="159" t="s">
        <v>105</v>
      </c>
      <c r="B41" s="164"/>
      <c r="C41" s="165">
        <v>536.5</v>
      </c>
      <c r="D41" s="166"/>
      <c r="E41" s="165">
        <v>534.1</v>
      </c>
      <c r="F41" s="167"/>
      <c r="G41" s="133">
        <f t="shared" si="5"/>
        <v>-2.3999999999999773</v>
      </c>
      <c r="H41" s="166"/>
      <c r="I41" s="165">
        <v>533.70000000000005</v>
      </c>
      <c r="J41" s="167"/>
      <c r="K41" s="131">
        <f t="shared" si="1"/>
        <v>-0.39999999999997726</v>
      </c>
      <c r="L41" s="168"/>
      <c r="M41" s="165">
        <v>519.29999999999995</v>
      </c>
      <c r="N41" s="167"/>
      <c r="O41" s="133">
        <f t="shared" si="6"/>
        <v>-14.400000000000091</v>
      </c>
      <c r="P41" s="169"/>
      <c r="Q41" s="165">
        <v>476.9</v>
      </c>
      <c r="R41" s="167"/>
      <c r="S41" s="133">
        <f t="shared" si="7"/>
        <v>-42.399999999999977</v>
      </c>
      <c r="T41" s="170"/>
      <c r="U41" s="165">
        <v>442.7</v>
      </c>
      <c r="V41" s="170"/>
      <c r="W41" s="176">
        <f t="shared" si="8"/>
        <v>-34.199999999999989</v>
      </c>
    </row>
    <row r="42" spans="1:38" ht="13.8" thickBot="1" x14ac:dyDescent="0.3">
      <c r="A42" s="31" t="s">
        <v>106</v>
      </c>
      <c r="B42" s="32"/>
      <c r="C42" s="115">
        <v>542.4</v>
      </c>
      <c r="D42" s="51"/>
      <c r="E42" s="115">
        <v>540.20000000000005</v>
      </c>
      <c r="F42" s="122"/>
      <c r="G42" s="177">
        <f t="shared" si="5"/>
        <v>-2.1999999999999318</v>
      </c>
      <c r="H42" s="51"/>
      <c r="I42" s="115">
        <v>539.70000000000005</v>
      </c>
      <c r="J42" s="122"/>
      <c r="K42" s="132">
        <f t="shared" si="1"/>
        <v>-0.5</v>
      </c>
      <c r="L42" s="43"/>
      <c r="M42" s="115">
        <v>524.9</v>
      </c>
      <c r="N42" s="122"/>
      <c r="O42" s="177">
        <f t="shared" si="6"/>
        <v>-14.800000000000068</v>
      </c>
      <c r="P42" s="121"/>
      <c r="Q42" s="115">
        <v>481.4</v>
      </c>
      <c r="R42" s="122"/>
      <c r="S42" s="177">
        <f t="shared" si="7"/>
        <v>-43.5</v>
      </c>
      <c r="T42" s="36"/>
      <c r="U42" s="115">
        <v>442.1</v>
      </c>
      <c r="V42" s="36"/>
      <c r="W42" s="178">
        <f t="shared" si="8"/>
        <v>-39.299999999999955</v>
      </c>
    </row>
    <row r="43" spans="1:38" x14ac:dyDescent="0.3">
      <c r="A43" s="10"/>
      <c r="B43" s="11"/>
      <c r="C43" s="44"/>
      <c r="D43" s="45"/>
      <c r="E43" s="44"/>
      <c r="F43" s="78"/>
      <c r="G43" s="79"/>
      <c r="H43" s="45"/>
      <c r="I43" s="79"/>
      <c r="J43" s="78"/>
      <c r="K43" s="79"/>
      <c r="L43" s="123"/>
      <c r="M43" s="79"/>
      <c r="N43" s="78"/>
      <c r="O43" s="79"/>
      <c r="P43" s="123"/>
      <c r="Q43" s="79"/>
      <c r="R43" s="78"/>
      <c r="S43" s="79"/>
      <c r="T43" s="123"/>
      <c r="U43" s="79"/>
      <c r="V43" s="123"/>
      <c r="W43" s="79"/>
    </row>
    <row r="44" spans="1:38" x14ac:dyDescent="0.3">
      <c r="A44" s="10"/>
      <c r="B44" s="11"/>
      <c r="C44" s="44"/>
      <c r="D44" s="45"/>
      <c r="E44" s="44"/>
      <c r="F44" s="76"/>
      <c r="G44" s="79"/>
      <c r="H44" s="45"/>
      <c r="I44" s="79"/>
      <c r="J44" s="76"/>
      <c r="K44" s="79"/>
      <c r="L44" s="123"/>
      <c r="M44" s="79"/>
      <c r="N44" s="76"/>
      <c r="O44" s="79"/>
      <c r="P44" s="123"/>
      <c r="Q44" s="79"/>
      <c r="R44" s="76"/>
      <c r="S44" s="79"/>
      <c r="T44" s="123"/>
      <c r="U44" s="79"/>
      <c r="V44" s="123"/>
      <c r="W44" s="79"/>
    </row>
    <row r="45" spans="1:38" x14ac:dyDescent="0.3">
      <c r="F45" s="76"/>
      <c r="G45" s="79"/>
      <c r="I45" s="124"/>
      <c r="J45" s="76"/>
      <c r="K45" s="79"/>
      <c r="L45" s="125"/>
      <c r="M45" s="124"/>
      <c r="N45" s="76"/>
      <c r="O45" s="79"/>
      <c r="P45" s="125"/>
      <c r="Q45" s="124"/>
      <c r="R45" s="76"/>
      <c r="S45" s="79"/>
      <c r="T45" s="125"/>
      <c r="U45" s="124"/>
      <c r="V45" s="125"/>
      <c r="W45" s="79"/>
    </row>
    <row r="46" spans="1:38" x14ac:dyDescent="0.3">
      <c r="F46" s="78"/>
      <c r="G46" s="79"/>
      <c r="I46" s="124"/>
      <c r="J46" s="78"/>
      <c r="K46" s="79"/>
      <c r="L46" s="126"/>
      <c r="M46" s="124"/>
      <c r="N46" s="78"/>
      <c r="O46" s="79"/>
      <c r="P46" s="126"/>
      <c r="Q46" s="124"/>
      <c r="R46" s="78"/>
      <c r="S46" s="79"/>
      <c r="T46" s="126"/>
      <c r="U46" s="124"/>
      <c r="V46" s="126"/>
      <c r="W46" s="79"/>
    </row>
    <row r="47" spans="1:38" x14ac:dyDescent="0.3">
      <c r="F47" s="78"/>
      <c r="G47" s="79"/>
      <c r="I47" s="124"/>
      <c r="J47" s="78"/>
      <c r="K47" s="79"/>
      <c r="L47" s="125"/>
      <c r="M47" s="124"/>
      <c r="N47" s="78"/>
      <c r="O47" s="79"/>
      <c r="P47" s="125"/>
      <c r="Q47" s="124"/>
      <c r="R47" s="78"/>
      <c r="S47" s="79"/>
      <c r="T47" s="125"/>
      <c r="U47" s="124"/>
      <c r="V47" s="125"/>
      <c r="W47" s="79"/>
    </row>
    <row r="48" spans="1:38" x14ac:dyDescent="0.3">
      <c r="F48" s="13"/>
      <c r="G48" s="79"/>
      <c r="I48" s="124"/>
      <c r="J48" s="13"/>
      <c r="K48" s="79"/>
      <c r="L48" s="125"/>
      <c r="M48" s="124"/>
      <c r="N48" s="13"/>
      <c r="O48" s="79"/>
      <c r="P48" s="125"/>
      <c r="Q48" s="124"/>
      <c r="R48" s="13"/>
      <c r="S48" s="79"/>
      <c r="T48" s="125"/>
      <c r="U48" s="124"/>
      <c r="V48" s="125"/>
      <c r="W48" s="79"/>
    </row>
    <row r="49" spans="6:23" x14ac:dyDescent="0.3">
      <c r="F49" s="78"/>
      <c r="G49" s="79"/>
      <c r="I49" s="124"/>
      <c r="J49" s="78"/>
      <c r="K49" s="79"/>
      <c r="L49" s="125"/>
      <c r="M49" s="124"/>
      <c r="N49" s="78"/>
      <c r="O49" s="79"/>
      <c r="P49" s="125"/>
      <c r="Q49" s="124"/>
      <c r="R49" s="78"/>
      <c r="S49" s="79"/>
      <c r="T49" s="125"/>
      <c r="U49" s="124"/>
      <c r="V49" s="125"/>
      <c r="W49" s="79"/>
    </row>
    <row r="50" spans="6:23" x14ac:dyDescent="0.3">
      <c r="F50" s="13"/>
      <c r="G50" s="79"/>
      <c r="I50" s="124"/>
      <c r="J50" s="13"/>
      <c r="K50" s="79"/>
      <c r="L50" s="125"/>
      <c r="M50" s="124"/>
      <c r="N50" s="13"/>
      <c r="O50" s="79"/>
      <c r="P50" s="125"/>
      <c r="Q50" s="124"/>
      <c r="R50" s="13"/>
      <c r="S50" s="79"/>
      <c r="T50" s="125"/>
      <c r="U50" s="124"/>
      <c r="V50" s="125"/>
      <c r="W50" s="79"/>
    </row>
    <row r="51" spans="6:23" x14ac:dyDescent="0.3">
      <c r="F51" s="13"/>
      <c r="G51" s="79"/>
      <c r="I51" s="124"/>
      <c r="J51" s="13"/>
      <c r="K51" s="79"/>
      <c r="L51" s="125"/>
      <c r="M51" s="124"/>
      <c r="N51" s="13"/>
      <c r="O51" s="79"/>
      <c r="P51" s="125"/>
      <c r="Q51" s="124"/>
      <c r="R51" s="13"/>
      <c r="S51" s="79"/>
      <c r="T51" s="125"/>
      <c r="U51" s="124"/>
      <c r="V51" s="125"/>
      <c r="W51" s="79"/>
    </row>
    <row r="52" spans="6:23" x14ac:dyDescent="0.3">
      <c r="F52" s="127"/>
      <c r="G52" s="79"/>
      <c r="I52" s="124"/>
      <c r="J52" s="127"/>
      <c r="K52" s="79"/>
      <c r="L52" s="125"/>
      <c r="M52" s="124"/>
      <c r="N52" s="127"/>
      <c r="O52" s="79"/>
      <c r="P52" s="125"/>
      <c r="Q52" s="124"/>
      <c r="R52" s="127"/>
      <c r="S52" s="79"/>
      <c r="T52" s="125"/>
      <c r="U52" s="124"/>
      <c r="V52" s="125"/>
      <c r="W52" s="79"/>
    </row>
    <row r="53" spans="6:23" x14ac:dyDescent="0.3">
      <c r="F53" s="127"/>
      <c r="G53" s="79"/>
      <c r="I53" s="124"/>
      <c r="J53" s="127"/>
      <c r="K53" s="79"/>
      <c r="L53" s="125"/>
      <c r="M53" s="124"/>
      <c r="N53" s="127"/>
      <c r="O53" s="79"/>
      <c r="P53" s="125"/>
      <c r="Q53" s="124"/>
      <c r="R53" s="127"/>
      <c r="S53" s="79"/>
      <c r="T53" s="125"/>
      <c r="U53" s="124"/>
      <c r="V53" s="125"/>
      <c r="W53" s="79"/>
    </row>
    <row r="54" spans="6:23" x14ac:dyDescent="0.3">
      <c r="F54" s="128"/>
      <c r="G54" s="79"/>
      <c r="I54" s="124"/>
      <c r="J54" s="128"/>
      <c r="K54" s="79"/>
      <c r="L54" s="125"/>
      <c r="M54" s="124"/>
      <c r="N54" s="128"/>
      <c r="O54" s="79"/>
      <c r="P54" s="125"/>
      <c r="Q54" s="124"/>
      <c r="R54" s="128"/>
      <c r="S54" s="79"/>
      <c r="T54" s="125"/>
      <c r="U54" s="124"/>
      <c r="V54" s="125"/>
      <c r="W54" s="79"/>
    </row>
    <row r="55" spans="6:23" x14ac:dyDescent="0.3">
      <c r="F55" s="128"/>
      <c r="G55" s="79"/>
      <c r="I55" s="124"/>
      <c r="J55" s="128"/>
      <c r="K55" s="79"/>
      <c r="L55" s="125"/>
      <c r="M55" s="124"/>
      <c r="N55" s="128"/>
      <c r="O55" s="79"/>
      <c r="P55" s="125"/>
      <c r="Q55" s="124"/>
      <c r="R55" s="128"/>
      <c r="S55" s="79"/>
      <c r="T55" s="125"/>
      <c r="U55" s="124"/>
      <c r="V55" s="125"/>
      <c r="W55" s="79"/>
    </row>
    <row r="56" spans="6:23" x14ac:dyDescent="0.3">
      <c r="F56" s="129"/>
      <c r="G56" s="130"/>
      <c r="I56" s="124"/>
      <c r="J56" s="129"/>
      <c r="K56" s="130"/>
      <c r="L56" s="125"/>
      <c r="M56" s="124"/>
      <c r="N56" s="129"/>
      <c r="O56" s="130"/>
      <c r="P56" s="125"/>
      <c r="Q56" s="124"/>
      <c r="R56" s="129"/>
      <c r="S56" s="130"/>
      <c r="T56" s="125"/>
      <c r="U56" s="124"/>
      <c r="V56" s="125"/>
      <c r="W56" s="130"/>
    </row>
    <row r="57" spans="6:23" x14ac:dyDescent="0.3">
      <c r="F57" s="11"/>
      <c r="G57" s="12"/>
      <c r="J57" s="11"/>
      <c r="K57" s="12"/>
      <c r="N57" s="11"/>
      <c r="O57" s="12"/>
      <c r="R57" s="11"/>
      <c r="S57" s="12"/>
      <c r="W57" s="12"/>
    </row>
    <row r="59" spans="6:23" x14ac:dyDescent="0.3">
      <c r="F59" s="5"/>
      <c r="J59" s="5"/>
      <c r="N59" s="5"/>
      <c r="R59" s="5"/>
    </row>
  </sheetData>
  <hyperlinks>
    <hyperlink ref="A1:I1" location="Index!A1" display="Zurück zum Index" xr:uid="{33AF5001-0FB8-4B91-BAE9-563DBADF2E99}"/>
    <hyperlink ref="T1" location="Index!A1" display="Zurück zum Index" xr:uid="{828984D2-2EB3-4DA2-BD92-CED11B0018FC}"/>
    <hyperlink ref="L1" location="Index!A1" display="Zurück zum Index" xr:uid="{051C9DD6-0850-426F-9F28-4B3A901F8E12}"/>
    <hyperlink ref="M1" location="Index!A1" display="Zurück zum Index" xr:uid="{4724F578-21CB-4980-8E53-3FAFCF9E733C}"/>
    <hyperlink ref="E1" location="Index!A1" display="Zurück zum Index" xr:uid="{15C63FC9-564C-4C6C-9D3B-8832189515BF}"/>
    <hyperlink ref="B1" location="Index!A1" display="Zurück zum Index" xr:uid="{394DF349-66EB-4D97-A1A0-C6DD4845BBB0}"/>
    <hyperlink ref="P1" location="Index!A1" display="Zurück zum Index" xr:uid="{D617DC99-20FD-499B-BAEB-64A86B66D312}"/>
    <hyperlink ref="Q1" location="Index!A1" display="Zurück zum Index" xr:uid="{E89BE3CC-D2EB-44F1-A093-C31A5574FBE9}"/>
    <hyperlink ref="J1" location="Index!A1" display="Zurück zum Index" xr:uid="{AE474F45-AACE-4CB3-AC81-AB1EADB26835}"/>
    <hyperlink ref="K1" location="Index!A1" display="Zurück zum Index" xr:uid="{241B81C6-51ED-4324-AE63-3BEC8C38AB9F}"/>
    <hyperlink ref="N1" location="Index!A1" display="Zurück zum Index" xr:uid="{9A7F98BD-5385-4303-8952-9DA87443D6D5}"/>
    <hyperlink ref="O1" location="Index!A1" display="Zurück zum Index" xr:uid="{44CC4FB8-37B6-41B5-B6B7-200C31EEB425}"/>
    <hyperlink ref="R1" location="Index!A1" display="Zurück zum Index" xr:uid="{AE9AEF8A-0B79-41CE-A033-6C5A0ECD2978}"/>
    <hyperlink ref="S1" location="Index!A1" display="Zurück zum Index" xr:uid="{54E64310-5D8D-471A-B554-08B50DC1A960}"/>
    <hyperlink ref="U1" location="Index!A1" display="Zurück zum Index" xr:uid="{B5875744-E064-46A2-B02D-5B125CF00414}"/>
    <hyperlink ref="W1" location="Index!A1" display="Zurück zum Index" xr:uid="{7177DBE5-7119-4B30-A316-0BE5976B679A}"/>
    <hyperlink ref="C1" location="Index!A1" display="Zurück zum Index" xr:uid="{E6C9C96A-975C-4E46-9F67-E2C9D9217B92}"/>
    <hyperlink ref="D1" location="Index!A1" display="Zurück zum Index" xr:uid="{6936B508-CBFA-425F-8A04-D3E0D84428CC}"/>
    <hyperlink ref="F1" location="Index!A1" display="Zurück zum Index" xr:uid="{98F16EE1-F306-488A-A438-96BA71426625}"/>
    <hyperlink ref="G1" location="Index!A1" display="Zurück zum Index" xr:uid="{200C481B-AEC6-45CF-814B-8DC17D237926}"/>
  </hyperlink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24EE-B8A5-4D60-A814-8C8864784DF0}">
  <dimension ref="A1:AP42"/>
  <sheetViews>
    <sheetView workbookViewId="0">
      <pane xSplit="1" topLeftCell="B1" activePane="topRight" state="frozen"/>
      <selection pane="topRight" activeCell="A19" sqref="A19"/>
    </sheetView>
  </sheetViews>
  <sheetFormatPr defaultColWidth="11.44140625" defaultRowHeight="14.4" x14ac:dyDescent="0.3"/>
  <cols>
    <col min="1" max="1" width="124.5546875" style="53" customWidth="1"/>
    <col min="2" max="2" width="0.6640625" style="125" customWidth="1"/>
    <col min="3" max="3" width="18.109375" style="52" customWidth="1"/>
    <col min="4" max="4" width="0.5546875" customWidth="1"/>
    <col min="5" max="5" width="18.109375" style="52" customWidth="1"/>
    <col min="6" max="6" width="0.5546875" customWidth="1"/>
    <col min="7" max="7" width="18.109375" style="2" customWidth="1"/>
    <col min="8" max="8" width="0.5546875" customWidth="1"/>
    <col min="9" max="9" width="18.109375" style="52" customWidth="1"/>
    <col min="10" max="10" width="0.6640625" customWidth="1"/>
    <col min="11" max="11" width="18.109375" style="2" customWidth="1"/>
    <col min="12" max="12" width="0.6640625" customWidth="1"/>
    <col min="13" max="13" width="18.109375" style="52" customWidth="1"/>
    <col min="14" max="14" width="0.6640625" customWidth="1"/>
    <col min="15" max="15" width="18.109375" style="2" customWidth="1"/>
    <col min="16" max="16" width="0.6640625" customWidth="1"/>
    <col min="17" max="17" width="18.109375" style="52" customWidth="1"/>
    <col min="18" max="18" width="0.6640625" customWidth="1"/>
    <col min="19" max="19" width="18.109375" style="2" customWidth="1"/>
    <col min="20" max="20" width="0.6640625" customWidth="1"/>
    <col min="21" max="21" width="18.109375" style="52" customWidth="1"/>
    <col min="22" max="22" width="0.6640625" customWidth="1"/>
    <col min="23" max="23" width="18.109375" style="2" customWidth="1"/>
    <col min="24" max="42" width="11.44140625" style="52"/>
    <col min="43" max="270" width="11.44140625" style="53"/>
    <col min="271" max="271" width="123.44140625" style="53" customWidth="1"/>
    <col min="272" max="272" width="0.5546875" style="53" customWidth="1"/>
    <col min="273" max="273" width="18.109375" style="53" customWidth="1"/>
    <col min="274" max="274" width="0.6640625" style="53" customWidth="1"/>
    <col min="275" max="275" width="18.109375" style="53" customWidth="1"/>
    <col min="276" max="276" width="0.6640625" style="53" customWidth="1"/>
    <col min="277" max="277" width="18.109375" style="53" customWidth="1"/>
    <col min="278" max="526" width="11.44140625" style="53"/>
    <col min="527" max="527" width="123.44140625" style="53" customWidth="1"/>
    <col min="528" max="528" width="0.5546875" style="53" customWidth="1"/>
    <col min="529" max="529" width="18.109375" style="53" customWidth="1"/>
    <col min="530" max="530" width="0.6640625" style="53" customWidth="1"/>
    <col min="531" max="531" width="18.109375" style="53" customWidth="1"/>
    <col min="532" max="532" width="0.6640625" style="53" customWidth="1"/>
    <col min="533" max="533" width="18.109375" style="53" customWidth="1"/>
    <col min="534" max="782" width="11.44140625" style="53"/>
    <col min="783" max="783" width="123.44140625" style="53" customWidth="1"/>
    <col min="784" max="784" width="0.5546875" style="53" customWidth="1"/>
    <col min="785" max="785" width="18.109375" style="53" customWidth="1"/>
    <col min="786" max="786" width="0.6640625" style="53" customWidth="1"/>
    <col min="787" max="787" width="18.109375" style="53" customWidth="1"/>
    <col min="788" max="788" width="0.6640625" style="53" customWidth="1"/>
    <col min="789" max="789" width="18.109375" style="53" customWidth="1"/>
    <col min="790" max="1038" width="11.44140625" style="53"/>
    <col min="1039" max="1039" width="123.44140625" style="53" customWidth="1"/>
    <col min="1040" max="1040" width="0.5546875" style="53" customWidth="1"/>
    <col min="1041" max="1041" width="18.109375" style="53" customWidth="1"/>
    <col min="1042" max="1042" width="0.6640625" style="53" customWidth="1"/>
    <col min="1043" max="1043" width="18.109375" style="53" customWidth="1"/>
    <col min="1044" max="1044" width="0.6640625" style="53" customWidth="1"/>
    <col min="1045" max="1045" width="18.109375" style="53" customWidth="1"/>
    <col min="1046" max="1294" width="11.44140625" style="53"/>
    <col min="1295" max="1295" width="123.44140625" style="53" customWidth="1"/>
    <col min="1296" max="1296" width="0.5546875" style="53" customWidth="1"/>
    <col min="1297" max="1297" width="18.109375" style="53" customWidth="1"/>
    <col min="1298" max="1298" width="0.6640625" style="53" customWidth="1"/>
    <col min="1299" max="1299" width="18.109375" style="53" customWidth="1"/>
    <col min="1300" max="1300" width="0.6640625" style="53" customWidth="1"/>
    <col min="1301" max="1301" width="18.109375" style="53" customWidth="1"/>
    <col min="1302" max="1550" width="11.44140625" style="53"/>
    <col min="1551" max="1551" width="123.44140625" style="53" customWidth="1"/>
    <col min="1552" max="1552" width="0.5546875" style="53" customWidth="1"/>
    <col min="1553" max="1553" width="18.109375" style="53" customWidth="1"/>
    <col min="1554" max="1554" width="0.6640625" style="53" customWidth="1"/>
    <col min="1555" max="1555" width="18.109375" style="53" customWidth="1"/>
    <col min="1556" max="1556" width="0.6640625" style="53" customWidth="1"/>
    <col min="1557" max="1557" width="18.109375" style="53" customWidth="1"/>
    <col min="1558" max="1806" width="11.44140625" style="53"/>
    <col min="1807" max="1807" width="123.44140625" style="53" customWidth="1"/>
    <col min="1808" max="1808" width="0.5546875" style="53" customWidth="1"/>
    <col min="1809" max="1809" width="18.109375" style="53" customWidth="1"/>
    <col min="1810" max="1810" width="0.6640625" style="53" customWidth="1"/>
    <col min="1811" max="1811" width="18.109375" style="53" customWidth="1"/>
    <col min="1812" max="1812" width="0.6640625" style="53" customWidth="1"/>
    <col min="1813" max="1813" width="18.109375" style="53" customWidth="1"/>
    <col min="1814" max="2062" width="11.44140625" style="53"/>
    <col min="2063" max="2063" width="123.44140625" style="53" customWidth="1"/>
    <col min="2064" max="2064" width="0.5546875" style="53" customWidth="1"/>
    <col min="2065" max="2065" width="18.109375" style="53" customWidth="1"/>
    <col min="2066" max="2066" width="0.6640625" style="53" customWidth="1"/>
    <col min="2067" max="2067" width="18.109375" style="53" customWidth="1"/>
    <col min="2068" max="2068" width="0.6640625" style="53" customWidth="1"/>
    <col min="2069" max="2069" width="18.109375" style="53" customWidth="1"/>
    <col min="2070" max="2318" width="11.44140625" style="53"/>
    <col min="2319" max="2319" width="123.44140625" style="53" customWidth="1"/>
    <col min="2320" max="2320" width="0.5546875" style="53" customWidth="1"/>
    <col min="2321" max="2321" width="18.109375" style="53" customWidth="1"/>
    <col min="2322" max="2322" width="0.6640625" style="53" customWidth="1"/>
    <col min="2323" max="2323" width="18.109375" style="53" customWidth="1"/>
    <col min="2324" max="2324" width="0.6640625" style="53" customWidth="1"/>
    <col min="2325" max="2325" width="18.109375" style="53" customWidth="1"/>
    <col min="2326" max="2574" width="11.44140625" style="53"/>
    <col min="2575" max="2575" width="123.44140625" style="53" customWidth="1"/>
    <col min="2576" max="2576" width="0.5546875" style="53" customWidth="1"/>
    <col min="2577" max="2577" width="18.109375" style="53" customWidth="1"/>
    <col min="2578" max="2578" width="0.6640625" style="53" customWidth="1"/>
    <col min="2579" max="2579" width="18.109375" style="53" customWidth="1"/>
    <col min="2580" max="2580" width="0.6640625" style="53" customWidth="1"/>
    <col min="2581" max="2581" width="18.109375" style="53" customWidth="1"/>
    <col min="2582" max="2830" width="11.44140625" style="53"/>
    <col min="2831" max="2831" width="123.44140625" style="53" customWidth="1"/>
    <col min="2832" max="2832" width="0.5546875" style="53" customWidth="1"/>
    <col min="2833" max="2833" width="18.109375" style="53" customWidth="1"/>
    <col min="2834" max="2834" width="0.6640625" style="53" customWidth="1"/>
    <col min="2835" max="2835" width="18.109375" style="53" customWidth="1"/>
    <col min="2836" max="2836" width="0.6640625" style="53" customWidth="1"/>
    <col min="2837" max="2837" width="18.109375" style="53" customWidth="1"/>
    <col min="2838" max="3086" width="11.44140625" style="53"/>
    <col min="3087" max="3087" width="123.44140625" style="53" customWidth="1"/>
    <col min="3088" max="3088" width="0.5546875" style="53" customWidth="1"/>
    <col min="3089" max="3089" width="18.109375" style="53" customWidth="1"/>
    <col min="3090" max="3090" width="0.6640625" style="53" customWidth="1"/>
    <col min="3091" max="3091" width="18.109375" style="53" customWidth="1"/>
    <col min="3092" max="3092" width="0.6640625" style="53" customWidth="1"/>
    <col min="3093" max="3093" width="18.109375" style="53" customWidth="1"/>
    <col min="3094" max="3342" width="11.44140625" style="53"/>
    <col min="3343" max="3343" width="123.44140625" style="53" customWidth="1"/>
    <col min="3344" max="3344" width="0.5546875" style="53" customWidth="1"/>
    <col min="3345" max="3345" width="18.109375" style="53" customWidth="1"/>
    <col min="3346" max="3346" width="0.6640625" style="53" customWidth="1"/>
    <col min="3347" max="3347" width="18.109375" style="53" customWidth="1"/>
    <col min="3348" max="3348" width="0.6640625" style="53" customWidth="1"/>
    <col min="3349" max="3349" width="18.109375" style="53" customWidth="1"/>
    <col min="3350" max="3598" width="11.44140625" style="53"/>
    <col min="3599" max="3599" width="123.44140625" style="53" customWidth="1"/>
    <col min="3600" max="3600" width="0.5546875" style="53" customWidth="1"/>
    <col min="3601" max="3601" width="18.109375" style="53" customWidth="1"/>
    <col min="3602" max="3602" width="0.6640625" style="53" customWidth="1"/>
    <col min="3603" max="3603" width="18.109375" style="53" customWidth="1"/>
    <col min="3604" max="3604" width="0.6640625" style="53" customWidth="1"/>
    <col min="3605" max="3605" width="18.109375" style="53" customWidth="1"/>
    <col min="3606" max="3854" width="11.44140625" style="53"/>
    <col min="3855" max="3855" width="123.44140625" style="53" customWidth="1"/>
    <col min="3856" max="3856" width="0.5546875" style="53" customWidth="1"/>
    <col min="3857" max="3857" width="18.109375" style="53" customWidth="1"/>
    <col min="3858" max="3858" width="0.6640625" style="53" customWidth="1"/>
    <col min="3859" max="3859" width="18.109375" style="53" customWidth="1"/>
    <col min="3860" max="3860" width="0.6640625" style="53" customWidth="1"/>
    <col min="3861" max="3861" width="18.109375" style="53" customWidth="1"/>
    <col min="3862" max="4110" width="11.44140625" style="53"/>
    <col min="4111" max="4111" width="123.44140625" style="53" customWidth="1"/>
    <col min="4112" max="4112" width="0.5546875" style="53" customWidth="1"/>
    <col min="4113" max="4113" width="18.109375" style="53" customWidth="1"/>
    <col min="4114" max="4114" width="0.6640625" style="53" customWidth="1"/>
    <col min="4115" max="4115" width="18.109375" style="53" customWidth="1"/>
    <col min="4116" max="4116" width="0.6640625" style="53" customWidth="1"/>
    <col min="4117" max="4117" width="18.109375" style="53" customWidth="1"/>
    <col min="4118" max="4366" width="11.44140625" style="53"/>
    <col min="4367" max="4367" width="123.44140625" style="53" customWidth="1"/>
    <col min="4368" max="4368" width="0.5546875" style="53" customWidth="1"/>
    <col min="4369" max="4369" width="18.109375" style="53" customWidth="1"/>
    <col min="4370" max="4370" width="0.6640625" style="53" customWidth="1"/>
    <col min="4371" max="4371" width="18.109375" style="53" customWidth="1"/>
    <col min="4372" max="4372" width="0.6640625" style="53" customWidth="1"/>
    <col min="4373" max="4373" width="18.109375" style="53" customWidth="1"/>
    <col min="4374" max="4622" width="11.44140625" style="53"/>
    <col min="4623" max="4623" width="123.44140625" style="53" customWidth="1"/>
    <col min="4624" max="4624" width="0.5546875" style="53" customWidth="1"/>
    <col min="4625" max="4625" width="18.109375" style="53" customWidth="1"/>
    <col min="4626" max="4626" width="0.6640625" style="53" customWidth="1"/>
    <col min="4627" max="4627" width="18.109375" style="53" customWidth="1"/>
    <col min="4628" max="4628" width="0.6640625" style="53" customWidth="1"/>
    <col min="4629" max="4629" width="18.109375" style="53" customWidth="1"/>
    <col min="4630" max="4878" width="11.44140625" style="53"/>
    <col min="4879" max="4879" width="123.44140625" style="53" customWidth="1"/>
    <col min="4880" max="4880" width="0.5546875" style="53" customWidth="1"/>
    <col min="4881" max="4881" width="18.109375" style="53" customWidth="1"/>
    <col min="4882" max="4882" width="0.6640625" style="53" customWidth="1"/>
    <col min="4883" max="4883" width="18.109375" style="53" customWidth="1"/>
    <col min="4884" max="4884" width="0.6640625" style="53" customWidth="1"/>
    <col min="4885" max="4885" width="18.109375" style="53" customWidth="1"/>
    <col min="4886" max="5134" width="11.44140625" style="53"/>
    <col min="5135" max="5135" width="123.44140625" style="53" customWidth="1"/>
    <col min="5136" max="5136" width="0.5546875" style="53" customWidth="1"/>
    <col min="5137" max="5137" width="18.109375" style="53" customWidth="1"/>
    <col min="5138" max="5138" width="0.6640625" style="53" customWidth="1"/>
    <col min="5139" max="5139" width="18.109375" style="53" customWidth="1"/>
    <col min="5140" max="5140" width="0.6640625" style="53" customWidth="1"/>
    <col min="5141" max="5141" width="18.109375" style="53" customWidth="1"/>
    <col min="5142" max="5390" width="11.44140625" style="53"/>
    <col min="5391" max="5391" width="123.44140625" style="53" customWidth="1"/>
    <col min="5392" max="5392" width="0.5546875" style="53" customWidth="1"/>
    <col min="5393" max="5393" width="18.109375" style="53" customWidth="1"/>
    <col min="5394" max="5394" width="0.6640625" style="53" customWidth="1"/>
    <col min="5395" max="5395" width="18.109375" style="53" customWidth="1"/>
    <col min="5396" max="5396" width="0.6640625" style="53" customWidth="1"/>
    <col min="5397" max="5397" width="18.109375" style="53" customWidth="1"/>
    <col min="5398" max="5646" width="11.44140625" style="53"/>
    <col min="5647" max="5647" width="123.44140625" style="53" customWidth="1"/>
    <col min="5648" max="5648" width="0.5546875" style="53" customWidth="1"/>
    <col min="5649" max="5649" width="18.109375" style="53" customWidth="1"/>
    <col min="5650" max="5650" width="0.6640625" style="53" customWidth="1"/>
    <col min="5651" max="5651" width="18.109375" style="53" customWidth="1"/>
    <col min="5652" max="5652" width="0.6640625" style="53" customWidth="1"/>
    <col min="5653" max="5653" width="18.109375" style="53" customWidth="1"/>
    <col min="5654" max="5902" width="11.44140625" style="53"/>
    <col min="5903" max="5903" width="123.44140625" style="53" customWidth="1"/>
    <col min="5904" max="5904" width="0.5546875" style="53" customWidth="1"/>
    <col min="5905" max="5905" width="18.109375" style="53" customWidth="1"/>
    <col min="5906" max="5906" width="0.6640625" style="53" customWidth="1"/>
    <col min="5907" max="5907" width="18.109375" style="53" customWidth="1"/>
    <col min="5908" max="5908" width="0.6640625" style="53" customWidth="1"/>
    <col min="5909" max="5909" width="18.109375" style="53" customWidth="1"/>
    <col min="5910" max="6158" width="11.44140625" style="53"/>
    <col min="6159" max="6159" width="123.44140625" style="53" customWidth="1"/>
    <col min="6160" max="6160" width="0.5546875" style="53" customWidth="1"/>
    <col min="6161" max="6161" width="18.109375" style="53" customWidth="1"/>
    <col min="6162" max="6162" width="0.6640625" style="53" customWidth="1"/>
    <col min="6163" max="6163" width="18.109375" style="53" customWidth="1"/>
    <col min="6164" max="6164" width="0.6640625" style="53" customWidth="1"/>
    <col min="6165" max="6165" width="18.109375" style="53" customWidth="1"/>
    <col min="6166" max="6414" width="11.44140625" style="53"/>
    <col min="6415" max="6415" width="123.44140625" style="53" customWidth="1"/>
    <col min="6416" max="6416" width="0.5546875" style="53" customWidth="1"/>
    <col min="6417" max="6417" width="18.109375" style="53" customWidth="1"/>
    <col min="6418" max="6418" width="0.6640625" style="53" customWidth="1"/>
    <col min="6419" max="6419" width="18.109375" style="53" customWidth="1"/>
    <col min="6420" max="6420" width="0.6640625" style="53" customWidth="1"/>
    <col min="6421" max="6421" width="18.109375" style="53" customWidth="1"/>
    <col min="6422" max="6670" width="11.44140625" style="53"/>
    <col min="6671" max="6671" width="123.44140625" style="53" customWidth="1"/>
    <col min="6672" max="6672" width="0.5546875" style="53" customWidth="1"/>
    <col min="6673" max="6673" width="18.109375" style="53" customWidth="1"/>
    <col min="6674" max="6674" width="0.6640625" style="53" customWidth="1"/>
    <col min="6675" max="6675" width="18.109375" style="53" customWidth="1"/>
    <col min="6676" max="6676" width="0.6640625" style="53" customWidth="1"/>
    <col min="6677" max="6677" width="18.109375" style="53" customWidth="1"/>
    <col min="6678" max="6926" width="11.44140625" style="53"/>
    <col min="6927" max="6927" width="123.44140625" style="53" customWidth="1"/>
    <col min="6928" max="6928" width="0.5546875" style="53" customWidth="1"/>
    <col min="6929" max="6929" width="18.109375" style="53" customWidth="1"/>
    <col min="6930" max="6930" width="0.6640625" style="53" customWidth="1"/>
    <col min="6931" max="6931" width="18.109375" style="53" customWidth="1"/>
    <col min="6932" max="6932" width="0.6640625" style="53" customWidth="1"/>
    <col min="6933" max="6933" width="18.109375" style="53" customWidth="1"/>
    <col min="6934" max="7182" width="11.44140625" style="53"/>
    <col min="7183" max="7183" width="123.44140625" style="53" customWidth="1"/>
    <col min="7184" max="7184" width="0.5546875" style="53" customWidth="1"/>
    <col min="7185" max="7185" width="18.109375" style="53" customWidth="1"/>
    <col min="7186" max="7186" width="0.6640625" style="53" customWidth="1"/>
    <col min="7187" max="7187" width="18.109375" style="53" customWidth="1"/>
    <col min="7188" max="7188" width="0.6640625" style="53" customWidth="1"/>
    <col min="7189" max="7189" width="18.109375" style="53" customWidth="1"/>
    <col min="7190" max="7438" width="11.44140625" style="53"/>
    <col min="7439" max="7439" width="123.44140625" style="53" customWidth="1"/>
    <col min="7440" max="7440" width="0.5546875" style="53" customWidth="1"/>
    <col min="7441" max="7441" width="18.109375" style="53" customWidth="1"/>
    <col min="7442" max="7442" width="0.6640625" style="53" customWidth="1"/>
    <col min="7443" max="7443" width="18.109375" style="53" customWidth="1"/>
    <col min="7444" max="7444" width="0.6640625" style="53" customWidth="1"/>
    <col min="7445" max="7445" width="18.109375" style="53" customWidth="1"/>
    <col min="7446" max="7694" width="11.44140625" style="53"/>
    <col min="7695" max="7695" width="123.44140625" style="53" customWidth="1"/>
    <col min="7696" max="7696" width="0.5546875" style="53" customWidth="1"/>
    <col min="7697" max="7697" width="18.109375" style="53" customWidth="1"/>
    <col min="7698" max="7698" width="0.6640625" style="53" customWidth="1"/>
    <col min="7699" max="7699" width="18.109375" style="53" customWidth="1"/>
    <col min="7700" max="7700" width="0.6640625" style="53" customWidth="1"/>
    <col min="7701" max="7701" width="18.109375" style="53" customWidth="1"/>
    <col min="7702" max="7950" width="11.44140625" style="53"/>
    <col min="7951" max="7951" width="123.44140625" style="53" customWidth="1"/>
    <col min="7952" max="7952" width="0.5546875" style="53" customWidth="1"/>
    <col min="7953" max="7953" width="18.109375" style="53" customWidth="1"/>
    <col min="7954" max="7954" width="0.6640625" style="53" customWidth="1"/>
    <col min="7955" max="7955" width="18.109375" style="53" customWidth="1"/>
    <col min="7956" max="7956" width="0.6640625" style="53" customWidth="1"/>
    <col min="7957" max="7957" width="18.109375" style="53" customWidth="1"/>
    <col min="7958" max="8206" width="11.44140625" style="53"/>
    <col min="8207" max="8207" width="123.44140625" style="53" customWidth="1"/>
    <col min="8208" max="8208" width="0.5546875" style="53" customWidth="1"/>
    <col min="8209" max="8209" width="18.109375" style="53" customWidth="1"/>
    <col min="8210" max="8210" width="0.6640625" style="53" customWidth="1"/>
    <col min="8211" max="8211" width="18.109375" style="53" customWidth="1"/>
    <col min="8212" max="8212" width="0.6640625" style="53" customWidth="1"/>
    <col min="8213" max="8213" width="18.109375" style="53" customWidth="1"/>
    <col min="8214" max="8462" width="11.44140625" style="53"/>
    <col min="8463" max="8463" width="123.44140625" style="53" customWidth="1"/>
    <col min="8464" max="8464" width="0.5546875" style="53" customWidth="1"/>
    <col min="8465" max="8465" width="18.109375" style="53" customWidth="1"/>
    <col min="8466" max="8466" width="0.6640625" style="53" customWidth="1"/>
    <col min="8467" max="8467" width="18.109375" style="53" customWidth="1"/>
    <col min="8468" max="8468" width="0.6640625" style="53" customWidth="1"/>
    <col min="8469" max="8469" width="18.109375" style="53" customWidth="1"/>
    <col min="8470" max="8718" width="11.44140625" style="53"/>
    <col min="8719" max="8719" width="123.44140625" style="53" customWidth="1"/>
    <col min="8720" max="8720" width="0.5546875" style="53" customWidth="1"/>
    <col min="8721" max="8721" width="18.109375" style="53" customWidth="1"/>
    <col min="8722" max="8722" width="0.6640625" style="53" customWidth="1"/>
    <col min="8723" max="8723" width="18.109375" style="53" customWidth="1"/>
    <col min="8724" max="8724" width="0.6640625" style="53" customWidth="1"/>
    <col min="8725" max="8725" width="18.109375" style="53" customWidth="1"/>
    <col min="8726" max="8974" width="11.44140625" style="53"/>
    <col min="8975" max="8975" width="123.44140625" style="53" customWidth="1"/>
    <col min="8976" max="8976" width="0.5546875" style="53" customWidth="1"/>
    <col min="8977" max="8977" width="18.109375" style="53" customWidth="1"/>
    <col min="8978" max="8978" width="0.6640625" style="53" customWidth="1"/>
    <col min="8979" max="8979" width="18.109375" style="53" customWidth="1"/>
    <col min="8980" max="8980" width="0.6640625" style="53" customWidth="1"/>
    <col min="8981" max="8981" width="18.109375" style="53" customWidth="1"/>
    <col min="8982" max="9230" width="11.44140625" style="53"/>
    <col min="9231" max="9231" width="123.44140625" style="53" customWidth="1"/>
    <col min="9232" max="9232" width="0.5546875" style="53" customWidth="1"/>
    <col min="9233" max="9233" width="18.109375" style="53" customWidth="1"/>
    <col min="9234" max="9234" width="0.6640625" style="53" customWidth="1"/>
    <col min="9235" max="9235" width="18.109375" style="53" customWidth="1"/>
    <col min="9236" max="9236" width="0.6640625" style="53" customWidth="1"/>
    <col min="9237" max="9237" width="18.109375" style="53" customWidth="1"/>
    <col min="9238" max="9486" width="11.44140625" style="53"/>
    <col min="9487" max="9487" width="123.44140625" style="53" customWidth="1"/>
    <col min="9488" max="9488" width="0.5546875" style="53" customWidth="1"/>
    <col min="9489" max="9489" width="18.109375" style="53" customWidth="1"/>
    <col min="9490" max="9490" width="0.6640625" style="53" customWidth="1"/>
    <col min="9491" max="9491" width="18.109375" style="53" customWidth="1"/>
    <col min="9492" max="9492" width="0.6640625" style="53" customWidth="1"/>
    <col min="9493" max="9493" width="18.109375" style="53" customWidth="1"/>
    <col min="9494" max="9742" width="11.44140625" style="53"/>
    <col min="9743" max="9743" width="123.44140625" style="53" customWidth="1"/>
    <col min="9744" max="9744" width="0.5546875" style="53" customWidth="1"/>
    <col min="9745" max="9745" width="18.109375" style="53" customWidth="1"/>
    <col min="9746" max="9746" width="0.6640625" style="53" customWidth="1"/>
    <col min="9747" max="9747" width="18.109375" style="53" customWidth="1"/>
    <col min="9748" max="9748" width="0.6640625" style="53" customWidth="1"/>
    <col min="9749" max="9749" width="18.109375" style="53" customWidth="1"/>
    <col min="9750" max="9998" width="11.44140625" style="53"/>
    <col min="9999" max="9999" width="123.44140625" style="53" customWidth="1"/>
    <col min="10000" max="10000" width="0.5546875" style="53" customWidth="1"/>
    <col min="10001" max="10001" width="18.109375" style="53" customWidth="1"/>
    <col min="10002" max="10002" width="0.6640625" style="53" customWidth="1"/>
    <col min="10003" max="10003" width="18.109375" style="53" customWidth="1"/>
    <col min="10004" max="10004" width="0.6640625" style="53" customWidth="1"/>
    <col min="10005" max="10005" width="18.109375" style="53" customWidth="1"/>
    <col min="10006" max="10254" width="11.44140625" style="53"/>
    <col min="10255" max="10255" width="123.44140625" style="53" customWidth="1"/>
    <col min="10256" max="10256" width="0.5546875" style="53" customWidth="1"/>
    <col min="10257" max="10257" width="18.109375" style="53" customWidth="1"/>
    <col min="10258" max="10258" width="0.6640625" style="53" customWidth="1"/>
    <col min="10259" max="10259" width="18.109375" style="53" customWidth="1"/>
    <col min="10260" max="10260" width="0.6640625" style="53" customWidth="1"/>
    <col min="10261" max="10261" width="18.109375" style="53" customWidth="1"/>
    <col min="10262" max="10510" width="11.44140625" style="53"/>
    <col min="10511" max="10511" width="123.44140625" style="53" customWidth="1"/>
    <col min="10512" max="10512" width="0.5546875" style="53" customWidth="1"/>
    <col min="10513" max="10513" width="18.109375" style="53" customWidth="1"/>
    <col min="10514" max="10514" width="0.6640625" style="53" customWidth="1"/>
    <col min="10515" max="10515" width="18.109375" style="53" customWidth="1"/>
    <col min="10516" max="10516" width="0.6640625" style="53" customWidth="1"/>
    <col min="10517" max="10517" width="18.109375" style="53" customWidth="1"/>
    <col min="10518" max="10766" width="11.44140625" style="53"/>
    <col min="10767" max="10767" width="123.44140625" style="53" customWidth="1"/>
    <col min="10768" max="10768" width="0.5546875" style="53" customWidth="1"/>
    <col min="10769" max="10769" width="18.109375" style="53" customWidth="1"/>
    <col min="10770" max="10770" width="0.6640625" style="53" customWidth="1"/>
    <col min="10771" max="10771" width="18.109375" style="53" customWidth="1"/>
    <col min="10772" max="10772" width="0.6640625" style="53" customWidth="1"/>
    <col min="10773" max="10773" width="18.109375" style="53" customWidth="1"/>
    <col min="10774" max="11022" width="11.44140625" style="53"/>
    <col min="11023" max="11023" width="123.44140625" style="53" customWidth="1"/>
    <col min="11024" max="11024" width="0.5546875" style="53" customWidth="1"/>
    <col min="11025" max="11025" width="18.109375" style="53" customWidth="1"/>
    <col min="11026" max="11026" width="0.6640625" style="53" customWidth="1"/>
    <col min="11027" max="11027" width="18.109375" style="53" customWidth="1"/>
    <col min="11028" max="11028" width="0.6640625" style="53" customWidth="1"/>
    <col min="11029" max="11029" width="18.109375" style="53" customWidth="1"/>
    <col min="11030" max="11278" width="11.44140625" style="53"/>
    <col min="11279" max="11279" width="123.44140625" style="53" customWidth="1"/>
    <col min="11280" max="11280" width="0.5546875" style="53" customWidth="1"/>
    <col min="11281" max="11281" width="18.109375" style="53" customWidth="1"/>
    <col min="11282" max="11282" width="0.6640625" style="53" customWidth="1"/>
    <col min="11283" max="11283" width="18.109375" style="53" customWidth="1"/>
    <col min="11284" max="11284" width="0.6640625" style="53" customWidth="1"/>
    <col min="11285" max="11285" width="18.109375" style="53" customWidth="1"/>
    <col min="11286" max="11534" width="11.44140625" style="53"/>
    <col min="11535" max="11535" width="123.44140625" style="53" customWidth="1"/>
    <col min="11536" max="11536" width="0.5546875" style="53" customWidth="1"/>
    <col min="11537" max="11537" width="18.109375" style="53" customWidth="1"/>
    <col min="11538" max="11538" width="0.6640625" style="53" customWidth="1"/>
    <col min="11539" max="11539" width="18.109375" style="53" customWidth="1"/>
    <col min="11540" max="11540" width="0.6640625" style="53" customWidth="1"/>
    <col min="11541" max="11541" width="18.109375" style="53" customWidth="1"/>
    <col min="11542" max="11790" width="11.44140625" style="53"/>
    <col min="11791" max="11791" width="123.44140625" style="53" customWidth="1"/>
    <col min="11792" max="11792" width="0.5546875" style="53" customWidth="1"/>
    <col min="11793" max="11793" width="18.109375" style="53" customWidth="1"/>
    <col min="11794" max="11794" width="0.6640625" style="53" customWidth="1"/>
    <col min="11795" max="11795" width="18.109375" style="53" customWidth="1"/>
    <col min="11796" max="11796" width="0.6640625" style="53" customWidth="1"/>
    <col min="11797" max="11797" width="18.109375" style="53" customWidth="1"/>
    <col min="11798" max="12046" width="11.44140625" style="53"/>
    <col min="12047" max="12047" width="123.44140625" style="53" customWidth="1"/>
    <col min="12048" max="12048" width="0.5546875" style="53" customWidth="1"/>
    <col min="12049" max="12049" width="18.109375" style="53" customWidth="1"/>
    <col min="12050" max="12050" width="0.6640625" style="53" customWidth="1"/>
    <col min="12051" max="12051" width="18.109375" style="53" customWidth="1"/>
    <col min="12052" max="12052" width="0.6640625" style="53" customWidth="1"/>
    <col min="12053" max="12053" width="18.109375" style="53" customWidth="1"/>
    <col min="12054" max="12302" width="11.44140625" style="53"/>
    <col min="12303" max="12303" width="123.44140625" style="53" customWidth="1"/>
    <col min="12304" max="12304" width="0.5546875" style="53" customWidth="1"/>
    <col min="12305" max="12305" width="18.109375" style="53" customWidth="1"/>
    <col min="12306" max="12306" width="0.6640625" style="53" customWidth="1"/>
    <col min="12307" max="12307" width="18.109375" style="53" customWidth="1"/>
    <col min="12308" max="12308" width="0.6640625" style="53" customWidth="1"/>
    <col min="12309" max="12309" width="18.109375" style="53" customWidth="1"/>
    <col min="12310" max="12558" width="11.44140625" style="53"/>
    <col min="12559" max="12559" width="123.44140625" style="53" customWidth="1"/>
    <col min="12560" max="12560" width="0.5546875" style="53" customWidth="1"/>
    <col min="12561" max="12561" width="18.109375" style="53" customWidth="1"/>
    <col min="12562" max="12562" width="0.6640625" style="53" customWidth="1"/>
    <col min="12563" max="12563" width="18.109375" style="53" customWidth="1"/>
    <col min="12564" max="12564" width="0.6640625" style="53" customWidth="1"/>
    <col min="12565" max="12565" width="18.109375" style="53" customWidth="1"/>
    <col min="12566" max="12814" width="11.44140625" style="53"/>
    <col min="12815" max="12815" width="123.44140625" style="53" customWidth="1"/>
    <col min="12816" max="12816" width="0.5546875" style="53" customWidth="1"/>
    <col min="12817" max="12817" width="18.109375" style="53" customWidth="1"/>
    <col min="12818" max="12818" width="0.6640625" style="53" customWidth="1"/>
    <col min="12819" max="12819" width="18.109375" style="53" customWidth="1"/>
    <col min="12820" max="12820" width="0.6640625" style="53" customWidth="1"/>
    <col min="12821" max="12821" width="18.109375" style="53" customWidth="1"/>
    <col min="12822" max="13070" width="11.44140625" style="53"/>
    <col min="13071" max="13071" width="123.44140625" style="53" customWidth="1"/>
    <col min="13072" max="13072" width="0.5546875" style="53" customWidth="1"/>
    <col min="13073" max="13073" width="18.109375" style="53" customWidth="1"/>
    <col min="13074" max="13074" width="0.6640625" style="53" customWidth="1"/>
    <col min="13075" max="13075" width="18.109375" style="53" customWidth="1"/>
    <col min="13076" max="13076" width="0.6640625" style="53" customWidth="1"/>
    <col min="13077" max="13077" width="18.109375" style="53" customWidth="1"/>
    <col min="13078" max="13326" width="11.44140625" style="53"/>
    <col min="13327" max="13327" width="123.44140625" style="53" customWidth="1"/>
    <col min="13328" max="13328" width="0.5546875" style="53" customWidth="1"/>
    <col min="13329" max="13329" width="18.109375" style="53" customWidth="1"/>
    <col min="13330" max="13330" width="0.6640625" style="53" customWidth="1"/>
    <col min="13331" max="13331" width="18.109375" style="53" customWidth="1"/>
    <col min="13332" max="13332" width="0.6640625" style="53" customWidth="1"/>
    <col min="13333" max="13333" width="18.109375" style="53" customWidth="1"/>
    <col min="13334" max="13582" width="11.44140625" style="53"/>
    <col min="13583" max="13583" width="123.44140625" style="53" customWidth="1"/>
    <col min="13584" max="13584" width="0.5546875" style="53" customWidth="1"/>
    <col min="13585" max="13585" width="18.109375" style="53" customWidth="1"/>
    <col min="13586" max="13586" width="0.6640625" style="53" customWidth="1"/>
    <col min="13587" max="13587" width="18.109375" style="53" customWidth="1"/>
    <col min="13588" max="13588" width="0.6640625" style="53" customWidth="1"/>
    <col min="13589" max="13589" width="18.109375" style="53" customWidth="1"/>
    <col min="13590" max="13838" width="11.44140625" style="53"/>
    <col min="13839" max="13839" width="123.44140625" style="53" customWidth="1"/>
    <col min="13840" max="13840" width="0.5546875" style="53" customWidth="1"/>
    <col min="13841" max="13841" width="18.109375" style="53" customWidth="1"/>
    <col min="13842" max="13842" width="0.6640625" style="53" customWidth="1"/>
    <col min="13843" max="13843" width="18.109375" style="53" customWidth="1"/>
    <col min="13844" max="13844" width="0.6640625" style="53" customWidth="1"/>
    <col min="13845" max="13845" width="18.109375" style="53" customWidth="1"/>
    <col min="13846" max="14094" width="11.44140625" style="53"/>
    <col min="14095" max="14095" width="123.44140625" style="53" customWidth="1"/>
    <col min="14096" max="14096" width="0.5546875" style="53" customWidth="1"/>
    <col min="14097" max="14097" width="18.109375" style="53" customWidth="1"/>
    <col min="14098" max="14098" width="0.6640625" style="53" customWidth="1"/>
    <col min="14099" max="14099" width="18.109375" style="53" customWidth="1"/>
    <col min="14100" max="14100" width="0.6640625" style="53" customWidth="1"/>
    <col min="14101" max="14101" width="18.109375" style="53" customWidth="1"/>
    <col min="14102" max="14350" width="11.44140625" style="53"/>
    <col min="14351" max="14351" width="123.44140625" style="53" customWidth="1"/>
    <col min="14352" max="14352" width="0.5546875" style="53" customWidth="1"/>
    <col min="14353" max="14353" width="18.109375" style="53" customWidth="1"/>
    <col min="14354" max="14354" width="0.6640625" style="53" customWidth="1"/>
    <col min="14355" max="14355" width="18.109375" style="53" customWidth="1"/>
    <col min="14356" max="14356" width="0.6640625" style="53" customWidth="1"/>
    <col min="14357" max="14357" width="18.109375" style="53" customWidth="1"/>
    <col min="14358" max="14606" width="11.44140625" style="53"/>
    <col min="14607" max="14607" width="123.44140625" style="53" customWidth="1"/>
    <col min="14608" max="14608" width="0.5546875" style="53" customWidth="1"/>
    <col min="14609" max="14609" width="18.109375" style="53" customWidth="1"/>
    <col min="14610" max="14610" width="0.6640625" style="53" customWidth="1"/>
    <col min="14611" max="14611" width="18.109375" style="53" customWidth="1"/>
    <col min="14612" max="14612" width="0.6640625" style="53" customWidth="1"/>
    <col min="14613" max="14613" width="18.109375" style="53" customWidth="1"/>
    <col min="14614" max="14862" width="11.44140625" style="53"/>
    <col min="14863" max="14863" width="123.44140625" style="53" customWidth="1"/>
    <col min="14864" max="14864" width="0.5546875" style="53" customWidth="1"/>
    <col min="14865" max="14865" width="18.109375" style="53" customWidth="1"/>
    <col min="14866" max="14866" width="0.6640625" style="53" customWidth="1"/>
    <col min="14867" max="14867" width="18.109375" style="53" customWidth="1"/>
    <col min="14868" max="14868" width="0.6640625" style="53" customWidth="1"/>
    <col min="14869" max="14869" width="18.109375" style="53" customWidth="1"/>
    <col min="14870" max="15118" width="11.44140625" style="53"/>
    <col min="15119" max="15119" width="123.44140625" style="53" customWidth="1"/>
    <col min="15120" max="15120" width="0.5546875" style="53" customWidth="1"/>
    <col min="15121" max="15121" width="18.109375" style="53" customWidth="1"/>
    <col min="15122" max="15122" width="0.6640625" style="53" customWidth="1"/>
    <col min="15123" max="15123" width="18.109375" style="53" customWidth="1"/>
    <col min="15124" max="15124" width="0.6640625" style="53" customWidth="1"/>
    <col min="15125" max="15125" width="18.109375" style="53" customWidth="1"/>
    <col min="15126" max="15374" width="11.44140625" style="53"/>
    <col min="15375" max="15375" width="123.44140625" style="53" customWidth="1"/>
    <col min="15376" max="15376" width="0.5546875" style="53" customWidth="1"/>
    <col min="15377" max="15377" width="18.109375" style="53" customWidth="1"/>
    <col min="15378" max="15378" width="0.6640625" style="53" customWidth="1"/>
    <col min="15379" max="15379" width="18.109375" style="53" customWidth="1"/>
    <col min="15380" max="15380" width="0.6640625" style="53" customWidth="1"/>
    <col min="15381" max="15381" width="18.109375" style="53" customWidth="1"/>
    <col min="15382" max="15630" width="11.44140625" style="53"/>
    <col min="15631" max="15631" width="123.44140625" style="53" customWidth="1"/>
    <col min="15632" max="15632" width="0.5546875" style="53" customWidth="1"/>
    <col min="15633" max="15633" width="18.109375" style="53" customWidth="1"/>
    <col min="15634" max="15634" width="0.6640625" style="53" customWidth="1"/>
    <col min="15635" max="15635" width="18.109375" style="53" customWidth="1"/>
    <col min="15636" max="15636" width="0.6640625" style="53" customWidth="1"/>
    <col min="15637" max="15637" width="18.109375" style="53" customWidth="1"/>
    <col min="15638" max="15886" width="11.44140625" style="53"/>
    <col min="15887" max="15887" width="123.44140625" style="53" customWidth="1"/>
    <col min="15888" max="15888" width="0.5546875" style="53" customWidth="1"/>
    <col min="15889" max="15889" width="18.109375" style="53" customWidth="1"/>
    <col min="15890" max="15890" width="0.6640625" style="53" customWidth="1"/>
    <col min="15891" max="15891" width="18.109375" style="53" customWidth="1"/>
    <col min="15892" max="15892" width="0.6640625" style="53" customWidth="1"/>
    <col min="15893" max="15893" width="18.109375" style="53" customWidth="1"/>
    <col min="15894" max="16142" width="11.44140625" style="53"/>
    <col min="16143" max="16143" width="123.44140625" style="53" customWidth="1"/>
    <col min="16144" max="16144" width="0.5546875" style="53" customWidth="1"/>
    <col min="16145" max="16145" width="18.109375" style="53" customWidth="1"/>
    <col min="16146" max="16146" width="0.6640625" style="53" customWidth="1"/>
    <col min="16147" max="16147" width="18.109375" style="53" customWidth="1"/>
    <col min="16148" max="16148" width="0.6640625" style="53" customWidth="1"/>
    <col min="16149" max="16149" width="18.109375" style="53" customWidth="1"/>
    <col min="16150" max="16384" width="11.44140625" style="53"/>
  </cols>
  <sheetData>
    <row r="1" spans="1:42" x14ac:dyDescent="0.3">
      <c r="A1" s="46" t="s">
        <v>7</v>
      </c>
      <c r="B1" s="47"/>
      <c r="C1" s="47"/>
      <c r="D1" s="47"/>
      <c r="E1" s="47"/>
      <c r="F1" s="47"/>
      <c r="G1" s="103"/>
      <c r="H1" s="47"/>
      <c r="I1" s="47"/>
      <c r="J1" s="2"/>
      <c r="K1" s="103"/>
      <c r="L1" s="47"/>
      <c r="M1" s="47"/>
      <c r="N1" s="2"/>
      <c r="O1" s="103"/>
      <c r="P1" s="47"/>
      <c r="Q1" s="47"/>
      <c r="R1" s="2"/>
      <c r="S1" s="103"/>
      <c r="T1" s="47"/>
      <c r="U1" s="47"/>
      <c r="V1" s="47"/>
      <c r="W1" s="103"/>
    </row>
    <row r="2" spans="1:42" s="4" customFormat="1" x14ac:dyDescent="0.3">
      <c r="A2" s="74" t="s">
        <v>176</v>
      </c>
      <c r="B2" s="141"/>
      <c r="C2" s="138"/>
      <c r="D2" s="138"/>
      <c r="E2" s="138"/>
      <c r="F2" s="138"/>
      <c r="G2" s="138"/>
      <c r="H2" s="138"/>
      <c r="I2" s="138"/>
      <c r="K2" s="138"/>
      <c r="L2" s="138"/>
      <c r="M2" s="138"/>
      <c r="O2" s="138"/>
      <c r="P2" s="75"/>
      <c r="Q2" s="75"/>
      <c r="S2" s="138"/>
      <c r="T2" s="75"/>
      <c r="U2" s="75"/>
      <c r="V2" s="75"/>
      <c r="W2" s="138"/>
    </row>
    <row r="3" spans="1:42" ht="15" thickBot="1" x14ac:dyDescent="0.35">
      <c r="A3" s="72"/>
      <c r="B3" s="129"/>
      <c r="C3" s="73"/>
      <c r="D3" s="11"/>
      <c r="E3" s="73"/>
      <c r="F3" s="11"/>
      <c r="G3" s="9"/>
      <c r="H3" s="11"/>
      <c r="I3" s="73"/>
      <c r="J3" s="8"/>
      <c r="K3" s="9"/>
      <c r="L3" s="11"/>
      <c r="M3" s="73"/>
      <c r="N3" s="8"/>
      <c r="O3" s="9"/>
      <c r="P3" s="11"/>
      <c r="Q3" s="73"/>
      <c r="R3" s="8"/>
      <c r="S3" s="9"/>
      <c r="T3" s="11"/>
      <c r="U3" s="73"/>
      <c r="V3" s="11"/>
      <c r="W3" s="9"/>
    </row>
    <row r="4" spans="1:42" ht="13.2" x14ac:dyDescent="0.25">
      <c r="A4" s="80"/>
      <c r="B4" s="153"/>
      <c r="C4" s="144">
        <v>2011</v>
      </c>
      <c r="D4" s="145"/>
      <c r="E4" s="144">
        <v>2012</v>
      </c>
      <c r="F4" s="145"/>
      <c r="G4" s="104" t="s">
        <v>13</v>
      </c>
      <c r="H4" s="145"/>
      <c r="I4" s="144">
        <v>2013</v>
      </c>
      <c r="J4" s="98"/>
      <c r="K4" s="104" t="s">
        <v>13</v>
      </c>
      <c r="L4" s="143"/>
      <c r="M4" s="144">
        <v>2014</v>
      </c>
      <c r="N4" s="98"/>
      <c r="O4" s="104" t="s">
        <v>16</v>
      </c>
      <c r="P4" s="143"/>
      <c r="Q4" s="144">
        <v>2015</v>
      </c>
      <c r="R4" s="98"/>
      <c r="S4" s="104" t="s">
        <v>18</v>
      </c>
      <c r="T4" s="143"/>
      <c r="U4" s="144">
        <v>2016</v>
      </c>
      <c r="V4" s="143"/>
      <c r="W4" s="108" t="s">
        <v>6</v>
      </c>
    </row>
    <row r="5" spans="1:42" ht="13.2" x14ac:dyDescent="0.25">
      <c r="A5" s="81"/>
      <c r="B5" s="89"/>
      <c r="C5" s="100" t="s">
        <v>22</v>
      </c>
      <c r="D5" s="140"/>
      <c r="E5" s="100" t="s">
        <v>22</v>
      </c>
      <c r="F5" s="140"/>
      <c r="G5" s="105" t="s">
        <v>22</v>
      </c>
      <c r="H5" s="140"/>
      <c r="I5" s="100" t="s">
        <v>22</v>
      </c>
      <c r="J5" s="101"/>
      <c r="K5" s="105" t="s">
        <v>22</v>
      </c>
      <c r="L5" s="18"/>
      <c r="M5" s="100" t="s">
        <v>22</v>
      </c>
      <c r="N5" s="101"/>
      <c r="O5" s="105" t="s">
        <v>22</v>
      </c>
      <c r="P5" s="18"/>
      <c r="Q5" s="100" t="s">
        <v>22</v>
      </c>
      <c r="R5" s="101"/>
      <c r="S5" s="105" t="s">
        <v>22</v>
      </c>
      <c r="T5" s="18"/>
      <c r="U5" s="100" t="s">
        <v>22</v>
      </c>
      <c r="V5" s="18"/>
      <c r="W5" s="109" t="s">
        <v>22</v>
      </c>
    </row>
    <row r="6" spans="1:42" s="38" customFormat="1" ht="13.2" x14ac:dyDescent="0.25">
      <c r="A6" s="146" t="s">
        <v>107</v>
      </c>
      <c r="B6" s="89"/>
      <c r="C6" s="95"/>
      <c r="D6" s="16"/>
      <c r="E6" s="95"/>
      <c r="F6" s="16"/>
      <c r="G6" s="17"/>
      <c r="H6" s="16"/>
      <c r="I6" s="95"/>
      <c r="J6" s="18"/>
      <c r="K6" s="17"/>
      <c r="L6" s="18"/>
      <c r="M6" s="95"/>
      <c r="N6" s="18"/>
      <c r="O6" s="17"/>
      <c r="P6" s="18"/>
      <c r="Q6" s="95"/>
      <c r="R6" s="18"/>
      <c r="S6" s="17"/>
      <c r="T6" s="18"/>
      <c r="U6" s="95"/>
      <c r="V6" s="18"/>
      <c r="W6" s="2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</row>
    <row r="7" spans="1:42" s="3" customFormat="1" ht="13.2" x14ac:dyDescent="0.25">
      <c r="A7" s="147" t="s">
        <v>108</v>
      </c>
      <c r="B7" s="90"/>
      <c r="C7" s="94">
        <v>1607</v>
      </c>
      <c r="D7" s="14"/>
      <c r="E7" s="94">
        <v>2045</v>
      </c>
      <c r="F7" s="14"/>
      <c r="G7" s="17">
        <f>E7-C7</f>
        <v>438</v>
      </c>
      <c r="H7" s="14"/>
      <c r="I7" s="94">
        <v>2482</v>
      </c>
      <c r="J7" s="15"/>
      <c r="K7" s="17">
        <f>I7-E7</f>
        <v>437</v>
      </c>
      <c r="L7" s="15"/>
      <c r="M7" s="94">
        <v>2740</v>
      </c>
      <c r="N7" s="15"/>
      <c r="O7" s="17">
        <f t="shared" ref="O7:O23" si="0">M7-I7</f>
        <v>258</v>
      </c>
      <c r="P7" s="15"/>
      <c r="Q7" s="94">
        <v>2314</v>
      </c>
      <c r="R7" s="15"/>
      <c r="S7" s="17">
        <f t="shared" ref="S7:S23" si="1">Q7-M7</f>
        <v>-426</v>
      </c>
      <c r="T7" s="15"/>
      <c r="U7" s="94">
        <v>1336</v>
      </c>
      <c r="V7" s="15"/>
      <c r="W7" s="27">
        <f t="shared" ref="W7:W23" si="2">U7-Q7</f>
        <v>-978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s="3" customFormat="1" ht="13.2" x14ac:dyDescent="0.25">
      <c r="A8" s="147" t="s">
        <v>109</v>
      </c>
      <c r="B8" s="90"/>
      <c r="C8" s="94"/>
      <c r="D8" s="14"/>
      <c r="E8" s="94"/>
      <c r="F8" s="14"/>
      <c r="G8" s="17"/>
      <c r="H8" s="14"/>
      <c r="I8" s="94"/>
      <c r="J8" s="15"/>
      <c r="K8" s="17"/>
      <c r="L8" s="15"/>
      <c r="M8" s="94"/>
      <c r="N8" s="15"/>
      <c r="O8" s="17"/>
      <c r="P8" s="15"/>
      <c r="Q8" s="94"/>
      <c r="R8" s="15"/>
      <c r="S8" s="17"/>
      <c r="T8" s="15"/>
      <c r="U8" s="94"/>
      <c r="V8" s="15"/>
      <c r="W8" s="27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s="3" customFormat="1" ht="13.2" x14ac:dyDescent="0.25">
      <c r="A9" s="148" t="s">
        <v>110</v>
      </c>
      <c r="B9" s="90"/>
      <c r="C9" s="94">
        <v>510</v>
      </c>
      <c r="D9" s="14" t="s">
        <v>5</v>
      </c>
      <c r="E9" s="94">
        <v>-872</v>
      </c>
      <c r="F9" s="14" t="s">
        <v>5</v>
      </c>
      <c r="G9" s="17">
        <f t="shared" ref="G9:G23" si="3">E9-C9</f>
        <v>-1382</v>
      </c>
      <c r="H9" s="14" t="s">
        <v>5</v>
      </c>
      <c r="I9" s="94">
        <v>-229</v>
      </c>
      <c r="J9" s="15"/>
      <c r="K9" s="17">
        <f t="shared" ref="K9:K16" si="4">I9-E9</f>
        <v>643</v>
      </c>
      <c r="L9" s="15"/>
      <c r="M9" s="94">
        <v>100</v>
      </c>
      <c r="N9" s="15"/>
      <c r="O9" s="17">
        <f t="shared" si="0"/>
        <v>329</v>
      </c>
      <c r="P9" s="15"/>
      <c r="Q9" s="94">
        <v>-1596</v>
      </c>
      <c r="R9" s="15"/>
      <c r="S9" s="17">
        <f t="shared" si="1"/>
        <v>-1696</v>
      </c>
      <c r="T9" s="15"/>
      <c r="U9" s="94">
        <v>35</v>
      </c>
      <c r="V9" s="15"/>
      <c r="W9" s="27">
        <f t="shared" si="2"/>
        <v>1631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s="3" customFormat="1" ht="13.2" x14ac:dyDescent="0.25">
      <c r="A10" s="148" t="s">
        <v>111</v>
      </c>
      <c r="B10" s="90"/>
      <c r="C10" s="94">
        <v>160</v>
      </c>
      <c r="D10" s="14"/>
      <c r="E10" s="94">
        <v>-19</v>
      </c>
      <c r="F10" s="14"/>
      <c r="G10" s="17">
        <f t="shared" si="3"/>
        <v>-179</v>
      </c>
      <c r="H10" s="14"/>
      <c r="I10" s="94">
        <v>128</v>
      </c>
      <c r="J10" s="15"/>
      <c r="K10" s="17">
        <f t="shared" si="4"/>
        <v>147</v>
      </c>
      <c r="L10" s="15"/>
      <c r="M10" s="94">
        <v>119</v>
      </c>
      <c r="N10" s="15"/>
      <c r="O10" s="17">
        <f t="shared" si="0"/>
        <v>-9</v>
      </c>
      <c r="P10" s="15"/>
      <c r="Q10" s="94">
        <v>-65</v>
      </c>
      <c r="R10" s="15"/>
      <c r="S10" s="17">
        <f t="shared" si="1"/>
        <v>-184</v>
      </c>
      <c r="T10" s="15"/>
      <c r="U10" s="94">
        <v>-54</v>
      </c>
      <c r="V10" s="15"/>
      <c r="W10" s="27">
        <f t="shared" si="2"/>
        <v>11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s="3" customFormat="1" ht="13.2" x14ac:dyDescent="0.25">
      <c r="A11" s="150" t="s">
        <v>112</v>
      </c>
      <c r="B11" s="90"/>
      <c r="C11" s="94">
        <v>0</v>
      </c>
      <c r="D11" s="14"/>
      <c r="E11" s="94">
        <v>0</v>
      </c>
      <c r="F11" s="14"/>
      <c r="G11" s="17">
        <f t="shared" si="3"/>
        <v>0</v>
      </c>
      <c r="H11" s="14"/>
      <c r="I11" s="94">
        <v>9</v>
      </c>
      <c r="J11" s="15"/>
      <c r="K11" s="17">
        <f t="shared" si="4"/>
        <v>9</v>
      </c>
      <c r="L11" s="15"/>
      <c r="M11" s="94">
        <v>0</v>
      </c>
      <c r="N11" s="15"/>
      <c r="O11" s="17">
        <f t="shared" si="0"/>
        <v>-9</v>
      </c>
      <c r="P11" s="15"/>
      <c r="Q11" s="94">
        <v>0</v>
      </c>
      <c r="R11" s="15"/>
      <c r="S11" s="17">
        <f t="shared" si="1"/>
        <v>0</v>
      </c>
      <c r="T11" s="15"/>
      <c r="U11" s="94">
        <v>-2</v>
      </c>
      <c r="V11" s="15"/>
      <c r="W11" s="27">
        <f t="shared" si="2"/>
        <v>-2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s="3" customFormat="1" ht="13.2" x14ac:dyDescent="0.25">
      <c r="A12" s="148" t="s">
        <v>113</v>
      </c>
      <c r="B12" s="90"/>
      <c r="C12" s="94">
        <v>0</v>
      </c>
      <c r="D12" s="14"/>
      <c r="E12" s="94" t="s">
        <v>122</v>
      </c>
      <c r="F12" s="14"/>
      <c r="G12" s="17">
        <f t="shared" si="3"/>
        <v>5</v>
      </c>
      <c r="H12" s="14"/>
      <c r="I12" s="94">
        <v>-6</v>
      </c>
      <c r="J12" s="15"/>
      <c r="K12" s="17">
        <f t="shared" si="4"/>
        <v>-11</v>
      </c>
      <c r="L12" s="15"/>
      <c r="M12" s="94">
        <v>-3</v>
      </c>
      <c r="N12" s="15"/>
      <c r="O12" s="17">
        <f t="shared" si="0"/>
        <v>3</v>
      </c>
      <c r="P12" s="15"/>
      <c r="Q12" s="94">
        <v>-3</v>
      </c>
      <c r="R12" s="15"/>
      <c r="S12" s="17">
        <f t="shared" si="1"/>
        <v>0</v>
      </c>
      <c r="T12" s="15"/>
      <c r="U12" s="94">
        <v>1</v>
      </c>
      <c r="V12" s="15"/>
      <c r="W12" s="27">
        <f t="shared" si="2"/>
        <v>4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s="3" customFormat="1" ht="13.2" x14ac:dyDescent="0.25">
      <c r="A13" s="148" t="s">
        <v>114</v>
      </c>
      <c r="B13" s="90"/>
      <c r="C13" s="94">
        <v>110</v>
      </c>
      <c r="D13" s="14"/>
      <c r="E13" s="94" t="s">
        <v>123</v>
      </c>
      <c r="F13" s="14"/>
      <c r="G13" s="17">
        <f t="shared" si="3"/>
        <v>-94</v>
      </c>
      <c r="H13" s="14"/>
      <c r="I13" s="94">
        <v>-78</v>
      </c>
      <c r="J13" s="15"/>
      <c r="K13" s="17">
        <f t="shared" si="4"/>
        <v>-94</v>
      </c>
      <c r="L13" s="15"/>
      <c r="M13" s="94">
        <v>-69</v>
      </c>
      <c r="N13" s="15"/>
      <c r="O13" s="17">
        <f t="shared" si="0"/>
        <v>9</v>
      </c>
      <c r="P13" s="15"/>
      <c r="Q13" s="94">
        <v>-54</v>
      </c>
      <c r="R13" s="15"/>
      <c r="S13" s="17">
        <f t="shared" si="1"/>
        <v>15</v>
      </c>
      <c r="T13" s="15"/>
      <c r="U13" s="94">
        <v>-42</v>
      </c>
      <c r="V13" s="15"/>
      <c r="W13" s="27">
        <f t="shared" si="2"/>
        <v>12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s="3" customFormat="1" ht="13.2" x14ac:dyDescent="0.25">
      <c r="A14" s="150" t="s">
        <v>115</v>
      </c>
      <c r="B14" s="90"/>
      <c r="C14" s="94">
        <v>1</v>
      </c>
      <c r="D14" s="14"/>
      <c r="E14" s="94" t="s">
        <v>124</v>
      </c>
      <c r="F14" s="14"/>
      <c r="G14" s="17">
        <f t="shared" si="3"/>
        <v>-51</v>
      </c>
      <c r="H14" s="14"/>
      <c r="I14" s="94">
        <v>-66</v>
      </c>
      <c r="J14" s="15"/>
      <c r="K14" s="17">
        <f t="shared" si="4"/>
        <v>-16</v>
      </c>
      <c r="L14" s="15"/>
      <c r="M14" s="94">
        <v>17</v>
      </c>
      <c r="N14" s="15"/>
      <c r="O14" s="17">
        <f t="shared" si="0"/>
        <v>83</v>
      </c>
      <c r="P14" s="15"/>
      <c r="Q14" s="94">
        <v>31</v>
      </c>
      <c r="R14" s="15"/>
      <c r="S14" s="17">
        <f t="shared" si="1"/>
        <v>14</v>
      </c>
      <c r="T14" s="15"/>
      <c r="U14" s="94">
        <v>55</v>
      </c>
      <c r="V14" s="15"/>
      <c r="W14" s="27">
        <f t="shared" si="2"/>
        <v>24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s="3" customFormat="1" ht="13.2" x14ac:dyDescent="0.25">
      <c r="A15" s="150" t="s">
        <v>116</v>
      </c>
      <c r="B15" s="90"/>
      <c r="C15" s="94">
        <f>C9+C10+C11+C12+C13+C14</f>
        <v>781</v>
      </c>
      <c r="D15" s="14"/>
      <c r="E15" s="94">
        <f>E9+E10+E11+E12+E13+E14</f>
        <v>-920</v>
      </c>
      <c r="F15" s="14"/>
      <c r="G15" s="17">
        <f t="shared" si="3"/>
        <v>-1701</v>
      </c>
      <c r="H15" s="14"/>
      <c r="I15" s="94">
        <f>I9+I10+I11+I12+I13+I14</f>
        <v>-242</v>
      </c>
      <c r="J15" s="18"/>
      <c r="K15" s="17">
        <f t="shared" si="4"/>
        <v>678</v>
      </c>
      <c r="L15" s="15"/>
      <c r="M15" s="94">
        <f>M9+M10+M11+M12+M13+M14</f>
        <v>164</v>
      </c>
      <c r="N15" s="18"/>
      <c r="O15" s="17">
        <f t="shared" si="0"/>
        <v>406</v>
      </c>
      <c r="P15" s="15"/>
      <c r="Q15" s="94">
        <f>Q9+Q10+Q11+Q12+Q13+Q14</f>
        <v>-1687</v>
      </c>
      <c r="R15" s="18"/>
      <c r="S15" s="17">
        <f t="shared" si="1"/>
        <v>-1851</v>
      </c>
      <c r="T15" s="15"/>
      <c r="U15" s="94">
        <f>U9+U10+U11+U12+U13+U14</f>
        <v>-7</v>
      </c>
      <c r="V15" s="15"/>
      <c r="W15" s="27">
        <f t="shared" si="2"/>
        <v>1680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s="38" customFormat="1" ht="13.2" x14ac:dyDescent="0.25">
      <c r="A16" s="150" t="s">
        <v>117</v>
      </c>
      <c r="B16" s="89"/>
      <c r="C16" s="94">
        <f>C7+C15</f>
        <v>2388</v>
      </c>
      <c r="D16" s="16"/>
      <c r="E16" s="94">
        <f>E7+E15</f>
        <v>1125</v>
      </c>
      <c r="F16" s="16"/>
      <c r="G16" s="17">
        <f t="shared" si="3"/>
        <v>-1263</v>
      </c>
      <c r="H16" s="16"/>
      <c r="I16" s="94">
        <f>I7+I15</f>
        <v>2240</v>
      </c>
      <c r="J16" s="15"/>
      <c r="K16" s="17">
        <f t="shared" si="4"/>
        <v>1115</v>
      </c>
      <c r="L16" s="18"/>
      <c r="M16" s="94">
        <f>M7+M15</f>
        <v>2904</v>
      </c>
      <c r="N16" s="15"/>
      <c r="O16" s="17">
        <f t="shared" si="0"/>
        <v>664</v>
      </c>
      <c r="P16" s="18"/>
      <c r="Q16" s="94">
        <f>Q7+Q15</f>
        <v>627</v>
      </c>
      <c r="R16" s="15"/>
      <c r="S16" s="17">
        <f t="shared" si="1"/>
        <v>-2277</v>
      </c>
      <c r="T16" s="15"/>
      <c r="U16" s="94">
        <f>U7+U15</f>
        <v>1329</v>
      </c>
      <c r="V16" s="15"/>
      <c r="W16" s="27">
        <f t="shared" si="2"/>
        <v>702</v>
      </c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</row>
    <row r="17" spans="1:42" s="38" customFormat="1" ht="13.2" x14ac:dyDescent="0.25">
      <c r="A17" s="149" t="s">
        <v>118</v>
      </c>
      <c r="B17" s="89"/>
      <c r="C17" s="139"/>
      <c r="D17" s="16"/>
      <c r="E17" s="139"/>
      <c r="F17" s="16"/>
      <c r="G17" s="17"/>
      <c r="H17" s="16"/>
      <c r="I17" s="139"/>
      <c r="J17" s="18"/>
      <c r="K17" s="17"/>
      <c r="L17" s="18"/>
      <c r="M17" s="139"/>
      <c r="N17" s="18"/>
      <c r="O17" s="17"/>
      <c r="P17" s="18"/>
      <c r="Q17" s="139"/>
      <c r="R17" s="18"/>
      <c r="S17" s="17"/>
      <c r="T17" s="18"/>
      <c r="U17" s="139"/>
      <c r="V17" s="18"/>
      <c r="W17" s="2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</row>
    <row r="18" spans="1:42" s="3" customFormat="1" ht="13.2" x14ac:dyDescent="0.25">
      <c r="A18" s="150" t="s">
        <v>119</v>
      </c>
      <c r="B18" s="90"/>
      <c r="C18" s="94">
        <v>52</v>
      </c>
      <c r="D18" s="14"/>
      <c r="E18" s="94">
        <v>48</v>
      </c>
      <c r="F18" s="14"/>
      <c r="G18" s="17">
        <f t="shared" si="3"/>
        <v>-4</v>
      </c>
      <c r="H18" s="14"/>
      <c r="I18" s="94">
        <v>43</v>
      </c>
      <c r="J18" s="15"/>
      <c r="K18" s="17">
        <f>I18-E18</f>
        <v>-5</v>
      </c>
      <c r="L18" s="15"/>
      <c r="M18" s="94">
        <v>22</v>
      </c>
      <c r="N18" s="15"/>
      <c r="O18" s="17">
        <f t="shared" si="0"/>
        <v>-21</v>
      </c>
      <c r="P18" s="15"/>
      <c r="Q18" s="94">
        <v>11</v>
      </c>
      <c r="R18" s="15"/>
      <c r="S18" s="17">
        <f t="shared" si="1"/>
        <v>-11</v>
      </c>
      <c r="T18" s="15"/>
      <c r="U18" s="94">
        <v>-23</v>
      </c>
      <c r="V18" s="15"/>
      <c r="W18" s="27">
        <f t="shared" si="2"/>
        <v>-34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s="3" customFormat="1" ht="13.2" x14ac:dyDescent="0.25">
      <c r="A19" s="147" t="s">
        <v>109</v>
      </c>
      <c r="B19" s="90"/>
      <c r="C19" s="94"/>
      <c r="D19" s="14"/>
      <c r="E19" s="94"/>
      <c r="F19" s="14"/>
      <c r="G19" s="17"/>
      <c r="H19" s="14"/>
      <c r="I19" s="94"/>
      <c r="J19" s="15"/>
      <c r="K19" s="17"/>
      <c r="L19" s="15"/>
      <c r="M19" s="94"/>
      <c r="N19" s="15"/>
      <c r="O19" s="17"/>
      <c r="P19" s="15"/>
      <c r="Q19" s="94"/>
      <c r="R19" s="15"/>
      <c r="S19" s="17"/>
      <c r="T19" s="15"/>
      <c r="U19" s="94"/>
      <c r="V19" s="15"/>
      <c r="W19" s="27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3" customFormat="1" ht="13.2" x14ac:dyDescent="0.25">
      <c r="A20" s="148" t="s">
        <v>110</v>
      </c>
      <c r="B20" s="90"/>
      <c r="C20" s="94">
        <v>4</v>
      </c>
      <c r="D20" s="14"/>
      <c r="E20" s="94">
        <v>-40</v>
      </c>
      <c r="F20" s="14"/>
      <c r="G20" s="17">
        <f t="shared" si="3"/>
        <v>-44</v>
      </c>
      <c r="H20" s="14"/>
      <c r="I20" s="94">
        <v>-27</v>
      </c>
      <c r="J20" s="15"/>
      <c r="K20" s="17">
        <f>I20-E20</f>
        <v>13</v>
      </c>
      <c r="L20" s="15"/>
      <c r="M20" s="94">
        <v>10</v>
      </c>
      <c r="N20" s="15"/>
      <c r="O20" s="17">
        <f t="shared" si="0"/>
        <v>37</v>
      </c>
      <c r="P20" s="15"/>
      <c r="Q20" s="94">
        <v>-4</v>
      </c>
      <c r="R20" s="15"/>
      <c r="S20" s="17">
        <f t="shared" si="1"/>
        <v>-14</v>
      </c>
      <c r="T20" s="15"/>
      <c r="U20" s="94">
        <v>-1</v>
      </c>
      <c r="V20" s="15"/>
      <c r="W20" s="27">
        <f t="shared" si="2"/>
        <v>3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s="3" customFormat="1" ht="13.2" x14ac:dyDescent="0.25">
      <c r="A21" s="148" t="s">
        <v>116</v>
      </c>
      <c r="B21" s="90"/>
      <c r="C21" s="94">
        <v>4</v>
      </c>
      <c r="D21" s="14"/>
      <c r="E21" s="94">
        <f>E20</f>
        <v>-40</v>
      </c>
      <c r="F21" s="14"/>
      <c r="G21" s="17">
        <f t="shared" si="3"/>
        <v>-44</v>
      </c>
      <c r="H21" s="14"/>
      <c r="I21" s="94">
        <f>I20</f>
        <v>-27</v>
      </c>
      <c r="J21" s="15"/>
      <c r="K21" s="17">
        <f>I21-E21</f>
        <v>13</v>
      </c>
      <c r="L21" s="15"/>
      <c r="M21" s="94">
        <f>M20</f>
        <v>10</v>
      </c>
      <c r="N21" s="15"/>
      <c r="O21" s="17">
        <f t="shared" si="0"/>
        <v>37</v>
      </c>
      <c r="P21" s="15"/>
      <c r="Q21" s="94">
        <f>Q20</f>
        <v>-4</v>
      </c>
      <c r="R21" s="15"/>
      <c r="S21" s="17">
        <f t="shared" si="1"/>
        <v>-14</v>
      </c>
      <c r="T21" s="15"/>
      <c r="U21" s="94">
        <f>U20</f>
        <v>-1</v>
      </c>
      <c r="V21" s="15"/>
      <c r="W21" s="27">
        <f t="shared" si="2"/>
        <v>3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s="3" customFormat="1" ht="13.2" x14ac:dyDescent="0.25">
      <c r="A22" s="148" t="s">
        <v>120</v>
      </c>
      <c r="B22" s="90"/>
      <c r="C22" s="94">
        <v>56</v>
      </c>
      <c r="D22" s="14"/>
      <c r="E22" s="94">
        <v>8</v>
      </c>
      <c r="F22" s="14"/>
      <c r="G22" s="17">
        <f t="shared" si="3"/>
        <v>-48</v>
      </c>
      <c r="H22" s="14"/>
      <c r="I22" s="94">
        <v>16</v>
      </c>
      <c r="J22" s="15"/>
      <c r="K22" s="17">
        <f>I22-E22</f>
        <v>8</v>
      </c>
      <c r="L22" s="15"/>
      <c r="M22" s="94">
        <v>32</v>
      </c>
      <c r="N22" s="15"/>
      <c r="O22" s="17">
        <f t="shared" si="0"/>
        <v>16</v>
      </c>
      <c r="P22" s="15"/>
      <c r="Q22" s="94">
        <v>7</v>
      </c>
      <c r="R22" s="15"/>
      <c r="S22" s="17">
        <f t="shared" si="1"/>
        <v>-25</v>
      </c>
      <c r="T22" s="15"/>
      <c r="U22" s="94">
        <v>-24</v>
      </c>
      <c r="V22" s="15"/>
      <c r="W22" s="27">
        <f t="shared" si="2"/>
        <v>-31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s="38" customFormat="1" ht="13.8" thickBot="1" x14ac:dyDescent="0.3">
      <c r="A23" s="179" t="s">
        <v>121</v>
      </c>
      <c r="B23" s="180"/>
      <c r="C23" s="181">
        <f>C16+C18+C21</f>
        <v>2444</v>
      </c>
      <c r="D23" s="32"/>
      <c r="E23" s="181">
        <f>E16+E18+E21</f>
        <v>1133</v>
      </c>
      <c r="F23" s="32"/>
      <c r="G23" s="88">
        <f t="shared" si="3"/>
        <v>-1311</v>
      </c>
      <c r="H23" s="32"/>
      <c r="I23" s="181">
        <f>I16+I18+I21</f>
        <v>2256</v>
      </c>
      <c r="J23" s="182"/>
      <c r="K23" s="88">
        <f>I23-E23</f>
        <v>1123</v>
      </c>
      <c r="L23" s="182"/>
      <c r="M23" s="181">
        <f>M16+M18+M21</f>
        <v>2936</v>
      </c>
      <c r="N23" s="182"/>
      <c r="O23" s="88">
        <f t="shared" si="0"/>
        <v>680</v>
      </c>
      <c r="P23" s="182"/>
      <c r="Q23" s="181">
        <f>Q16+Q18+Q21</f>
        <v>634</v>
      </c>
      <c r="R23" s="182"/>
      <c r="S23" s="88">
        <f t="shared" si="1"/>
        <v>-2302</v>
      </c>
      <c r="T23" s="182"/>
      <c r="U23" s="181">
        <f>U16+U18+U21</f>
        <v>1305</v>
      </c>
      <c r="V23" s="182"/>
      <c r="W23" s="154">
        <f t="shared" si="2"/>
        <v>671</v>
      </c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</row>
    <row r="24" spans="1:42" x14ac:dyDescent="0.3">
      <c r="A24" s="136" t="s">
        <v>4</v>
      </c>
      <c r="B24" s="136"/>
      <c r="C24" s="136"/>
      <c r="D24" s="137"/>
      <c r="E24" s="136"/>
      <c r="F24" s="137"/>
      <c r="G24" s="79"/>
      <c r="H24" s="137"/>
      <c r="I24" s="151"/>
      <c r="J24" s="78"/>
      <c r="K24" s="79"/>
      <c r="L24" s="151"/>
      <c r="M24" s="151"/>
      <c r="N24" s="78"/>
      <c r="O24" s="79"/>
      <c r="P24" s="137"/>
      <c r="Q24" s="137"/>
      <c r="R24" s="78"/>
      <c r="S24" s="79"/>
      <c r="T24" s="52"/>
      <c r="V24" s="52"/>
      <c r="W24" s="79"/>
    </row>
    <row r="25" spans="1:42" x14ac:dyDescent="0.3">
      <c r="G25" s="79"/>
      <c r="I25" s="152"/>
      <c r="J25" s="78"/>
      <c r="K25" s="79"/>
      <c r="L25" s="125"/>
      <c r="M25" s="152"/>
      <c r="N25" s="78"/>
      <c r="O25" s="79"/>
      <c r="R25" s="78"/>
      <c r="S25" s="79"/>
      <c r="W25" s="79"/>
    </row>
    <row r="26" spans="1:42" x14ac:dyDescent="0.3">
      <c r="G26" s="79"/>
      <c r="I26" s="152"/>
      <c r="J26" s="78"/>
      <c r="K26" s="79"/>
      <c r="L26" s="125"/>
      <c r="M26" s="152"/>
      <c r="N26" s="78"/>
      <c r="O26" s="79"/>
      <c r="R26" s="78"/>
      <c r="S26" s="79"/>
      <c r="W26" s="79"/>
    </row>
    <row r="27" spans="1:42" x14ac:dyDescent="0.3">
      <c r="B27" s="142"/>
      <c r="G27" s="79"/>
      <c r="I27" s="152"/>
      <c r="J27" s="76"/>
      <c r="K27" s="79"/>
      <c r="L27" s="142"/>
      <c r="M27" s="152"/>
      <c r="N27" s="76"/>
      <c r="O27" s="79"/>
      <c r="P27" s="71"/>
      <c r="R27" s="76"/>
      <c r="S27" s="79"/>
      <c r="T27" s="71"/>
      <c r="V27" s="71"/>
      <c r="W27" s="79"/>
    </row>
    <row r="28" spans="1:42" x14ac:dyDescent="0.3">
      <c r="G28" s="79"/>
      <c r="I28" s="152"/>
      <c r="J28" s="76"/>
      <c r="K28" s="79"/>
      <c r="L28" s="125"/>
      <c r="M28" s="152"/>
      <c r="N28" s="76"/>
      <c r="O28" s="79"/>
      <c r="R28" s="76"/>
      <c r="S28" s="79"/>
      <c r="W28" s="79"/>
    </row>
    <row r="29" spans="1:42" x14ac:dyDescent="0.3">
      <c r="G29" s="79"/>
      <c r="I29" s="152"/>
      <c r="J29" s="78"/>
      <c r="K29" s="79"/>
      <c r="L29" s="125"/>
      <c r="M29" s="152"/>
      <c r="N29" s="78"/>
      <c r="O29" s="79"/>
      <c r="R29" s="78"/>
      <c r="S29" s="79"/>
      <c r="W29" s="79"/>
    </row>
    <row r="30" spans="1:42" x14ac:dyDescent="0.3">
      <c r="G30" s="79"/>
      <c r="I30" s="152"/>
      <c r="J30" s="78"/>
      <c r="K30" s="79"/>
      <c r="L30" s="125"/>
      <c r="M30" s="152"/>
      <c r="N30" s="78"/>
      <c r="O30" s="79"/>
      <c r="R30" s="78"/>
      <c r="S30" s="79"/>
      <c r="W30" s="79"/>
    </row>
    <row r="31" spans="1:42" x14ac:dyDescent="0.3">
      <c r="G31" s="79"/>
      <c r="I31" s="152"/>
      <c r="J31" s="13"/>
      <c r="K31" s="79"/>
      <c r="L31" s="125"/>
      <c r="M31" s="152"/>
      <c r="N31" s="13"/>
      <c r="O31" s="79"/>
      <c r="R31" s="13"/>
      <c r="S31" s="79"/>
      <c r="W31" s="79"/>
    </row>
    <row r="32" spans="1:42" x14ac:dyDescent="0.3">
      <c r="G32" s="79"/>
      <c r="I32" s="152"/>
      <c r="J32" s="78"/>
      <c r="K32" s="79"/>
      <c r="L32" s="125"/>
      <c r="M32" s="152"/>
      <c r="N32" s="78"/>
      <c r="O32" s="79"/>
      <c r="R32" s="78"/>
      <c r="S32" s="79"/>
      <c r="W32" s="79"/>
    </row>
    <row r="33" spans="7:23" x14ac:dyDescent="0.3">
      <c r="G33" s="79"/>
      <c r="I33" s="152"/>
      <c r="J33" s="13"/>
      <c r="K33" s="79"/>
      <c r="L33" s="125"/>
      <c r="M33" s="152"/>
      <c r="N33" s="13"/>
      <c r="O33" s="79"/>
      <c r="R33" s="13"/>
      <c r="S33" s="79"/>
      <c r="W33" s="79"/>
    </row>
    <row r="34" spans="7:23" x14ac:dyDescent="0.3">
      <c r="G34" s="79"/>
      <c r="I34" s="152"/>
      <c r="J34" s="13"/>
      <c r="K34" s="79"/>
      <c r="L34" s="125"/>
      <c r="M34" s="152"/>
      <c r="N34" s="13"/>
      <c r="O34" s="79"/>
      <c r="R34" s="13"/>
      <c r="S34" s="79"/>
      <c r="W34" s="79"/>
    </row>
    <row r="35" spans="7:23" x14ac:dyDescent="0.3">
      <c r="G35" s="79"/>
      <c r="I35" s="152"/>
      <c r="J35" s="127"/>
      <c r="K35" s="79"/>
      <c r="L35" s="125"/>
      <c r="M35" s="152"/>
      <c r="N35" s="127"/>
      <c r="O35" s="79"/>
      <c r="R35" s="127"/>
      <c r="S35" s="79"/>
      <c r="W35" s="79"/>
    </row>
    <row r="36" spans="7:23" x14ac:dyDescent="0.3">
      <c r="G36" s="79"/>
      <c r="I36" s="152"/>
      <c r="J36" s="127"/>
      <c r="K36" s="79"/>
      <c r="L36" s="125"/>
      <c r="M36" s="152"/>
      <c r="N36" s="127"/>
      <c r="O36" s="79"/>
      <c r="R36" s="127"/>
      <c r="S36" s="79"/>
      <c r="W36" s="79"/>
    </row>
    <row r="37" spans="7:23" x14ac:dyDescent="0.3">
      <c r="G37" s="79"/>
      <c r="I37" s="152"/>
      <c r="J37" s="128"/>
      <c r="K37" s="79"/>
      <c r="L37" s="125"/>
      <c r="M37" s="152"/>
      <c r="N37" s="128"/>
      <c r="O37" s="79"/>
      <c r="R37" s="128"/>
      <c r="S37" s="79"/>
      <c r="W37" s="79"/>
    </row>
    <row r="38" spans="7:23" x14ac:dyDescent="0.3">
      <c r="G38" s="79"/>
      <c r="I38" s="152"/>
      <c r="J38" s="128"/>
      <c r="K38" s="79"/>
      <c r="L38" s="125"/>
      <c r="M38" s="152"/>
      <c r="N38" s="128"/>
      <c r="O38" s="79"/>
      <c r="R38" s="128"/>
      <c r="S38" s="79"/>
      <c r="W38" s="79"/>
    </row>
    <row r="39" spans="7:23" x14ac:dyDescent="0.3">
      <c r="G39" s="12"/>
      <c r="J39" s="11"/>
      <c r="K39" s="12"/>
      <c r="N39" s="11"/>
      <c r="O39" s="12"/>
      <c r="R39" s="11"/>
      <c r="S39" s="12"/>
      <c r="W39" s="12"/>
    </row>
    <row r="40" spans="7:23" x14ac:dyDescent="0.3">
      <c r="G40" s="12"/>
      <c r="J40" s="11"/>
      <c r="K40" s="12"/>
      <c r="N40" s="11"/>
      <c r="O40" s="12"/>
      <c r="R40" s="11"/>
      <c r="S40" s="12"/>
      <c r="W40" s="12"/>
    </row>
    <row r="42" spans="7:23" x14ac:dyDescent="0.3">
      <c r="J42" s="5"/>
      <c r="N42" s="5"/>
      <c r="R42" s="5"/>
    </row>
  </sheetData>
  <hyperlinks>
    <hyperlink ref="A1:Q1" location="Index!A1" display="Zurück zum Index" xr:uid="{598A0DF5-A482-4C7C-98AA-616E76342A0A}"/>
    <hyperlink ref="T1" location="Index!A1" display="Zurück zum Index" xr:uid="{5BAF86F8-B794-46AB-A779-36B4874464F5}"/>
    <hyperlink ref="I1" location="Index!A1" display="Zurück zum Index" xr:uid="{615AF856-3060-4AE9-BEDA-D3E1FDF6AD61}"/>
    <hyperlink ref="E1" location="Index!A1" display="Zurück zum Index" xr:uid="{38B6355A-E326-4DC7-8F36-BF17B6CD22F8}"/>
    <hyperlink ref="B1" location="Index!A1" display="Zurück zum Index" xr:uid="{F936C182-F367-47A4-AF95-C7603E9C5BD0}"/>
    <hyperlink ref="J1" location="Index!A1" display="Zurück zum Index" xr:uid="{ED98C4B1-FA63-46AA-91AD-6E5395649E50}"/>
    <hyperlink ref="K1" location="Index!A1" display="Zurück zum Index" xr:uid="{C9E4C551-9089-4E81-9F24-93117E125600}"/>
    <hyperlink ref="N1" location="Index!A1" display="Zurück zum Index" xr:uid="{EC7A7A67-A8FF-44DC-9BDB-13CB89CBD28E}"/>
    <hyperlink ref="O1" location="Index!A1" display="Zurück zum Index" xr:uid="{BE16204C-F124-48B8-B9AC-9BD3FFB3386E}"/>
    <hyperlink ref="R1" location="Index!A1" display="Zurück zum Index" xr:uid="{F890A72B-52BE-4979-B97D-60D92B943D2B}"/>
    <hyperlink ref="S1" location="Index!A1" display="Zurück zum Index" xr:uid="{32781460-B8F1-4BD6-BE10-F09592B12622}"/>
    <hyperlink ref="U1" location="Index!A1" display="Zurück zum Index" xr:uid="{9E97B865-3A4F-41CA-96D9-D7C90633A5B4}"/>
    <hyperlink ref="W1" location="Index!A1" display="Zurück zum Index" xr:uid="{CDB61D8B-5978-4B6C-B34C-A89F2DF1147F}"/>
    <hyperlink ref="C1" location="Index!A1" display="Zurück zum Index" xr:uid="{70B12C67-FD40-40AB-B69C-08D9E3FCB55A}"/>
    <hyperlink ref="D1" location="Index!A1" display="Zurück zum Index" xr:uid="{F3F8C92A-0547-4C4D-B977-8E992A6DE4A9}"/>
    <hyperlink ref="H1" location="Index!A1" display="Zurück zum Index" xr:uid="{398B8A54-6F84-44EE-8E37-1567CE307CE5}"/>
    <hyperlink ref="G1" location="Index!A1" display="Zurück zum Index" xr:uid="{13160E0F-D75E-4712-8FED-E9F0F6FEBA20}"/>
  </hyperlink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46CB-4416-4BE3-8948-583E084CC7C6}">
  <dimension ref="A1:AP74"/>
  <sheetViews>
    <sheetView workbookViewId="0">
      <pane xSplit="1" topLeftCell="B1" activePane="topRight" state="frozen"/>
      <selection pane="topRight" activeCell="A32" sqref="A32"/>
    </sheetView>
  </sheetViews>
  <sheetFormatPr defaultColWidth="11.44140625" defaultRowHeight="14.4" x14ac:dyDescent="0.3"/>
  <cols>
    <col min="1" max="1" width="107.88671875" style="54" customWidth="1"/>
    <col min="2" max="2" width="0.5546875" customWidth="1"/>
    <col min="3" max="3" width="18.109375" style="2" customWidth="1"/>
    <col min="4" max="4" width="0.5546875" customWidth="1"/>
    <col min="5" max="5" width="18.109375" style="2" customWidth="1"/>
    <col min="6" max="6" width="0.6640625" customWidth="1"/>
    <col min="7" max="7" width="18.109375" style="2" customWidth="1"/>
    <col min="8" max="8" width="0.6640625" customWidth="1"/>
    <col min="9" max="9" width="18.109375" style="52" customWidth="1"/>
    <col min="10" max="10" width="0.6640625" customWidth="1"/>
    <col min="11" max="11" width="18.109375" style="2" customWidth="1"/>
    <col min="12" max="12" width="0.5546875" customWidth="1"/>
    <col min="13" max="13" width="18.109375" style="2" customWidth="1"/>
    <col min="14" max="14" width="0.6640625" customWidth="1"/>
    <col min="15" max="15" width="18.109375" style="2" customWidth="1"/>
    <col min="16" max="16" width="0.5546875" customWidth="1"/>
    <col min="17" max="17" width="18.109375" style="52" customWidth="1"/>
    <col min="18" max="18" width="0.6640625" customWidth="1"/>
    <col min="19" max="19" width="18.109375" style="2" customWidth="1"/>
    <col min="20" max="20" width="0.5546875" customWidth="1"/>
    <col min="21" max="21" width="18.109375" style="52" customWidth="1"/>
    <col min="22" max="22" width="0.5546875" customWidth="1"/>
    <col min="23" max="23" width="18.109375" style="2" customWidth="1"/>
    <col min="24" max="42" width="11.44140625" style="52"/>
    <col min="43" max="270" width="11.44140625" style="53"/>
    <col min="271" max="271" width="74" style="53" customWidth="1"/>
    <col min="272" max="272" width="0.5546875" style="53" customWidth="1"/>
    <col min="273" max="273" width="18.109375" style="53" customWidth="1"/>
    <col min="274" max="274" width="0.6640625" style="53" customWidth="1"/>
    <col min="275" max="275" width="18.109375" style="53" customWidth="1"/>
    <col min="276" max="276" width="0.6640625" style="53" customWidth="1"/>
    <col min="277" max="277" width="18.109375" style="53" customWidth="1"/>
    <col min="278" max="526" width="11.44140625" style="53"/>
    <col min="527" max="527" width="74" style="53" customWidth="1"/>
    <col min="528" max="528" width="0.5546875" style="53" customWidth="1"/>
    <col min="529" max="529" width="18.109375" style="53" customWidth="1"/>
    <col min="530" max="530" width="0.6640625" style="53" customWidth="1"/>
    <col min="531" max="531" width="18.109375" style="53" customWidth="1"/>
    <col min="532" max="532" width="0.6640625" style="53" customWidth="1"/>
    <col min="533" max="533" width="18.109375" style="53" customWidth="1"/>
    <col min="534" max="782" width="11.44140625" style="53"/>
    <col min="783" max="783" width="74" style="53" customWidth="1"/>
    <col min="784" max="784" width="0.5546875" style="53" customWidth="1"/>
    <col min="785" max="785" width="18.109375" style="53" customWidth="1"/>
    <col min="786" max="786" width="0.6640625" style="53" customWidth="1"/>
    <col min="787" max="787" width="18.109375" style="53" customWidth="1"/>
    <col min="788" max="788" width="0.6640625" style="53" customWidth="1"/>
    <col min="789" max="789" width="18.109375" style="53" customWidth="1"/>
    <col min="790" max="1038" width="11.44140625" style="53"/>
    <col min="1039" max="1039" width="74" style="53" customWidth="1"/>
    <col min="1040" max="1040" width="0.5546875" style="53" customWidth="1"/>
    <col min="1041" max="1041" width="18.109375" style="53" customWidth="1"/>
    <col min="1042" max="1042" width="0.6640625" style="53" customWidth="1"/>
    <col min="1043" max="1043" width="18.109375" style="53" customWidth="1"/>
    <col min="1044" max="1044" width="0.6640625" style="53" customWidth="1"/>
    <col min="1045" max="1045" width="18.109375" style="53" customWidth="1"/>
    <col min="1046" max="1294" width="11.44140625" style="53"/>
    <col min="1295" max="1295" width="74" style="53" customWidth="1"/>
    <col min="1296" max="1296" width="0.5546875" style="53" customWidth="1"/>
    <col min="1297" max="1297" width="18.109375" style="53" customWidth="1"/>
    <col min="1298" max="1298" width="0.6640625" style="53" customWidth="1"/>
    <col min="1299" max="1299" width="18.109375" style="53" customWidth="1"/>
    <col min="1300" max="1300" width="0.6640625" style="53" customWidth="1"/>
    <col min="1301" max="1301" width="18.109375" style="53" customWidth="1"/>
    <col min="1302" max="1550" width="11.44140625" style="53"/>
    <col min="1551" max="1551" width="74" style="53" customWidth="1"/>
    <col min="1552" max="1552" width="0.5546875" style="53" customWidth="1"/>
    <col min="1553" max="1553" width="18.109375" style="53" customWidth="1"/>
    <col min="1554" max="1554" width="0.6640625" style="53" customWidth="1"/>
    <col min="1555" max="1555" width="18.109375" style="53" customWidth="1"/>
    <col min="1556" max="1556" width="0.6640625" style="53" customWidth="1"/>
    <col min="1557" max="1557" width="18.109375" style="53" customWidth="1"/>
    <col min="1558" max="1806" width="11.44140625" style="53"/>
    <col min="1807" max="1807" width="74" style="53" customWidth="1"/>
    <col min="1808" max="1808" width="0.5546875" style="53" customWidth="1"/>
    <col min="1809" max="1809" width="18.109375" style="53" customWidth="1"/>
    <col min="1810" max="1810" width="0.6640625" style="53" customWidth="1"/>
    <col min="1811" max="1811" width="18.109375" style="53" customWidth="1"/>
    <col min="1812" max="1812" width="0.6640625" style="53" customWidth="1"/>
    <col min="1813" max="1813" width="18.109375" style="53" customWidth="1"/>
    <col min="1814" max="2062" width="11.44140625" style="53"/>
    <col min="2063" max="2063" width="74" style="53" customWidth="1"/>
    <col min="2064" max="2064" width="0.5546875" style="53" customWidth="1"/>
    <col min="2065" max="2065" width="18.109375" style="53" customWidth="1"/>
    <col min="2066" max="2066" width="0.6640625" style="53" customWidth="1"/>
    <col min="2067" max="2067" width="18.109375" style="53" customWidth="1"/>
    <col min="2068" max="2068" width="0.6640625" style="53" customWidth="1"/>
    <col min="2069" max="2069" width="18.109375" style="53" customWidth="1"/>
    <col min="2070" max="2318" width="11.44140625" style="53"/>
    <col min="2319" max="2319" width="74" style="53" customWidth="1"/>
    <col min="2320" max="2320" width="0.5546875" style="53" customWidth="1"/>
    <col min="2321" max="2321" width="18.109375" style="53" customWidth="1"/>
    <col min="2322" max="2322" width="0.6640625" style="53" customWidth="1"/>
    <col min="2323" max="2323" width="18.109375" style="53" customWidth="1"/>
    <col min="2324" max="2324" width="0.6640625" style="53" customWidth="1"/>
    <col min="2325" max="2325" width="18.109375" style="53" customWidth="1"/>
    <col min="2326" max="2574" width="11.44140625" style="53"/>
    <col min="2575" max="2575" width="74" style="53" customWidth="1"/>
    <col min="2576" max="2576" width="0.5546875" style="53" customWidth="1"/>
    <col min="2577" max="2577" width="18.109375" style="53" customWidth="1"/>
    <col min="2578" max="2578" width="0.6640625" style="53" customWidth="1"/>
    <col min="2579" max="2579" width="18.109375" style="53" customWidth="1"/>
    <col min="2580" max="2580" width="0.6640625" style="53" customWidth="1"/>
    <col min="2581" max="2581" width="18.109375" style="53" customWidth="1"/>
    <col min="2582" max="2830" width="11.44140625" style="53"/>
    <col min="2831" max="2831" width="74" style="53" customWidth="1"/>
    <col min="2832" max="2832" width="0.5546875" style="53" customWidth="1"/>
    <col min="2833" max="2833" width="18.109375" style="53" customWidth="1"/>
    <col min="2834" max="2834" width="0.6640625" style="53" customWidth="1"/>
    <col min="2835" max="2835" width="18.109375" style="53" customWidth="1"/>
    <col min="2836" max="2836" width="0.6640625" style="53" customWidth="1"/>
    <col min="2837" max="2837" width="18.109375" style="53" customWidth="1"/>
    <col min="2838" max="3086" width="11.44140625" style="53"/>
    <col min="3087" max="3087" width="74" style="53" customWidth="1"/>
    <col min="3088" max="3088" width="0.5546875" style="53" customWidth="1"/>
    <col min="3089" max="3089" width="18.109375" style="53" customWidth="1"/>
    <col min="3090" max="3090" width="0.6640625" style="53" customWidth="1"/>
    <col min="3091" max="3091" width="18.109375" style="53" customWidth="1"/>
    <col min="3092" max="3092" width="0.6640625" style="53" customWidth="1"/>
    <col min="3093" max="3093" width="18.109375" style="53" customWidth="1"/>
    <col min="3094" max="3342" width="11.44140625" style="53"/>
    <col min="3343" max="3343" width="74" style="53" customWidth="1"/>
    <col min="3344" max="3344" width="0.5546875" style="53" customWidth="1"/>
    <col min="3345" max="3345" width="18.109375" style="53" customWidth="1"/>
    <col min="3346" max="3346" width="0.6640625" style="53" customWidth="1"/>
    <col min="3347" max="3347" width="18.109375" style="53" customWidth="1"/>
    <col min="3348" max="3348" width="0.6640625" style="53" customWidth="1"/>
    <col min="3349" max="3349" width="18.109375" style="53" customWidth="1"/>
    <col min="3350" max="3598" width="11.44140625" style="53"/>
    <col min="3599" max="3599" width="74" style="53" customWidth="1"/>
    <col min="3600" max="3600" width="0.5546875" style="53" customWidth="1"/>
    <col min="3601" max="3601" width="18.109375" style="53" customWidth="1"/>
    <col min="3602" max="3602" width="0.6640625" style="53" customWidth="1"/>
    <col min="3603" max="3603" width="18.109375" style="53" customWidth="1"/>
    <col min="3604" max="3604" width="0.6640625" style="53" customWidth="1"/>
    <col min="3605" max="3605" width="18.109375" style="53" customWidth="1"/>
    <col min="3606" max="3854" width="11.44140625" style="53"/>
    <col min="3855" max="3855" width="74" style="53" customWidth="1"/>
    <col min="3856" max="3856" width="0.5546875" style="53" customWidth="1"/>
    <col min="3857" max="3857" width="18.109375" style="53" customWidth="1"/>
    <col min="3858" max="3858" width="0.6640625" style="53" customWidth="1"/>
    <col min="3859" max="3859" width="18.109375" style="53" customWidth="1"/>
    <col min="3860" max="3860" width="0.6640625" style="53" customWidth="1"/>
    <col min="3861" max="3861" width="18.109375" style="53" customWidth="1"/>
    <col min="3862" max="4110" width="11.44140625" style="53"/>
    <col min="4111" max="4111" width="74" style="53" customWidth="1"/>
    <col min="4112" max="4112" width="0.5546875" style="53" customWidth="1"/>
    <col min="4113" max="4113" width="18.109375" style="53" customWidth="1"/>
    <col min="4114" max="4114" width="0.6640625" style="53" customWidth="1"/>
    <col min="4115" max="4115" width="18.109375" style="53" customWidth="1"/>
    <col min="4116" max="4116" width="0.6640625" style="53" customWidth="1"/>
    <col min="4117" max="4117" width="18.109375" style="53" customWidth="1"/>
    <col min="4118" max="4366" width="11.44140625" style="53"/>
    <col min="4367" max="4367" width="74" style="53" customWidth="1"/>
    <col min="4368" max="4368" width="0.5546875" style="53" customWidth="1"/>
    <col min="4369" max="4369" width="18.109375" style="53" customWidth="1"/>
    <col min="4370" max="4370" width="0.6640625" style="53" customWidth="1"/>
    <col min="4371" max="4371" width="18.109375" style="53" customWidth="1"/>
    <col min="4372" max="4372" width="0.6640625" style="53" customWidth="1"/>
    <col min="4373" max="4373" width="18.109375" style="53" customWidth="1"/>
    <col min="4374" max="4622" width="11.44140625" style="53"/>
    <col min="4623" max="4623" width="74" style="53" customWidth="1"/>
    <col min="4624" max="4624" width="0.5546875" style="53" customWidth="1"/>
    <col min="4625" max="4625" width="18.109375" style="53" customWidth="1"/>
    <col min="4626" max="4626" width="0.6640625" style="53" customWidth="1"/>
    <col min="4627" max="4627" width="18.109375" style="53" customWidth="1"/>
    <col min="4628" max="4628" width="0.6640625" style="53" customWidth="1"/>
    <col min="4629" max="4629" width="18.109375" style="53" customWidth="1"/>
    <col min="4630" max="4878" width="11.44140625" style="53"/>
    <col min="4879" max="4879" width="74" style="53" customWidth="1"/>
    <col min="4880" max="4880" width="0.5546875" style="53" customWidth="1"/>
    <col min="4881" max="4881" width="18.109375" style="53" customWidth="1"/>
    <col min="4882" max="4882" width="0.6640625" style="53" customWidth="1"/>
    <col min="4883" max="4883" width="18.109375" style="53" customWidth="1"/>
    <col min="4884" max="4884" width="0.6640625" style="53" customWidth="1"/>
    <col min="4885" max="4885" width="18.109375" style="53" customWidth="1"/>
    <col min="4886" max="5134" width="11.44140625" style="53"/>
    <col min="5135" max="5135" width="74" style="53" customWidth="1"/>
    <col min="5136" max="5136" width="0.5546875" style="53" customWidth="1"/>
    <col min="5137" max="5137" width="18.109375" style="53" customWidth="1"/>
    <col min="5138" max="5138" width="0.6640625" style="53" customWidth="1"/>
    <col min="5139" max="5139" width="18.109375" style="53" customWidth="1"/>
    <col min="5140" max="5140" width="0.6640625" style="53" customWidth="1"/>
    <col min="5141" max="5141" width="18.109375" style="53" customWidth="1"/>
    <col min="5142" max="5390" width="11.44140625" style="53"/>
    <col min="5391" max="5391" width="74" style="53" customWidth="1"/>
    <col min="5392" max="5392" width="0.5546875" style="53" customWidth="1"/>
    <col min="5393" max="5393" width="18.109375" style="53" customWidth="1"/>
    <col min="5394" max="5394" width="0.6640625" style="53" customWidth="1"/>
    <col min="5395" max="5395" width="18.109375" style="53" customWidth="1"/>
    <col min="5396" max="5396" width="0.6640625" style="53" customWidth="1"/>
    <col min="5397" max="5397" width="18.109375" style="53" customWidth="1"/>
    <col min="5398" max="5646" width="11.44140625" style="53"/>
    <col min="5647" max="5647" width="74" style="53" customWidth="1"/>
    <col min="5648" max="5648" width="0.5546875" style="53" customWidth="1"/>
    <col min="5649" max="5649" width="18.109375" style="53" customWidth="1"/>
    <col min="5650" max="5650" width="0.6640625" style="53" customWidth="1"/>
    <col min="5651" max="5651" width="18.109375" style="53" customWidth="1"/>
    <col min="5652" max="5652" width="0.6640625" style="53" customWidth="1"/>
    <col min="5653" max="5653" width="18.109375" style="53" customWidth="1"/>
    <col min="5654" max="5902" width="11.44140625" style="53"/>
    <col min="5903" max="5903" width="74" style="53" customWidth="1"/>
    <col min="5904" max="5904" width="0.5546875" style="53" customWidth="1"/>
    <col min="5905" max="5905" width="18.109375" style="53" customWidth="1"/>
    <col min="5906" max="5906" width="0.6640625" style="53" customWidth="1"/>
    <col min="5907" max="5907" width="18.109375" style="53" customWidth="1"/>
    <col min="5908" max="5908" width="0.6640625" style="53" customWidth="1"/>
    <col min="5909" max="5909" width="18.109375" style="53" customWidth="1"/>
    <col min="5910" max="6158" width="11.44140625" style="53"/>
    <col min="6159" max="6159" width="74" style="53" customWidth="1"/>
    <col min="6160" max="6160" width="0.5546875" style="53" customWidth="1"/>
    <col min="6161" max="6161" width="18.109375" style="53" customWidth="1"/>
    <col min="6162" max="6162" width="0.6640625" style="53" customWidth="1"/>
    <col min="6163" max="6163" width="18.109375" style="53" customWidth="1"/>
    <col min="6164" max="6164" width="0.6640625" style="53" customWidth="1"/>
    <col min="6165" max="6165" width="18.109375" style="53" customWidth="1"/>
    <col min="6166" max="6414" width="11.44140625" style="53"/>
    <col min="6415" max="6415" width="74" style="53" customWidth="1"/>
    <col min="6416" max="6416" width="0.5546875" style="53" customWidth="1"/>
    <col min="6417" max="6417" width="18.109375" style="53" customWidth="1"/>
    <col min="6418" max="6418" width="0.6640625" style="53" customWidth="1"/>
    <col min="6419" max="6419" width="18.109375" style="53" customWidth="1"/>
    <col min="6420" max="6420" width="0.6640625" style="53" customWidth="1"/>
    <col min="6421" max="6421" width="18.109375" style="53" customWidth="1"/>
    <col min="6422" max="6670" width="11.44140625" style="53"/>
    <col min="6671" max="6671" width="74" style="53" customWidth="1"/>
    <col min="6672" max="6672" width="0.5546875" style="53" customWidth="1"/>
    <col min="6673" max="6673" width="18.109375" style="53" customWidth="1"/>
    <col min="6674" max="6674" width="0.6640625" style="53" customWidth="1"/>
    <col min="6675" max="6675" width="18.109375" style="53" customWidth="1"/>
    <col min="6676" max="6676" width="0.6640625" style="53" customWidth="1"/>
    <col min="6677" max="6677" width="18.109375" style="53" customWidth="1"/>
    <col min="6678" max="6926" width="11.44140625" style="53"/>
    <col min="6927" max="6927" width="74" style="53" customWidth="1"/>
    <col min="6928" max="6928" width="0.5546875" style="53" customWidth="1"/>
    <col min="6929" max="6929" width="18.109375" style="53" customWidth="1"/>
    <col min="6930" max="6930" width="0.6640625" style="53" customWidth="1"/>
    <col min="6931" max="6931" width="18.109375" style="53" customWidth="1"/>
    <col min="6932" max="6932" width="0.6640625" style="53" customWidth="1"/>
    <col min="6933" max="6933" width="18.109375" style="53" customWidth="1"/>
    <col min="6934" max="7182" width="11.44140625" style="53"/>
    <col min="7183" max="7183" width="74" style="53" customWidth="1"/>
    <col min="7184" max="7184" width="0.5546875" style="53" customWidth="1"/>
    <col min="7185" max="7185" width="18.109375" style="53" customWidth="1"/>
    <col min="7186" max="7186" width="0.6640625" style="53" customWidth="1"/>
    <col min="7187" max="7187" width="18.109375" style="53" customWidth="1"/>
    <col min="7188" max="7188" width="0.6640625" style="53" customWidth="1"/>
    <col min="7189" max="7189" width="18.109375" style="53" customWidth="1"/>
    <col min="7190" max="7438" width="11.44140625" style="53"/>
    <col min="7439" max="7439" width="74" style="53" customWidth="1"/>
    <col min="7440" max="7440" width="0.5546875" style="53" customWidth="1"/>
    <col min="7441" max="7441" width="18.109375" style="53" customWidth="1"/>
    <col min="7442" max="7442" width="0.6640625" style="53" customWidth="1"/>
    <col min="7443" max="7443" width="18.109375" style="53" customWidth="1"/>
    <col min="7444" max="7444" width="0.6640625" style="53" customWidth="1"/>
    <col min="7445" max="7445" width="18.109375" style="53" customWidth="1"/>
    <col min="7446" max="7694" width="11.44140625" style="53"/>
    <col min="7695" max="7695" width="74" style="53" customWidth="1"/>
    <col min="7696" max="7696" width="0.5546875" style="53" customWidth="1"/>
    <col min="7697" max="7697" width="18.109375" style="53" customWidth="1"/>
    <col min="7698" max="7698" width="0.6640625" style="53" customWidth="1"/>
    <col min="7699" max="7699" width="18.109375" style="53" customWidth="1"/>
    <col min="7700" max="7700" width="0.6640625" style="53" customWidth="1"/>
    <col min="7701" max="7701" width="18.109375" style="53" customWidth="1"/>
    <col min="7702" max="7950" width="11.44140625" style="53"/>
    <col min="7951" max="7951" width="74" style="53" customWidth="1"/>
    <col min="7952" max="7952" width="0.5546875" style="53" customWidth="1"/>
    <col min="7953" max="7953" width="18.109375" style="53" customWidth="1"/>
    <col min="7954" max="7954" width="0.6640625" style="53" customWidth="1"/>
    <col min="7955" max="7955" width="18.109375" style="53" customWidth="1"/>
    <col min="7956" max="7956" width="0.6640625" style="53" customWidth="1"/>
    <col min="7957" max="7957" width="18.109375" style="53" customWidth="1"/>
    <col min="7958" max="8206" width="11.44140625" style="53"/>
    <col min="8207" max="8207" width="74" style="53" customWidth="1"/>
    <col min="8208" max="8208" width="0.5546875" style="53" customWidth="1"/>
    <col min="8209" max="8209" width="18.109375" style="53" customWidth="1"/>
    <col min="8210" max="8210" width="0.6640625" style="53" customWidth="1"/>
    <col min="8211" max="8211" width="18.109375" style="53" customWidth="1"/>
    <col min="8212" max="8212" width="0.6640625" style="53" customWidth="1"/>
    <col min="8213" max="8213" width="18.109375" style="53" customWidth="1"/>
    <col min="8214" max="8462" width="11.44140625" style="53"/>
    <col min="8463" max="8463" width="74" style="53" customWidth="1"/>
    <col min="8464" max="8464" width="0.5546875" style="53" customWidth="1"/>
    <col min="8465" max="8465" width="18.109375" style="53" customWidth="1"/>
    <col min="8466" max="8466" width="0.6640625" style="53" customWidth="1"/>
    <col min="8467" max="8467" width="18.109375" style="53" customWidth="1"/>
    <col min="8468" max="8468" width="0.6640625" style="53" customWidth="1"/>
    <col min="8469" max="8469" width="18.109375" style="53" customWidth="1"/>
    <col min="8470" max="8718" width="11.44140625" style="53"/>
    <col min="8719" max="8719" width="74" style="53" customWidth="1"/>
    <col min="8720" max="8720" width="0.5546875" style="53" customWidth="1"/>
    <col min="8721" max="8721" width="18.109375" style="53" customWidth="1"/>
    <col min="8722" max="8722" width="0.6640625" style="53" customWidth="1"/>
    <col min="8723" max="8723" width="18.109375" style="53" customWidth="1"/>
    <col min="8724" max="8724" width="0.6640625" style="53" customWidth="1"/>
    <col min="8725" max="8725" width="18.109375" style="53" customWidth="1"/>
    <col min="8726" max="8974" width="11.44140625" style="53"/>
    <col min="8975" max="8975" width="74" style="53" customWidth="1"/>
    <col min="8976" max="8976" width="0.5546875" style="53" customWidth="1"/>
    <col min="8977" max="8977" width="18.109375" style="53" customWidth="1"/>
    <col min="8978" max="8978" width="0.6640625" style="53" customWidth="1"/>
    <col min="8979" max="8979" width="18.109375" style="53" customWidth="1"/>
    <col min="8980" max="8980" width="0.6640625" style="53" customWidth="1"/>
    <col min="8981" max="8981" width="18.109375" style="53" customWidth="1"/>
    <col min="8982" max="9230" width="11.44140625" style="53"/>
    <col min="9231" max="9231" width="74" style="53" customWidth="1"/>
    <col min="9232" max="9232" width="0.5546875" style="53" customWidth="1"/>
    <col min="9233" max="9233" width="18.109375" style="53" customWidth="1"/>
    <col min="9234" max="9234" width="0.6640625" style="53" customWidth="1"/>
    <col min="9235" max="9235" width="18.109375" style="53" customWidth="1"/>
    <col min="9236" max="9236" width="0.6640625" style="53" customWidth="1"/>
    <col min="9237" max="9237" width="18.109375" style="53" customWidth="1"/>
    <col min="9238" max="9486" width="11.44140625" style="53"/>
    <col min="9487" max="9487" width="74" style="53" customWidth="1"/>
    <col min="9488" max="9488" width="0.5546875" style="53" customWidth="1"/>
    <col min="9489" max="9489" width="18.109375" style="53" customWidth="1"/>
    <col min="9490" max="9490" width="0.6640625" style="53" customWidth="1"/>
    <col min="9491" max="9491" width="18.109375" style="53" customWidth="1"/>
    <col min="9492" max="9492" width="0.6640625" style="53" customWidth="1"/>
    <col min="9493" max="9493" width="18.109375" style="53" customWidth="1"/>
    <col min="9494" max="9742" width="11.44140625" style="53"/>
    <col min="9743" max="9743" width="74" style="53" customWidth="1"/>
    <col min="9744" max="9744" width="0.5546875" style="53" customWidth="1"/>
    <col min="9745" max="9745" width="18.109375" style="53" customWidth="1"/>
    <col min="9746" max="9746" width="0.6640625" style="53" customWidth="1"/>
    <col min="9747" max="9747" width="18.109375" style="53" customWidth="1"/>
    <col min="9748" max="9748" width="0.6640625" style="53" customWidth="1"/>
    <col min="9749" max="9749" width="18.109375" style="53" customWidth="1"/>
    <col min="9750" max="9998" width="11.44140625" style="53"/>
    <col min="9999" max="9999" width="74" style="53" customWidth="1"/>
    <col min="10000" max="10000" width="0.5546875" style="53" customWidth="1"/>
    <col min="10001" max="10001" width="18.109375" style="53" customWidth="1"/>
    <col min="10002" max="10002" width="0.6640625" style="53" customWidth="1"/>
    <col min="10003" max="10003" width="18.109375" style="53" customWidth="1"/>
    <col min="10004" max="10004" width="0.6640625" style="53" customWidth="1"/>
    <col min="10005" max="10005" width="18.109375" style="53" customWidth="1"/>
    <col min="10006" max="10254" width="11.44140625" style="53"/>
    <col min="10255" max="10255" width="74" style="53" customWidth="1"/>
    <col min="10256" max="10256" width="0.5546875" style="53" customWidth="1"/>
    <col min="10257" max="10257" width="18.109375" style="53" customWidth="1"/>
    <col min="10258" max="10258" width="0.6640625" style="53" customWidth="1"/>
    <col min="10259" max="10259" width="18.109375" style="53" customWidth="1"/>
    <col min="10260" max="10260" width="0.6640625" style="53" customWidth="1"/>
    <col min="10261" max="10261" width="18.109375" style="53" customWidth="1"/>
    <col min="10262" max="10510" width="11.44140625" style="53"/>
    <col min="10511" max="10511" width="74" style="53" customWidth="1"/>
    <col min="10512" max="10512" width="0.5546875" style="53" customWidth="1"/>
    <col min="10513" max="10513" width="18.109375" style="53" customWidth="1"/>
    <col min="10514" max="10514" width="0.6640625" style="53" customWidth="1"/>
    <col min="10515" max="10515" width="18.109375" style="53" customWidth="1"/>
    <col min="10516" max="10516" width="0.6640625" style="53" customWidth="1"/>
    <col min="10517" max="10517" width="18.109375" style="53" customWidth="1"/>
    <col min="10518" max="10766" width="11.44140625" style="53"/>
    <col min="10767" max="10767" width="74" style="53" customWidth="1"/>
    <col min="10768" max="10768" width="0.5546875" style="53" customWidth="1"/>
    <col min="10769" max="10769" width="18.109375" style="53" customWidth="1"/>
    <col min="10770" max="10770" width="0.6640625" style="53" customWidth="1"/>
    <col min="10771" max="10771" width="18.109375" style="53" customWidth="1"/>
    <col min="10772" max="10772" width="0.6640625" style="53" customWidth="1"/>
    <col min="10773" max="10773" width="18.109375" style="53" customWidth="1"/>
    <col min="10774" max="11022" width="11.44140625" style="53"/>
    <col min="11023" max="11023" width="74" style="53" customWidth="1"/>
    <col min="11024" max="11024" width="0.5546875" style="53" customWidth="1"/>
    <col min="11025" max="11025" width="18.109375" style="53" customWidth="1"/>
    <col min="11026" max="11026" width="0.6640625" style="53" customWidth="1"/>
    <col min="11027" max="11027" width="18.109375" style="53" customWidth="1"/>
    <col min="11028" max="11028" width="0.6640625" style="53" customWidth="1"/>
    <col min="11029" max="11029" width="18.109375" style="53" customWidth="1"/>
    <col min="11030" max="11278" width="11.44140625" style="53"/>
    <col min="11279" max="11279" width="74" style="53" customWidth="1"/>
    <col min="11280" max="11280" width="0.5546875" style="53" customWidth="1"/>
    <col min="11281" max="11281" width="18.109375" style="53" customWidth="1"/>
    <col min="11282" max="11282" width="0.6640625" style="53" customWidth="1"/>
    <col min="11283" max="11283" width="18.109375" style="53" customWidth="1"/>
    <col min="11284" max="11284" width="0.6640625" style="53" customWidth="1"/>
    <col min="11285" max="11285" width="18.109375" style="53" customWidth="1"/>
    <col min="11286" max="11534" width="11.44140625" style="53"/>
    <col min="11535" max="11535" width="74" style="53" customWidth="1"/>
    <col min="11536" max="11536" width="0.5546875" style="53" customWidth="1"/>
    <col min="11537" max="11537" width="18.109375" style="53" customWidth="1"/>
    <col min="11538" max="11538" width="0.6640625" style="53" customWidth="1"/>
    <col min="11539" max="11539" width="18.109375" style="53" customWidth="1"/>
    <col min="11540" max="11540" width="0.6640625" style="53" customWidth="1"/>
    <col min="11541" max="11541" width="18.109375" style="53" customWidth="1"/>
    <col min="11542" max="11790" width="11.44140625" style="53"/>
    <col min="11791" max="11791" width="74" style="53" customWidth="1"/>
    <col min="11792" max="11792" width="0.5546875" style="53" customWidth="1"/>
    <col min="11793" max="11793" width="18.109375" style="53" customWidth="1"/>
    <col min="11794" max="11794" width="0.6640625" style="53" customWidth="1"/>
    <col min="11795" max="11795" width="18.109375" style="53" customWidth="1"/>
    <col min="11796" max="11796" width="0.6640625" style="53" customWidth="1"/>
    <col min="11797" max="11797" width="18.109375" style="53" customWidth="1"/>
    <col min="11798" max="12046" width="11.44140625" style="53"/>
    <col min="12047" max="12047" width="74" style="53" customWidth="1"/>
    <col min="12048" max="12048" width="0.5546875" style="53" customWidth="1"/>
    <col min="12049" max="12049" width="18.109375" style="53" customWidth="1"/>
    <col min="12050" max="12050" width="0.6640625" style="53" customWidth="1"/>
    <col min="12051" max="12051" width="18.109375" style="53" customWidth="1"/>
    <col min="12052" max="12052" width="0.6640625" style="53" customWidth="1"/>
    <col min="12053" max="12053" width="18.109375" style="53" customWidth="1"/>
    <col min="12054" max="12302" width="11.44140625" style="53"/>
    <col min="12303" max="12303" width="74" style="53" customWidth="1"/>
    <col min="12304" max="12304" width="0.5546875" style="53" customWidth="1"/>
    <col min="12305" max="12305" width="18.109375" style="53" customWidth="1"/>
    <col min="12306" max="12306" width="0.6640625" style="53" customWidth="1"/>
    <col min="12307" max="12307" width="18.109375" style="53" customWidth="1"/>
    <col min="12308" max="12308" width="0.6640625" style="53" customWidth="1"/>
    <col min="12309" max="12309" width="18.109375" style="53" customWidth="1"/>
    <col min="12310" max="12558" width="11.44140625" style="53"/>
    <col min="12559" max="12559" width="74" style="53" customWidth="1"/>
    <col min="12560" max="12560" width="0.5546875" style="53" customWidth="1"/>
    <col min="12561" max="12561" width="18.109375" style="53" customWidth="1"/>
    <col min="12562" max="12562" width="0.6640625" style="53" customWidth="1"/>
    <col min="12563" max="12563" width="18.109375" style="53" customWidth="1"/>
    <col min="12564" max="12564" width="0.6640625" style="53" customWidth="1"/>
    <col min="12565" max="12565" width="18.109375" style="53" customWidth="1"/>
    <col min="12566" max="12814" width="11.44140625" style="53"/>
    <col min="12815" max="12815" width="74" style="53" customWidth="1"/>
    <col min="12816" max="12816" width="0.5546875" style="53" customWidth="1"/>
    <col min="12817" max="12817" width="18.109375" style="53" customWidth="1"/>
    <col min="12818" max="12818" width="0.6640625" style="53" customWidth="1"/>
    <col min="12819" max="12819" width="18.109375" style="53" customWidth="1"/>
    <col min="12820" max="12820" width="0.6640625" style="53" customWidth="1"/>
    <col min="12821" max="12821" width="18.109375" style="53" customWidth="1"/>
    <col min="12822" max="13070" width="11.44140625" style="53"/>
    <col min="13071" max="13071" width="74" style="53" customWidth="1"/>
    <col min="13072" max="13072" width="0.5546875" style="53" customWidth="1"/>
    <col min="13073" max="13073" width="18.109375" style="53" customWidth="1"/>
    <col min="13074" max="13074" width="0.6640625" style="53" customWidth="1"/>
    <col min="13075" max="13075" width="18.109375" style="53" customWidth="1"/>
    <col min="13076" max="13076" width="0.6640625" style="53" customWidth="1"/>
    <col min="13077" max="13077" width="18.109375" style="53" customWidth="1"/>
    <col min="13078" max="13326" width="11.44140625" style="53"/>
    <col min="13327" max="13327" width="74" style="53" customWidth="1"/>
    <col min="13328" max="13328" width="0.5546875" style="53" customWidth="1"/>
    <col min="13329" max="13329" width="18.109375" style="53" customWidth="1"/>
    <col min="13330" max="13330" width="0.6640625" style="53" customWidth="1"/>
    <col min="13331" max="13331" width="18.109375" style="53" customWidth="1"/>
    <col min="13332" max="13332" width="0.6640625" style="53" customWidth="1"/>
    <col min="13333" max="13333" width="18.109375" style="53" customWidth="1"/>
    <col min="13334" max="13582" width="11.44140625" style="53"/>
    <col min="13583" max="13583" width="74" style="53" customWidth="1"/>
    <col min="13584" max="13584" width="0.5546875" style="53" customWidth="1"/>
    <col min="13585" max="13585" width="18.109375" style="53" customWidth="1"/>
    <col min="13586" max="13586" width="0.6640625" style="53" customWidth="1"/>
    <col min="13587" max="13587" width="18.109375" style="53" customWidth="1"/>
    <col min="13588" max="13588" width="0.6640625" style="53" customWidth="1"/>
    <col min="13589" max="13589" width="18.109375" style="53" customWidth="1"/>
    <col min="13590" max="13838" width="11.44140625" style="53"/>
    <col min="13839" max="13839" width="74" style="53" customWidth="1"/>
    <col min="13840" max="13840" width="0.5546875" style="53" customWidth="1"/>
    <col min="13841" max="13841" width="18.109375" style="53" customWidth="1"/>
    <col min="13842" max="13842" width="0.6640625" style="53" customWidth="1"/>
    <col min="13843" max="13843" width="18.109375" style="53" customWidth="1"/>
    <col min="13844" max="13844" width="0.6640625" style="53" customWidth="1"/>
    <col min="13845" max="13845" width="18.109375" style="53" customWidth="1"/>
    <col min="13846" max="14094" width="11.44140625" style="53"/>
    <col min="14095" max="14095" width="74" style="53" customWidth="1"/>
    <col min="14096" max="14096" width="0.5546875" style="53" customWidth="1"/>
    <col min="14097" max="14097" width="18.109375" style="53" customWidth="1"/>
    <col min="14098" max="14098" width="0.6640625" style="53" customWidth="1"/>
    <col min="14099" max="14099" width="18.109375" style="53" customWidth="1"/>
    <col min="14100" max="14100" width="0.6640625" style="53" customWidth="1"/>
    <col min="14101" max="14101" width="18.109375" style="53" customWidth="1"/>
    <col min="14102" max="14350" width="11.44140625" style="53"/>
    <col min="14351" max="14351" width="74" style="53" customWidth="1"/>
    <col min="14352" max="14352" width="0.5546875" style="53" customWidth="1"/>
    <col min="14353" max="14353" width="18.109375" style="53" customWidth="1"/>
    <col min="14354" max="14354" width="0.6640625" style="53" customWidth="1"/>
    <col min="14355" max="14355" width="18.109375" style="53" customWidth="1"/>
    <col min="14356" max="14356" width="0.6640625" style="53" customWidth="1"/>
    <col min="14357" max="14357" width="18.109375" style="53" customWidth="1"/>
    <col min="14358" max="14606" width="11.44140625" style="53"/>
    <col min="14607" max="14607" width="74" style="53" customWidth="1"/>
    <col min="14608" max="14608" width="0.5546875" style="53" customWidth="1"/>
    <col min="14609" max="14609" width="18.109375" style="53" customWidth="1"/>
    <col min="14610" max="14610" width="0.6640625" style="53" customWidth="1"/>
    <col min="14611" max="14611" width="18.109375" style="53" customWidth="1"/>
    <col min="14612" max="14612" width="0.6640625" style="53" customWidth="1"/>
    <col min="14613" max="14613" width="18.109375" style="53" customWidth="1"/>
    <col min="14614" max="14862" width="11.44140625" style="53"/>
    <col min="14863" max="14863" width="74" style="53" customWidth="1"/>
    <col min="14864" max="14864" width="0.5546875" style="53" customWidth="1"/>
    <col min="14865" max="14865" width="18.109375" style="53" customWidth="1"/>
    <col min="14866" max="14866" width="0.6640625" style="53" customWidth="1"/>
    <col min="14867" max="14867" width="18.109375" style="53" customWidth="1"/>
    <col min="14868" max="14868" width="0.6640625" style="53" customWidth="1"/>
    <col min="14869" max="14869" width="18.109375" style="53" customWidth="1"/>
    <col min="14870" max="15118" width="11.44140625" style="53"/>
    <col min="15119" max="15119" width="74" style="53" customWidth="1"/>
    <col min="15120" max="15120" width="0.5546875" style="53" customWidth="1"/>
    <col min="15121" max="15121" width="18.109375" style="53" customWidth="1"/>
    <col min="15122" max="15122" width="0.6640625" style="53" customWidth="1"/>
    <col min="15123" max="15123" width="18.109375" style="53" customWidth="1"/>
    <col min="15124" max="15124" width="0.6640625" style="53" customWidth="1"/>
    <col min="15125" max="15125" width="18.109375" style="53" customWidth="1"/>
    <col min="15126" max="15374" width="11.44140625" style="53"/>
    <col min="15375" max="15375" width="74" style="53" customWidth="1"/>
    <col min="15376" max="15376" width="0.5546875" style="53" customWidth="1"/>
    <col min="15377" max="15377" width="18.109375" style="53" customWidth="1"/>
    <col min="15378" max="15378" width="0.6640625" style="53" customWidth="1"/>
    <col min="15379" max="15379" width="18.109375" style="53" customWidth="1"/>
    <col min="15380" max="15380" width="0.6640625" style="53" customWidth="1"/>
    <col min="15381" max="15381" width="18.109375" style="53" customWidth="1"/>
    <col min="15382" max="15630" width="11.44140625" style="53"/>
    <col min="15631" max="15631" width="74" style="53" customWidth="1"/>
    <col min="15632" max="15632" width="0.5546875" style="53" customWidth="1"/>
    <col min="15633" max="15633" width="18.109375" style="53" customWidth="1"/>
    <col min="15634" max="15634" width="0.6640625" style="53" customWidth="1"/>
    <col min="15635" max="15635" width="18.109375" style="53" customWidth="1"/>
    <col min="15636" max="15636" width="0.6640625" style="53" customWidth="1"/>
    <col min="15637" max="15637" width="18.109375" style="53" customWidth="1"/>
    <col min="15638" max="15886" width="11.44140625" style="53"/>
    <col min="15887" max="15887" width="74" style="53" customWidth="1"/>
    <col min="15888" max="15888" width="0.5546875" style="53" customWidth="1"/>
    <col min="15889" max="15889" width="18.109375" style="53" customWidth="1"/>
    <col min="15890" max="15890" width="0.6640625" style="53" customWidth="1"/>
    <col min="15891" max="15891" width="18.109375" style="53" customWidth="1"/>
    <col min="15892" max="15892" width="0.6640625" style="53" customWidth="1"/>
    <col min="15893" max="15893" width="18.109375" style="53" customWidth="1"/>
    <col min="15894" max="16142" width="11.44140625" style="53"/>
    <col min="16143" max="16143" width="74" style="53" customWidth="1"/>
    <col min="16144" max="16144" width="0.5546875" style="53" customWidth="1"/>
    <col min="16145" max="16145" width="18.109375" style="53" customWidth="1"/>
    <col min="16146" max="16146" width="0.6640625" style="53" customWidth="1"/>
    <col min="16147" max="16147" width="18.109375" style="53" customWidth="1"/>
    <col min="16148" max="16148" width="0.6640625" style="53" customWidth="1"/>
    <col min="16149" max="16149" width="18.109375" style="53" customWidth="1"/>
    <col min="16150" max="16384" width="11.44140625" style="53"/>
  </cols>
  <sheetData>
    <row r="1" spans="1:42" x14ac:dyDescent="0.3">
      <c r="A1" s="185" t="s">
        <v>7</v>
      </c>
      <c r="B1" s="47"/>
      <c r="C1" s="47"/>
      <c r="D1" s="47"/>
      <c r="E1" s="47"/>
      <c r="F1" s="2"/>
      <c r="G1" s="103"/>
      <c r="H1" s="47"/>
      <c r="I1" s="47"/>
      <c r="J1" s="2"/>
      <c r="K1" s="103"/>
      <c r="L1" s="29"/>
      <c r="M1" s="52"/>
      <c r="N1" s="2"/>
      <c r="O1" s="103"/>
      <c r="P1" s="29"/>
      <c r="R1" s="2"/>
      <c r="S1" s="103"/>
      <c r="T1" s="47"/>
      <c r="V1" s="29"/>
      <c r="W1" s="103"/>
    </row>
    <row r="2" spans="1:42" s="4" customFormat="1" x14ac:dyDescent="0.3">
      <c r="A2" s="186" t="s">
        <v>177</v>
      </c>
      <c r="B2" s="135"/>
      <c r="C2" s="138"/>
      <c r="D2" s="138"/>
      <c r="E2" s="135"/>
      <c r="G2" s="138"/>
      <c r="H2" s="138"/>
      <c r="I2" s="135"/>
      <c r="K2" s="138"/>
      <c r="L2" s="135"/>
      <c r="M2" s="135"/>
      <c r="O2" s="138"/>
      <c r="P2" s="30"/>
      <c r="S2" s="138"/>
      <c r="T2" s="138"/>
      <c r="V2" s="30"/>
      <c r="W2" s="138"/>
    </row>
    <row r="3" spans="1:42" ht="15" thickBot="1" x14ac:dyDescent="0.35">
      <c r="A3" s="10"/>
      <c r="B3" s="8"/>
      <c r="C3" s="9"/>
      <c r="D3" s="8"/>
      <c r="E3" s="9"/>
      <c r="F3" s="8"/>
      <c r="G3" s="9"/>
      <c r="H3" s="8"/>
      <c r="I3" s="9"/>
      <c r="J3" s="8"/>
      <c r="K3" s="9"/>
      <c r="L3" s="8"/>
      <c r="M3" s="9"/>
      <c r="N3" s="8"/>
      <c r="O3" s="9"/>
      <c r="P3" s="8"/>
      <c r="Q3" s="9"/>
      <c r="R3" s="8"/>
      <c r="S3" s="9"/>
      <c r="T3" s="8"/>
      <c r="U3" s="9"/>
      <c r="V3" s="8"/>
      <c r="W3" s="9"/>
    </row>
    <row r="4" spans="1:42" ht="13.2" x14ac:dyDescent="0.25">
      <c r="A4" s="63"/>
      <c r="B4" s="64"/>
      <c r="C4" s="155">
        <v>2011</v>
      </c>
      <c r="D4" s="64"/>
      <c r="E4" s="155">
        <v>2012</v>
      </c>
      <c r="F4" s="98"/>
      <c r="G4" s="104" t="s">
        <v>180</v>
      </c>
      <c r="H4" s="69"/>
      <c r="I4" s="155">
        <v>2013</v>
      </c>
      <c r="J4" s="98"/>
      <c r="K4" s="104" t="s">
        <v>13</v>
      </c>
      <c r="L4" s="70"/>
      <c r="M4" s="155">
        <v>2014</v>
      </c>
      <c r="N4" s="98"/>
      <c r="O4" s="104" t="s">
        <v>16</v>
      </c>
      <c r="P4" s="156"/>
      <c r="Q4" s="155">
        <v>2015</v>
      </c>
      <c r="R4" s="98"/>
      <c r="S4" s="104" t="s">
        <v>18</v>
      </c>
      <c r="T4" s="70"/>
      <c r="U4" s="155">
        <v>2016</v>
      </c>
      <c r="V4" s="70"/>
      <c r="W4" s="108" t="s">
        <v>6</v>
      </c>
    </row>
    <row r="5" spans="1:42" ht="13.2" x14ac:dyDescent="0.25">
      <c r="A5" s="65"/>
      <c r="B5" s="39"/>
      <c r="C5" s="100" t="s">
        <v>22</v>
      </c>
      <c r="D5" s="39"/>
      <c r="E5" s="100" t="s">
        <v>22</v>
      </c>
      <c r="F5" s="101"/>
      <c r="G5" s="105" t="s">
        <v>22</v>
      </c>
      <c r="H5" s="42"/>
      <c r="I5" s="100" t="s">
        <v>22</v>
      </c>
      <c r="J5" s="101"/>
      <c r="K5" s="105" t="s">
        <v>22</v>
      </c>
      <c r="L5" s="39"/>
      <c r="M5" s="100" t="s">
        <v>22</v>
      </c>
      <c r="N5" s="101"/>
      <c r="O5" s="105" t="s">
        <v>22</v>
      </c>
      <c r="P5" s="157"/>
      <c r="Q5" s="100" t="s">
        <v>22</v>
      </c>
      <c r="R5" s="101"/>
      <c r="S5" s="105" t="s">
        <v>22</v>
      </c>
      <c r="T5" s="39"/>
      <c r="U5" s="100" t="s">
        <v>22</v>
      </c>
      <c r="V5" s="39"/>
      <c r="W5" s="109" t="s">
        <v>22</v>
      </c>
    </row>
    <row r="6" spans="1:42" s="3" customFormat="1" ht="13.2" x14ac:dyDescent="0.25">
      <c r="A6" s="67" t="s">
        <v>125</v>
      </c>
      <c r="B6" s="39"/>
      <c r="C6" s="93"/>
      <c r="D6" s="39"/>
      <c r="E6" s="93"/>
      <c r="F6" s="18"/>
      <c r="G6" s="17"/>
      <c r="H6" s="40"/>
      <c r="I6" s="93"/>
      <c r="J6" s="18"/>
      <c r="K6" s="17"/>
      <c r="L6" s="39"/>
      <c r="M6" s="93"/>
      <c r="N6" s="18"/>
      <c r="O6" s="17"/>
      <c r="P6" s="157"/>
      <c r="Q6" s="93"/>
      <c r="R6" s="18"/>
      <c r="S6" s="17"/>
      <c r="T6" s="39"/>
      <c r="U6" s="93"/>
      <c r="V6" s="39"/>
      <c r="W6" s="2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3.2" x14ac:dyDescent="0.25">
      <c r="A7" s="66" t="s">
        <v>96</v>
      </c>
      <c r="B7" s="41"/>
      <c r="C7" s="93">
        <v>1659</v>
      </c>
      <c r="D7" s="41"/>
      <c r="E7" s="93">
        <v>2093</v>
      </c>
      <c r="F7" s="15"/>
      <c r="G7" s="17">
        <f>E7-C7</f>
        <v>434</v>
      </c>
      <c r="H7" s="40"/>
      <c r="I7" s="93">
        <v>2525</v>
      </c>
      <c r="J7" s="15"/>
      <c r="K7" s="17">
        <f t="shared" ref="K7:K58" si="0">I7-E7</f>
        <v>432</v>
      </c>
      <c r="L7" s="41"/>
      <c r="M7" s="93">
        <v>2762</v>
      </c>
      <c r="N7" s="15"/>
      <c r="O7" s="17">
        <f>M7-I7</f>
        <v>237</v>
      </c>
      <c r="P7" s="158"/>
      <c r="Q7" s="93">
        <v>2325</v>
      </c>
      <c r="R7" s="15"/>
      <c r="S7" s="17">
        <f>Q7-M7</f>
        <v>-437</v>
      </c>
      <c r="T7" s="41"/>
      <c r="U7" s="93">
        <v>1313</v>
      </c>
      <c r="V7" s="41"/>
      <c r="W7" s="27">
        <f>U7-Q7</f>
        <v>-1012</v>
      </c>
    </row>
    <row r="8" spans="1:42" ht="13.2" x14ac:dyDescent="0.25">
      <c r="A8" s="66" t="s">
        <v>126</v>
      </c>
      <c r="B8" s="39"/>
      <c r="C8" s="93"/>
      <c r="D8" s="39"/>
      <c r="E8" s="93"/>
      <c r="F8" s="15"/>
      <c r="G8" s="17"/>
      <c r="H8" s="42"/>
      <c r="I8" s="93"/>
      <c r="J8" s="15"/>
      <c r="K8" s="17"/>
      <c r="L8" s="39"/>
      <c r="M8" s="93"/>
      <c r="N8" s="15"/>
      <c r="O8" s="17"/>
      <c r="P8" s="157"/>
      <c r="Q8" s="93"/>
      <c r="R8" s="15"/>
      <c r="S8" s="17"/>
      <c r="T8" s="39"/>
      <c r="U8" s="93"/>
      <c r="V8" s="39"/>
      <c r="W8" s="27"/>
    </row>
    <row r="9" spans="1:42" ht="13.2" x14ac:dyDescent="0.25">
      <c r="A9" s="66" t="s">
        <v>127</v>
      </c>
      <c r="B9" s="39"/>
      <c r="C9" s="93"/>
      <c r="D9" s="39"/>
      <c r="E9" s="93"/>
      <c r="F9" s="15"/>
      <c r="G9" s="17"/>
      <c r="H9" s="40"/>
      <c r="I9" s="93"/>
      <c r="J9" s="15"/>
      <c r="K9" s="17"/>
      <c r="L9" s="39"/>
      <c r="M9" s="93"/>
      <c r="N9" s="15"/>
      <c r="O9" s="17"/>
      <c r="P9" s="157"/>
      <c r="Q9" s="93"/>
      <c r="R9" s="15"/>
      <c r="S9" s="17"/>
      <c r="T9" s="39"/>
      <c r="U9" s="93"/>
      <c r="V9" s="39"/>
      <c r="W9" s="27"/>
    </row>
    <row r="10" spans="1:42" ht="13.2" x14ac:dyDescent="0.25">
      <c r="A10" s="66" t="s">
        <v>128</v>
      </c>
      <c r="B10" s="41"/>
      <c r="C10" s="93">
        <v>613</v>
      </c>
      <c r="D10" s="41"/>
      <c r="E10" s="93">
        <v>622</v>
      </c>
      <c r="F10" s="15"/>
      <c r="G10" s="17">
        <f>E10-C10</f>
        <v>9</v>
      </c>
      <c r="H10" s="40"/>
      <c r="I10" s="93">
        <v>615</v>
      </c>
      <c r="J10" s="15"/>
      <c r="K10" s="17">
        <f t="shared" si="0"/>
        <v>-7</v>
      </c>
      <c r="L10" s="41"/>
      <c r="M10" s="93">
        <v>691</v>
      </c>
      <c r="N10" s="15"/>
      <c r="O10" s="17">
        <f t="shared" ref="O10:O58" si="1">M10-I10</f>
        <v>76</v>
      </c>
      <c r="P10" s="158"/>
      <c r="Q10" s="93">
        <v>716</v>
      </c>
      <c r="R10" s="15"/>
      <c r="S10" s="17">
        <f t="shared" ref="S10:S58" si="2">Q10-M10</f>
        <v>25</v>
      </c>
      <c r="T10" s="41"/>
      <c r="U10" s="93">
        <v>727</v>
      </c>
      <c r="V10" s="41"/>
      <c r="W10" s="27">
        <f t="shared" ref="W10:W58" si="3">U10-Q10</f>
        <v>11</v>
      </c>
    </row>
    <row r="11" spans="1:42" ht="13.2" x14ac:dyDescent="0.25">
      <c r="A11" s="66" t="s">
        <v>129</v>
      </c>
      <c r="B11" s="41"/>
      <c r="C11" s="93">
        <v>3</v>
      </c>
      <c r="D11" s="41"/>
      <c r="E11" s="93">
        <v>3</v>
      </c>
      <c r="F11" s="15"/>
      <c r="G11" s="17">
        <f t="shared" ref="G11:G28" si="4">E11-C11</f>
        <v>0</v>
      </c>
      <c r="H11" s="40"/>
      <c r="I11" s="93">
        <v>27</v>
      </c>
      <c r="J11" s="15"/>
      <c r="K11" s="17">
        <f t="shared" si="0"/>
        <v>24</v>
      </c>
      <c r="L11" s="41"/>
      <c r="M11" s="93">
        <v>41</v>
      </c>
      <c r="N11" s="15"/>
      <c r="O11" s="17">
        <f t="shared" si="1"/>
        <v>14</v>
      </c>
      <c r="P11" s="158"/>
      <c r="Q11" s="93">
        <v>45</v>
      </c>
      <c r="R11" s="15"/>
      <c r="S11" s="17">
        <f t="shared" si="2"/>
        <v>4</v>
      </c>
      <c r="T11" s="41"/>
      <c r="U11" s="93">
        <v>152</v>
      </c>
      <c r="V11" s="41"/>
      <c r="W11" s="27">
        <f t="shared" si="3"/>
        <v>107</v>
      </c>
    </row>
    <row r="12" spans="1:42" ht="15.6" customHeight="1" x14ac:dyDescent="0.25">
      <c r="A12" s="66" t="s">
        <v>130</v>
      </c>
      <c r="B12" s="41"/>
      <c r="C12" s="93">
        <v>104</v>
      </c>
      <c r="D12" s="41"/>
      <c r="E12" s="93">
        <v>128</v>
      </c>
      <c r="F12" s="15"/>
      <c r="G12" s="17">
        <f t="shared" si="4"/>
        <v>24</v>
      </c>
      <c r="H12" s="40"/>
      <c r="I12" s="93">
        <v>100</v>
      </c>
      <c r="J12" s="15"/>
      <c r="K12" s="17">
        <f t="shared" si="0"/>
        <v>-28</v>
      </c>
      <c r="L12" s="41"/>
      <c r="M12" s="93">
        <v>120</v>
      </c>
      <c r="N12" s="15"/>
      <c r="O12" s="17">
        <f t="shared" si="1"/>
        <v>20</v>
      </c>
      <c r="P12" s="158"/>
      <c r="Q12" s="93">
        <v>111</v>
      </c>
      <c r="R12" s="15"/>
      <c r="S12" s="17">
        <f t="shared" si="2"/>
        <v>-9</v>
      </c>
      <c r="T12" s="41"/>
      <c r="U12" s="93">
        <v>111</v>
      </c>
      <c r="V12" s="41"/>
      <c r="W12" s="27">
        <f t="shared" si="3"/>
        <v>0</v>
      </c>
    </row>
    <row r="13" spans="1:42" ht="13.2" x14ac:dyDescent="0.25">
      <c r="A13" s="66" t="s">
        <v>131</v>
      </c>
      <c r="B13" s="39"/>
      <c r="C13" s="93">
        <v>-36</v>
      </c>
      <c r="D13" s="39"/>
      <c r="E13" s="93">
        <v>-50</v>
      </c>
      <c r="F13" s="15"/>
      <c r="G13" s="17">
        <f t="shared" si="4"/>
        <v>-14</v>
      </c>
      <c r="H13" s="40"/>
      <c r="I13" s="93">
        <v>-79</v>
      </c>
      <c r="J13" s="15"/>
      <c r="K13" s="17">
        <f t="shared" si="0"/>
        <v>-29</v>
      </c>
      <c r="L13" s="39"/>
      <c r="M13" s="93">
        <v>-72</v>
      </c>
      <c r="N13" s="15"/>
      <c r="O13" s="17">
        <f t="shared" si="1"/>
        <v>7</v>
      </c>
      <c r="P13" s="157"/>
      <c r="Q13" s="93">
        <v>-44</v>
      </c>
      <c r="R13" s="15"/>
      <c r="S13" s="17">
        <f t="shared" si="2"/>
        <v>28</v>
      </c>
      <c r="T13" s="39"/>
      <c r="U13" s="93">
        <v>-16</v>
      </c>
      <c r="V13" s="39"/>
      <c r="W13" s="27">
        <f t="shared" si="3"/>
        <v>28</v>
      </c>
    </row>
    <row r="14" spans="1:42" ht="13.2" x14ac:dyDescent="0.25">
      <c r="A14" s="66" t="s">
        <v>132</v>
      </c>
      <c r="B14" s="39"/>
      <c r="C14" s="93">
        <v>135</v>
      </c>
      <c r="D14" s="39"/>
      <c r="E14" s="93">
        <v>242</v>
      </c>
      <c r="F14" s="18"/>
      <c r="G14" s="17">
        <f t="shared" si="4"/>
        <v>107</v>
      </c>
      <c r="H14" s="40"/>
      <c r="I14" s="93">
        <v>176</v>
      </c>
      <c r="J14" s="18"/>
      <c r="K14" s="17">
        <f t="shared" si="0"/>
        <v>-66</v>
      </c>
      <c r="L14" s="39"/>
      <c r="M14" s="93">
        <v>12</v>
      </c>
      <c r="N14" s="18"/>
      <c r="O14" s="17">
        <f t="shared" si="1"/>
        <v>-164</v>
      </c>
      <c r="P14" s="157"/>
      <c r="Q14" s="93">
        <v>-271</v>
      </c>
      <c r="R14" s="18"/>
      <c r="S14" s="17">
        <f t="shared" si="2"/>
        <v>-283</v>
      </c>
      <c r="T14" s="39"/>
      <c r="U14" s="93">
        <v>97</v>
      </c>
      <c r="V14" s="39"/>
      <c r="W14" s="27">
        <f t="shared" si="3"/>
        <v>368</v>
      </c>
    </row>
    <row r="15" spans="1:42" ht="13.2" x14ac:dyDescent="0.25">
      <c r="A15" s="66" t="s">
        <v>133</v>
      </c>
      <c r="B15" s="41"/>
      <c r="C15" s="93">
        <v>1</v>
      </c>
      <c r="D15" s="41"/>
      <c r="E15" s="93">
        <v>-10</v>
      </c>
      <c r="F15" s="18"/>
      <c r="G15" s="17">
        <f t="shared" si="4"/>
        <v>-11</v>
      </c>
      <c r="H15" s="40"/>
      <c r="I15" s="93">
        <v>0</v>
      </c>
      <c r="J15" s="18"/>
      <c r="K15" s="17">
        <f t="shared" si="0"/>
        <v>10</v>
      </c>
      <c r="L15" s="41"/>
      <c r="M15" s="93">
        <v>0</v>
      </c>
      <c r="N15" s="18"/>
      <c r="O15" s="17">
        <f t="shared" si="1"/>
        <v>0</v>
      </c>
      <c r="P15" s="158"/>
      <c r="Q15" s="93">
        <v>276</v>
      </c>
      <c r="R15" s="18"/>
      <c r="S15" s="17">
        <f t="shared" si="2"/>
        <v>276</v>
      </c>
      <c r="T15" s="41"/>
      <c r="U15" s="93">
        <v>147</v>
      </c>
      <c r="V15" s="41"/>
      <c r="W15" s="27">
        <f t="shared" si="3"/>
        <v>-129</v>
      </c>
    </row>
    <row r="16" spans="1:42" ht="13.2" x14ac:dyDescent="0.25">
      <c r="A16" s="66" t="s">
        <v>134</v>
      </c>
      <c r="B16" s="41"/>
      <c r="C16" s="93">
        <v>-21</v>
      </c>
      <c r="D16" s="41"/>
      <c r="E16" s="93">
        <v>-19</v>
      </c>
      <c r="F16" s="15"/>
      <c r="G16" s="17">
        <f t="shared" si="4"/>
        <v>2</v>
      </c>
      <c r="H16" s="42"/>
      <c r="I16" s="93">
        <v>-17</v>
      </c>
      <c r="J16" s="15"/>
      <c r="K16" s="17">
        <f t="shared" si="0"/>
        <v>2</v>
      </c>
      <c r="L16" s="41"/>
      <c r="M16" s="93">
        <v>4</v>
      </c>
      <c r="N16" s="15"/>
      <c r="O16" s="17">
        <f t="shared" si="1"/>
        <v>21</v>
      </c>
      <c r="P16" s="158"/>
      <c r="Q16" s="93">
        <v>7</v>
      </c>
      <c r="R16" s="15"/>
      <c r="S16" s="17">
        <f t="shared" si="2"/>
        <v>3</v>
      </c>
      <c r="T16" s="41"/>
      <c r="U16" s="93">
        <v>15</v>
      </c>
      <c r="V16" s="41"/>
      <c r="W16" s="27">
        <f t="shared" si="3"/>
        <v>8</v>
      </c>
    </row>
    <row r="17" spans="1:42" s="3" customFormat="1" ht="13.2" x14ac:dyDescent="0.25">
      <c r="A17" s="66" t="s">
        <v>135</v>
      </c>
      <c r="B17" s="39"/>
      <c r="C17" s="93">
        <v>-5</v>
      </c>
      <c r="D17" s="39"/>
      <c r="E17" s="93">
        <v>-4</v>
      </c>
      <c r="F17" s="15"/>
      <c r="G17" s="17">
        <f t="shared" si="4"/>
        <v>1</v>
      </c>
      <c r="H17" s="40"/>
      <c r="I17" s="93">
        <v>-17</v>
      </c>
      <c r="J17" s="15"/>
      <c r="K17" s="17">
        <f t="shared" si="0"/>
        <v>-13</v>
      </c>
      <c r="L17" s="39"/>
      <c r="M17" s="93">
        <v>-11</v>
      </c>
      <c r="N17" s="15"/>
      <c r="O17" s="17">
        <f t="shared" si="1"/>
        <v>6</v>
      </c>
      <c r="P17" s="157"/>
      <c r="Q17" s="93">
        <v>-2</v>
      </c>
      <c r="R17" s="15"/>
      <c r="S17" s="17">
        <f t="shared" si="2"/>
        <v>9</v>
      </c>
      <c r="T17" s="39"/>
      <c r="U17" s="93">
        <v>-181</v>
      </c>
      <c r="V17" s="39"/>
      <c r="W17" s="27">
        <f t="shared" si="3"/>
        <v>-179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3.2" x14ac:dyDescent="0.25">
      <c r="A18" s="66" t="s">
        <v>136</v>
      </c>
      <c r="B18" s="41"/>
      <c r="C18" s="93">
        <v>81</v>
      </c>
      <c r="D18" s="41"/>
      <c r="E18" s="93">
        <v>158</v>
      </c>
      <c r="F18" s="15"/>
      <c r="G18" s="17">
        <f t="shared" si="4"/>
        <v>77</v>
      </c>
      <c r="H18" s="42"/>
      <c r="I18" s="93">
        <v>-77</v>
      </c>
      <c r="J18" s="15"/>
      <c r="K18" s="17">
        <f t="shared" si="0"/>
        <v>-235</v>
      </c>
      <c r="L18" s="41"/>
      <c r="M18" s="93">
        <v>139</v>
      </c>
      <c r="N18" s="15"/>
      <c r="O18" s="17">
        <f t="shared" si="1"/>
        <v>216</v>
      </c>
      <c r="P18" s="158"/>
      <c r="Q18" s="93">
        <v>118</v>
      </c>
      <c r="R18" s="15"/>
      <c r="S18" s="17">
        <f t="shared" si="2"/>
        <v>-21</v>
      </c>
      <c r="T18" s="41"/>
      <c r="U18" s="93">
        <v>181</v>
      </c>
      <c r="V18" s="41"/>
      <c r="W18" s="27">
        <f t="shared" si="3"/>
        <v>63</v>
      </c>
    </row>
    <row r="19" spans="1:42" s="38" customFormat="1" ht="13.2" x14ac:dyDescent="0.25">
      <c r="A19" s="66" t="s">
        <v>137</v>
      </c>
      <c r="B19" s="41"/>
      <c r="C19" s="95"/>
      <c r="D19" s="41"/>
      <c r="E19" s="95"/>
      <c r="F19" s="15"/>
      <c r="G19" s="17"/>
      <c r="H19" s="42"/>
      <c r="I19" s="95"/>
      <c r="J19" s="15"/>
      <c r="K19" s="17"/>
      <c r="L19" s="41"/>
      <c r="M19" s="95"/>
      <c r="N19" s="15"/>
      <c r="O19" s="17"/>
      <c r="P19" s="158"/>
      <c r="Q19" s="95"/>
      <c r="R19" s="15"/>
      <c r="S19" s="17"/>
      <c r="T19" s="41"/>
      <c r="U19" s="95"/>
      <c r="V19" s="41"/>
      <c r="W19" s="2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</row>
    <row r="20" spans="1:42" s="3" customFormat="1" ht="13.2" x14ac:dyDescent="0.25">
      <c r="A20" s="66" t="s">
        <v>138</v>
      </c>
      <c r="B20" s="39"/>
      <c r="C20" s="93">
        <v>-310</v>
      </c>
      <c r="D20" s="39"/>
      <c r="E20" s="93">
        <v>89</v>
      </c>
      <c r="F20" s="15"/>
      <c r="G20" s="17">
        <f t="shared" si="4"/>
        <v>399</v>
      </c>
      <c r="H20" s="40"/>
      <c r="I20" s="93">
        <v>222</v>
      </c>
      <c r="J20" s="15"/>
      <c r="K20" s="17">
        <f t="shared" si="0"/>
        <v>133</v>
      </c>
      <c r="L20" s="39"/>
      <c r="M20" s="93">
        <v>-172</v>
      </c>
      <c r="N20" s="15"/>
      <c r="O20" s="17">
        <f t="shared" si="1"/>
        <v>-394</v>
      </c>
      <c r="P20" s="157"/>
      <c r="Q20" s="93">
        <v>68</v>
      </c>
      <c r="R20" s="15"/>
      <c r="S20" s="17">
        <f t="shared" si="2"/>
        <v>240</v>
      </c>
      <c r="T20" s="39"/>
      <c r="U20" s="93">
        <v>-498</v>
      </c>
      <c r="V20" s="39"/>
      <c r="W20" s="27">
        <f t="shared" si="3"/>
        <v>-566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s="3" customFormat="1" ht="13.2" x14ac:dyDescent="0.25">
      <c r="A21" s="66" t="s">
        <v>139</v>
      </c>
      <c r="B21" s="39"/>
      <c r="C21" s="93">
        <v>156</v>
      </c>
      <c r="D21" s="39"/>
      <c r="E21" s="93">
        <v>-422</v>
      </c>
      <c r="F21" s="15"/>
      <c r="G21" s="17">
        <f t="shared" si="4"/>
        <v>-578</v>
      </c>
      <c r="H21" s="40"/>
      <c r="I21" s="93">
        <v>-192</v>
      </c>
      <c r="J21" s="15"/>
      <c r="K21" s="17">
        <f t="shared" si="0"/>
        <v>230</v>
      </c>
      <c r="L21" s="39"/>
      <c r="M21" s="93">
        <v>-650</v>
      </c>
      <c r="N21" s="15"/>
      <c r="O21" s="17">
        <f t="shared" si="1"/>
        <v>-458</v>
      </c>
      <c r="P21" s="157"/>
      <c r="Q21" s="93">
        <v>-425</v>
      </c>
      <c r="R21" s="15"/>
      <c r="S21" s="17">
        <f t="shared" si="2"/>
        <v>225</v>
      </c>
      <c r="T21" s="39"/>
      <c r="U21" s="93">
        <v>181</v>
      </c>
      <c r="V21" s="39"/>
      <c r="W21" s="27">
        <f t="shared" si="3"/>
        <v>606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s="3" customFormat="1" ht="13.2" x14ac:dyDescent="0.25">
      <c r="A22" s="66" t="s">
        <v>45</v>
      </c>
      <c r="B22" s="39"/>
      <c r="C22" s="93">
        <v>62</v>
      </c>
      <c r="D22" s="39"/>
      <c r="E22" s="93">
        <v>-43</v>
      </c>
      <c r="F22" s="15"/>
      <c r="G22" s="17">
        <f t="shared" si="4"/>
        <v>-105</v>
      </c>
      <c r="H22" s="40"/>
      <c r="I22" s="93">
        <v>50</v>
      </c>
      <c r="J22" s="15"/>
      <c r="K22" s="17">
        <f t="shared" si="0"/>
        <v>93</v>
      </c>
      <c r="L22" s="39"/>
      <c r="M22" s="93">
        <v>-163</v>
      </c>
      <c r="N22" s="15"/>
      <c r="O22" s="17">
        <f t="shared" si="1"/>
        <v>-213</v>
      </c>
      <c r="P22" s="157"/>
      <c r="Q22" s="93">
        <v>32</v>
      </c>
      <c r="R22" s="15"/>
      <c r="S22" s="17">
        <f t="shared" si="2"/>
        <v>195</v>
      </c>
      <c r="T22" s="39"/>
      <c r="U22" s="93">
        <v>189</v>
      </c>
      <c r="V22" s="39"/>
      <c r="W22" s="27">
        <f t="shared" si="3"/>
        <v>157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s="3" customFormat="1" ht="13.8" customHeight="1" x14ac:dyDescent="0.25">
      <c r="A23" s="66" t="s">
        <v>140</v>
      </c>
      <c r="B23" s="39"/>
      <c r="C23" s="93">
        <v>894</v>
      </c>
      <c r="D23" s="39"/>
      <c r="E23" s="93">
        <v>430</v>
      </c>
      <c r="F23" s="18"/>
      <c r="G23" s="17">
        <f t="shared" si="4"/>
        <v>-464</v>
      </c>
      <c r="H23" s="40"/>
      <c r="I23" s="93">
        <v>-104</v>
      </c>
      <c r="J23" s="18"/>
      <c r="K23" s="17">
        <f t="shared" si="0"/>
        <v>-534</v>
      </c>
      <c r="L23" s="39"/>
      <c r="M23" s="93">
        <v>709</v>
      </c>
      <c r="N23" s="18"/>
      <c r="O23" s="17">
        <f t="shared" si="1"/>
        <v>813</v>
      </c>
      <c r="P23" s="157"/>
      <c r="Q23" s="93">
        <v>235</v>
      </c>
      <c r="R23" s="18"/>
      <c r="S23" s="17">
        <f t="shared" si="2"/>
        <v>-474</v>
      </c>
      <c r="T23" s="39"/>
      <c r="U23" s="93">
        <v>176</v>
      </c>
      <c r="V23" s="39"/>
      <c r="W23" s="27">
        <f t="shared" si="3"/>
        <v>-59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s="3" customFormat="1" ht="13.2" x14ac:dyDescent="0.25">
      <c r="A24" s="66" t="s">
        <v>141</v>
      </c>
      <c r="B24" s="39"/>
      <c r="C24" s="93">
        <v>-183</v>
      </c>
      <c r="D24" s="39"/>
      <c r="E24" s="93">
        <v>-12</v>
      </c>
      <c r="F24" s="18"/>
      <c r="G24" s="17">
        <f t="shared" si="4"/>
        <v>171</v>
      </c>
      <c r="H24" s="40"/>
      <c r="I24" s="93">
        <v>0</v>
      </c>
      <c r="J24" s="18"/>
      <c r="K24" s="17">
        <f t="shared" si="0"/>
        <v>12</v>
      </c>
      <c r="L24" s="39"/>
      <c r="M24" s="93">
        <v>0</v>
      </c>
      <c r="N24" s="18"/>
      <c r="O24" s="17">
        <f t="shared" si="1"/>
        <v>0</v>
      </c>
      <c r="P24" s="157"/>
      <c r="Q24" s="93">
        <v>217</v>
      </c>
      <c r="R24" s="18"/>
      <c r="S24" s="17">
        <f t="shared" si="2"/>
        <v>217</v>
      </c>
      <c r="T24" s="39"/>
      <c r="U24" s="93">
        <v>25</v>
      </c>
      <c r="V24" s="39"/>
      <c r="W24" s="27">
        <f t="shared" si="3"/>
        <v>-192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s="3" customFormat="1" ht="13.2" x14ac:dyDescent="0.25">
      <c r="A25" s="66" t="s">
        <v>142</v>
      </c>
      <c r="B25" s="39"/>
      <c r="C25" s="93">
        <v>-291</v>
      </c>
      <c r="D25" s="39"/>
      <c r="E25" s="93">
        <v>-83</v>
      </c>
      <c r="F25" s="18"/>
      <c r="G25" s="17">
        <f t="shared" si="4"/>
        <v>208</v>
      </c>
      <c r="H25" s="40"/>
      <c r="I25" s="93">
        <v>-75</v>
      </c>
      <c r="J25" s="18"/>
      <c r="K25" s="17">
        <f t="shared" si="0"/>
        <v>8</v>
      </c>
      <c r="L25" s="39"/>
      <c r="M25" s="93">
        <v>-64</v>
      </c>
      <c r="N25" s="18"/>
      <c r="O25" s="17">
        <f t="shared" si="1"/>
        <v>11</v>
      </c>
      <c r="P25" s="157"/>
      <c r="Q25" s="93">
        <v>-27</v>
      </c>
      <c r="R25" s="18"/>
      <c r="S25" s="17">
        <f t="shared" si="2"/>
        <v>37</v>
      </c>
      <c r="T25" s="39"/>
      <c r="U25" s="93">
        <v>-78</v>
      </c>
      <c r="V25" s="39"/>
      <c r="W25" s="27">
        <f t="shared" si="3"/>
        <v>-51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s="3" customFormat="1" ht="13.2" x14ac:dyDescent="0.25">
      <c r="A26" s="66" t="s">
        <v>143</v>
      </c>
      <c r="B26" s="39"/>
      <c r="C26" s="93">
        <v>0</v>
      </c>
      <c r="D26" s="39"/>
      <c r="E26" s="93">
        <v>0</v>
      </c>
      <c r="F26" s="18"/>
      <c r="G26" s="17">
        <f t="shared" si="4"/>
        <v>0</v>
      </c>
      <c r="H26" s="40"/>
      <c r="I26" s="93">
        <v>0</v>
      </c>
      <c r="J26" s="18"/>
      <c r="K26" s="17">
        <f t="shared" si="0"/>
        <v>0</v>
      </c>
      <c r="L26" s="39"/>
      <c r="M26" s="93">
        <v>0</v>
      </c>
      <c r="N26" s="18"/>
      <c r="O26" s="17">
        <f t="shared" si="1"/>
        <v>0</v>
      </c>
      <c r="P26" s="157"/>
      <c r="Q26" s="93">
        <v>0</v>
      </c>
      <c r="R26" s="18"/>
      <c r="S26" s="17">
        <f t="shared" si="2"/>
        <v>0</v>
      </c>
      <c r="T26" s="39"/>
      <c r="U26" s="93">
        <v>0</v>
      </c>
      <c r="V26" s="39"/>
      <c r="W26" s="27">
        <f t="shared" si="3"/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s="3" customFormat="1" ht="13.2" x14ac:dyDescent="0.25">
      <c r="A27" s="66" t="s">
        <v>136</v>
      </c>
      <c r="B27" s="39"/>
      <c r="C27" s="93">
        <v>-48</v>
      </c>
      <c r="D27" s="39"/>
      <c r="E27" s="93">
        <v>-71</v>
      </c>
      <c r="F27" s="15"/>
      <c r="G27" s="17">
        <f t="shared" si="4"/>
        <v>-23</v>
      </c>
      <c r="H27" s="40"/>
      <c r="I27" s="93">
        <v>-414</v>
      </c>
      <c r="J27" s="15"/>
      <c r="K27" s="17">
        <f t="shared" si="0"/>
        <v>-343</v>
      </c>
      <c r="L27" s="39"/>
      <c r="M27" s="93">
        <v>-292</v>
      </c>
      <c r="N27" s="15"/>
      <c r="O27" s="17">
        <f t="shared" si="1"/>
        <v>122</v>
      </c>
      <c r="P27" s="157"/>
      <c r="Q27" s="93">
        <v>-273</v>
      </c>
      <c r="R27" s="15"/>
      <c r="S27" s="17">
        <f t="shared" si="2"/>
        <v>19</v>
      </c>
      <c r="T27" s="39"/>
      <c r="U27" s="93">
        <v>47</v>
      </c>
      <c r="V27" s="39"/>
      <c r="W27" s="27">
        <f t="shared" si="3"/>
        <v>320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s="38" customFormat="1" ht="13.2" x14ac:dyDescent="0.25">
      <c r="A28" s="67" t="s">
        <v>144</v>
      </c>
      <c r="B28" s="41"/>
      <c r="C28" s="95">
        <f>SUM(C7:C27)</f>
        <v>2814</v>
      </c>
      <c r="D28" s="41"/>
      <c r="E28" s="95">
        <f>SUM(E7:E27)</f>
        <v>3051</v>
      </c>
      <c r="F28" s="18"/>
      <c r="G28" s="17">
        <f t="shared" si="4"/>
        <v>237</v>
      </c>
      <c r="H28" s="42"/>
      <c r="I28" s="95">
        <f>SUM(I7:I27)</f>
        <v>2740</v>
      </c>
      <c r="J28" s="18"/>
      <c r="K28" s="17">
        <f t="shared" si="0"/>
        <v>-311</v>
      </c>
      <c r="L28" s="41"/>
      <c r="M28" s="95">
        <f>SUM(M7:M27)</f>
        <v>3054</v>
      </c>
      <c r="N28" s="18"/>
      <c r="O28" s="17">
        <f t="shared" si="1"/>
        <v>314</v>
      </c>
      <c r="P28" s="158"/>
      <c r="Q28" s="95">
        <f>SUM(Q7:Q27)</f>
        <v>3108</v>
      </c>
      <c r="R28" s="18"/>
      <c r="S28" s="17">
        <f t="shared" si="2"/>
        <v>54</v>
      </c>
      <c r="T28" s="41"/>
      <c r="U28" s="95">
        <f>SUM(U7:U27)</f>
        <v>2588</v>
      </c>
      <c r="V28" s="41"/>
      <c r="W28" s="27">
        <f t="shared" si="3"/>
        <v>-520</v>
      </c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</row>
    <row r="29" spans="1:42" s="3" customFormat="1" ht="13.2" x14ac:dyDescent="0.25">
      <c r="A29" s="66" t="s">
        <v>145</v>
      </c>
      <c r="B29" s="39"/>
      <c r="C29" s="93"/>
      <c r="D29" s="39"/>
      <c r="E29" s="93"/>
      <c r="F29" s="15"/>
      <c r="G29" s="17"/>
      <c r="H29" s="40"/>
      <c r="I29" s="93"/>
      <c r="J29" s="15"/>
      <c r="K29" s="17"/>
      <c r="L29" s="39"/>
      <c r="M29" s="93"/>
      <c r="N29" s="15"/>
      <c r="O29" s="17"/>
      <c r="P29" s="157"/>
      <c r="Q29" s="93"/>
      <c r="R29" s="15"/>
      <c r="S29" s="17"/>
      <c r="T29" s="39"/>
      <c r="U29" s="93"/>
      <c r="V29" s="39"/>
      <c r="W29" s="27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3.2" x14ac:dyDescent="0.25">
      <c r="A30" s="66" t="s">
        <v>146</v>
      </c>
      <c r="B30" s="41"/>
      <c r="C30" s="93">
        <v>-732</v>
      </c>
      <c r="D30" s="41"/>
      <c r="E30" s="93">
        <v>-746</v>
      </c>
      <c r="F30" s="18"/>
      <c r="G30" s="17">
        <f>E30-C30</f>
        <v>-14</v>
      </c>
      <c r="H30" s="40"/>
      <c r="I30" s="93">
        <v>-716</v>
      </c>
      <c r="J30" s="18"/>
      <c r="K30" s="17">
        <f t="shared" si="0"/>
        <v>30</v>
      </c>
      <c r="L30" s="41"/>
      <c r="M30" s="93">
        <v>-145</v>
      </c>
      <c r="N30" s="18"/>
      <c r="O30" s="17">
        <f t="shared" si="1"/>
        <v>571</v>
      </c>
      <c r="P30" s="158"/>
      <c r="Q30" s="93">
        <v>-63</v>
      </c>
      <c r="R30" s="18"/>
      <c r="S30" s="17">
        <f t="shared" si="2"/>
        <v>82</v>
      </c>
      <c r="T30" s="41"/>
      <c r="U30" s="93">
        <v>-50</v>
      </c>
      <c r="V30" s="41"/>
      <c r="W30" s="27">
        <f t="shared" si="3"/>
        <v>13</v>
      </c>
    </row>
    <row r="31" spans="1:42" ht="13.2" x14ac:dyDescent="0.25">
      <c r="A31" s="66" t="s">
        <v>147</v>
      </c>
      <c r="B31" s="41"/>
      <c r="C31" s="93">
        <v>430</v>
      </c>
      <c r="D31" s="41"/>
      <c r="E31" s="93">
        <v>746</v>
      </c>
      <c r="F31" s="15"/>
      <c r="G31" s="17">
        <f t="shared" ref="G31:G58" si="5">E31-C31</f>
        <v>316</v>
      </c>
      <c r="H31" s="42"/>
      <c r="I31" s="93">
        <v>764</v>
      </c>
      <c r="J31" s="15"/>
      <c r="K31" s="17">
        <f t="shared" si="0"/>
        <v>18</v>
      </c>
      <c r="L31" s="41"/>
      <c r="M31" s="93">
        <v>359</v>
      </c>
      <c r="N31" s="15"/>
      <c r="O31" s="17">
        <f t="shared" si="1"/>
        <v>-405</v>
      </c>
      <c r="P31" s="158"/>
      <c r="Q31" s="93">
        <v>56</v>
      </c>
      <c r="R31" s="15"/>
      <c r="S31" s="17">
        <f t="shared" si="2"/>
        <v>-303</v>
      </c>
      <c r="T31" s="41"/>
      <c r="U31" s="93">
        <v>35</v>
      </c>
      <c r="V31" s="41"/>
      <c r="W31" s="27">
        <f t="shared" si="3"/>
        <v>-21</v>
      </c>
    </row>
    <row r="32" spans="1:42" ht="13.2" x14ac:dyDescent="0.25">
      <c r="A32" s="66" t="s">
        <v>148</v>
      </c>
      <c r="B32" s="41"/>
      <c r="C32" s="93">
        <v>-540</v>
      </c>
      <c r="D32" s="41"/>
      <c r="E32" s="93">
        <v>-646</v>
      </c>
      <c r="F32" s="18"/>
      <c r="G32" s="17">
        <f t="shared" si="5"/>
        <v>-106</v>
      </c>
      <c r="H32" s="40"/>
      <c r="I32" s="93">
        <v>-741</v>
      </c>
      <c r="J32" s="18"/>
      <c r="K32" s="17">
        <f t="shared" si="0"/>
        <v>-95</v>
      </c>
      <c r="L32" s="41"/>
      <c r="M32" s="93">
        <v>-1005</v>
      </c>
      <c r="N32" s="18"/>
      <c r="O32" s="17">
        <f t="shared" si="1"/>
        <v>-264</v>
      </c>
      <c r="P32" s="158"/>
      <c r="Q32" s="93">
        <v>-967</v>
      </c>
      <c r="R32" s="18"/>
      <c r="S32" s="17">
        <f t="shared" si="2"/>
        <v>38</v>
      </c>
      <c r="T32" s="41"/>
      <c r="U32" s="93">
        <v>-923</v>
      </c>
      <c r="V32" s="41"/>
      <c r="W32" s="27">
        <f t="shared" si="3"/>
        <v>44</v>
      </c>
    </row>
    <row r="33" spans="1:42" ht="13.2" x14ac:dyDescent="0.25">
      <c r="A33" s="66" t="s">
        <v>149</v>
      </c>
      <c r="B33" s="41"/>
      <c r="C33" s="93">
        <v>-99</v>
      </c>
      <c r="D33" s="41"/>
      <c r="E33" s="93">
        <v>-322</v>
      </c>
      <c r="F33" s="18"/>
      <c r="G33" s="17">
        <f t="shared" si="5"/>
        <v>-223</v>
      </c>
      <c r="H33" s="42"/>
      <c r="I33" s="93">
        <v>-165</v>
      </c>
      <c r="J33" s="18"/>
      <c r="K33" s="17">
        <f t="shared" si="0"/>
        <v>157</v>
      </c>
      <c r="L33" s="41"/>
      <c r="M33" s="93">
        <v>-922</v>
      </c>
      <c r="N33" s="18"/>
      <c r="O33" s="17">
        <f t="shared" si="1"/>
        <v>-757</v>
      </c>
      <c r="P33" s="158"/>
      <c r="Q33" s="93">
        <v>-8</v>
      </c>
      <c r="R33" s="18"/>
      <c r="S33" s="17">
        <f t="shared" si="2"/>
        <v>914</v>
      </c>
      <c r="T33" s="41"/>
      <c r="U33" s="93">
        <v>-2</v>
      </c>
      <c r="V33" s="41"/>
      <c r="W33" s="27">
        <f t="shared" si="3"/>
        <v>6</v>
      </c>
    </row>
    <row r="34" spans="1:42" ht="13.2" x14ac:dyDescent="0.25">
      <c r="A34" s="66" t="s">
        <v>150</v>
      </c>
      <c r="B34" s="41"/>
      <c r="C34" s="93">
        <v>0</v>
      </c>
      <c r="D34" s="41"/>
      <c r="E34" s="93">
        <v>0</v>
      </c>
      <c r="F34" s="15"/>
      <c r="G34" s="17">
        <f t="shared" si="5"/>
        <v>0</v>
      </c>
      <c r="H34" s="40"/>
      <c r="I34" s="93">
        <v>0</v>
      </c>
      <c r="J34" s="15"/>
      <c r="K34" s="17">
        <f t="shared" si="0"/>
        <v>0</v>
      </c>
      <c r="L34" s="41"/>
      <c r="M34" s="93">
        <v>-12</v>
      </c>
      <c r="N34" s="15"/>
      <c r="O34" s="17">
        <f t="shared" si="1"/>
        <v>-12</v>
      </c>
      <c r="P34" s="158"/>
      <c r="Q34" s="93">
        <v>-30</v>
      </c>
      <c r="R34" s="15"/>
      <c r="S34" s="17">
        <f t="shared" si="2"/>
        <v>-18</v>
      </c>
      <c r="T34" s="41"/>
      <c r="U34" s="93">
        <v>0</v>
      </c>
      <c r="V34" s="41"/>
      <c r="W34" s="27">
        <f t="shared" si="3"/>
        <v>30</v>
      </c>
    </row>
    <row r="35" spans="1:42" ht="13.2" x14ac:dyDescent="0.25">
      <c r="A35" s="66" t="s">
        <v>151</v>
      </c>
      <c r="B35" s="41"/>
      <c r="C35" s="93">
        <v>-55</v>
      </c>
      <c r="D35" s="41"/>
      <c r="E35" s="93">
        <v>-77</v>
      </c>
      <c r="F35" s="15"/>
      <c r="G35" s="17">
        <f t="shared" si="5"/>
        <v>-22</v>
      </c>
      <c r="H35" s="40"/>
      <c r="I35" s="93">
        <v>-88</v>
      </c>
      <c r="J35" s="15"/>
      <c r="K35" s="17">
        <f t="shared" si="0"/>
        <v>-11</v>
      </c>
      <c r="L35" s="41"/>
      <c r="M35" s="93">
        <v>-403</v>
      </c>
      <c r="N35" s="15"/>
      <c r="O35" s="17">
        <f t="shared" si="1"/>
        <v>-315</v>
      </c>
      <c r="P35" s="158"/>
      <c r="Q35" s="93">
        <v>-48</v>
      </c>
      <c r="R35" s="15"/>
      <c r="S35" s="17">
        <f t="shared" si="2"/>
        <v>355</v>
      </c>
      <c r="T35" s="41"/>
      <c r="U35" s="93">
        <v>-69</v>
      </c>
      <c r="V35" s="41"/>
      <c r="W35" s="27">
        <f t="shared" si="3"/>
        <v>-21</v>
      </c>
    </row>
    <row r="36" spans="1:42" s="3" customFormat="1" ht="13.2" x14ac:dyDescent="0.25">
      <c r="A36" s="66" t="s">
        <v>152</v>
      </c>
      <c r="B36" s="39"/>
      <c r="C36" s="93">
        <v>21</v>
      </c>
      <c r="D36" s="39"/>
      <c r="E36" s="93">
        <v>11</v>
      </c>
      <c r="F36" s="15"/>
      <c r="G36" s="17">
        <f t="shared" si="5"/>
        <v>-10</v>
      </c>
      <c r="H36" s="40"/>
      <c r="I36" s="93">
        <v>169</v>
      </c>
      <c r="J36" s="15"/>
      <c r="K36" s="17">
        <f t="shared" si="0"/>
        <v>158</v>
      </c>
      <c r="L36" s="39"/>
      <c r="M36" s="93">
        <v>33</v>
      </c>
      <c r="N36" s="15"/>
      <c r="O36" s="17">
        <f t="shared" si="1"/>
        <v>-136</v>
      </c>
      <c r="P36" s="157"/>
      <c r="Q36" s="93">
        <v>41</v>
      </c>
      <c r="R36" s="15"/>
      <c r="S36" s="17">
        <f t="shared" si="2"/>
        <v>8</v>
      </c>
      <c r="T36" s="39"/>
      <c r="U36" s="93">
        <v>145</v>
      </c>
      <c r="V36" s="39"/>
      <c r="W36" s="27">
        <f t="shared" si="3"/>
        <v>104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3.2" x14ac:dyDescent="0.25">
      <c r="A37" s="67" t="s">
        <v>153</v>
      </c>
      <c r="B37" s="41"/>
      <c r="C37" s="95">
        <f>SUM(C30:C36)</f>
        <v>-975</v>
      </c>
      <c r="D37" s="41"/>
      <c r="E37" s="95">
        <f>SUM(E30:E36)</f>
        <v>-1034</v>
      </c>
      <c r="F37" s="15"/>
      <c r="G37" s="17">
        <f t="shared" si="5"/>
        <v>-59</v>
      </c>
      <c r="H37" s="40"/>
      <c r="I37" s="95">
        <f>SUM(I30:I36)</f>
        <v>-777</v>
      </c>
      <c r="J37" s="15"/>
      <c r="K37" s="17">
        <f t="shared" si="0"/>
        <v>257</v>
      </c>
      <c r="L37" s="41"/>
      <c r="M37" s="95">
        <f>SUM(M30:M36)</f>
        <v>-2095</v>
      </c>
      <c r="N37" s="15"/>
      <c r="O37" s="17">
        <f t="shared" si="1"/>
        <v>-1318</v>
      </c>
      <c r="P37" s="158"/>
      <c r="Q37" s="95">
        <f>SUM(Q30:Q36)</f>
        <v>-1019</v>
      </c>
      <c r="R37" s="15"/>
      <c r="S37" s="17">
        <f t="shared" si="2"/>
        <v>1076</v>
      </c>
      <c r="T37" s="41"/>
      <c r="U37" s="95">
        <f>SUM(U30:U36)</f>
        <v>-864</v>
      </c>
      <c r="V37" s="41"/>
      <c r="W37" s="27">
        <f t="shared" si="3"/>
        <v>155</v>
      </c>
    </row>
    <row r="38" spans="1:42" s="3" customFormat="1" ht="13.2" x14ac:dyDescent="0.25">
      <c r="A38" s="66" t="s">
        <v>154</v>
      </c>
      <c r="B38" s="39"/>
      <c r="C38" s="93"/>
      <c r="D38" s="39"/>
      <c r="E38" s="93"/>
      <c r="F38" s="15"/>
      <c r="G38" s="17"/>
      <c r="H38" s="40"/>
      <c r="I38" s="93"/>
      <c r="J38" s="15"/>
      <c r="K38" s="17"/>
      <c r="L38" s="39"/>
      <c r="M38" s="93"/>
      <c r="N38" s="15"/>
      <c r="O38" s="17"/>
      <c r="P38" s="157"/>
      <c r="Q38" s="93"/>
      <c r="R38" s="15"/>
      <c r="S38" s="17"/>
      <c r="T38" s="39"/>
      <c r="U38" s="93"/>
      <c r="V38" s="39"/>
      <c r="W38" s="27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s="3" customFormat="1" ht="13.2" x14ac:dyDescent="0.25">
      <c r="A39" s="66" t="s">
        <v>155</v>
      </c>
      <c r="B39" s="39"/>
      <c r="C39" s="93">
        <v>69</v>
      </c>
      <c r="D39" s="39"/>
      <c r="E39" s="93">
        <v>-116</v>
      </c>
      <c r="F39" s="15"/>
      <c r="G39" s="17">
        <f t="shared" si="5"/>
        <v>-185</v>
      </c>
      <c r="H39" s="40"/>
      <c r="I39" s="93">
        <v>104</v>
      </c>
      <c r="J39" s="15"/>
      <c r="K39" s="17">
        <f t="shared" si="0"/>
        <v>220</v>
      </c>
      <c r="L39" s="39"/>
      <c r="M39" s="93">
        <v>38</v>
      </c>
      <c r="N39" s="15"/>
      <c r="O39" s="17">
        <f t="shared" si="1"/>
        <v>-66</v>
      </c>
      <c r="P39" s="157"/>
      <c r="Q39" s="93">
        <v>45</v>
      </c>
      <c r="R39" s="15"/>
      <c r="S39" s="17">
        <f t="shared" si="2"/>
        <v>7</v>
      </c>
      <c r="T39" s="39"/>
      <c r="U39" s="93">
        <v>676</v>
      </c>
      <c r="V39" s="39"/>
      <c r="W39" s="27">
        <f t="shared" si="3"/>
        <v>631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s="3" customFormat="1" ht="13.2" x14ac:dyDescent="0.25">
      <c r="A40" s="66" t="s">
        <v>156</v>
      </c>
      <c r="B40" s="39"/>
      <c r="C40" s="93">
        <v>84</v>
      </c>
      <c r="D40" s="39"/>
      <c r="E40" s="93">
        <v>30</v>
      </c>
      <c r="F40" s="15"/>
      <c r="G40" s="17">
        <f t="shared" si="5"/>
        <v>-54</v>
      </c>
      <c r="H40" s="40"/>
      <c r="I40" s="93">
        <v>22</v>
      </c>
      <c r="J40" s="15"/>
      <c r="K40" s="17">
        <f t="shared" si="0"/>
        <v>-8</v>
      </c>
      <c r="L40" s="39"/>
      <c r="M40" s="93">
        <v>50</v>
      </c>
      <c r="N40" s="15"/>
      <c r="O40" s="17">
        <f t="shared" si="1"/>
        <v>28</v>
      </c>
      <c r="P40" s="157"/>
      <c r="Q40" s="93">
        <v>57</v>
      </c>
      <c r="R40" s="15"/>
      <c r="S40" s="17">
        <f t="shared" si="2"/>
        <v>7</v>
      </c>
      <c r="T40" s="39"/>
      <c r="U40" s="93">
        <v>49</v>
      </c>
      <c r="V40" s="39"/>
      <c r="W40" s="27">
        <f t="shared" si="3"/>
        <v>-8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s="3" customFormat="1" ht="13.2" x14ac:dyDescent="0.25">
      <c r="A41" s="66" t="s">
        <v>157</v>
      </c>
      <c r="B41" s="39"/>
      <c r="C41" s="93">
        <v>-74</v>
      </c>
      <c r="D41" s="39"/>
      <c r="E41" s="93">
        <v>-42</v>
      </c>
      <c r="F41" s="15"/>
      <c r="G41" s="17">
        <f t="shared" si="5"/>
        <v>32</v>
      </c>
      <c r="H41" s="40"/>
      <c r="I41" s="93">
        <v>-29</v>
      </c>
      <c r="J41" s="15"/>
      <c r="K41" s="17">
        <f t="shared" si="0"/>
        <v>13</v>
      </c>
      <c r="L41" s="39"/>
      <c r="M41" s="93">
        <v>-24</v>
      </c>
      <c r="N41" s="15"/>
      <c r="O41" s="17">
        <f t="shared" si="1"/>
        <v>5</v>
      </c>
      <c r="P41" s="157"/>
      <c r="Q41" s="93">
        <v>-36</v>
      </c>
      <c r="R41" s="15"/>
      <c r="S41" s="17">
        <f t="shared" si="2"/>
        <v>-12</v>
      </c>
      <c r="T41" s="39"/>
      <c r="U41" s="93">
        <v>-272</v>
      </c>
      <c r="V41" s="39"/>
      <c r="W41" s="27">
        <f t="shared" si="3"/>
        <v>-236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s="3" customFormat="1" ht="13.2" x14ac:dyDescent="0.25">
      <c r="A42" s="66" t="s">
        <v>158</v>
      </c>
      <c r="B42" s="39"/>
      <c r="C42" s="93">
        <v>299</v>
      </c>
      <c r="D42" s="39"/>
      <c r="E42" s="93">
        <v>499</v>
      </c>
      <c r="F42" s="15"/>
      <c r="G42" s="17">
        <f t="shared" si="5"/>
        <v>200</v>
      </c>
      <c r="H42" s="40"/>
      <c r="I42" s="93">
        <v>32</v>
      </c>
      <c r="J42" s="15"/>
      <c r="K42" s="17">
        <f t="shared" si="0"/>
        <v>-467</v>
      </c>
      <c r="L42" s="39"/>
      <c r="M42" s="93">
        <v>5479</v>
      </c>
      <c r="N42" s="15"/>
      <c r="O42" s="17">
        <f t="shared" si="1"/>
        <v>5447</v>
      </c>
      <c r="P42" s="157"/>
      <c r="Q42" s="93">
        <v>1279</v>
      </c>
      <c r="R42" s="15"/>
      <c r="S42" s="17">
        <f t="shared" si="2"/>
        <v>-4200</v>
      </c>
      <c r="T42" s="39"/>
      <c r="U42" s="93">
        <v>9</v>
      </c>
      <c r="V42" s="39"/>
      <c r="W42" s="27">
        <f t="shared" si="3"/>
        <v>-1270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s="3" customFormat="1" ht="13.2" x14ac:dyDescent="0.25">
      <c r="A43" s="66" t="s">
        <v>159</v>
      </c>
      <c r="B43" s="39"/>
      <c r="C43" s="93">
        <v>-193</v>
      </c>
      <c r="D43" s="39"/>
      <c r="E43" s="93">
        <v>-629</v>
      </c>
      <c r="F43" s="15"/>
      <c r="G43" s="17">
        <f t="shared" si="5"/>
        <v>-436</v>
      </c>
      <c r="H43" s="40"/>
      <c r="I43" s="93">
        <v>-2</v>
      </c>
      <c r="J43" s="15"/>
      <c r="K43" s="17">
        <f t="shared" si="0"/>
        <v>627</v>
      </c>
      <c r="L43" s="39"/>
      <c r="M43" s="93">
        <v>-7</v>
      </c>
      <c r="N43" s="15"/>
      <c r="O43" s="17">
        <f t="shared" si="1"/>
        <v>-5</v>
      </c>
      <c r="P43" s="157"/>
      <c r="Q43" s="93">
        <v>-107</v>
      </c>
      <c r="R43" s="15"/>
      <c r="S43" s="17">
        <f t="shared" si="2"/>
        <v>-100</v>
      </c>
      <c r="T43" s="39"/>
      <c r="U43" s="93">
        <v>-306</v>
      </c>
      <c r="V43" s="39"/>
      <c r="W43" s="27">
        <f t="shared" si="3"/>
        <v>-199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s="3" customFormat="1" ht="13.2" x14ac:dyDescent="0.25">
      <c r="A44" s="66" t="s">
        <v>160</v>
      </c>
      <c r="B44" s="39"/>
      <c r="C44" s="93">
        <v>-1</v>
      </c>
      <c r="D44" s="39"/>
      <c r="E44" s="93">
        <v>0</v>
      </c>
      <c r="F44" s="15"/>
      <c r="G44" s="17">
        <f t="shared" si="5"/>
        <v>1</v>
      </c>
      <c r="H44" s="40"/>
      <c r="I44" s="93">
        <v>0</v>
      </c>
      <c r="J44" s="15"/>
      <c r="K44" s="17">
        <f t="shared" si="0"/>
        <v>0</v>
      </c>
      <c r="L44" s="39"/>
      <c r="M44" s="93">
        <v>-39</v>
      </c>
      <c r="N44" s="15"/>
      <c r="O44" s="17">
        <f t="shared" si="1"/>
        <v>-39</v>
      </c>
      <c r="P44" s="157"/>
      <c r="Q44" s="93">
        <v>0</v>
      </c>
      <c r="R44" s="15"/>
      <c r="S44" s="17">
        <f t="shared" si="2"/>
        <v>39</v>
      </c>
      <c r="T44" s="39"/>
      <c r="U44" s="93">
        <v>0</v>
      </c>
      <c r="V44" s="39"/>
      <c r="W44" s="27">
        <f t="shared" si="3"/>
        <v>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s="3" customFormat="1" ht="13.2" x14ac:dyDescent="0.25">
      <c r="A45" s="66" t="s">
        <v>161</v>
      </c>
      <c r="B45" s="39"/>
      <c r="C45" s="93">
        <v>-5</v>
      </c>
      <c r="D45" s="39"/>
      <c r="E45" s="93">
        <v>-5</v>
      </c>
      <c r="F45" s="15"/>
      <c r="G45" s="17">
        <f t="shared" si="5"/>
        <v>0</v>
      </c>
      <c r="H45" s="40"/>
      <c r="I45" s="93">
        <v>0</v>
      </c>
      <c r="J45" s="15"/>
      <c r="K45" s="17">
        <f t="shared" si="0"/>
        <v>5</v>
      </c>
      <c r="L45" s="39"/>
      <c r="M45" s="93">
        <v>-53</v>
      </c>
      <c r="N45" s="15"/>
      <c r="O45" s="17">
        <f t="shared" si="1"/>
        <v>-53</v>
      </c>
      <c r="P45" s="157"/>
      <c r="Q45" s="93">
        <v>-12</v>
      </c>
      <c r="R45" s="15"/>
      <c r="S45" s="17">
        <f t="shared" si="2"/>
        <v>41</v>
      </c>
      <c r="T45" s="39"/>
      <c r="U45" s="93">
        <v>0</v>
      </c>
      <c r="V45" s="39"/>
      <c r="W45" s="27">
        <f t="shared" si="3"/>
        <v>12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s="3" customFormat="1" ht="13.2" x14ac:dyDescent="0.25">
      <c r="A46" s="66" t="s">
        <v>162</v>
      </c>
      <c r="B46" s="39"/>
      <c r="C46" s="93">
        <v>-502</v>
      </c>
      <c r="D46" s="39"/>
      <c r="E46" s="93">
        <v>-432</v>
      </c>
      <c r="F46" s="15"/>
      <c r="G46" s="17">
        <f t="shared" si="5"/>
        <v>70</v>
      </c>
      <c r="H46" s="40"/>
      <c r="I46" s="93">
        <v>-1095</v>
      </c>
      <c r="J46" s="15"/>
      <c r="K46" s="17">
        <f t="shared" si="0"/>
        <v>-663</v>
      </c>
      <c r="L46" s="39"/>
      <c r="M46" s="93">
        <v>-7082</v>
      </c>
      <c r="N46" s="15"/>
      <c r="O46" s="17">
        <f t="shared" si="1"/>
        <v>-5987</v>
      </c>
      <c r="P46" s="157"/>
      <c r="Q46" s="93">
        <v>-835</v>
      </c>
      <c r="R46" s="15"/>
      <c r="S46" s="17">
        <f t="shared" si="2"/>
        <v>6247</v>
      </c>
      <c r="T46" s="39"/>
      <c r="U46" s="93">
        <v>-3001</v>
      </c>
      <c r="V46" s="39"/>
      <c r="W46" s="27">
        <f t="shared" si="3"/>
        <v>-2166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s="3" customFormat="1" ht="13.2" x14ac:dyDescent="0.25">
      <c r="A47" s="66" t="s">
        <v>163</v>
      </c>
      <c r="B47" s="39"/>
      <c r="C47" s="93">
        <v>65</v>
      </c>
      <c r="D47" s="39"/>
      <c r="E47" s="93">
        <v>117</v>
      </c>
      <c r="F47" s="15"/>
      <c r="G47" s="17">
        <f t="shared" si="5"/>
        <v>52</v>
      </c>
      <c r="H47" s="40"/>
      <c r="I47" s="93">
        <v>257</v>
      </c>
      <c r="J47" s="15"/>
      <c r="K47" s="17">
        <f t="shared" si="0"/>
        <v>140</v>
      </c>
      <c r="L47" s="39"/>
      <c r="M47" s="93">
        <v>248</v>
      </c>
      <c r="N47" s="15"/>
      <c r="O47" s="17">
        <f t="shared" si="1"/>
        <v>-9</v>
      </c>
      <c r="P47" s="157"/>
      <c r="Q47" s="93">
        <v>137</v>
      </c>
      <c r="R47" s="15"/>
      <c r="S47" s="17">
        <f t="shared" si="2"/>
        <v>-111</v>
      </c>
      <c r="T47" s="39"/>
      <c r="U47" s="93">
        <v>81</v>
      </c>
      <c r="V47" s="39"/>
      <c r="W47" s="27">
        <f t="shared" si="3"/>
        <v>-56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s="3" customFormat="1" ht="13.2" x14ac:dyDescent="0.25">
      <c r="A48" s="66" t="s">
        <v>131</v>
      </c>
      <c r="B48" s="39"/>
      <c r="C48" s="93">
        <v>36</v>
      </c>
      <c r="D48" s="39"/>
      <c r="E48" s="93">
        <v>50</v>
      </c>
      <c r="F48" s="15"/>
      <c r="G48" s="17">
        <f t="shared" si="5"/>
        <v>14</v>
      </c>
      <c r="H48" s="40"/>
      <c r="I48" s="93">
        <v>79</v>
      </c>
      <c r="J48" s="15"/>
      <c r="K48" s="17">
        <f t="shared" si="0"/>
        <v>29</v>
      </c>
      <c r="L48" s="39"/>
      <c r="M48" s="93">
        <v>72</v>
      </c>
      <c r="N48" s="15"/>
      <c r="O48" s="17">
        <f t="shared" si="1"/>
        <v>-7</v>
      </c>
      <c r="P48" s="157"/>
      <c r="Q48" s="93">
        <v>44</v>
      </c>
      <c r="R48" s="15"/>
      <c r="S48" s="17">
        <f t="shared" si="2"/>
        <v>-28</v>
      </c>
      <c r="T48" s="39"/>
      <c r="U48" s="93">
        <v>16</v>
      </c>
      <c r="V48" s="39"/>
      <c r="W48" s="27">
        <f t="shared" si="3"/>
        <v>-28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s="3" customFormat="1" ht="13.2" x14ac:dyDescent="0.25">
      <c r="A49" s="66" t="s">
        <v>164</v>
      </c>
      <c r="B49" s="39"/>
      <c r="C49" s="93">
        <v>-4</v>
      </c>
      <c r="D49" s="39"/>
      <c r="E49" s="93">
        <v>-19</v>
      </c>
      <c r="F49" s="15"/>
      <c r="G49" s="17">
        <f t="shared" si="5"/>
        <v>-15</v>
      </c>
      <c r="H49" s="40"/>
      <c r="I49" s="93">
        <v>-10</v>
      </c>
      <c r="J49" s="15"/>
      <c r="K49" s="17">
        <f t="shared" si="0"/>
        <v>9</v>
      </c>
      <c r="L49" s="39"/>
      <c r="M49" s="93">
        <v>-9</v>
      </c>
      <c r="N49" s="15"/>
      <c r="O49" s="17">
        <f t="shared" si="1"/>
        <v>1</v>
      </c>
      <c r="P49" s="157"/>
      <c r="Q49" s="93">
        <v>-36</v>
      </c>
      <c r="R49" s="15"/>
      <c r="S49" s="17">
        <f t="shared" si="2"/>
        <v>-27</v>
      </c>
      <c r="T49" s="39"/>
      <c r="U49" s="93">
        <v>-24</v>
      </c>
      <c r="V49" s="39"/>
      <c r="W49" s="27">
        <f t="shared" si="3"/>
        <v>12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s="3" customFormat="1" ht="13.2" x14ac:dyDescent="0.25">
      <c r="A50" s="66" t="s">
        <v>165</v>
      </c>
      <c r="B50" s="39"/>
      <c r="C50" s="93">
        <v>-602</v>
      </c>
      <c r="D50" s="39"/>
      <c r="E50" s="93">
        <v>-642</v>
      </c>
      <c r="F50" s="15"/>
      <c r="G50" s="17">
        <f t="shared" si="5"/>
        <v>-40</v>
      </c>
      <c r="H50" s="40"/>
      <c r="I50" s="93">
        <v>-802</v>
      </c>
      <c r="J50" s="15"/>
      <c r="K50" s="17">
        <f t="shared" si="0"/>
        <v>-160</v>
      </c>
      <c r="L50" s="39"/>
      <c r="M50" s="93">
        <v>-904</v>
      </c>
      <c r="N50" s="15"/>
      <c r="O50" s="17">
        <f t="shared" si="1"/>
        <v>-102</v>
      </c>
      <c r="P50" s="157"/>
      <c r="Q50" s="93">
        <v>-938</v>
      </c>
      <c r="R50" s="15"/>
      <c r="S50" s="17">
        <f t="shared" si="2"/>
        <v>-34</v>
      </c>
      <c r="T50" s="39"/>
      <c r="U50" s="93">
        <v>-964</v>
      </c>
      <c r="V50" s="39"/>
      <c r="W50" s="27">
        <f t="shared" si="3"/>
        <v>-26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s="3" customFormat="1" ht="13.2" x14ac:dyDescent="0.25">
      <c r="A51" s="66" t="s">
        <v>166</v>
      </c>
      <c r="B51" s="39"/>
      <c r="C51" s="93">
        <v>69</v>
      </c>
      <c r="D51" s="39"/>
      <c r="E51" s="93">
        <v>101</v>
      </c>
      <c r="F51" s="15"/>
      <c r="G51" s="17">
        <f t="shared" si="5"/>
        <v>32</v>
      </c>
      <c r="H51" s="40"/>
      <c r="I51" s="93">
        <v>133</v>
      </c>
      <c r="J51" s="15"/>
      <c r="K51" s="17">
        <f t="shared" si="0"/>
        <v>32</v>
      </c>
      <c r="L51" s="39"/>
      <c r="M51" s="93">
        <v>0</v>
      </c>
      <c r="N51" s="15"/>
      <c r="O51" s="17">
        <f t="shared" si="1"/>
        <v>-133</v>
      </c>
      <c r="P51" s="157"/>
      <c r="Q51" s="93">
        <v>0</v>
      </c>
      <c r="R51" s="15"/>
      <c r="S51" s="17">
        <f t="shared" si="2"/>
        <v>0</v>
      </c>
      <c r="T51" s="39"/>
      <c r="U51" s="93">
        <v>0</v>
      </c>
      <c r="V51" s="39"/>
      <c r="W51" s="27">
        <f t="shared" si="3"/>
        <v>0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s="3" customFormat="1" ht="13.2" x14ac:dyDescent="0.25">
      <c r="A52" s="66" t="s">
        <v>167</v>
      </c>
      <c r="B52" s="39"/>
      <c r="C52" s="93">
        <v>-105</v>
      </c>
      <c r="D52" s="39"/>
      <c r="E52" s="93">
        <v>-77</v>
      </c>
      <c r="F52" s="15"/>
      <c r="G52" s="17">
        <f t="shared" si="5"/>
        <v>28</v>
      </c>
      <c r="H52" s="40"/>
      <c r="I52" s="93">
        <v>-174</v>
      </c>
      <c r="J52" s="15"/>
      <c r="K52" s="17">
        <f t="shared" si="0"/>
        <v>-97</v>
      </c>
      <c r="L52" s="39"/>
      <c r="M52" s="93">
        <v>-28</v>
      </c>
      <c r="N52" s="15"/>
      <c r="O52" s="17">
        <f t="shared" si="1"/>
        <v>146</v>
      </c>
      <c r="P52" s="157"/>
      <c r="Q52" s="93">
        <v>-28</v>
      </c>
      <c r="R52" s="15"/>
      <c r="S52" s="17">
        <f t="shared" si="2"/>
        <v>0</v>
      </c>
      <c r="T52" s="39"/>
      <c r="U52" s="93">
        <v>-6</v>
      </c>
      <c r="V52" s="39"/>
      <c r="W52" s="27">
        <f t="shared" si="3"/>
        <v>22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s="38" customFormat="1" ht="13.2" x14ac:dyDescent="0.25">
      <c r="A53" s="67" t="s">
        <v>168</v>
      </c>
      <c r="B53" s="41"/>
      <c r="C53" s="95">
        <f>SUM(C39:C52)</f>
        <v>-864</v>
      </c>
      <c r="D53" s="41"/>
      <c r="E53" s="95">
        <f>SUM(E39:E52)</f>
        <v>-1165</v>
      </c>
      <c r="F53" s="18"/>
      <c r="G53" s="17">
        <f t="shared" si="5"/>
        <v>-301</v>
      </c>
      <c r="H53" s="42"/>
      <c r="I53" s="95">
        <f>SUM(I39:I52)</f>
        <v>-1485</v>
      </c>
      <c r="J53" s="18"/>
      <c r="K53" s="17">
        <f t="shared" si="0"/>
        <v>-320</v>
      </c>
      <c r="L53" s="41"/>
      <c r="M53" s="95">
        <f>SUM(M39:M52)</f>
        <v>-2259</v>
      </c>
      <c r="N53" s="18"/>
      <c r="O53" s="17">
        <f t="shared" si="1"/>
        <v>-774</v>
      </c>
      <c r="P53" s="158"/>
      <c r="Q53" s="95">
        <f>SUM(Q39:Q52)</f>
        <v>-430</v>
      </c>
      <c r="R53" s="18"/>
      <c r="S53" s="17">
        <f t="shared" si="2"/>
        <v>1829</v>
      </c>
      <c r="T53" s="41"/>
      <c r="U53" s="95">
        <f>U39+U40+U41+U42+U43+U44+U45+U46+U47+U48+U49+U50+U51+U52</f>
        <v>-3742</v>
      </c>
      <c r="V53" s="41"/>
      <c r="W53" s="27">
        <f t="shared" si="3"/>
        <v>-3312</v>
      </c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2" s="38" customFormat="1" ht="13.2" x14ac:dyDescent="0.25">
      <c r="A54" s="67" t="s">
        <v>169</v>
      </c>
      <c r="B54" s="41"/>
      <c r="C54" s="95">
        <v>77</v>
      </c>
      <c r="D54" s="41"/>
      <c r="E54" s="95">
        <v>0</v>
      </c>
      <c r="F54" s="18"/>
      <c r="G54" s="17">
        <f t="shared" si="5"/>
        <v>-77</v>
      </c>
      <c r="H54" s="42"/>
      <c r="I54" s="95">
        <v>0</v>
      </c>
      <c r="J54" s="18"/>
      <c r="K54" s="17">
        <f t="shared" si="0"/>
        <v>0</v>
      </c>
      <c r="L54" s="41"/>
      <c r="M54" s="95">
        <v>0</v>
      </c>
      <c r="N54" s="18"/>
      <c r="O54" s="17">
        <f t="shared" si="1"/>
        <v>0</v>
      </c>
      <c r="P54" s="158"/>
      <c r="Q54" s="95">
        <v>0</v>
      </c>
      <c r="R54" s="18"/>
      <c r="S54" s="17">
        <f t="shared" si="2"/>
        <v>0</v>
      </c>
      <c r="T54" s="41"/>
      <c r="U54" s="95">
        <v>0</v>
      </c>
      <c r="V54" s="41"/>
      <c r="W54" s="27">
        <f t="shared" si="3"/>
        <v>0</v>
      </c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2" s="38" customFormat="1" ht="13.2" x14ac:dyDescent="0.25">
      <c r="A55" s="67" t="s">
        <v>170</v>
      </c>
      <c r="B55" s="41"/>
      <c r="C55" s="95">
        <v>35</v>
      </c>
      <c r="D55" s="41"/>
      <c r="E55" s="95">
        <v>-141</v>
      </c>
      <c r="F55" s="18"/>
      <c r="G55" s="17">
        <f t="shared" si="5"/>
        <v>-176</v>
      </c>
      <c r="H55" s="42"/>
      <c r="I55" s="95">
        <v>-93</v>
      </c>
      <c r="J55" s="18"/>
      <c r="K55" s="17">
        <f t="shared" si="0"/>
        <v>48</v>
      </c>
      <c r="L55" s="41"/>
      <c r="M55" s="95">
        <v>-1</v>
      </c>
      <c r="N55" s="18"/>
      <c r="O55" s="17">
        <f t="shared" si="1"/>
        <v>92</v>
      </c>
      <c r="P55" s="158"/>
      <c r="Q55" s="95">
        <v>-325</v>
      </c>
      <c r="R55" s="18"/>
      <c r="S55" s="17">
        <f t="shared" si="2"/>
        <v>-324</v>
      </c>
      <c r="T55" s="41"/>
      <c r="U55" s="95">
        <v>-7</v>
      </c>
      <c r="V55" s="41"/>
      <c r="W55" s="27">
        <f t="shared" si="3"/>
        <v>318</v>
      </c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2" s="38" customFormat="1" ht="13.2" x14ac:dyDescent="0.25">
      <c r="A56" s="67" t="s">
        <v>171</v>
      </c>
      <c r="B56" s="41"/>
      <c r="C56" s="95">
        <f>C28+C37+C53+C54+C55</f>
        <v>1087</v>
      </c>
      <c r="D56" s="41"/>
      <c r="E56" s="95">
        <f>E28+E37+E53+E54+E55</f>
        <v>711</v>
      </c>
      <c r="F56" s="18"/>
      <c r="G56" s="17">
        <f t="shared" si="5"/>
        <v>-376</v>
      </c>
      <c r="H56" s="42"/>
      <c r="I56" s="95">
        <f>I28+I37+I53+I54+I55</f>
        <v>385</v>
      </c>
      <c r="J56" s="18"/>
      <c r="K56" s="17">
        <f t="shared" si="0"/>
        <v>-326</v>
      </c>
      <c r="L56" s="41"/>
      <c r="M56" s="95">
        <f>M28+M37+M53+M54+M55</f>
        <v>-1301</v>
      </c>
      <c r="N56" s="18"/>
      <c r="O56" s="17">
        <f t="shared" si="1"/>
        <v>-1686</v>
      </c>
      <c r="P56" s="158"/>
      <c r="Q56" s="95">
        <f>Q28+Q37+Q53+Q54+Q55</f>
        <v>1334</v>
      </c>
      <c r="R56" s="18"/>
      <c r="S56" s="17">
        <f t="shared" si="2"/>
        <v>2635</v>
      </c>
      <c r="T56" s="41"/>
      <c r="U56" s="95">
        <f>U28+U37+U53+U54+U55</f>
        <v>-2025</v>
      </c>
      <c r="V56" s="41"/>
      <c r="W56" s="27">
        <f t="shared" si="3"/>
        <v>-3359</v>
      </c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2" s="38" customFormat="1" ht="13.2" x14ac:dyDescent="0.25">
      <c r="A57" s="67" t="s">
        <v>172</v>
      </c>
      <c r="B57" s="41"/>
      <c r="C57" s="95">
        <v>1485</v>
      </c>
      <c r="D57" s="41"/>
      <c r="E57" s="95">
        <v>2572</v>
      </c>
      <c r="F57" s="18"/>
      <c r="G57" s="17">
        <f t="shared" si="5"/>
        <v>1087</v>
      </c>
      <c r="H57" s="42"/>
      <c r="I57" s="95">
        <v>3283</v>
      </c>
      <c r="J57" s="18"/>
      <c r="K57" s="17">
        <f t="shared" si="0"/>
        <v>711</v>
      </c>
      <c r="L57" s="41"/>
      <c r="M57" s="95">
        <v>3668</v>
      </c>
      <c r="N57" s="18"/>
      <c r="O57" s="17">
        <f t="shared" si="1"/>
        <v>385</v>
      </c>
      <c r="P57" s="158"/>
      <c r="Q57" s="95">
        <v>2367</v>
      </c>
      <c r="R57" s="18"/>
      <c r="S57" s="17">
        <f t="shared" si="2"/>
        <v>-1301</v>
      </c>
      <c r="T57" s="41"/>
      <c r="U57" s="95">
        <v>3701</v>
      </c>
      <c r="V57" s="41"/>
      <c r="W57" s="27">
        <f t="shared" si="3"/>
        <v>1334</v>
      </c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2" s="38" customFormat="1" ht="13.8" thickBot="1" x14ac:dyDescent="0.3">
      <c r="A58" s="68" t="s">
        <v>173</v>
      </c>
      <c r="B58" s="183"/>
      <c r="C58" s="96">
        <f>C57+C56</f>
        <v>2572</v>
      </c>
      <c r="D58" s="183"/>
      <c r="E58" s="96">
        <f>E57+E56</f>
        <v>3283</v>
      </c>
      <c r="F58" s="182"/>
      <c r="G58" s="88">
        <f t="shared" si="5"/>
        <v>711</v>
      </c>
      <c r="H58" s="43"/>
      <c r="I58" s="96">
        <f>I57+I56</f>
        <v>3668</v>
      </c>
      <c r="J58" s="182"/>
      <c r="K58" s="88">
        <f t="shared" si="0"/>
        <v>385</v>
      </c>
      <c r="L58" s="183"/>
      <c r="M58" s="96">
        <f>M57+M56</f>
        <v>2367</v>
      </c>
      <c r="N58" s="182"/>
      <c r="O58" s="88">
        <f t="shared" si="1"/>
        <v>-1301</v>
      </c>
      <c r="P58" s="184"/>
      <c r="Q58" s="96">
        <f>Q57+Q56</f>
        <v>3701</v>
      </c>
      <c r="R58" s="182"/>
      <c r="S58" s="88">
        <f t="shared" si="2"/>
        <v>1334</v>
      </c>
      <c r="T58" s="183"/>
      <c r="U58" s="96">
        <f>U57+U56</f>
        <v>1676</v>
      </c>
      <c r="V58" s="183"/>
      <c r="W58" s="154">
        <f t="shared" si="3"/>
        <v>-2025</v>
      </c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x14ac:dyDescent="0.3">
      <c r="A59" s="59"/>
      <c r="B59" s="60"/>
      <c r="C59" s="61"/>
      <c r="D59" s="60"/>
      <c r="E59" s="61"/>
      <c r="F59" s="76"/>
      <c r="G59" s="79"/>
      <c r="H59" s="60"/>
      <c r="I59" s="62"/>
      <c r="J59" s="76"/>
      <c r="K59" s="79"/>
      <c r="L59" s="60"/>
      <c r="M59" s="61"/>
      <c r="N59" s="76"/>
      <c r="O59" s="79"/>
      <c r="P59" s="60"/>
      <c r="Q59" s="62"/>
      <c r="R59" s="76"/>
      <c r="S59" s="79"/>
      <c r="T59" s="60"/>
      <c r="U59" s="62"/>
      <c r="V59" s="60"/>
      <c r="W59" s="79"/>
    </row>
    <row r="60" spans="1:42" x14ac:dyDescent="0.3">
      <c r="A60" s="59"/>
      <c r="B60" s="60"/>
      <c r="C60" s="61"/>
      <c r="D60" s="60"/>
      <c r="E60" s="61"/>
      <c r="F60" s="76"/>
      <c r="G60" s="79"/>
      <c r="H60" s="60"/>
      <c r="I60" s="62"/>
      <c r="J60" s="76"/>
      <c r="K60" s="79"/>
      <c r="L60" s="60"/>
      <c r="M60" s="61"/>
      <c r="N60" s="76"/>
      <c r="O60" s="79"/>
      <c r="P60" s="60"/>
      <c r="Q60" s="62"/>
      <c r="R60" s="76"/>
      <c r="S60" s="79"/>
      <c r="T60" s="60"/>
      <c r="U60" s="62"/>
      <c r="V60" s="60"/>
      <c r="W60" s="79"/>
    </row>
    <row r="61" spans="1:42" x14ac:dyDescent="0.3">
      <c r="A61" s="59"/>
      <c r="B61" s="60"/>
      <c r="C61" s="61"/>
      <c r="D61" s="60"/>
      <c r="E61" s="61"/>
      <c r="F61" s="78"/>
      <c r="G61" s="79"/>
      <c r="H61" s="60"/>
      <c r="I61" s="62"/>
      <c r="J61" s="78"/>
      <c r="K61" s="79"/>
      <c r="L61" s="60"/>
      <c r="M61" s="61"/>
      <c r="N61" s="78"/>
      <c r="O61" s="79"/>
      <c r="P61" s="60"/>
      <c r="Q61" s="62"/>
      <c r="R61" s="78"/>
      <c r="S61" s="79"/>
      <c r="T61" s="60"/>
      <c r="U61" s="62"/>
      <c r="V61" s="60"/>
      <c r="W61" s="79"/>
    </row>
    <row r="62" spans="1:42" x14ac:dyDescent="0.3">
      <c r="B62" s="55"/>
      <c r="C62" s="56"/>
      <c r="D62" s="55"/>
      <c r="E62" s="56"/>
      <c r="F62" s="78"/>
      <c r="G62" s="79"/>
      <c r="H62" s="58"/>
      <c r="I62" s="62"/>
      <c r="J62" s="78"/>
      <c r="K62" s="79"/>
      <c r="L62" s="60"/>
      <c r="M62" s="61"/>
      <c r="N62" s="78"/>
      <c r="O62" s="79"/>
      <c r="P62" s="55"/>
      <c r="Q62" s="57"/>
      <c r="R62" s="78"/>
      <c r="S62" s="79"/>
      <c r="T62" s="55"/>
      <c r="U62" s="57"/>
      <c r="V62" s="55"/>
      <c r="W62" s="79"/>
    </row>
    <row r="63" spans="1:42" x14ac:dyDescent="0.3">
      <c r="F63" s="13"/>
      <c r="G63" s="79"/>
      <c r="I63" s="152"/>
      <c r="J63" s="13"/>
      <c r="K63" s="79"/>
      <c r="L63" s="125"/>
      <c r="M63" s="124"/>
      <c r="N63" s="13"/>
      <c r="O63" s="79"/>
      <c r="R63" s="13"/>
      <c r="S63" s="79"/>
      <c r="W63" s="79"/>
    </row>
    <row r="64" spans="1:42" x14ac:dyDescent="0.3">
      <c r="F64" s="78"/>
      <c r="G64" s="79"/>
      <c r="I64" s="152"/>
      <c r="J64" s="78"/>
      <c r="K64" s="79"/>
      <c r="L64" s="125"/>
      <c r="M64" s="124"/>
      <c r="N64" s="78"/>
      <c r="O64" s="79"/>
      <c r="R64" s="78"/>
      <c r="S64" s="79"/>
      <c r="W64" s="79"/>
    </row>
    <row r="65" spans="6:23" x14ac:dyDescent="0.3">
      <c r="F65" s="13"/>
      <c r="G65" s="79"/>
      <c r="I65" s="152"/>
      <c r="J65" s="13"/>
      <c r="K65" s="79"/>
      <c r="L65" s="125"/>
      <c r="M65" s="124"/>
      <c r="N65" s="13"/>
      <c r="O65" s="79"/>
      <c r="R65" s="13"/>
      <c r="S65" s="79"/>
      <c r="W65" s="79"/>
    </row>
    <row r="66" spans="6:23" x14ac:dyDescent="0.3">
      <c r="F66" s="13"/>
      <c r="G66" s="79"/>
      <c r="I66" s="152"/>
      <c r="J66" s="13"/>
      <c r="K66" s="79"/>
      <c r="L66" s="125"/>
      <c r="M66" s="124"/>
      <c r="N66" s="13"/>
      <c r="O66" s="79"/>
      <c r="R66" s="13"/>
      <c r="S66" s="79"/>
      <c r="W66" s="79"/>
    </row>
    <row r="67" spans="6:23" x14ac:dyDescent="0.3">
      <c r="F67" s="127"/>
      <c r="G67" s="79"/>
      <c r="I67" s="152"/>
      <c r="J67" s="127"/>
      <c r="K67" s="79"/>
      <c r="L67" s="125"/>
      <c r="M67" s="124"/>
      <c r="N67" s="127"/>
      <c r="O67" s="79"/>
      <c r="R67" s="127"/>
      <c r="S67" s="79"/>
      <c r="W67" s="79"/>
    </row>
    <row r="68" spans="6:23" x14ac:dyDescent="0.3">
      <c r="F68" s="127"/>
      <c r="G68" s="79"/>
      <c r="I68" s="152"/>
      <c r="J68" s="127"/>
      <c r="K68" s="79"/>
      <c r="L68" s="125"/>
      <c r="M68" s="124"/>
      <c r="N68" s="127"/>
      <c r="O68" s="79"/>
      <c r="R68" s="127"/>
      <c r="S68" s="79"/>
      <c r="W68" s="79"/>
    </row>
    <row r="69" spans="6:23" x14ac:dyDescent="0.3">
      <c r="F69" s="128"/>
      <c r="G69" s="79"/>
      <c r="I69" s="152"/>
      <c r="J69" s="128"/>
      <c r="K69" s="79"/>
      <c r="L69" s="125"/>
      <c r="M69" s="124"/>
      <c r="N69" s="128"/>
      <c r="O69" s="79"/>
      <c r="R69" s="128"/>
      <c r="S69" s="79"/>
      <c r="W69" s="79"/>
    </row>
    <row r="70" spans="6:23" x14ac:dyDescent="0.3">
      <c r="F70" s="128"/>
      <c r="G70" s="79"/>
      <c r="I70" s="152"/>
      <c r="J70" s="128"/>
      <c r="K70" s="79"/>
      <c r="L70" s="125"/>
      <c r="M70" s="124"/>
      <c r="N70" s="128"/>
      <c r="O70" s="79"/>
      <c r="R70" s="128"/>
      <c r="S70" s="79"/>
      <c r="W70" s="79"/>
    </row>
    <row r="71" spans="6:23" x14ac:dyDescent="0.3">
      <c r="F71" s="129"/>
      <c r="G71" s="130"/>
      <c r="I71" s="152"/>
      <c r="J71" s="129"/>
      <c r="K71" s="130"/>
      <c r="L71" s="125"/>
      <c r="M71" s="124"/>
      <c r="N71" s="129"/>
      <c r="O71" s="130"/>
      <c r="R71" s="129"/>
      <c r="S71" s="130"/>
      <c r="W71" s="130"/>
    </row>
    <row r="72" spans="6:23" x14ac:dyDescent="0.3">
      <c r="F72" s="11"/>
      <c r="G72" s="12"/>
      <c r="J72" s="11"/>
      <c r="K72" s="12"/>
      <c r="N72" s="11"/>
      <c r="O72" s="12"/>
      <c r="R72" s="11"/>
      <c r="S72" s="12"/>
      <c r="W72" s="12"/>
    </row>
    <row r="74" spans="6:23" x14ac:dyDescent="0.3">
      <c r="F74" s="5"/>
      <c r="J74" s="5"/>
      <c r="N74" s="5"/>
      <c r="R74" s="5"/>
    </row>
  </sheetData>
  <hyperlinks>
    <hyperlink ref="A1:I1" location="Index!A1" display="Zurück zum Index" xr:uid="{933BE1E2-1389-4853-9D0C-54DACC97E766}"/>
    <hyperlink ref="L1" location="Index!A1" display="Zurück zum Index" xr:uid="{B877C7E9-3620-45DD-ABDD-1192E358665A}"/>
    <hyperlink ref="P1" location="Index!A1" display="Zurück zum Index" xr:uid="{9361F1A2-9934-41DF-8E32-CFEA796203D3}"/>
    <hyperlink ref="V1" location="Index!A1" display="Zurück zum Index" xr:uid="{3F715B66-81D5-4633-8B66-05B07F0FF8E3}"/>
    <hyperlink ref="M1" location="Index!A1" display="Zurück zum Index" xr:uid="{6293335C-9289-4511-895E-C510558BEFCC}"/>
    <hyperlink ref="Q1" location="Index!A1" display="Zurück zum Index" xr:uid="{D3CE6D3F-CEDD-46CF-8D71-7D9F058FA1F5}"/>
    <hyperlink ref="J1" location="Index!A1" display="Zurück zum Index" xr:uid="{AEF88AC4-9C0C-4802-809A-870BA502A7B1}"/>
    <hyperlink ref="K1" location="Index!A1" display="Zurück zum Index" xr:uid="{EA074F78-8AD5-42D8-A1A4-578D93C9BE8A}"/>
    <hyperlink ref="N1" location="Index!A1" display="Zurück zum Index" xr:uid="{CF3A5650-6619-43CF-A437-F8CDB00BD493}"/>
    <hyperlink ref="O1" location="Index!A1" display="Zurück zum Index" xr:uid="{EACB6C47-BCC7-4E99-8FB3-5162C35587B7}"/>
    <hyperlink ref="R1" location="Index!A1" display="Zurück zum Index" xr:uid="{67373FF8-7A7A-49CF-B7F0-194AF55C532A}"/>
    <hyperlink ref="S1" location="Index!A1" display="Zurück zum Index" xr:uid="{EBD1091F-314B-4462-954B-026FDA145534}"/>
    <hyperlink ref="T1" location="Index!A1" display="Zurück zum Index" xr:uid="{033F57B5-8ED4-43FB-82D9-8024A66163AC}"/>
    <hyperlink ref="U1" location="Index!A1" display="Zurück zum Index" xr:uid="{32F4BB7A-6D16-43B9-983E-C3FA1F5DCD1E}"/>
    <hyperlink ref="W1" location="Index!A1" display="Zurück zum Index" xr:uid="{AA7F9D77-72E9-4B47-AD8F-8F3837A644C9}"/>
    <hyperlink ref="C1" location="Index!A1" display="Zurück zum Index" xr:uid="{DA343A31-22C5-461A-8B52-75DA7927D2FD}"/>
    <hyperlink ref="F1" location="Index!A1" display="Zurück zum Index" xr:uid="{5993C234-1BC3-4396-9E08-733AF0EDE738}"/>
    <hyperlink ref="G1" location="Index!A1" display="Zurück zum Index" xr:uid="{E70CADE3-717B-490F-9902-58630BC0A348}"/>
  </hyperlink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Forecast</vt:lpstr>
      <vt:lpstr>Valuation</vt:lpstr>
      <vt:lpstr>WACC</vt:lpstr>
      <vt:lpstr>Statements of Financial Positio</vt:lpstr>
      <vt:lpstr>Statement of Operations</vt:lpstr>
      <vt:lpstr>Statements of Comprehensive In.</vt:lpstr>
      <vt:lpstr>Statements of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Krempels</dc:creator>
  <cp:lastModifiedBy>AJITH RAJAN</cp:lastModifiedBy>
  <dcterms:created xsi:type="dcterms:W3CDTF">2020-04-29T11:55:44Z</dcterms:created>
  <dcterms:modified xsi:type="dcterms:W3CDTF">2022-04-03T15:51:00Z</dcterms:modified>
</cp:coreProperties>
</file>