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b 2023\Corp Finance study\Tesla\"/>
    </mc:Choice>
  </mc:AlternateContent>
  <xr:revisionPtr revIDLastSave="0" documentId="13_ncr:1_{8547427A-E511-4C54-8F04-6670E24CA5AB}" xr6:coauthVersionLast="47" xr6:coauthVersionMax="47" xr10:uidLastSave="{00000000-0000-0000-0000-000000000000}"/>
  <bookViews>
    <workbookView xWindow="-108" yWindow="-108" windowWidth="23256" windowHeight="12696" activeTab="1" xr2:uid="{2BDBC2A1-5127-4FAF-A1D5-2E7E8BC0E100}"/>
  </bookViews>
  <sheets>
    <sheet name="Summary" sheetId="5" r:id="rId1"/>
    <sheet name="DCF" sheetId="1" r:id="rId2"/>
    <sheet name="WACC" sheetId="6" r:id="rId3"/>
    <sheet name="IS" sheetId="2" r:id="rId4"/>
    <sheet name="CF" sheetId="3" r:id="rId5"/>
    <sheet name="BS" sheetId="4" r:id="rId6"/>
  </sheets>
  <definedNames>
    <definedName name="tgr">DCF!$C$16</definedName>
    <definedName name="wacc">DCF!$C$15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H72" i="1"/>
  <c r="H69" i="1"/>
  <c r="H66" i="1"/>
  <c r="H65" i="1"/>
  <c r="H71" i="1"/>
  <c r="H68" i="1"/>
  <c r="H64" i="1"/>
  <c r="H29" i="1"/>
  <c r="J30" i="1"/>
  <c r="K30" i="1"/>
  <c r="L30" i="1"/>
  <c r="M30" i="1"/>
  <c r="N30" i="1"/>
  <c r="I30" i="1"/>
  <c r="B30" i="1"/>
  <c r="K23" i="1"/>
  <c r="L23" i="1" s="1"/>
  <c r="M23" i="1" s="1"/>
  <c r="H22" i="1"/>
  <c r="G31" i="1"/>
  <c r="G35" i="1" s="1"/>
  <c r="G76" i="1" s="1"/>
  <c r="N111" i="1"/>
  <c r="N110" i="1"/>
  <c r="E12" i="6"/>
  <c r="E11" i="6"/>
  <c r="E18" i="6"/>
  <c r="E17" i="6"/>
  <c r="C82" i="1"/>
  <c r="D82" i="1"/>
  <c r="E82" i="1"/>
  <c r="F82" i="1"/>
  <c r="G82" i="1"/>
  <c r="H82" i="1"/>
  <c r="C16" i="1"/>
  <c r="H96" i="1"/>
  <c r="I20" i="1"/>
  <c r="J20" i="1" s="1"/>
  <c r="J22" i="1" s="1"/>
  <c r="H93" i="1"/>
  <c r="N83" i="1"/>
  <c r="N86" i="1"/>
  <c r="M86" i="1"/>
  <c r="M83" i="1" s="1"/>
  <c r="L86" i="1"/>
  <c r="L83" i="1" s="1"/>
  <c r="M84" i="1"/>
  <c r="N84" i="1"/>
  <c r="L84" i="1"/>
  <c r="K84" i="1"/>
  <c r="J84" i="1"/>
  <c r="K86" i="1"/>
  <c r="K83" i="1" s="1"/>
  <c r="J86" i="1"/>
  <c r="J83" i="1" s="1"/>
  <c r="I86" i="1"/>
  <c r="I83" i="1" s="1"/>
  <c r="I84" i="1"/>
  <c r="M77" i="1"/>
  <c r="N77" i="1"/>
  <c r="M80" i="1"/>
  <c r="N80" i="1"/>
  <c r="L80" i="1"/>
  <c r="L77" i="1" s="1"/>
  <c r="M78" i="1"/>
  <c r="N78" i="1"/>
  <c r="L78" i="1"/>
  <c r="J80" i="1"/>
  <c r="J77" i="1" s="1"/>
  <c r="K80" i="1"/>
  <c r="K77" i="1" s="1"/>
  <c r="I80" i="1"/>
  <c r="I77" i="1" s="1"/>
  <c r="J78" i="1"/>
  <c r="K78" i="1"/>
  <c r="I78" i="1"/>
  <c r="H26" i="1"/>
  <c r="E29" i="1"/>
  <c r="F29" i="1"/>
  <c r="G29" i="1"/>
  <c r="D29" i="1"/>
  <c r="E26" i="1"/>
  <c r="F26" i="1"/>
  <c r="G26" i="1"/>
  <c r="D26" i="1"/>
  <c r="F22" i="1"/>
  <c r="D99" i="1"/>
  <c r="E99" i="1"/>
  <c r="F99" i="1"/>
  <c r="G99" i="1"/>
  <c r="C99" i="1"/>
  <c r="D68" i="1"/>
  <c r="C68" i="1"/>
  <c r="F68" i="1"/>
  <c r="F96" i="1" s="1"/>
  <c r="G68" i="1"/>
  <c r="E68" i="1"/>
  <c r="F64" i="1"/>
  <c r="F93" i="1" s="1"/>
  <c r="G64" i="1"/>
  <c r="G93" i="1" s="1"/>
  <c r="E64" i="1"/>
  <c r="D64" i="1"/>
  <c r="D93" i="1" s="1"/>
  <c r="C64" i="1"/>
  <c r="C93" i="1" s="1"/>
  <c r="D55" i="1"/>
  <c r="C55" i="1"/>
  <c r="G55" i="1"/>
  <c r="G88" i="1" s="1"/>
  <c r="H55" i="1"/>
  <c r="F55" i="1"/>
  <c r="E55" i="1"/>
  <c r="D52" i="1"/>
  <c r="D53" i="1" s="1"/>
  <c r="C52" i="1"/>
  <c r="C49" i="1" s="1"/>
  <c r="C50" i="1" s="1"/>
  <c r="E52" i="1"/>
  <c r="G52" i="1"/>
  <c r="H52" i="1"/>
  <c r="F52" i="1"/>
  <c r="G58" i="1"/>
  <c r="H58" i="1"/>
  <c r="F58" i="1"/>
  <c r="E58" i="1"/>
  <c r="G46" i="1"/>
  <c r="H46" i="1"/>
  <c r="F46" i="1"/>
  <c r="E46" i="1"/>
  <c r="G43" i="1"/>
  <c r="H43" i="1"/>
  <c r="F43" i="1"/>
  <c r="E43" i="1"/>
  <c r="D31" i="1"/>
  <c r="D27" i="1" s="1"/>
  <c r="E31" i="1"/>
  <c r="E27" i="1" s="1"/>
  <c r="F31" i="1"/>
  <c r="F35" i="1" s="1"/>
  <c r="F41" i="1" s="1"/>
  <c r="H31" i="1"/>
  <c r="H27" i="1" s="1"/>
  <c r="C31" i="1"/>
  <c r="C35" i="1" s="1"/>
  <c r="G38" i="1"/>
  <c r="H38" i="1"/>
  <c r="F38" i="1"/>
  <c r="D22" i="1"/>
  <c r="E22" i="1"/>
  <c r="G22" i="1"/>
  <c r="C30" i="1" l="1"/>
  <c r="G27" i="1"/>
  <c r="E30" i="1"/>
  <c r="H30" i="1"/>
  <c r="D30" i="1"/>
  <c r="F30" i="1"/>
  <c r="F27" i="1"/>
  <c r="G30" i="1"/>
  <c r="C27" i="1"/>
  <c r="H32" i="1"/>
  <c r="G91" i="1"/>
  <c r="E65" i="1"/>
  <c r="H35" i="1"/>
  <c r="H21" i="1" s="1"/>
  <c r="E20" i="6"/>
  <c r="E25" i="6" s="1"/>
  <c r="I14" i="1" s="1"/>
  <c r="C72" i="1"/>
  <c r="C100" i="1" s="1"/>
  <c r="C21" i="1"/>
  <c r="C76" i="1"/>
  <c r="C41" i="1"/>
  <c r="F47" i="1"/>
  <c r="F83" i="1" s="1"/>
  <c r="D35" i="1"/>
  <c r="D36" i="1" s="1"/>
  <c r="D77" i="1" s="1"/>
  <c r="E35" i="1"/>
  <c r="E69" i="1" s="1"/>
  <c r="E97" i="1" s="1"/>
  <c r="I22" i="1"/>
  <c r="C33" i="1"/>
  <c r="C47" i="1"/>
  <c r="C83" i="1" s="1"/>
  <c r="C94" i="1"/>
  <c r="C69" i="1"/>
  <c r="C97" i="1" s="1"/>
  <c r="C38" i="1"/>
  <c r="C39" i="1" s="1"/>
  <c r="C44" i="1"/>
  <c r="C59" i="1"/>
  <c r="C56" i="1"/>
  <c r="H88" i="1"/>
  <c r="G89" i="1"/>
  <c r="G33" i="1"/>
  <c r="F33" i="1"/>
  <c r="G21" i="1"/>
  <c r="F21" i="1"/>
  <c r="F32" i="1"/>
  <c r="D32" i="1"/>
  <c r="G32" i="1"/>
  <c r="E32" i="1"/>
  <c r="D88" i="1"/>
  <c r="D91" i="1" s="1"/>
  <c r="F53" i="1"/>
  <c r="G94" i="1"/>
  <c r="G47" i="1"/>
  <c r="G83" i="1" s="1"/>
  <c r="G69" i="1"/>
  <c r="G97" i="1" s="1"/>
  <c r="H53" i="1"/>
  <c r="F59" i="1"/>
  <c r="E49" i="1"/>
  <c r="E50" i="1" s="1"/>
  <c r="F56" i="1"/>
  <c r="F88" i="1"/>
  <c r="F44" i="1"/>
  <c r="G53" i="1"/>
  <c r="G56" i="1"/>
  <c r="F49" i="1"/>
  <c r="F50" i="1" s="1"/>
  <c r="D49" i="1"/>
  <c r="D50" i="1" s="1"/>
  <c r="F94" i="1"/>
  <c r="F76" i="1"/>
  <c r="C88" i="1"/>
  <c r="C91" i="1" s="1"/>
  <c r="E88" i="1"/>
  <c r="E91" i="1" s="1"/>
  <c r="C96" i="1"/>
  <c r="C65" i="1"/>
  <c r="C66" i="1"/>
  <c r="E96" i="1"/>
  <c r="G65" i="1"/>
  <c r="D65" i="1"/>
  <c r="E93" i="1"/>
  <c r="G66" i="1"/>
  <c r="D96" i="1"/>
  <c r="F65" i="1"/>
  <c r="F66" i="1"/>
  <c r="G96" i="1"/>
  <c r="G49" i="1"/>
  <c r="G50" i="1" s="1"/>
  <c r="F69" i="1"/>
  <c r="F97" i="1" s="1"/>
  <c r="G72" i="1"/>
  <c r="G100" i="1" s="1"/>
  <c r="F72" i="1"/>
  <c r="F100" i="1" s="1"/>
  <c r="G44" i="1"/>
  <c r="G59" i="1"/>
  <c r="C53" i="1"/>
  <c r="E53" i="1"/>
  <c r="H49" i="1"/>
  <c r="H50" i="1" s="1"/>
  <c r="F39" i="1"/>
  <c r="G39" i="1"/>
  <c r="G40" i="1"/>
  <c r="G41" i="1" s="1"/>
  <c r="G36" i="1"/>
  <c r="G77" i="1" s="1"/>
  <c r="D66" i="1" l="1"/>
  <c r="H40" i="1"/>
  <c r="H41" i="1" s="1"/>
  <c r="H36" i="1"/>
  <c r="H77" i="1" s="1"/>
  <c r="H39" i="1"/>
  <c r="H59" i="1"/>
  <c r="D44" i="1"/>
  <c r="H33" i="1"/>
  <c r="H44" i="1"/>
  <c r="C15" i="1"/>
  <c r="H56" i="1"/>
  <c r="H76" i="1"/>
  <c r="H94" i="1" s="1"/>
  <c r="H47" i="1"/>
  <c r="H83" i="1" s="1"/>
  <c r="D94" i="1"/>
  <c r="F14" i="1"/>
  <c r="H97" i="1"/>
  <c r="I76" i="1"/>
  <c r="I21" i="1" s="1"/>
  <c r="F36" i="1"/>
  <c r="F77" i="1" s="1"/>
  <c r="D21" i="1"/>
  <c r="D72" i="1"/>
  <c r="D59" i="1"/>
  <c r="D76" i="1"/>
  <c r="D47" i="1"/>
  <c r="D83" i="1" s="1"/>
  <c r="D41" i="1"/>
  <c r="D38" i="1"/>
  <c r="D39" i="1" s="1"/>
  <c r="E33" i="1"/>
  <c r="D33" i="1"/>
  <c r="E94" i="1"/>
  <c r="E66" i="1"/>
  <c r="D69" i="1"/>
  <c r="D97" i="1" s="1"/>
  <c r="D56" i="1"/>
  <c r="E56" i="1"/>
  <c r="C89" i="1"/>
  <c r="E59" i="1"/>
  <c r="E47" i="1"/>
  <c r="E83" i="1" s="1"/>
  <c r="E21" i="1"/>
  <c r="E36" i="1"/>
  <c r="E77" i="1" s="1"/>
  <c r="E38" i="1"/>
  <c r="E39" i="1" s="1"/>
  <c r="E72" i="1"/>
  <c r="E100" i="1" s="1"/>
  <c r="H100" i="1" s="1"/>
  <c r="N100" i="1" s="1"/>
  <c r="E76" i="1"/>
  <c r="E41" i="1"/>
  <c r="E44" i="1"/>
  <c r="D89" i="1"/>
  <c r="E89" i="1"/>
  <c r="H91" i="1"/>
  <c r="H89" i="1"/>
  <c r="F91" i="1"/>
  <c r="F89" i="1"/>
  <c r="I35" i="1" l="1"/>
  <c r="I36" i="1" s="1"/>
  <c r="I100" i="1"/>
  <c r="I99" i="1" s="1"/>
  <c r="K100" i="1"/>
  <c r="H99" i="1"/>
  <c r="M100" i="1"/>
  <c r="L100" i="1"/>
  <c r="J100" i="1"/>
  <c r="I96" i="1"/>
  <c r="I82" i="1"/>
  <c r="I88" i="1" s="1"/>
  <c r="I91" i="1" s="1"/>
  <c r="I93" i="1"/>
  <c r="J76" i="1"/>
  <c r="I31" i="1" l="1"/>
  <c r="I32" i="1" s="1"/>
  <c r="J35" i="1"/>
  <c r="I102" i="1"/>
  <c r="I103" i="1" s="1"/>
  <c r="J93" i="1"/>
  <c r="J82" i="1"/>
  <c r="J88" i="1" s="1"/>
  <c r="J91" i="1" s="1"/>
  <c r="J96" i="1"/>
  <c r="J99" i="1"/>
  <c r="K76" i="1"/>
  <c r="I25" i="1" l="1"/>
  <c r="I26" i="1" s="1"/>
  <c r="I28" i="1"/>
  <c r="I29" i="1" s="1"/>
  <c r="J36" i="1"/>
  <c r="I33" i="1"/>
  <c r="K35" i="1"/>
  <c r="J102" i="1"/>
  <c r="J103" i="1" s="1"/>
  <c r="K99" i="1"/>
  <c r="K82" i="1"/>
  <c r="K88" i="1" s="1"/>
  <c r="K91" i="1" s="1"/>
  <c r="L76" i="1"/>
  <c r="K93" i="1"/>
  <c r="K96" i="1"/>
  <c r="K36" i="1" l="1"/>
  <c r="L35" i="1"/>
  <c r="L82" i="1"/>
  <c r="L88" i="1" s="1"/>
  <c r="L91" i="1" s="1"/>
  <c r="L99" i="1"/>
  <c r="M76" i="1"/>
  <c r="L93" i="1"/>
  <c r="L96" i="1"/>
  <c r="K102" i="1"/>
  <c r="K103" i="1" s="1"/>
  <c r="L36" i="1" l="1"/>
  <c r="M35" i="1"/>
  <c r="M96" i="1"/>
  <c r="N76" i="1"/>
  <c r="M82" i="1"/>
  <c r="M88" i="1" s="1"/>
  <c r="M91" i="1" s="1"/>
  <c r="M99" i="1"/>
  <c r="M93" i="1"/>
  <c r="L102" i="1"/>
  <c r="L103" i="1" s="1"/>
  <c r="M36" i="1" l="1"/>
  <c r="N35" i="1"/>
  <c r="M102" i="1"/>
  <c r="M103" i="1" s="1"/>
  <c r="N82" i="1"/>
  <c r="N88" i="1" s="1"/>
  <c r="N91" i="1" s="1"/>
  <c r="N93" i="1"/>
  <c r="N99" i="1"/>
  <c r="N96" i="1"/>
  <c r="N36" i="1" l="1"/>
  <c r="N102" i="1"/>
  <c r="N106" i="1" s="1"/>
  <c r="N107" i="1" s="1"/>
  <c r="N103" i="1" l="1"/>
  <c r="N109" i="1" s="1"/>
  <c r="N112" i="1" s="1"/>
  <c r="N115" i="1" s="1"/>
  <c r="F5" i="1" s="1"/>
  <c r="J31" i="1" l="1"/>
  <c r="J32" i="1" s="1"/>
  <c r="K20" i="1"/>
  <c r="L20" i="1" s="1"/>
  <c r="J21" i="1"/>
  <c r="J28" i="1" l="1"/>
  <c r="J29" i="1" s="1"/>
  <c r="J33" i="1"/>
  <c r="J25" i="1"/>
  <c r="J26" i="1" s="1"/>
  <c r="L31" i="1"/>
  <c r="M20" i="1"/>
  <c r="L22" i="1"/>
  <c r="L21" i="1"/>
  <c r="K31" i="1"/>
  <c r="K32" i="1" s="1"/>
  <c r="K21" i="1"/>
  <c r="K22" i="1"/>
  <c r="L32" i="1" l="1"/>
  <c r="M21" i="1"/>
  <c r="N20" i="1"/>
  <c r="M31" i="1"/>
  <c r="M32" i="1" s="1"/>
  <c r="M22" i="1"/>
  <c r="K25" i="1"/>
  <c r="K26" i="1" s="1"/>
  <c r="K28" i="1"/>
  <c r="K29" i="1" s="1"/>
  <c r="K33" i="1"/>
  <c r="L25" i="1"/>
  <c r="L28" i="1"/>
  <c r="L33" i="1"/>
  <c r="L26" i="1" l="1"/>
  <c r="L29" i="1"/>
  <c r="M33" i="1"/>
  <c r="M25" i="1"/>
  <c r="M26" i="1" s="1"/>
  <c r="M28" i="1"/>
  <c r="M29" i="1" s="1"/>
  <c r="N21" i="1"/>
  <c r="N22" i="1"/>
  <c r="N31" i="1"/>
  <c r="N32" i="1" s="1"/>
  <c r="N28" i="1" l="1"/>
  <c r="N29" i="1" s="1"/>
  <c r="N33" i="1"/>
  <c r="N25" i="1"/>
  <c r="N26" i="1" s="1"/>
</calcChain>
</file>

<file path=xl/sharedStrings.xml><?xml version="1.0" encoding="utf-8"?>
<sst xmlns="http://schemas.openxmlformats.org/spreadsheetml/2006/main" count="649" uniqueCount="316">
  <si>
    <t>TESLA DCF</t>
  </si>
  <si>
    <t>2017A</t>
  </si>
  <si>
    <t>2018A</t>
  </si>
  <si>
    <t>2019A</t>
  </si>
  <si>
    <t>2020A</t>
  </si>
  <si>
    <t>2021A</t>
  </si>
  <si>
    <t>2022A</t>
  </si>
  <si>
    <t>2023E</t>
  </si>
  <si>
    <t>2024E</t>
  </si>
  <si>
    <t>2025E</t>
  </si>
  <si>
    <t>2026E</t>
  </si>
  <si>
    <t>2027E</t>
  </si>
  <si>
    <t>2028E</t>
  </si>
  <si>
    <t>DCF</t>
  </si>
  <si>
    <t>Automotive Revenue</t>
  </si>
  <si>
    <t>% Change YoY</t>
  </si>
  <si>
    <t>Total Revenues</t>
  </si>
  <si>
    <t>Consolidated Statements of Operations - USD ($) shares in Millions, $ in Millions</t>
  </si>
  <si>
    <t>12 Months Ended</t>
  </si>
  <si>
    <t>Dec. 31, 2022</t>
  </si>
  <si>
    <t>Dec. 31, 2021</t>
  </si>
  <si>
    <t>Dec. 31, 2020</t>
  </si>
  <si>
    <t>Revenues</t>
  </si>
  <si>
    <t> </t>
  </si>
  <si>
    <t>Total revenues</t>
  </si>
  <si>
    <t>Cost of revenues</t>
  </si>
  <si>
    <t>Total cost of revenues</t>
  </si>
  <si>
    <t>Gross profit</t>
  </si>
  <si>
    <t>Operating expenses</t>
  </si>
  <si>
    <t>Research and development</t>
  </si>
  <si>
    <t>Selling, general and administrative</t>
  </si>
  <si>
    <t>Restructuring and other</t>
  </si>
  <si>
    <t>Total operating expenses</t>
  </si>
  <si>
    <t>Income from operations</t>
  </si>
  <si>
    <t>Interest income</t>
  </si>
  <si>
    <t>Interest expense</t>
  </si>
  <si>
    <t>Other (expense) income , net</t>
  </si>
  <si>
    <t>Income before income taxes</t>
  </si>
  <si>
    <t>Provision for income taxes</t>
  </si>
  <si>
    <t>Net income</t>
  </si>
  <si>
    <t>Net income attributable to noncontrolling interests and redeemable noncontrolling interests in subsidiaries</t>
  </si>
  <si>
    <t>Net income attributable to common stockholders</t>
  </si>
  <si>
    <t>Net income per share of common stock attributable to common stockholders</t>
  </si>
  <si>
    <t>Basic</t>
  </si>
  <si>
    <t>[1]</t>
  </si>
  <si>
    <t>Diluted</t>
  </si>
  <si>
    <t>Weighted average shares used in computing net income per share of common stock</t>
  </si>
  <si>
    <t>Automotive Revenues [Member]</t>
  </si>
  <si>
    <t>Automotive sales</t>
  </si>
  <si>
    <t>Automotive regulatory credits</t>
  </si>
  <si>
    <t>Automotive leasing</t>
  </si>
  <si>
    <t>Total automotive revenues</t>
  </si>
  <si>
    <t>Total automotive cost of revenues</t>
  </si>
  <si>
    <t>Energy Generation and Storage [Member]</t>
  </si>
  <si>
    <t>Services And Other [Member]</t>
  </si>
  <si>
    <t>Total Gross Profit</t>
  </si>
  <si>
    <t>Dec. 31, 2019</t>
  </si>
  <si>
    <t>Income (loss) from operations</t>
  </si>
  <si>
    <t>Other income (expense), net</t>
  </si>
  <si>
    <t>Income (loss) before income taxes</t>
  </si>
  <si>
    <t>Net income (loss)</t>
  </si>
  <si>
    <t>Net income (loss) attributable to common stockholders</t>
  </si>
  <si>
    <t>Less: Buy-out of noncontrolling interest</t>
  </si>
  <si>
    <t>Net income (loss) used in computing net income per share of common stock</t>
  </si>
  <si>
    <t>Net income (loss) per share of common stock attributable to common stockholders</t>
  </si>
  <si>
    <t>Weighted average shares used in computing net income (loss) per share of common stock</t>
  </si>
  <si>
    <t>Automotive Sales [Member]</t>
  </si>
  <si>
    <t>Automotive Regulatory Credits [Member]</t>
  </si>
  <si>
    <t>Automotive Leasing [Member]</t>
  </si>
  <si>
    <t>GP Margin</t>
  </si>
  <si>
    <t>Cost of Goods Sold</t>
  </si>
  <si>
    <t>Conservative Case</t>
  </si>
  <si>
    <t>Optimistic Case</t>
  </si>
  <si>
    <t>Normal Case</t>
  </si>
  <si>
    <t>% of Total Revenue</t>
  </si>
  <si>
    <t>Energy Generation and Storage</t>
  </si>
  <si>
    <t>Service and Others</t>
  </si>
  <si>
    <t>Sum</t>
  </si>
  <si>
    <t>Operating Expenses</t>
  </si>
  <si>
    <t>% of Sales</t>
  </si>
  <si>
    <t>EBIT</t>
  </si>
  <si>
    <t>Income Statement</t>
  </si>
  <si>
    <t>Services and other</t>
  </si>
  <si>
    <t>Loss from operations</t>
  </si>
  <si>
    <t>Loss before income taxes</t>
  </si>
  <si>
    <t>Net loss</t>
  </si>
  <si>
    <t>Net loss attributable to noncontrolling interests and redeemable noncontrolling interests in subsidiaries</t>
  </si>
  <si>
    <t>Net loss attributable to common stockholders</t>
  </si>
  <si>
    <t>Net loss per share of common stock attributable to common stockholders</t>
  </si>
  <si>
    <t>Weighted average shares used in computing net loss per share of common stock</t>
  </si>
  <si>
    <t>Dec. 31, 2018</t>
  </si>
  <si>
    <t>Dec. 31, 2017</t>
  </si>
  <si>
    <t>Interest &amp; Income</t>
  </si>
  <si>
    <t>% of EBIT</t>
  </si>
  <si>
    <t>EBT</t>
  </si>
  <si>
    <t>Taxes</t>
  </si>
  <si>
    <t>Net Income</t>
  </si>
  <si>
    <t>Cash Flow items</t>
  </si>
  <si>
    <t>Cash Flows from Operating Activities</t>
  </si>
  <si>
    <t>Adjustments to reconcile net income (loss) to net cash provided by (used in) operating activities:</t>
  </si>
  <si>
    <t>Depreciation, amortization and impairment</t>
  </si>
  <si>
    <t>Stock-based compensation</t>
  </si>
  <si>
    <t>Inventory and purchase commitments write-downs</t>
  </si>
  <si>
    <t>Foreign currency transaction net unrealized (gain) loss</t>
  </si>
  <si>
    <t>Non-cash interest and other operating activities</t>
  </si>
  <si>
    <t>Digital assets gain, net</t>
  </si>
  <si>
    <t>Operating cash flow related to repayment of discounted convertible senior notes</t>
  </si>
  <si>
    <t>Changes in operating assets and liabilities:</t>
  </si>
  <si>
    <t>Accounts receivable</t>
  </si>
  <si>
    <t>Inventory</t>
  </si>
  <si>
    <t>Operating lease vehicles</t>
  </si>
  <si>
    <t>Prepaid expenses and other current assets</t>
  </si>
  <si>
    <t>Other non-current assets</t>
  </si>
  <si>
    <t>Accounts payable and accrued liabilities</t>
  </si>
  <si>
    <t>Deferred revenue</t>
  </si>
  <si>
    <t>Customer deposits</t>
  </si>
  <si>
    <t>Other long-term liabilities</t>
  </si>
  <si>
    <t>Net cash provided by operating activities</t>
  </si>
  <si>
    <t>Cash Flows from Investing Activities</t>
  </si>
  <si>
    <t>Purchases of property and equipment excluding finance leases, net of sales</t>
  </si>
  <si>
    <t>Purchases of solar energy systems, net of sales</t>
  </si>
  <si>
    <t>Purchases of digital assets</t>
  </si>
  <si>
    <t>Proceeds from sales of digital assets</t>
  </si>
  <si>
    <t>Purchases of marketable securities</t>
  </si>
  <si>
    <t>Receipt of government grants</t>
  </si>
  <si>
    <t>Purchase of intangible assets</t>
  </si>
  <si>
    <t>Business combinations, net of cash acquired</t>
  </si>
  <si>
    <t>Net cash used in investing activities</t>
  </si>
  <si>
    <t>Cash Flows from Financing Activities</t>
  </si>
  <si>
    <t>Proceeds from issuances of common stock in public offerings, net of issuance costs</t>
  </si>
  <si>
    <t>Proceeds from issuances of convertible and other debt</t>
  </si>
  <si>
    <t>Repayments of convertible and other debt</t>
  </si>
  <si>
    <t>Collateralized lease repayments</t>
  </si>
  <si>
    <t>Proceeds from exercises of stock options and other stock issuances</t>
  </si>
  <si>
    <t>Principal payments on finance leases</t>
  </si>
  <si>
    <t>Debt issuance costs</t>
  </si>
  <si>
    <t>Purchase of convertible note hedges</t>
  </si>
  <si>
    <t>Proceeds from issuance of warrants</t>
  </si>
  <si>
    <t>Proceeds from investments by noncontrolling interests in subsidiaries</t>
  </si>
  <si>
    <t>Distributions paid to noncontrolling interests in subsidiaries</t>
  </si>
  <si>
    <t>Payments for buy-outs of noncontrolling interests in subsidiaries</t>
  </si>
  <si>
    <t>Net cash (used in) provided by financing activities</t>
  </si>
  <si>
    <t>Effect of exchange rate changes on cash and cash equivalents and restricted cash</t>
  </si>
  <si>
    <t>Net (decrease) increase in cash and cash equivalents and restricted cash</t>
  </si>
  <si>
    <t>Cash and cash equivalents and restricted cash, beginning of period</t>
  </si>
  <si>
    <t>Cash and cash equivalents and restricted cash, end of period</t>
  </si>
  <si>
    <t>Supplemental Non-Cash Investing and Financing Activities</t>
  </si>
  <si>
    <t>Equity issued in connection with business combination</t>
  </si>
  <si>
    <t>Acquisitions of property and equipment included in liabilities</t>
  </si>
  <si>
    <t>Supplemental Disclosures</t>
  </si>
  <si>
    <t>Cash paid during the period for interest, net of amounts capitalized</t>
  </si>
  <si>
    <t>Cash paid during the period for taxes, net of refunds</t>
  </si>
  <si>
    <t>Adjustments to reconcile net loss to net cash provided by (used in) operating activities:</t>
  </si>
  <si>
    <t>Amortization of debt discounts and issuance costs</t>
  </si>
  <si>
    <t>Inventory write-downs</t>
  </si>
  <si>
    <t>Loss on disposals of fixed assets</t>
  </si>
  <si>
    <t>Foreign currency transaction (gains) losses</t>
  </si>
  <si>
    <t>Loss (gain) related to SolarCity acquisition</t>
  </si>
  <si>
    <t>Changes in operating assets and liabilities, net of effect of business combinations:</t>
  </si>
  <si>
    <t>Other assets and MyPower customer notes receivable</t>
  </si>
  <si>
    <t>Resale value guarantee</t>
  </si>
  <si>
    <t>Net cash provided by (used in) operating activities</t>
  </si>
  <si>
    <t>Purchases of property and equipment excluding capital leases, net of sales</t>
  </si>
  <si>
    <t>Maturities of short-term marketable securities</t>
  </si>
  <si>
    <t>Purchases of solar energy systems, leased and to be leased</t>
  </si>
  <si>
    <t>Proceeds from issuances of common stock in public offerings</t>
  </si>
  <si>
    <t>Repayments of borrowings issued to related parties</t>
  </si>
  <si>
    <t>Collateralized lease (repayments) borrowings</t>
  </si>
  <si>
    <t>Principal payments on capital leases</t>
  </si>
  <si>
    <t>Common stock and debt issuance costs</t>
  </si>
  <si>
    <t>Purchases of convertible note hedges</t>
  </si>
  <si>
    <t>Proceeds from settlement of convertible note hedges</t>
  </si>
  <si>
    <t>Proceeds from issuances of warrants</t>
  </si>
  <si>
    <t>Payments for settlements of warrants</t>
  </si>
  <si>
    <t>Net cash provided by financing activities</t>
  </si>
  <si>
    <t>Net increase in cash and cash equivalents and restricted cash</t>
  </si>
  <si>
    <t>Shares issued in connection with business combinations and assumed vested awards</t>
  </si>
  <si>
    <t>Estimated fair value of facilities under build-to-suit leases</t>
  </si>
  <si>
    <t>Current assets</t>
  </si>
  <si>
    <t>Cash and cash equivalents</t>
  </si>
  <si>
    <t>Short-term marketable securities</t>
  </si>
  <si>
    <t>Accounts receivable, net</t>
  </si>
  <si>
    <t>Total current assets</t>
  </si>
  <si>
    <t>Property, plant and equipment, net</t>
  </si>
  <si>
    <t>Operating lease right-of-use assets</t>
  </si>
  <si>
    <t>Digital assets, net</t>
  </si>
  <si>
    <t>Intangible assets, net</t>
  </si>
  <si>
    <t>Goodwill</t>
  </si>
  <si>
    <t>Total assets</t>
  </si>
  <si>
    <t>Current liabilities</t>
  </si>
  <si>
    <t>Accounts payable</t>
  </si>
  <si>
    <t>Accrued liabilities and other</t>
  </si>
  <si>
    <t>Current portion of debt and finance leases</t>
  </si>
  <si>
    <t>Total current liabilities</t>
  </si>
  <si>
    <t>Debt and finance leases, net of current portion</t>
  </si>
  <si>
    <t>Deferred revenue, net of current portion</t>
  </si>
  <si>
    <t>Total liabilities</t>
  </si>
  <si>
    <t>Commitments and contingencies (Note 15)</t>
  </si>
  <si>
    <t>Redeemable noncontrolling interests in subsidiaries</t>
  </si>
  <si>
    <t>Convertible senior notes (Note 11)</t>
  </si>
  <si>
    <t>Stockholders' equity</t>
  </si>
  <si>
    <t>Preferred stock; $0.001 par value; 100 shares authorized; no shares issued and outstanding</t>
  </si>
  <si>
    <t>Common stock; $0.001 par value; 2,000 shares authorized; 1,033 and 960 shares issued and outstanding as of December 31, 2021 and December 31, 2020, respectively</t>
  </si>
  <si>
    <t>Additional paid-in capital</t>
  </si>
  <si>
    <t>Accumulated other comprehensive income</t>
  </si>
  <si>
    <t>Retained earnings (accumulated deficit)</t>
  </si>
  <si>
    <t>Total stockholders' equity</t>
  </si>
  <si>
    <t>Noncontrolling interests in subsidiaries</t>
  </si>
  <si>
    <t>Total liabilities and equity</t>
  </si>
  <si>
    <t>Operating Lease Vehicles [Member]</t>
  </si>
  <si>
    <t>Operating lease vehicles, net</t>
  </si>
  <si>
    <t>Solar Energy Systems [Member]</t>
  </si>
  <si>
    <t>Solar energy systems, net</t>
  </si>
  <si>
    <t xml:space="preserve"> </t>
  </si>
  <si>
    <t>Restricted cash</t>
  </si>
  <si>
    <t>MyPower customer notes receivable, net of current portion</t>
  </si>
  <si>
    <t>Restricted cash, net of current portion</t>
  </si>
  <si>
    <t>Other assets</t>
  </si>
  <si>
    <t>Resale value guarantees</t>
  </si>
  <si>
    <t>Current portion of long-term debt and capital leases</t>
  </si>
  <si>
    <t>Current portion of promissory notes issued to related parties</t>
  </si>
  <si>
    <t>Long-term debt and capital leases, net of current portion</t>
  </si>
  <si>
    <t>Resale value guarantees, net of current portion</t>
  </si>
  <si>
    <t>Commitments and contingencies (Note 17)</t>
  </si>
  <si>
    <t>Convertible senior notes (Note 13)</t>
  </si>
  <si>
    <t>Preferred stock; $0.001 par value; 100,000 shares authorized; no shares issued and outstanding</t>
  </si>
  <si>
    <t>Common stock; $0.001 par value; 2,000,000 shares authorized; 172,603 and 168,797 shares issued and outstanding as of December 31, 2018 and 2017, respectively</t>
  </si>
  <si>
    <t>Accumulated other comprehensive (loss) income</t>
  </si>
  <si>
    <t>Accumulated deficit</t>
  </si>
  <si>
    <t>Operating lease net</t>
  </si>
  <si>
    <t xml:space="preserve">Consolidated Balance Sheets - USD ($) </t>
  </si>
  <si>
    <t>D&amp;A</t>
  </si>
  <si>
    <t>% of CapEx</t>
  </si>
  <si>
    <t>CapEx</t>
  </si>
  <si>
    <t>% of sales</t>
  </si>
  <si>
    <t>Changes in NWC</t>
  </si>
  <si>
    <t>Revenue</t>
  </si>
  <si>
    <t>% growth</t>
  </si>
  <si>
    <t>EBIAT</t>
  </si>
  <si>
    <t>Change in NWC</t>
  </si>
  <si>
    <t>Adjustments to reconcile net income to net cash provided by operating activities:</t>
  </si>
  <si>
    <t>Foreign currency transaction net unrealized loss (gain)</t>
  </si>
  <si>
    <t>Digital assets loss (gain), net</t>
  </si>
  <si>
    <t>Purchases of investments</t>
  </si>
  <si>
    <t>Proceeds from maturities of investments</t>
  </si>
  <si>
    <t>Proceeds from issuances of debt</t>
  </si>
  <si>
    <t>Supplemental Cash Flow Information [Abstract]</t>
  </si>
  <si>
    <t>Key statements by prof. Damodaran</t>
  </si>
  <si>
    <t>Viewed Tesla only as a automobile company which led prof Damodaran to calculate operating margins more suited for manufacturing company.</t>
  </si>
  <si>
    <t>Now Prof. Damodaran states that Tesla is both an automobile and an electronic product, with software becoming an intergral part.</t>
  </si>
  <si>
    <t>Automobile companies always needed hude capital investments for expansion. How ever Tesla is different from conventional automobile industry as</t>
  </si>
  <si>
    <t>the company was able to generate its growth with far less money invested in plant and more in technology and R&amp;D.</t>
  </si>
  <si>
    <t>Unlevered FCF</t>
  </si>
  <si>
    <t>PV of FCF</t>
  </si>
  <si>
    <t>Terminal Value</t>
  </si>
  <si>
    <t>PV of Terminal Value</t>
  </si>
  <si>
    <t>Enterprise value</t>
  </si>
  <si>
    <t>(-) Debt</t>
  </si>
  <si>
    <t>(+)Cash</t>
  </si>
  <si>
    <t>Equity Value</t>
  </si>
  <si>
    <t>Diluted Share Count</t>
  </si>
  <si>
    <t>Implied Share Price</t>
  </si>
  <si>
    <t>Ticker</t>
  </si>
  <si>
    <t>Date</t>
  </si>
  <si>
    <t>TSLA</t>
  </si>
  <si>
    <t xml:space="preserve">Notes - Annual Report 2022 </t>
  </si>
  <si>
    <t>Tesla aims in accelerating the cost reduction roadmap and driving towards higher production rates</t>
  </si>
  <si>
    <t>Energy Storage</t>
  </si>
  <si>
    <t>Energy storage deployments increased by 152% YoY in Q4 to 2.5 GWh, for a total deployment of 6.5 GWh in 2022</t>
  </si>
  <si>
    <t>Demand for our storage products remains in excess of our ability to supply</t>
  </si>
  <si>
    <t>We are in the process of ramping production at our dedicated 40 GWh Megapack factory in Lathrop, California to address the growing demand</t>
  </si>
  <si>
    <t>Solar</t>
  </si>
  <si>
    <t>Despite supply chain challenges, we deployed 348 MW of solar in 2022, the highest deployment since 2017</t>
  </si>
  <si>
    <t>Our solar installation team continues to improve installation efficiency, enabling higher volumes and stronger economics.</t>
  </si>
  <si>
    <t>Services and Other</t>
  </si>
  <si>
    <t>Both revenue and gross profit from Services and Other reached an all-time high in 2022.</t>
  </si>
  <si>
    <t>Much of the profit in 2022 was driven by used cars and transactions in support of a growing Tesla fleet, such as part sales, paid supercharging and others.</t>
  </si>
  <si>
    <t>Assumptions</t>
  </si>
  <si>
    <t>Switches</t>
  </si>
  <si>
    <t>WACC</t>
  </si>
  <si>
    <t>TGR</t>
  </si>
  <si>
    <t>Conservative</t>
  </si>
  <si>
    <t>Revenue 2024</t>
  </si>
  <si>
    <t>Revenue 2028</t>
  </si>
  <si>
    <t>EBIT 2024</t>
  </si>
  <si>
    <t>Normal</t>
  </si>
  <si>
    <t>EBIT 2028</t>
  </si>
  <si>
    <t>Optimistic</t>
  </si>
  <si>
    <t>% of total revenue</t>
  </si>
  <si>
    <t>Revenue '23,'24,'25</t>
  </si>
  <si>
    <t>Revenue '26,'27,'28</t>
  </si>
  <si>
    <t>EBIT '26,'27,'28</t>
  </si>
  <si>
    <t>Work in progress</t>
  </si>
  <si>
    <t>WACC = % of equity * Cost of equity + % of debt * cost of debt * (1- Tax Rate)</t>
  </si>
  <si>
    <t>Cost of Equity = Rf + Beta *MRP</t>
  </si>
  <si>
    <t>% of Equity</t>
  </si>
  <si>
    <t>Cost of Equity</t>
  </si>
  <si>
    <t>Rf</t>
  </si>
  <si>
    <t>Beta</t>
  </si>
  <si>
    <t>MRP</t>
  </si>
  <si>
    <t>Debt</t>
  </si>
  <si>
    <t>% of Debt</t>
  </si>
  <si>
    <t>Cost of Debt</t>
  </si>
  <si>
    <t>Tax Rate</t>
  </si>
  <si>
    <t>Total</t>
  </si>
  <si>
    <t>Market Cap</t>
  </si>
  <si>
    <t>As of 11/02/2023</t>
  </si>
  <si>
    <t>https://pages.stern.nyu.edu/~adamodar/</t>
  </si>
  <si>
    <t>% of sum</t>
  </si>
  <si>
    <t>Agenda</t>
  </si>
  <si>
    <t xml:space="preserve">1. Revenue Projection </t>
  </si>
  <si>
    <t>2. DCF Valuation</t>
  </si>
  <si>
    <t>3. WACC</t>
  </si>
  <si>
    <t>4. Implied Share Price Calculation</t>
  </si>
  <si>
    <t>TESLA Motors Annual Reports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</si>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</sst>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_(&quot;$ &quot;#,##0_);_(&quot;$ &quot;\(#,##0\)"/>
    <numFmt numFmtId="166" formatCode="_(&quot;$ &quot;#,##0.00_);_(&quot;$ &quot;\(#,##0.00\)"/>
    <numFmt numFmtId="167" formatCode="0_);\(0\)"/>
    <numFmt numFmtId="168" formatCode="#,##0.0"/>
    <numFmt numFmtId="169" formatCode="0.000%"/>
    <numFmt numFmtId="170" formatCode="0.0"/>
    <numFmt numFmtId="171" formatCode="0.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4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65" fontId="6" fillId="0" borderId="0" xfId="0" applyNumberFormat="1" applyFont="1" applyAlignment="1">
      <alignment horizontal="right" vertical="top"/>
    </xf>
    <xf numFmtId="37" fontId="6" fillId="0" borderId="0" xfId="0" applyNumberFormat="1" applyFont="1" applyAlignment="1">
      <alignment horizontal="right" vertical="top"/>
    </xf>
    <xf numFmtId="166" fontId="6" fillId="0" borderId="0" xfId="0" applyNumberFormat="1" applyFont="1" applyAlignment="1">
      <alignment horizontal="right" vertical="top"/>
    </xf>
    <xf numFmtId="0" fontId="0" fillId="2" borderId="2" xfId="0" applyFill="1" applyBorder="1" applyAlignment="1">
      <alignment horizontal="center"/>
    </xf>
    <xf numFmtId="0" fontId="0" fillId="4" borderId="0" xfId="0" applyFill="1"/>
    <xf numFmtId="0" fontId="6" fillId="4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right" vertical="top"/>
    </xf>
    <xf numFmtId="37" fontId="6" fillId="4" borderId="0" xfId="0" applyNumberFormat="1" applyFont="1" applyFill="1" applyAlignment="1">
      <alignment horizontal="right" vertical="top"/>
    </xf>
    <xf numFmtId="166" fontId="6" fillId="4" borderId="0" xfId="0" applyNumberFormat="1" applyFont="1" applyFill="1" applyAlignment="1">
      <alignment horizontal="right" vertical="top"/>
    </xf>
    <xf numFmtId="0" fontId="7" fillId="2" borderId="0" xfId="0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11" fillId="2" borderId="0" xfId="1" applyNumberFormat="1" applyFont="1" applyFill="1" applyAlignment="1">
      <alignment horizontal="center"/>
    </xf>
    <xf numFmtId="37" fontId="5" fillId="0" borderId="0" xfId="0" applyNumberFormat="1" applyFont="1" applyAlignment="1">
      <alignment horizontal="right" vertical="top"/>
    </xf>
    <xf numFmtId="37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9" fontId="7" fillId="8" borderId="1" xfId="1" applyFont="1" applyFill="1" applyBorder="1" applyAlignment="1">
      <alignment horizontal="center"/>
    </xf>
    <xf numFmtId="9" fontId="7" fillId="8" borderId="13" xfId="1" applyFont="1" applyFill="1" applyBorder="1" applyAlignment="1">
      <alignment horizontal="center"/>
    </xf>
    <xf numFmtId="167" fontId="10" fillId="8" borderId="2" xfId="0" applyNumberFormat="1" applyFont="1" applyFill="1" applyBorder="1" applyAlignment="1">
      <alignment horizontal="center"/>
    </xf>
    <xf numFmtId="37" fontId="10" fillId="8" borderId="2" xfId="0" applyNumberFormat="1" applyFont="1" applyFill="1" applyBorder="1" applyAlignment="1">
      <alignment horizontal="center"/>
    </xf>
    <xf numFmtId="37" fontId="8" fillId="8" borderId="2" xfId="0" applyNumberFormat="1" applyFont="1" applyFill="1" applyBorder="1" applyAlignment="1">
      <alignment horizontal="center"/>
    </xf>
    <xf numFmtId="37" fontId="8" fillId="8" borderId="12" xfId="0" applyNumberFormat="1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5" fillId="8" borderId="0" xfId="0" applyFont="1" applyFill="1" applyAlignment="1">
      <alignment vertical="top" wrapText="1"/>
    </xf>
    <xf numFmtId="37" fontId="5" fillId="8" borderId="0" xfId="0" applyNumberFormat="1" applyFont="1" applyFill="1" applyAlignment="1">
      <alignment horizontal="right" vertical="top"/>
    </xf>
    <xf numFmtId="37" fontId="10" fillId="2" borderId="0" xfId="0" applyNumberFormat="1" applyFont="1" applyFill="1" applyAlignment="1">
      <alignment horizontal="center"/>
    </xf>
    <xf numFmtId="37" fontId="8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7" fontId="0" fillId="0" borderId="0" xfId="0" applyNumberFormat="1"/>
    <xf numFmtId="167" fontId="0" fillId="2" borderId="0" xfId="0" applyNumberFormat="1" applyFill="1" applyAlignment="1">
      <alignment horizontal="center"/>
    </xf>
    <xf numFmtId="0" fontId="3" fillId="6" borderId="14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3" fontId="12" fillId="2" borderId="0" xfId="0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37" fontId="12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7" borderId="3" xfId="0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9" fontId="13" fillId="2" borderId="0" xfId="1" applyFont="1" applyFill="1" applyAlignment="1">
      <alignment horizontal="center"/>
    </xf>
    <xf numFmtId="0" fontId="3" fillId="2" borderId="0" xfId="0" applyFont="1" applyFill="1"/>
    <xf numFmtId="9" fontId="0" fillId="5" borderId="3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0" fontId="2" fillId="10" borderId="0" xfId="0" applyFont="1" applyFill="1"/>
    <xf numFmtId="0" fontId="0" fillId="10" borderId="0" xfId="0" applyFill="1"/>
    <xf numFmtId="0" fontId="14" fillId="2" borderId="0" xfId="0" applyFont="1" applyFill="1"/>
    <xf numFmtId="0" fontId="15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5" fillId="2" borderId="0" xfId="0" applyFont="1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5" borderId="3" xfId="0" applyNumberFormat="1" applyFill="1" applyBorder="1" applyAlignment="1">
      <alignment horizontal="center"/>
    </xf>
    <xf numFmtId="9" fontId="16" fillId="5" borderId="3" xfId="1" applyFont="1" applyFill="1" applyBorder="1" applyAlignment="1">
      <alignment horizontal="center"/>
    </xf>
    <xf numFmtId="9" fontId="16" fillId="5" borderId="8" xfId="0" applyNumberFormat="1" applyFont="1" applyFill="1" applyBorder="1" applyAlignment="1">
      <alignment horizontal="center"/>
    </xf>
    <xf numFmtId="9" fontId="7" fillId="2" borderId="0" xfId="1" applyFont="1" applyFill="1" applyAlignment="1">
      <alignment horizontal="center"/>
    </xf>
    <xf numFmtId="10" fontId="0" fillId="7" borderId="3" xfId="0" applyNumberFormat="1" applyFill="1" applyBorder="1" applyAlignment="1">
      <alignment horizontal="center"/>
    </xf>
    <xf numFmtId="164" fontId="0" fillId="5" borderId="3" xfId="1" applyNumberFormat="1" applyFont="1" applyFill="1" applyBorder="1" applyAlignment="1">
      <alignment horizontal="center"/>
    </xf>
    <xf numFmtId="10" fontId="0" fillId="5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0" fontId="0" fillId="5" borderId="5" xfId="1" applyNumberFormat="1" applyFon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69" fontId="0" fillId="5" borderId="3" xfId="0" applyNumberFormat="1" applyFill="1" applyBorder="1" applyAlignment="1">
      <alignment horizontal="center"/>
    </xf>
    <xf numFmtId="9" fontId="0" fillId="7" borderId="3" xfId="0" applyNumberFormat="1" applyFill="1" applyBorder="1" applyAlignment="1">
      <alignment horizontal="center"/>
    </xf>
    <xf numFmtId="170" fontId="0" fillId="2" borderId="0" xfId="0" applyNumberFormat="1" applyFill="1" applyAlignment="1">
      <alignment horizontal="center"/>
    </xf>
    <xf numFmtId="3" fontId="0" fillId="6" borderId="15" xfId="0" applyNumberFormat="1" applyFill="1" applyBorder="1" applyAlignment="1">
      <alignment horizontal="center"/>
    </xf>
    <xf numFmtId="171" fontId="0" fillId="5" borderId="3" xfId="0" applyNumberFormat="1" applyFill="1" applyBorder="1" applyAlignment="1">
      <alignment horizontal="center"/>
    </xf>
    <xf numFmtId="164" fontId="0" fillId="7" borderId="3" xfId="1" applyNumberFormat="1" applyFont="1" applyFill="1" applyBorder="1" applyAlignment="1">
      <alignment horizontal="center"/>
    </xf>
    <xf numFmtId="3" fontId="0" fillId="9" borderId="0" xfId="0" applyNumberFormat="1" applyFill="1" applyAlignment="1">
      <alignment horizontal="center"/>
    </xf>
    <xf numFmtId="0" fontId="3" fillId="11" borderId="0" xfId="0" applyFont="1" applyFill="1"/>
    <xf numFmtId="10" fontId="0" fillId="2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0" fontId="3" fillId="12" borderId="0" xfId="1" applyNumberFormat="1" applyFont="1" applyFill="1" applyAlignment="1">
      <alignment horizontal="center"/>
    </xf>
    <xf numFmtId="0" fontId="0" fillId="2" borderId="18" xfId="0" applyFill="1" applyBorder="1" applyAlignment="1">
      <alignment horizontal="center"/>
    </xf>
    <xf numFmtId="168" fontId="0" fillId="2" borderId="19" xfId="0" applyNumberFormat="1" applyFill="1" applyBorder="1" applyAlignment="1">
      <alignment horizontal="center"/>
    </xf>
    <xf numFmtId="168" fontId="0" fillId="2" borderId="20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8" fillId="2" borderId="0" xfId="0" applyFont="1" applyFill="1"/>
    <xf numFmtId="168" fontId="0" fillId="2" borderId="2" xfId="0" applyNumberFormat="1" applyFill="1" applyBorder="1" applyAlignment="1">
      <alignment horizontal="center"/>
    </xf>
    <xf numFmtId="164" fontId="13" fillId="2" borderId="0" xfId="1" applyNumberFormat="1" applyFont="1" applyFill="1" applyAlignment="1">
      <alignment horizontal="center"/>
    </xf>
    <xf numFmtId="9" fontId="13" fillId="5" borderId="3" xfId="1" applyFont="1" applyFill="1" applyBorder="1" applyAlignment="1">
      <alignment horizontal="center"/>
    </xf>
    <xf numFmtId="164" fontId="13" fillId="5" borderId="3" xfId="1" applyNumberFormat="1" applyFont="1" applyFill="1" applyBorder="1" applyAlignment="1">
      <alignment horizontal="center"/>
    </xf>
    <xf numFmtId="9" fontId="7" fillId="5" borderId="3" xfId="1" applyFont="1" applyFill="1" applyBorder="1" applyAlignment="1">
      <alignment horizontal="center"/>
    </xf>
    <xf numFmtId="9" fontId="13" fillId="5" borderId="24" xfId="1" applyFont="1" applyFill="1" applyBorder="1" applyAlignment="1">
      <alignment horizontal="center"/>
    </xf>
    <xf numFmtId="9" fontId="9" fillId="5" borderId="24" xfId="1" applyFont="1" applyFill="1" applyBorder="1" applyAlignment="1">
      <alignment horizontal="center"/>
    </xf>
    <xf numFmtId="164" fontId="0" fillId="5" borderId="25" xfId="1" applyNumberFormat="1" applyFont="1" applyFill="1" applyBorder="1" applyAlignment="1">
      <alignment horizontal="center"/>
    </xf>
    <xf numFmtId="9" fontId="9" fillId="5" borderId="26" xfId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3" fontId="19" fillId="2" borderId="0" xfId="0" applyNumberFormat="1" applyFont="1" applyFill="1" applyAlignment="1">
      <alignment horizontal="center"/>
    </xf>
    <xf numFmtId="1" fontId="19" fillId="2" borderId="0" xfId="0" applyNumberFormat="1" applyFont="1" applyFill="1" applyAlignment="1">
      <alignment horizontal="center"/>
    </xf>
    <xf numFmtId="3" fontId="19" fillId="2" borderId="17" xfId="0" applyNumberFormat="1" applyFont="1" applyFill="1" applyBorder="1" applyAlignment="1">
      <alignment horizontal="center"/>
    </xf>
    <xf numFmtId="3" fontId="20" fillId="2" borderId="22" xfId="0" applyNumberFormat="1" applyFont="1" applyFill="1" applyBorder="1" applyAlignment="1">
      <alignment horizontal="center"/>
    </xf>
    <xf numFmtId="3" fontId="13" fillId="2" borderId="0" xfId="1" applyNumberFormat="1" applyFont="1" applyFill="1" applyBorder="1" applyAlignment="1">
      <alignment horizontal="center"/>
    </xf>
    <xf numFmtId="3" fontId="13" fillId="2" borderId="0" xfId="1" applyNumberFormat="1" applyFont="1" applyFill="1" applyAlignment="1">
      <alignment horizontal="center"/>
    </xf>
    <xf numFmtId="3" fontId="21" fillId="2" borderId="2" xfId="1" applyNumberFormat="1" applyFont="1" applyFill="1" applyBorder="1" applyAlignment="1">
      <alignment horizontal="center"/>
    </xf>
    <xf numFmtId="3" fontId="21" fillId="2" borderId="0" xfId="1" applyNumberFormat="1" applyFont="1" applyFill="1" applyBorder="1" applyAlignment="1">
      <alignment horizontal="center"/>
    </xf>
    <xf numFmtId="9" fontId="21" fillId="2" borderId="0" xfId="1" applyFont="1" applyFill="1" applyBorder="1" applyAlignment="1">
      <alignment horizontal="center"/>
    </xf>
    <xf numFmtId="9" fontId="13" fillId="2" borderId="0" xfId="1" applyFont="1" applyFill="1" applyBorder="1" applyAlignment="1">
      <alignment horizontal="center"/>
    </xf>
    <xf numFmtId="3" fontId="15" fillId="2" borderId="0" xfId="0" applyNumberFormat="1" applyFont="1" applyFill="1" applyAlignment="1">
      <alignment horizontal="center"/>
    </xf>
    <xf numFmtId="3" fontId="13" fillId="2" borderId="0" xfId="0" applyNumberFormat="1" applyFont="1" applyFill="1" applyAlignment="1">
      <alignment horizontal="center"/>
    </xf>
    <xf numFmtId="37" fontId="22" fillId="8" borderId="2" xfId="0" applyNumberFormat="1" applyFont="1" applyFill="1" applyBorder="1" applyAlignment="1">
      <alignment horizontal="center"/>
    </xf>
    <xf numFmtId="37" fontId="22" fillId="8" borderId="12" xfId="0" applyNumberFormat="1" applyFont="1" applyFill="1" applyBorder="1" applyAlignment="1">
      <alignment horizontal="center"/>
    </xf>
    <xf numFmtId="9" fontId="13" fillId="8" borderId="1" xfId="1" applyFont="1" applyFill="1" applyBorder="1" applyAlignment="1">
      <alignment horizontal="center"/>
    </xf>
    <xf numFmtId="9" fontId="13" fillId="8" borderId="13" xfId="1" applyFont="1" applyFill="1" applyBorder="1" applyAlignment="1">
      <alignment horizontal="center"/>
    </xf>
    <xf numFmtId="0" fontId="15" fillId="2" borderId="0" xfId="0" applyFont="1" applyFill="1"/>
    <xf numFmtId="37" fontId="15" fillId="7" borderId="2" xfId="0" applyNumberFormat="1" applyFont="1" applyFill="1" applyBorder="1" applyAlignment="1">
      <alignment horizontal="center"/>
    </xf>
    <xf numFmtId="37" fontId="15" fillId="7" borderId="12" xfId="0" applyNumberFormat="1" applyFont="1" applyFill="1" applyBorder="1" applyAlignment="1">
      <alignment horizontal="center"/>
    </xf>
    <xf numFmtId="9" fontId="13" fillId="7" borderId="1" xfId="1" applyFont="1" applyFill="1" applyBorder="1" applyAlignment="1">
      <alignment horizontal="center"/>
    </xf>
    <xf numFmtId="9" fontId="13" fillId="7" borderId="13" xfId="1" applyFon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D3A7-F4A7-4C66-8255-A4D7F7AA2273}">
  <dimension ref="B2:D70"/>
  <sheetViews>
    <sheetView workbookViewId="0">
      <selection activeCell="H13" sqref="H13"/>
    </sheetView>
  </sheetViews>
  <sheetFormatPr defaultRowHeight="14.4" x14ac:dyDescent="0.3"/>
  <cols>
    <col min="1" max="1" width="4" style="1" customWidth="1"/>
    <col min="2" max="16384" width="8.88671875" style="1"/>
  </cols>
  <sheetData>
    <row r="2" spans="2:4" x14ac:dyDescent="0.3">
      <c r="B2" s="115" t="s">
        <v>0</v>
      </c>
      <c r="C2" s="115"/>
    </row>
    <row r="3" spans="2:4" ht="15" thickBot="1" x14ac:dyDescent="0.35">
      <c r="B3" s="116"/>
      <c r="C3" s="116"/>
    </row>
    <row r="5" spans="2:4" x14ac:dyDescent="0.3">
      <c r="B5" s="75" t="s">
        <v>309</v>
      </c>
    </row>
    <row r="6" spans="2:4" ht="20.399999999999999" customHeight="1" x14ac:dyDescent="0.3">
      <c r="B6" s="1" t="s">
        <v>310</v>
      </c>
    </row>
    <row r="7" spans="2:4" ht="15.6" customHeight="1" x14ac:dyDescent="0.3">
      <c r="B7" s="1" t="s">
        <v>311</v>
      </c>
    </row>
    <row r="8" spans="2:4" ht="15.6" customHeight="1" x14ac:dyDescent="0.3">
      <c r="B8" s="1" t="s">
        <v>312</v>
      </c>
    </row>
    <row r="9" spans="2:4" ht="15.6" customHeight="1" x14ac:dyDescent="0.3">
      <c r="B9" s="1" t="s">
        <v>313</v>
      </c>
    </row>
    <row r="11" spans="2:4" x14ac:dyDescent="0.3">
      <c r="C11" s="1" t="s">
        <v>315</v>
      </c>
      <c r="D11" s="1" t="s">
        <v>314</v>
      </c>
    </row>
    <row r="15" spans="2:4" x14ac:dyDescent="0.3">
      <c r="C15" s="1" t="s">
        <v>247</v>
      </c>
    </row>
    <row r="17" spans="4:4" x14ac:dyDescent="0.3">
      <c r="D17" s="1" t="s">
        <v>248</v>
      </c>
    </row>
    <row r="18" spans="4:4" x14ac:dyDescent="0.3">
      <c r="D18" s="1" t="s">
        <v>249</v>
      </c>
    </row>
    <row r="20" spans="4:4" x14ac:dyDescent="0.3">
      <c r="D20" s="1" t="s">
        <v>250</v>
      </c>
    </row>
    <row r="21" spans="4:4" x14ac:dyDescent="0.3">
      <c r="D21" s="1" t="s">
        <v>251</v>
      </c>
    </row>
    <row r="56" spans="3:4" x14ac:dyDescent="0.3">
      <c r="C56" s="67" t="s">
        <v>265</v>
      </c>
    </row>
    <row r="58" spans="3:4" x14ac:dyDescent="0.3">
      <c r="D58" s="1" t="s">
        <v>266</v>
      </c>
    </row>
    <row r="60" spans="3:4" x14ac:dyDescent="0.3">
      <c r="C60" s="67" t="s">
        <v>267</v>
      </c>
    </row>
    <row r="61" spans="3:4" x14ac:dyDescent="0.3">
      <c r="D61" s="1" t="s">
        <v>268</v>
      </c>
    </row>
    <row r="62" spans="3:4" x14ac:dyDescent="0.3">
      <c r="D62" s="1" t="s">
        <v>269</v>
      </c>
    </row>
    <row r="63" spans="3:4" x14ac:dyDescent="0.3">
      <c r="D63" s="1" t="s">
        <v>270</v>
      </c>
    </row>
    <row r="64" spans="3:4" x14ac:dyDescent="0.3">
      <c r="C64" s="67" t="s">
        <v>271</v>
      </c>
    </row>
    <row r="65" spans="3:4" x14ac:dyDescent="0.3">
      <c r="D65" s="1" t="s">
        <v>272</v>
      </c>
    </row>
    <row r="66" spans="3:4" x14ac:dyDescent="0.3">
      <c r="D66" s="1" t="s">
        <v>273</v>
      </c>
    </row>
    <row r="68" spans="3:4" x14ac:dyDescent="0.3">
      <c r="C68" s="67" t="s">
        <v>274</v>
      </c>
    </row>
    <row r="69" spans="3:4" x14ac:dyDescent="0.3">
      <c r="D69" s="1" t="s">
        <v>275</v>
      </c>
    </row>
    <row r="70" spans="3:4" x14ac:dyDescent="0.3">
      <c r="D70" s="1" t="s">
        <v>276</v>
      </c>
    </row>
  </sheetData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2B8B-9D5C-4A29-A3D9-2C3C1B6C6214}">
  <dimension ref="A2:AG252"/>
  <sheetViews>
    <sheetView tabSelected="1" workbookViewId="0">
      <selection activeCell="D118" sqref="D118"/>
    </sheetView>
  </sheetViews>
  <sheetFormatPr defaultRowHeight="14.4" x14ac:dyDescent="0.3"/>
  <cols>
    <col min="1" max="1" width="3" style="1" customWidth="1"/>
    <col min="2" max="2" width="26.109375" style="1" customWidth="1"/>
    <col min="3" max="3" width="11" style="1" customWidth="1"/>
    <col min="4" max="4" width="12.21875" style="1" customWidth="1"/>
    <col min="5" max="5" width="17.77734375" style="1" customWidth="1"/>
    <col min="6" max="6" width="11.33203125" style="1" customWidth="1"/>
    <col min="7" max="7" width="16.21875" style="1" customWidth="1"/>
    <col min="8" max="8" width="13.109375" style="1" customWidth="1"/>
    <col min="9" max="9" width="11" style="1" customWidth="1"/>
    <col min="10" max="10" width="11.33203125" style="1" customWidth="1"/>
    <col min="11" max="11" width="16.44140625" style="1" customWidth="1"/>
    <col min="12" max="12" width="12" style="1" customWidth="1"/>
    <col min="13" max="13" width="11.44140625" style="1" customWidth="1"/>
    <col min="14" max="14" width="11.88671875" style="1" customWidth="1"/>
    <col min="15" max="16384" width="8.88671875" style="1"/>
  </cols>
  <sheetData>
    <row r="2" spans="1:33" x14ac:dyDescent="0.3">
      <c r="A2" s="115" t="s">
        <v>0</v>
      </c>
      <c r="B2" s="115"/>
      <c r="G2" s="105" t="s">
        <v>292</v>
      </c>
    </row>
    <row r="3" spans="1:33" ht="15" thickBot="1" x14ac:dyDescent="0.35">
      <c r="A3" s="116"/>
      <c r="B3" s="116"/>
    </row>
    <row r="4" spans="1:33" ht="17.399999999999999" x14ac:dyDescent="0.3">
      <c r="A4" s="3"/>
      <c r="B4" s="3"/>
    </row>
    <row r="5" spans="1:33" ht="17.399999999999999" x14ac:dyDescent="0.3">
      <c r="A5" s="3"/>
      <c r="B5" s="2" t="s">
        <v>262</v>
      </c>
      <c r="C5" s="64" t="s">
        <v>264</v>
      </c>
      <c r="E5" s="1" t="s">
        <v>261</v>
      </c>
      <c r="F5" s="154">
        <f ca="1">N115</f>
        <v>118.98928989575215</v>
      </c>
    </row>
    <row r="6" spans="1:33" ht="17.399999999999999" x14ac:dyDescent="0.3">
      <c r="A6" s="3"/>
      <c r="B6" s="2" t="s">
        <v>263</v>
      </c>
      <c r="C6" s="65">
        <v>44968</v>
      </c>
    </row>
    <row r="7" spans="1:33" ht="17.399999999999999" x14ac:dyDescent="0.3">
      <c r="A7" s="3"/>
      <c r="B7" s="2"/>
      <c r="C7" s="63"/>
    </row>
    <row r="8" spans="1:33" x14ac:dyDescent="0.3">
      <c r="B8" s="73" t="s">
        <v>277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33" x14ac:dyDescent="0.3">
      <c r="B9" s="77" t="s">
        <v>278</v>
      </c>
      <c r="E9" s="75" t="s">
        <v>281</v>
      </c>
      <c r="H9" s="75" t="s">
        <v>285</v>
      </c>
      <c r="K9" s="75" t="s">
        <v>287</v>
      </c>
    </row>
    <row r="10" spans="1:33" x14ac:dyDescent="0.3">
      <c r="B10" s="2" t="s">
        <v>236</v>
      </c>
      <c r="C10" s="64">
        <v>2</v>
      </c>
      <c r="D10" s="2"/>
      <c r="E10" s="78" t="s">
        <v>289</v>
      </c>
      <c r="F10" s="86">
        <v>-1.4999999999999999E-2</v>
      </c>
      <c r="G10" s="2"/>
      <c r="H10" s="2"/>
      <c r="I10" s="2"/>
      <c r="J10" s="2"/>
      <c r="K10" s="78" t="s">
        <v>289</v>
      </c>
      <c r="L10" s="86">
        <v>3.5000000000000003E-2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6.2" customHeight="1" x14ac:dyDescent="0.3">
      <c r="B11" s="76" t="s">
        <v>80</v>
      </c>
      <c r="C11" s="64">
        <v>2</v>
      </c>
      <c r="D11" s="69"/>
      <c r="E11" s="79" t="s">
        <v>290</v>
      </c>
      <c r="F11" s="86">
        <v>-2.5000000000000001E-2</v>
      </c>
      <c r="G11" s="69"/>
      <c r="H11" s="79" t="s">
        <v>282</v>
      </c>
      <c r="I11" s="64"/>
      <c r="J11" s="69"/>
      <c r="K11" s="79" t="s">
        <v>283</v>
      </c>
      <c r="L11" s="86">
        <v>4.4999999999999998E-2</v>
      </c>
      <c r="M11" s="69"/>
      <c r="N11" s="6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6.2" customHeight="1" x14ac:dyDescent="0.3">
      <c r="B12" s="76" t="s">
        <v>279</v>
      </c>
      <c r="C12" s="64">
        <v>2</v>
      </c>
      <c r="D12" s="69"/>
      <c r="E12" s="79" t="s">
        <v>284</v>
      </c>
      <c r="F12" s="86">
        <v>-0.01</v>
      </c>
      <c r="G12" s="69"/>
      <c r="H12" s="81"/>
      <c r="I12" s="69"/>
      <c r="J12" s="69"/>
      <c r="K12" s="79" t="s">
        <v>284</v>
      </c>
      <c r="L12" s="86">
        <v>1.4999999999999999E-2</v>
      </c>
      <c r="M12" s="69"/>
      <c r="N12" s="69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6.2" customHeight="1" x14ac:dyDescent="0.3">
      <c r="B13" s="76" t="s">
        <v>280</v>
      </c>
      <c r="C13" s="64">
        <v>2</v>
      </c>
      <c r="D13" s="6"/>
      <c r="E13" s="80" t="s">
        <v>291</v>
      </c>
      <c r="F13" s="86">
        <v>-0.02</v>
      </c>
      <c r="G13" s="6"/>
      <c r="H13" s="80" t="s">
        <v>286</v>
      </c>
      <c r="I13" s="65"/>
      <c r="J13" s="70"/>
      <c r="K13" s="80" t="s">
        <v>291</v>
      </c>
      <c r="L13" s="86">
        <v>2.5000000000000001E-2</v>
      </c>
      <c r="M13" s="70"/>
      <c r="N13" s="7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3">
      <c r="B14" s="2"/>
      <c r="C14" s="6"/>
      <c r="D14" s="6"/>
      <c r="E14" s="80" t="s">
        <v>279</v>
      </c>
      <c r="F14" s="86">
        <f>I14+0.5%</f>
        <v>0.12161771800669077</v>
      </c>
      <c r="G14" s="6"/>
      <c r="H14" s="80" t="s">
        <v>279</v>
      </c>
      <c r="I14" s="86">
        <f>WACC!E25</f>
        <v>0.11661771800669077</v>
      </c>
      <c r="J14" s="6"/>
      <c r="K14" s="80" t="s">
        <v>279</v>
      </c>
      <c r="L14" s="103">
        <f>I14-1.5%</f>
        <v>0.10161771800669077</v>
      </c>
      <c r="M14" s="6"/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3">
      <c r="B15" s="2" t="s">
        <v>279</v>
      </c>
      <c r="C15" s="86">
        <f>CHOOSE(C12,F14,I14,L14)</f>
        <v>0.11661771800669077</v>
      </c>
      <c r="D15" s="71"/>
      <c r="E15" s="80" t="s">
        <v>280</v>
      </c>
      <c r="F15" s="99">
        <v>0.02</v>
      </c>
      <c r="G15" s="71"/>
      <c r="H15" s="80" t="s">
        <v>280</v>
      </c>
      <c r="I15" s="86">
        <v>2.5000000000000001E-2</v>
      </c>
      <c r="J15" s="71"/>
      <c r="K15" s="80" t="s">
        <v>280</v>
      </c>
      <c r="L15" s="99">
        <v>0.03</v>
      </c>
      <c r="M15" s="71"/>
      <c r="N15" s="7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3">
      <c r="B16" s="24" t="s">
        <v>280</v>
      </c>
      <c r="C16" s="86">
        <f>CHOOSE(C13,F15,I15,L15)</f>
        <v>2.5000000000000001E-2</v>
      </c>
      <c r="D16" s="72"/>
      <c r="E16" s="72"/>
      <c r="F16" s="72"/>
      <c r="G16" s="72"/>
      <c r="H16" s="72"/>
      <c r="I16" s="6"/>
      <c r="J16" s="6"/>
      <c r="M16" s="6"/>
      <c r="N16" s="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 x14ac:dyDescent="0.3">
      <c r="B18" s="4" t="s">
        <v>81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4">
        <v>2023</v>
      </c>
      <c r="J18" s="4">
        <v>2024</v>
      </c>
      <c r="K18" s="4">
        <v>2025</v>
      </c>
      <c r="L18" s="4">
        <v>2026</v>
      </c>
      <c r="M18" s="4">
        <v>2027</v>
      </c>
      <c r="N18" s="4">
        <v>2028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2:33" x14ac:dyDescent="0.3">
      <c r="B20" s="5" t="s">
        <v>14</v>
      </c>
      <c r="C20" s="76">
        <v>9642</v>
      </c>
      <c r="D20" s="76">
        <v>18515</v>
      </c>
      <c r="E20" s="76">
        <v>20821</v>
      </c>
      <c r="F20" s="76">
        <v>27236</v>
      </c>
      <c r="G20" s="76">
        <v>47232</v>
      </c>
      <c r="H20" s="76">
        <v>71462</v>
      </c>
      <c r="I20" s="134">
        <f>H20*(1+I23)</f>
        <v>92900.6</v>
      </c>
      <c r="J20" s="134">
        <f>I20*(1+J23)</f>
        <v>121699.78600000001</v>
      </c>
      <c r="K20" s="134">
        <f>J20*(1+K23)</f>
        <v>154558.72822000002</v>
      </c>
      <c r="L20" s="134">
        <f>K20*(1+L23)</f>
        <v>190107.23571060001</v>
      </c>
      <c r="M20" s="134">
        <f>L20*(1+M23)</f>
        <v>226227.610495614</v>
      </c>
      <c r="N20" s="134">
        <f>M20*(1+N23)</f>
        <v>260161.7520699561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 x14ac:dyDescent="0.3">
      <c r="B21" s="24" t="s">
        <v>288</v>
      </c>
      <c r="C21" s="85">
        <f>C20/C35</f>
        <v>0.81996768432689859</v>
      </c>
      <c r="D21" s="85">
        <f>D20/D35</f>
        <v>0.86272773868878427</v>
      </c>
      <c r="E21" s="85">
        <f>E20/E35</f>
        <v>0.847139718447392</v>
      </c>
      <c r="F21" s="85">
        <f>F20/F35</f>
        <v>0.86364789446981227</v>
      </c>
      <c r="G21" s="85">
        <f>G20/G35</f>
        <v>0.87754305780056852</v>
      </c>
      <c r="H21" s="85">
        <f>H20/H35</f>
        <v>0.8772433772802043</v>
      </c>
      <c r="I21" s="36">
        <f ca="1">I20/I76</f>
        <v>0.84789322711097814</v>
      </c>
      <c r="J21" s="36">
        <f ca="1">J20/J76</f>
        <v>0.8414697935722586</v>
      </c>
      <c r="K21" s="36">
        <f ca="1">K20/K76</f>
        <v>0.82842375026106085</v>
      </c>
      <c r="L21" s="36">
        <f ca="1">L20/L76</f>
        <v>0.82174291356540707</v>
      </c>
      <c r="M21" s="36">
        <f ca="1">M20/M76</f>
        <v>0.81489505595236211</v>
      </c>
      <c r="N21" s="36">
        <f ca="1">N20/N76</f>
        <v>0.79082642560777738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2:33" x14ac:dyDescent="0.3">
      <c r="B22" s="24" t="s">
        <v>15</v>
      </c>
      <c r="C22" s="25"/>
      <c r="D22" s="25">
        <f t="shared" ref="D22:G22" si="0">D20/C20-1</f>
        <v>0.92024476249740728</v>
      </c>
      <c r="E22" s="25">
        <f t="shared" si="0"/>
        <v>0.12454766405617068</v>
      </c>
      <c r="F22" s="25">
        <f>F20/E20-1</f>
        <v>0.30810239661879835</v>
      </c>
      <c r="G22" s="25">
        <f t="shared" si="0"/>
        <v>0.73417535614627694</v>
      </c>
      <c r="H22" s="25">
        <f>H20/G20-1</f>
        <v>0.51299966124661256</v>
      </c>
      <c r="I22" s="25">
        <f t="shared" ref="I22:N22" si="1">I20/H20-1</f>
        <v>0.30000000000000004</v>
      </c>
      <c r="J22" s="25">
        <f>J20/I20-1</f>
        <v>0.31000000000000005</v>
      </c>
      <c r="K22" s="25">
        <f t="shared" si="1"/>
        <v>0.27</v>
      </c>
      <c r="L22" s="25">
        <f t="shared" si="1"/>
        <v>0.22999999999999998</v>
      </c>
      <c r="M22" s="25">
        <f t="shared" si="1"/>
        <v>0.18999999999999995</v>
      </c>
      <c r="N22" s="25">
        <f t="shared" si="1"/>
        <v>0.14999999999999991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2:33" x14ac:dyDescent="0.3">
      <c r="B23" s="30" t="s">
        <v>73</v>
      </c>
      <c r="C23" s="6"/>
      <c r="D23" s="2"/>
      <c r="E23" s="2"/>
      <c r="F23" s="2"/>
      <c r="G23" s="2"/>
      <c r="H23" s="2"/>
      <c r="I23" s="68">
        <v>0.3</v>
      </c>
      <c r="J23" s="68">
        <v>0.31</v>
      </c>
      <c r="K23" s="83">
        <f>J23-($J$23-$N$23)/($N$18-$J$18)</f>
        <v>0.27</v>
      </c>
      <c r="L23" s="83">
        <f>K23-($J$23-$N$23)/($N$18-$J$18)</f>
        <v>0.23</v>
      </c>
      <c r="M23" s="83">
        <f>L23-($J$23-$N$23)/($N$18-$J$18)</f>
        <v>0.19</v>
      </c>
      <c r="N23" s="84">
        <v>0.15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2:33" x14ac:dyDescent="0.3">
      <c r="B24" s="2"/>
      <c r="C24" s="7"/>
      <c r="D24" s="7"/>
      <c r="E24" s="7"/>
      <c r="F24" s="7"/>
      <c r="G24" s="7"/>
      <c r="H24" s="7"/>
      <c r="I24" s="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2:33" x14ac:dyDescent="0.3">
      <c r="B25" s="132" t="s">
        <v>75</v>
      </c>
      <c r="C25" s="137">
        <v>1116</v>
      </c>
      <c r="D25" s="137">
        <v>1555</v>
      </c>
      <c r="E25" s="137">
        <v>1531</v>
      </c>
      <c r="F25" s="137">
        <v>1994</v>
      </c>
      <c r="G25" s="137">
        <v>2789</v>
      </c>
      <c r="H25" s="137">
        <v>3909</v>
      </c>
      <c r="I25" s="135">
        <f ca="1">I31*I27</f>
        <v>6832.9738999999972</v>
      </c>
      <c r="J25" s="135">
        <f ca="1">J31*J27</f>
        <v>8712.5825439999971</v>
      </c>
      <c r="K25" s="135">
        <f ca="1">K31*K27</f>
        <v>11683.986045279991</v>
      </c>
      <c r="L25" s="135">
        <f ca="1">L31*L27</f>
        <v>14433.695120417995</v>
      </c>
      <c r="M25" s="135">
        <f ca="1">M31*M27</f>
        <v>17780.257361265962</v>
      </c>
      <c r="N25" s="135">
        <f ca="1">N31*N27</f>
        <v>22020.089097065498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2:33" x14ac:dyDescent="0.3">
      <c r="B26" s="24" t="s">
        <v>15</v>
      </c>
      <c r="C26" s="33"/>
      <c r="D26" s="66">
        <f>D25/C25-1</f>
        <v>0.39336917562724016</v>
      </c>
      <c r="E26" s="66">
        <f t="shared" ref="E26:G26" si="2">E25/D25-1</f>
        <v>-1.5434083601286175E-2</v>
      </c>
      <c r="F26" s="66">
        <f t="shared" si="2"/>
        <v>0.30241672109732209</v>
      </c>
      <c r="G26" s="66">
        <f t="shared" si="2"/>
        <v>0.3986960882647943</v>
      </c>
      <c r="H26" s="66">
        <f>H25/G25-1</f>
        <v>0.40157762638938688</v>
      </c>
      <c r="I26" s="128">
        <f ca="1">I25/H25-1</f>
        <v>0.74801071885392623</v>
      </c>
      <c r="J26" s="128">
        <f t="shared" ref="J26:N26" ca="1" si="3">J25/I25-1</f>
        <v>0.27507914877298156</v>
      </c>
      <c r="K26" s="128">
        <f t="shared" ca="1" si="3"/>
        <v>0.34104738592419759</v>
      </c>
      <c r="L26" s="128">
        <f t="shared" ca="1" si="3"/>
        <v>0.23533998281766277</v>
      </c>
      <c r="M26" s="128">
        <f t="shared" ca="1" si="3"/>
        <v>0.23185762293911139</v>
      </c>
      <c r="N26" s="128">
        <f t="shared" ca="1" si="3"/>
        <v>0.23845727593549637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2:33" x14ac:dyDescent="0.3">
      <c r="B27" s="24" t="s">
        <v>308</v>
      </c>
      <c r="C27" s="124">
        <f>C25/C31</f>
        <v>0.52716107699574866</v>
      </c>
      <c r="D27" s="124">
        <f t="shared" ref="D27:H27" si="4">D25/D31</f>
        <v>0.52783435166327219</v>
      </c>
      <c r="E27" s="124">
        <f t="shared" si="4"/>
        <v>0.40750598882086769</v>
      </c>
      <c r="F27" s="124">
        <f t="shared" si="4"/>
        <v>0.46372093023255812</v>
      </c>
      <c r="G27" s="124">
        <f t="shared" si="4"/>
        <v>0.42315278409952967</v>
      </c>
      <c r="H27" s="124">
        <f t="shared" si="4"/>
        <v>0.39090000000000003</v>
      </c>
      <c r="I27" s="126">
        <v>0.41</v>
      </c>
      <c r="J27" s="87">
        <v>0.38</v>
      </c>
      <c r="K27" s="82">
        <v>0.36499999999999999</v>
      </c>
      <c r="L27" s="82">
        <v>0.35</v>
      </c>
      <c r="M27" s="82">
        <v>0.34599999999999997</v>
      </c>
      <c r="N27" s="82">
        <v>0.32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 x14ac:dyDescent="0.3">
      <c r="B28" s="24" t="s">
        <v>76</v>
      </c>
      <c r="C28" s="138">
        <v>1001</v>
      </c>
      <c r="D28" s="138">
        <v>1391</v>
      </c>
      <c r="E28" s="138">
        <v>2226</v>
      </c>
      <c r="F28" s="138">
        <v>2306</v>
      </c>
      <c r="G28" s="138">
        <v>3802</v>
      </c>
      <c r="H28" s="138">
        <v>6091</v>
      </c>
      <c r="I28" s="133">
        <f ca="1">I31*I30</f>
        <v>9832.8160999999982</v>
      </c>
      <c r="J28" s="133">
        <f ca="1">J31*J30</f>
        <v>14215.266255999995</v>
      </c>
      <c r="K28" s="133">
        <f ca="1">K31*K30</f>
        <v>20326.934626719987</v>
      </c>
      <c r="L28" s="133">
        <f ca="1">L31*L30</f>
        <v>26805.433795061992</v>
      </c>
      <c r="M28" s="133">
        <f ca="1">M31*M30</f>
        <v>33607.769694416012</v>
      </c>
      <c r="N28" s="133">
        <f ca="1">N31*N30</f>
        <v>46792.689331264177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2:33" x14ac:dyDescent="0.3">
      <c r="B29" s="24" t="s">
        <v>15</v>
      </c>
      <c r="C29" s="138"/>
      <c r="D29" s="66">
        <f>D28/C28-1</f>
        <v>0.38961038961038952</v>
      </c>
      <c r="E29" s="66">
        <f t="shared" ref="E29:G29" si="5">E28/D28-1</f>
        <v>0.60028756290438534</v>
      </c>
      <c r="F29" s="66">
        <f t="shared" si="5"/>
        <v>3.5938903863432126E-2</v>
      </c>
      <c r="G29" s="66">
        <f t="shared" si="5"/>
        <v>0.64874241110147435</v>
      </c>
      <c r="H29" s="66">
        <f>H28/G28-1</f>
        <v>0.60205155181483438</v>
      </c>
      <c r="I29" s="125">
        <f t="shared" ref="I29:N29" ca="1" si="6">I28/H28-1</f>
        <v>0.61431884747988796</v>
      </c>
      <c r="J29" s="125">
        <f t="shared" ca="1" si="6"/>
        <v>0.44569634084786736</v>
      </c>
      <c r="K29" s="125">
        <f t="shared" ca="1" si="6"/>
        <v>0.42993696077555854</v>
      </c>
      <c r="L29" s="125">
        <f t="shared" ca="1" si="6"/>
        <v>0.31871500977948464</v>
      </c>
      <c r="M29" s="125">
        <f t="shared" ca="1" si="6"/>
        <v>0.25376705153740597</v>
      </c>
      <c r="N29" s="125">
        <f t="shared" ca="1" si="6"/>
        <v>0.3923176026476658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2:33" x14ac:dyDescent="0.3">
      <c r="B30" s="24" t="str">
        <f>B27</f>
        <v>% of sum</v>
      </c>
      <c r="C30" s="66">
        <f>C28/C31</f>
        <v>0.47283892300425129</v>
      </c>
      <c r="D30" s="66">
        <f t="shared" ref="D30:H30" si="7">D28/D31</f>
        <v>0.47216564833672775</v>
      </c>
      <c r="E30" s="66">
        <f t="shared" si="7"/>
        <v>0.59249401117913225</v>
      </c>
      <c r="F30" s="66">
        <f t="shared" si="7"/>
        <v>0.53627906976744188</v>
      </c>
      <c r="G30" s="66">
        <f t="shared" si="7"/>
        <v>0.57684721590047039</v>
      </c>
      <c r="H30" s="66">
        <f t="shared" si="7"/>
        <v>0.60909999999999997</v>
      </c>
      <c r="I30" s="130">
        <f>1-I27</f>
        <v>0.59000000000000008</v>
      </c>
      <c r="J30" s="130">
        <f t="shared" ref="J30:N30" si="8">1-J27</f>
        <v>0.62</v>
      </c>
      <c r="K30" s="130">
        <f t="shared" si="8"/>
        <v>0.63500000000000001</v>
      </c>
      <c r="L30" s="130">
        <f t="shared" si="8"/>
        <v>0.65</v>
      </c>
      <c r="M30" s="130">
        <f t="shared" si="8"/>
        <v>0.65400000000000003</v>
      </c>
      <c r="N30" s="130">
        <f t="shared" si="8"/>
        <v>0.67999999999999994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2:33" x14ac:dyDescent="0.3">
      <c r="B31" s="28" t="s">
        <v>77</v>
      </c>
      <c r="C31" s="139">
        <f>C25+C28</f>
        <v>2117</v>
      </c>
      <c r="D31" s="139">
        <f>D25+D28</f>
        <v>2946</v>
      </c>
      <c r="E31" s="139">
        <f>E25+E28</f>
        <v>3757</v>
      </c>
      <c r="F31" s="139">
        <f>F25+F28</f>
        <v>4300</v>
      </c>
      <c r="G31" s="139">
        <f>G25+G28</f>
        <v>6591</v>
      </c>
      <c r="H31" s="139">
        <f>H25+H28</f>
        <v>10000</v>
      </c>
      <c r="I31" s="136">
        <f ca="1">I35-I20</f>
        <v>16665.789999999994</v>
      </c>
      <c r="J31" s="136">
        <f ca="1">J35-J20</f>
        <v>22927.848799999992</v>
      </c>
      <c r="K31" s="136">
        <f ca="1">K35-K20</f>
        <v>32010.920671999978</v>
      </c>
      <c r="L31" s="136">
        <f ca="1">L35-L20</f>
        <v>41239.128915479989</v>
      </c>
      <c r="M31" s="136">
        <f ca="1">M35-M20</f>
        <v>51388.027055681974</v>
      </c>
      <c r="N31" s="136">
        <f ca="1">N35-N20</f>
        <v>68812.778428329679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2:33" x14ac:dyDescent="0.3">
      <c r="B32" s="24" t="s">
        <v>15</v>
      </c>
      <c r="C32" s="140"/>
      <c r="D32" s="141">
        <f>D31/C31-1</f>
        <v>0.39159187529522921</v>
      </c>
      <c r="E32" s="141">
        <f t="shared" ref="E32:G32" si="9">E31/D31-1</f>
        <v>0.27528852681602167</v>
      </c>
      <c r="F32" s="141">
        <f t="shared" si="9"/>
        <v>0.1445302102741548</v>
      </c>
      <c r="G32" s="141">
        <f t="shared" si="9"/>
        <v>0.53279069767441856</v>
      </c>
      <c r="H32" s="141">
        <f>H31/G31-1</f>
        <v>0.51722045213169476</v>
      </c>
      <c r="I32" s="131">
        <f t="shared" ref="I32:N32" ca="1" si="10">I31/H31-1</f>
        <v>0.66657899999999937</v>
      </c>
      <c r="J32" s="129">
        <f t="shared" ca="1" si="10"/>
        <v>0.37574329209716439</v>
      </c>
      <c r="K32" s="129">
        <f t="shared" ca="1" si="10"/>
        <v>0.39615892233204142</v>
      </c>
      <c r="L32" s="129">
        <f t="shared" ca="1" si="10"/>
        <v>0.28828312493841968</v>
      </c>
      <c r="M32" s="129">
        <f t="shared" ca="1" si="10"/>
        <v>0.24609875152800287</v>
      </c>
      <c r="N32" s="129">
        <f t="shared" ca="1" si="10"/>
        <v>0.33908192960525518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2:33" x14ac:dyDescent="0.3">
      <c r="B33" s="24" t="s">
        <v>288</v>
      </c>
      <c r="C33" s="142">
        <f>C31/C35</f>
        <v>0.18003231567310146</v>
      </c>
      <c r="D33" s="142">
        <f>D31/D35</f>
        <v>0.1372722613112157</v>
      </c>
      <c r="E33" s="142">
        <f>E31/E35</f>
        <v>0.15286028155260803</v>
      </c>
      <c r="F33" s="142">
        <f>F31/F35</f>
        <v>0.13635210553018773</v>
      </c>
      <c r="G33" s="142">
        <f>G31/G35</f>
        <v>0.12245694219943147</v>
      </c>
      <c r="H33" s="142">
        <f>H31/H35</f>
        <v>0.12275662271979573</v>
      </c>
      <c r="I33" s="127">
        <f ca="1">I31/I35</f>
        <v>0.15210677288902183</v>
      </c>
      <c r="J33" s="127">
        <f ca="1">J31/J35</f>
        <v>0.15853020642774138</v>
      </c>
      <c r="K33" s="127">
        <f ca="1">K31/K35</f>
        <v>0.17157624973893912</v>
      </c>
      <c r="L33" s="127">
        <f ca="1">L31/L35</f>
        <v>0.1782570864345929</v>
      </c>
      <c r="M33" s="127">
        <f ca="1">M31/M35</f>
        <v>0.18510494404763794</v>
      </c>
      <c r="N33" s="127">
        <f ca="1">N31/N35</f>
        <v>0.20917357439222259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2:33" x14ac:dyDescent="0.3">
      <c r="B34" s="2"/>
      <c r="C34" s="76"/>
      <c r="D34" s="76"/>
      <c r="E34" s="76"/>
      <c r="F34" s="76"/>
      <c r="G34" s="76"/>
      <c r="H34" s="7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2:33" x14ac:dyDescent="0.3">
      <c r="B35" s="5" t="s">
        <v>16</v>
      </c>
      <c r="C35" s="143">
        <f>C20+C31</f>
        <v>11759</v>
      </c>
      <c r="D35" s="143">
        <f>D20+D31</f>
        <v>21461</v>
      </c>
      <c r="E35" s="143">
        <f>E20+E31</f>
        <v>24578</v>
      </c>
      <c r="F35" s="143">
        <f>F20+F31</f>
        <v>31536</v>
      </c>
      <c r="G35" s="143">
        <f>G20+G31</f>
        <v>53823</v>
      </c>
      <c r="H35" s="143">
        <f>H20+H31</f>
        <v>81462</v>
      </c>
      <c r="I35" s="133">
        <f ca="1">I76</f>
        <v>109566.39</v>
      </c>
      <c r="J35" s="133">
        <f t="shared" ref="J35:N35" ca="1" si="11">J76</f>
        <v>144627.6348</v>
      </c>
      <c r="K35" s="133">
        <f t="shared" ca="1" si="11"/>
        <v>186569.648892</v>
      </c>
      <c r="L35" s="133">
        <f t="shared" ca="1" si="11"/>
        <v>231346.36462608</v>
      </c>
      <c r="M35" s="133">
        <f t="shared" ca="1" si="11"/>
        <v>277615.63755129598</v>
      </c>
      <c r="N35" s="133">
        <f t="shared" ca="1" si="11"/>
        <v>328974.53049828578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2:33" x14ac:dyDescent="0.3">
      <c r="B36" s="24" t="s">
        <v>15</v>
      </c>
      <c r="C36" s="144"/>
      <c r="D36" s="124">
        <f>D35/C35-1</f>
        <v>0.8250701590271281</v>
      </c>
      <c r="E36" s="124">
        <f t="shared" ref="E36:H36" si="12">E35/D35-1</f>
        <v>0.14524020315921904</v>
      </c>
      <c r="F36" s="124">
        <f t="shared" si="12"/>
        <v>0.28309870615998056</v>
      </c>
      <c r="G36" s="124">
        <f t="shared" si="12"/>
        <v>0.70671613394216126</v>
      </c>
      <c r="H36" s="124">
        <f t="shared" si="12"/>
        <v>0.51351652639206291</v>
      </c>
      <c r="I36" s="25">
        <f t="shared" ref="I36" ca="1" si="13">I35/H35-1</f>
        <v>0.34499999999999997</v>
      </c>
      <c r="J36" s="25">
        <f t="shared" ref="J36" ca="1" si="14">J35/I35-1</f>
        <v>0.32000000000000006</v>
      </c>
      <c r="K36" s="25">
        <f t="shared" ref="K36" ca="1" si="15">K35/J35-1</f>
        <v>0.29000000000000004</v>
      </c>
      <c r="L36" s="25">
        <f t="shared" ref="L36" ca="1" si="16">L35/K35-1</f>
        <v>0.24</v>
      </c>
      <c r="M36" s="25">
        <f t="shared" ref="M36" ca="1" si="17">M35/L35-1</f>
        <v>0.19999999999999996</v>
      </c>
      <c r="N36" s="25">
        <f t="shared" ref="N36" ca="1" si="18">N35/M35-1</f>
        <v>0.18500000000000005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2:33" x14ac:dyDescent="0.3">
      <c r="B37" s="24"/>
      <c r="C37" s="144"/>
      <c r="D37" s="124"/>
      <c r="E37" s="124"/>
      <c r="F37" s="124"/>
      <c r="G37" s="124"/>
      <c r="H37" s="12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2:33" x14ac:dyDescent="0.3">
      <c r="B38" s="2" t="s">
        <v>70</v>
      </c>
      <c r="C38" s="143">
        <f>C35-C40</f>
        <v>9536</v>
      </c>
      <c r="D38" s="143">
        <f>D35-D40</f>
        <v>17419</v>
      </c>
      <c r="E38" s="143">
        <f>E35-E40</f>
        <v>20509</v>
      </c>
      <c r="F38" s="143">
        <f>IS!D8</f>
        <v>24906</v>
      </c>
      <c r="G38" s="143">
        <f>IS!E8</f>
        <v>40217</v>
      </c>
      <c r="H38" s="143">
        <f>IS!F8</f>
        <v>60609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2:33" x14ac:dyDescent="0.3">
      <c r="B39" s="24" t="s">
        <v>74</v>
      </c>
      <c r="C39" s="124">
        <f t="shared" ref="C39:H39" si="19">C38/C35</f>
        <v>0.81095331235649293</v>
      </c>
      <c r="D39" s="124">
        <f t="shared" si="19"/>
        <v>0.81165835701971012</v>
      </c>
      <c r="E39" s="124">
        <f t="shared" si="19"/>
        <v>0.83444543901049717</v>
      </c>
      <c r="F39" s="124">
        <f t="shared" si="19"/>
        <v>0.7897640791476408</v>
      </c>
      <c r="G39" s="124">
        <f t="shared" si="19"/>
        <v>0.74720844248741247</v>
      </c>
      <c r="H39" s="124">
        <f t="shared" si="19"/>
        <v>0.74401561464240995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2:33" x14ac:dyDescent="0.3">
      <c r="B40" s="39" t="s">
        <v>55</v>
      </c>
      <c r="C40" s="145">
        <v>2223</v>
      </c>
      <c r="D40" s="145">
        <v>4042</v>
      </c>
      <c r="E40" s="145">
        <v>4069</v>
      </c>
      <c r="F40" s="145">
        <v>6630</v>
      </c>
      <c r="G40" s="145">
        <f>G35-G38</f>
        <v>13606</v>
      </c>
      <c r="H40" s="146">
        <f>H35-H38</f>
        <v>20853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2:33" x14ac:dyDescent="0.3">
      <c r="B41" s="40" t="s">
        <v>69</v>
      </c>
      <c r="C41" s="147">
        <f t="shared" ref="C41:H41" si="20">C40/C35</f>
        <v>0.1890466876435071</v>
      </c>
      <c r="D41" s="147">
        <f t="shared" si="20"/>
        <v>0.18834164298028983</v>
      </c>
      <c r="E41" s="147">
        <f t="shared" si="20"/>
        <v>0.1655545609895028</v>
      </c>
      <c r="F41" s="147">
        <f t="shared" si="20"/>
        <v>0.2102359208523592</v>
      </c>
      <c r="G41" s="147">
        <f t="shared" si="20"/>
        <v>0.25279155751258753</v>
      </c>
      <c r="H41" s="148">
        <f t="shared" si="20"/>
        <v>0.25598438535759005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2:33" x14ac:dyDescent="0.3">
      <c r="C42" s="149"/>
      <c r="D42" s="149"/>
      <c r="E42" s="149"/>
      <c r="F42" s="149"/>
      <c r="G42" s="149"/>
      <c r="H42" s="149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2:33" x14ac:dyDescent="0.3">
      <c r="B43" s="37" t="s">
        <v>78</v>
      </c>
      <c r="C43" s="150">
        <v>3855</v>
      </c>
      <c r="D43" s="150">
        <v>4430</v>
      </c>
      <c r="E43" s="150">
        <f>IS!I13</f>
        <v>4138</v>
      </c>
      <c r="F43" s="150">
        <f>IS!D14</f>
        <v>4636</v>
      </c>
      <c r="G43" s="150">
        <f>IS!E14</f>
        <v>7083</v>
      </c>
      <c r="H43" s="151">
        <f>IS!F14</f>
        <v>7197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2:33" x14ac:dyDescent="0.3">
      <c r="B44" s="47" t="s">
        <v>79</v>
      </c>
      <c r="C44" s="152">
        <f t="shared" ref="C44:H44" si="21">C43/C35</f>
        <v>0.3278339994897525</v>
      </c>
      <c r="D44" s="152">
        <f t="shared" si="21"/>
        <v>0.20642094962956059</v>
      </c>
      <c r="E44" s="152">
        <f t="shared" si="21"/>
        <v>0.16836194971112378</v>
      </c>
      <c r="F44" s="152">
        <f t="shared" si="21"/>
        <v>0.14700659563673263</v>
      </c>
      <c r="G44" s="152">
        <f t="shared" si="21"/>
        <v>0.13159801571818738</v>
      </c>
      <c r="H44" s="153">
        <f t="shared" si="21"/>
        <v>8.8347941371436992E-2</v>
      </c>
      <c r="I44" s="2"/>
      <c r="J44" s="2"/>
      <c r="K44" s="2"/>
      <c r="L44" s="6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2:33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2:33" x14ac:dyDescent="0.3">
      <c r="B46" s="38" t="s">
        <v>80</v>
      </c>
      <c r="C46" s="44">
        <v>-1632</v>
      </c>
      <c r="D46" s="44">
        <v>-388</v>
      </c>
      <c r="E46" s="44">
        <f>IS!I14</f>
        <v>-69</v>
      </c>
      <c r="F46" s="45">
        <f>IS!D15</f>
        <v>1994</v>
      </c>
      <c r="G46" s="45">
        <f>IS!E15</f>
        <v>6523</v>
      </c>
      <c r="H46" s="46">
        <f>IS!F15</f>
        <v>13656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2:33" x14ac:dyDescent="0.3">
      <c r="B47" s="40" t="s">
        <v>79</v>
      </c>
      <c r="C47" s="41">
        <f t="shared" ref="C47:G47" si="22">C46/C35</f>
        <v>-0.13878731184624543</v>
      </c>
      <c r="D47" s="41">
        <f t="shared" si="22"/>
        <v>-1.8079306649270769E-2</v>
      </c>
      <c r="E47" s="41">
        <f t="shared" si="22"/>
        <v>-2.8073887216209618E-3</v>
      </c>
      <c r="F47" s="41">
        <f>F46/F35</f>
        <v>6.3229325215626589E-2</v>
      </c>
      <c r="G47" s="41">
        <f t="shared" si="22"/>
        <v>0.12119354179440016</v>
      </c>
      <c r="H47" s="42">
        <f>H46/H35</f>
        <v>0.16763644398615304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2:33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2:33" x14ac:dyDescent="0.3">
      <c r="B49" s="2" t="s">
        <v>92</v>
      </c>
      <c r="C49" s="50">
        <f>DCF!C52-DCF!C46</f>
        <v>-577</v>
      </c>
      <c r="D49" s="50">
        <f>DCF!D52-DCF!D46</f>
        <v>-617</v>
      </c>
      <c r="E49" s="50">
        <f>DCF!E52-DCF!E46</f>
        <v>-596</v>
      </c>
      <c r="F49" s="50">
        <f>DCF!F52-DCF!F46</f>
        <v>-840</v>
      </c>
      <c r="G49" s="50">
        <f>DCF!G52-DCF!G46</f>
        <v>-180</v>
      </c>
      <c r="H49" s="35">
        <f>DCF!H52-DCF!H46</f>
        <v>63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2:33" x14ac:dyDescent="0.3">
      <c r="B50" s="2" t="s">
        <v>93</v>
      </c>
      <c r="C50" s="36">
        <f>C49/C46</f>
        <v>0.35355392156862747</v>
      </c>
      <c r="D50" s="36">
        <f t="shared" ref="D50:H50" si="23">D49/D46</f>
        <v>1.5902061855670102</v>
      </c>
      <c r="E50" s="36">
        <f t="shared" si="23"/>
        <v>8.6376811594202891</v>
      </c>
      <c r="F50" s="36">
        <f t="shared" si="23"/>
        <v>-0.42126379137412234</v>
      </c>
      <c r="G50" s="36">
        <f t="shared" si="23"/>
        <v>-2.7594665031427257E-2</v>
      </c>
      <c r="H50" s="36">
        <f t="shared" si="23"/>
        <v>4.6133567662565902E-3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2:33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2:33" x14ac:dyDescent="0.3">
      <c r="B52" s="2" t="s">
        <v>94</v>
      </c>
      <c r="C52" s="50">
        <f>IS!L24</f>
        <v>-2209</v>
      </c>
      <c r="D52" s="50">
        <f>IS!M24</f>
        <v>-1005</v>
      </c>
      <c r="E52" s="50">
        <f>IS!I18</f>
        <v>-665</v>
      </c>
      <c r="F52" s="35">
        <f>IS!D19</f>
        <v>1154</v>
      </c>
      <c r="G52" s="35">
        <f>IS!E19</f>
        <v>6343</v>
      </c>
      <c r="H52" s="35">
        <f>IS!F19</f>
        <v>13719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2:33" x14ac:dyDescent="0.3">
      <c r="B53" s="2" t="s">
        <v>93</v>
      </c>
      <c r="C53" s="36">
        <f>C52/C46</f>
        <v>1.3535539215686274</v>
      </c>
      <c r="D53" s="36">
        <f t="shared" ref="D53:H53" si="24">D52/D46</f>
        <v>2.5902061855670104</v>
      </c>
      <c r="E53" s="36">
        <f t="shared" si="24"/>
        <v>9.6376811594202891</v>
      </c>
      <c r="F53" s="36">
        <f t="shared" si="24"/>
        <v>0.5787362086258776</v>
      </c>
      <c r="G53" s="36">
        <f t="shared" si="24"/>
        <v>0.97240533496857273</v>
      </c>
      <c r="H53" s="36">
        <f t="shared" si="24"/>
        <v>1.0046133567662565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2:33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2:33" x14ac:dyDescent="0.3">
      <c r="B55" s="2" t="s">
        <v>95</v>
      </c>
      <c r="C55" s="35">
        <f>IS!L25</f>
        <v>32</v>
      </c>
      <c r="D55" s="35">
        <f>IS!M25</f>
        <v>58</v>
      </c>
      <c r="E55" s="35">
        <f>IS!I19</f>
        <v>110</v>
      </c>
      <c r="F55" s="35">
        <f>IS!D20</f>
        <v>292</v>
      </c>
      <c r="G55" s="35">
        <f>IS!E20</f>
        <v>699</v>
      </c>
      <c r="H55" s="35">
        <f>IS!F20</f>
        <v>1132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2:33" x14ac:dyDescent="0.3">
      <c r="B56" s="2" t="s">
        <v>79</v>
      </c>
      <c r="C56" s="7">
        <f t="shared" ref="C56:H56" si="25">C55/C35</f>
        <v>2.7213198401224593E-3</v>
      </c>
      <c r="D56" s="7">
        <f t="shared" si="25"/>
        <v>2.7025767671590329E-3</v>
      </c>
      <c r="E56" s="7">
        <f t="shared" si="25"/>
        <v>4.4755472373667511E-3</v>
      </c>
      <c r="F56" s="7">
        <f t="shared" si="25"/>
        <v>9.2592592592592587E-3</v>
      </c>
      <c r="G56" s="7">
        <f t="shared" si="25"/>
        <v>1.2987012987012988E-2</v>
      </c>
      <c r="H56" s="7">
        <f t="shared" si="25"/>
        <v>1.3896049691880878E-2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2:33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2:33" x14ac:dyDescent="0.3">
      <c r="B58" s="38" t="s">
        <v>96</v>
      </c>
      <c r="C58" s="43">
        <v>-2241</v>
      </c>
      <c r="D58" s="43">
        <v>-1063</v>
      </c>
      <c r="E58" s="44">
        <f>IS!I20</f>
        <v>-775</v>
      </c>
      <c r="F58" s="45">
        <f>IS!D21</f>
        <v>862</v>
      </c>
      <c r="G58" s="45">
        <f>IS!E21</f>
        <v>5644</v>
      </c>
      <c r="H58" s="46">
        <f>IS!F21</f>
        <v>12587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2:33" x14ac:dyDescent="0.3">
      <c r="B59" s="40" t="s">
        <v>79</v>
      </c>
      <c r="C59" s="41">
        <f t="shared" ref="C59:H59" si="26">C58/C35</f>
        <v>-0.190577430053576</v>
      </c>
      <c r="D59" s="41">
        <f t="shared" si="26"/>
        <v>-4.9531708680862964E-2</v>
      </c>
      <c r="E59" s="41">
        <f t="shared" si="26"/>
        <v>-3.1532264626902111E-2</v>
      </c>
      <c r="F59" s="41">
        <f t="shared" si="26"/>
        <v>2.7333840690005072E-2</v>
      </c>
      <c r="G59" s="41">
        <f t="shared" si="26"/>
        <v>0.10486223361759843</v>
      </c>
      <c r="H59" s="42">
        <f t="shared" si="26"/>
        <v>0.15451376101740688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2:33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2:33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2:33" x14ac:dyDescent="0.3">
      <c r="B62" s="4" t="s">
        <v>97</v>
      </c>
      <c r="C62" s="4" t="s">
        <v>1</v>
      </c>
      <c r="D62" s="4" t="s">
        <v>2</v>
      </c>
      <c r="E62" s="4" t="s">
        <v>3</v>
      </c>
      <c r="F62" s="4" t="s">
        <v>4</v>
      </c>
      <c r="G62" s="4" t="s">
        <v>5</v>
      </c>
      <c r="H62" s="4" t="s">
        <v>6</v>
      </c>
      <c r="I62" s="69"/>
      <c r="J62" s="69"/>
      <c r="K62" s="69"/>
      <c r="L62" s="69"/>
      <c r="M62" s="69"/>
      <c r="N62" s="69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2:33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2:33" x14ac:dyDescent="0.3">
      <c r="B64" s="2" t="s">
        <v>231</v>
      </c>
      <c r="C64" s="51">
        <f>CF!K6</f>
        <v>1636</v>
      </c>
      <c r="D64" s="51">
        <f>CF!L6</f>
        <v>1901</v>
      </c>
      <c r="E64" s="51">
        <f>CF!F6</f>
        <v>2154</v>
      </c>
      <c r="F64" s="51">
        <f>CF!G6</f>
        <v>2322</v>
      </c>
      <c r="G64" s="51">
        <f>CF!H6</f>
        <v>2911</v>
      </c>
      <c r="H64" s="35">
        <f>H93</f>
        <v>3747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2:33" x14ac:dyDescent="0.3">
      <c r="B65" s="24" t="s">
        <v>232</v>
      </c>
      <c r="C65" s="36">
        <f>C64/C68</f>
        <v>-0.47906295754026357</v>
      </c>
      <c r="D65" s="36">
        <f t="shared" ref="D65:H65" si="27">D64/D68</f>
        <v>-0.90480723465016655</v>
      </c>
      <c r="E65" s="36">
        <f t="shared" si="27"/>
        <v>-1.6232102486812359</v>
      </c>
      <c r="F65" s="36">
        <f t="shared" si="27"/>
        <v>-0.73550839404497936</v>
      </c>
      <c r="G65" s="36">
        <f t="shared" si="27"/>
        <v>-0.44908978710274605</v>
      </c>
      <c r="H65" s="36">
        <f t="shared" si="27"/>
        <v>-0.5234702430846605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2:33" x14ac:dyDescent="0.3">
      <c r="B66" s="24" t="s">
        <v>79</v>
      </c>
      <c r="C66" s="8">
        <f>C64/C35</f>
        <v>0.13912747682626073</v>
      </c>
      <c r="D66" s="8">
        <f>D64/D35</f>
        <v>8.8579283351195193E-2</v>
      </c>
      <c r="E66" s="8">
        <f>E64/E35</f>
        <v>8.7639352266254369E-2</v>
      </c>
      <c r="F66" s="8">
        <f>F64/F35</f>
        <v>7.3630136986301373E-2</v>
      </c>
      <c r="G66" s="8">
        <f>G64/G35</f>
        <v>5.4084684985972541E-2</v>
      </c>
      <c r="H66" s="8">
        <f>H64/H35</f>
        <v>4.5996906533107458E-2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2:33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2:33" x14ac:dyDescent="0.3">
      <c r="B68" s="2" t="s">
        <v>233</v>
      </c>
      <c r="C68" s="51">
        <f>CF!K27</f>
        <v>-3415</v>
      </c>
      <c r="D68" s="51">
        <f>CF!L27</f>
        <v>-2101</v>
      </c>
      <c r="E68" s="51">
        <f>CF!F25</f>
        <v>-1327</v>
      </c>
      <c r="F68" s="51">
        <f>CF!G25</f>
        <v>-3157</v>
      </c>
      <c r="G68" s="51">
        <f>CF!H25</f>
        <v>-6482</v>
      </c>
      <c r="H68" s="35">
        <f>H96</f>
        <v>-7158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2:33" x14ac:dyDescent="0.3">
      <c r="B69" s="24" t="s">
        <v>234</v>
      </c>
      <c r="C69" s="36">
        <f>C68/C35</f>
        <v>-0.29041585168806872</v>
      </c>
      <c r="D69" s="36">
        <f>D68/D35</f>
        <v>-9.7898513582778068E-2</v>
      </c>
      <c r="E69" s="36">
        <f>E68/E35</f>
        <v>-5.3991374399869806E-2</v>
      </c>
      <c r="F69" s="36">
        <f>F68/F35</f>
        <v>-0.1001078132927448</v>
      </c>
      <c r="G69" s="36">
        <f>G68/G35</f>
        <v>-0.12043178566783717</v>
      </c>
      <c r="H69" s="36">
        <f>H68/H35</f>
        <v>-8.7869190542829781E-2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2:33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2:33" x14ac:dyDescent="0.3">
      <c r="B71" s="2" t="s">
        <v>235</v>
      </c>
      <c r="C71" s="55">
        <v>-497</v>
      </c>
      <c r="D71" s="26">
        <v>58</v>
      </c>
      <c r="E71" s="55">
        <v>-349</v>
      </c>
      <c r="F71" s="26">
        <v>184</v>
      </c>
      <c r="G71" s="26">
        <v>518</v>
      </c>
      <c r="H71" s="100">
        <f>H99</f>
        <v>25.641169010837917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2:33" x14ac:dyDescent="0.3">
      <c r="B72" s="24" t="s">
        <v>234</v>
      </c>
      <c r="C72" s="36">
        <f>C71/C35</f>
        <v>-4.226549876690195E-2</v>
      </c>
      <c r="D72" s="36">
        <f>D71/D35</f>
        <v>2.7025767671590329E-3</v>
      </c>
      <c r="E72" s="36">
        <f>E71/E35</f>
        <v>-1.4199690780372691E-2</v>
      </c>
      <c r="F72" s="36">
        <f>F71/F35</f>
        <v>5.8346017250126836E-3</v>
      </c>
      <c r="G72" s="36">
        <f>G71/G35</f>
        <v>9.6241383795031867E-3</v>
      </c>
      <c r="H72" s="8">
        <f>H71/H35</f>
        <v>3.1476233103579481E-4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2:33" x14ac:dyDescent="0.3">
      <c r="B73" s="2"/>
      <c r="C73" s="2"/>
      <c r="D73" s="2"/>
      <c r="E73" s="2"/>
      <c r="F73" s="2"/>
      <c r="G73" s="2"/>
      <c r="H73" s="2"/>
      <c r="I73" s="2">
        <v>1</v>
      </c>
      <c r="J73" s="2">
        <v>2</v>
      </c>
      <c r="K73" s="2">
        <v>3</v>
      </c>
      <c r="L73" s="2">
        <v>4</v>
      </c>
      <c r="M73" s="2">
        <v>5</v>
      </c>
      <c r="N73" s="2">
        <v>6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2:33" x14ac:dyDescent="0.3">
      <c r="B74" s="4" t="s">
        <v>13</v>
      </c>
      <c r="C74" s="4" t="s">
        <v>1</v>
      </c>
      <c r="D74" s="4" t="s">
        <v>2</v>
      </c>
      <c r="E74" s="4" t="s">
        <v>3</v>
      </c>
      <c r="F74" s="4" t="s">
        <v>4</v>
      </c>
      <c r="G74" s="4" t="s">
        <v>5</v>
      </c>
      <c r="H74" s="4" t="s">
        <v>6</v>
      </c>
      <c r="I74" s="4" t="s">
        <v>7</v>
      </c>
      <c r="J74" s="4" t="s">
        <v>8</v>
      </c>
      <c r="K74" s="4" t="s">
        <v>9</v>
      </c>
      <c r="L74" s="4" t="s">
        <v>10</v>
      </c>
      <c r="M74" s="4" t="s">
        <v>11</v>
      </c>
      <c r="N74" s="4" t="s">
        <v>12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2:33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2:33" x14ac:dyDescent="0.3">
      <c r="B76" s="2" t="s">
        <v>236</v>
      </c>
      <c r="C76" s="58">
        <f t="shared" ref="C76:H76" si="28">C35</f>
        <v>11759</v>
      </c>
      <c r="D76" s="58">
        <f t="shared" si="28"/>
        <v>21461</v>
      </c>
      <c r="E76" s="58">
        <f t="shared" si="28"/>
        <v>24578</v>
      </c>
      <c r="F76" s="58">
        <f t="shared" si="28"/>
        <v>31536</v>
      </c>
      <c r="G76" s="58">
        <f t="shared" si="28"/>
        <v>53823</v>
      </c>
      <c r="H76" s="58">
        <f t="shared" si="28"/>
        <v>81462</v>
      </c>
      <c r="I76" s="6">
        <f ca="1">H76*(1+I77)</f>
        <v>109566.39</v>
      </c>
      <c r="J76" s="6">
        <f t="shared" ref="J76:N76" ca="1" si="29">I76*(1+J77)</f>
        <v>144627.6348</v>
      </c>
      <c r="K76" s="6">
        <f t="shared" ca="1" si="29"/>
        <v>186569.648892</v>
      </c>
      <c r="L76" s="6">
        <f t="shared" ca="1" si="29"/>
        <v>231346.36462608</v>
      </c>
      <c r="M76" s="6">
        <f ca="1">L76*(1+M77)</f>
        <v>277615.63755129598</v>
      </c>
      <c r="N76" s="6">
        <f t="shared" ca="1" si="29"/>
        <v>328974.53049828578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2:33" x14ac:dyDescent="0.3">
      <c r="B77" s="2" t="s">
        <v>237</v>
      </c>
      <c r="C77" s="57"/>
      <c r="D77" s="7">
        <f>D36</f>
        <v>0.8250701590271281</v>
      </c>
      <c r="E77" s="7">
        <f>E36</f>
        <v>0.14524020315921904</v>
      </c>
      <c r="F77" s="7">
        <f>F36</f>
        <v>0.28309870615998056</v>
      </c>
      <c r="G77" s="7">
        <f>G36</f>
        <v>0.70671613394216126</v>
      </c>
      <c r="H77" s="7">
        <f>H36</f>
        <v>0.51351652639206291</v>
      </c>
      <c r="I77" s="8">
        <f ca="1">OFFSET(I77,$C$10,0)</f>
        <v>0.34499999999999997</v>
      </c>
      <c r="J77" s="8">
        <f t="shared" ref="J77:N77" ca="1" si="30">OFFSET(J77,$C$10,0)</f>
        <v>0.32</v>
      </c>
      <c r="K77" s="8">
        <f t="shared" ca="1" si="30"/>
        <v>0.28999999999999998</v>
      </c>
      <c r="L77" s="8">
        <f t="shared" ca="1" si="30"/>
        <v>0.24</v>
      </c>
      <c r="M77" s="8">
        <f t="shared" ca="1" si="30"/>
        <v>0.2</v>
      </c>
      <c r="N77" s="8">
        <f t="shared" ca="1" si="30"/>
        <v>0.185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2:33" x14ac:dyDescent="0.3">
      <c r="B78" s="29" t="s">
        <v>71</v>
      </c>
      <c r="C78" s="18"/>
      <c r="D78" s="18"/>
      <c r="E78" s="18"/>
      <c r="F78" s="18"/>
      <c r="G78" s="18"/>
      <c r="H78" s="18"/>
      <c r="I78" s="94">
        <f>I79+$F$10</f>
        <v>0.32999999999999996</v>
      </c>
      <c r="J78" s="94">
        <f t="shared" ref="J78:K78" si="31">J79+$F$10</f>
        <v>0.30499999999999999</v>
      </c>
      <c r="K78" s="94">
        <f t="shared" si="31"/>
        <v>0.27499999999999997</v>
      </c>
      <c r="L78" s="88">
        <f>L79+$F$11</f>
        <v>0.215</v>
      </c>
      <c r="M78" s="88">
        <f t="shared" ref="M78:N78" si="32">M79+$F$11</f>
        <v>0.17500000000000002</v>
      </c>
      <c r="N78" s="88">
        <f t="shared" si="32"/>
        <v>0.16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2:33" x14ac:dyDescent="0.3">
      <c r="B79" s="30" t="s">
        <v>73</v>
      </c>
      <c r="C79" s="6"/>
      <c r="D79" s="2"/>
      <c r="E79" s="2"/>
      <c r="F79" s="2"/>
      <c r="G79" s="2"/>
      <c r="H79" s="2"/>
      <c r="I79" s="95">
        <v>0.34499999999999997</v>
      </c>
      <c r="J79" s="95">
        <v>0.32</v>
      </c>
      <c r="K79" s="95">
        <v>0.28999999999999998</v>
      </c>
      <c r="L79" s="95">
        <v>0.24</v>
      </c>
      <c r="M79" s="95">
        <v>0.2</v>
      </c>
      <c r="N79" s="96">
        <v>0.185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2:33" x14ac:dyDescent="0.3">
      <c r="B80" s="31" t="s">
        <v>72</v>
      </c>
      <c r="C80" s="32"/>
      <c r="D80" s="10"/>
      <c r="E80" s="32"/>
      <c r="F80" s="32"/>
      <c r="G80" s="32"/>
      <c r="H80" s="32"/>
      <c r="I80" s="97">
        <f>I79+$L$10</f>
        <v>0.38</v>
      </c>
      <c r="J80" s="97">
        <f t="shared" ref="J80:K80" si="33">J79+$L$10</f>
        <v>0.35499999999999998</v>
      </c>
      <c r="K80" s="97">
        <f t="shared" si="33"/>
        <v>0.32499999999999996</v>
      </c>
      <c r="L80" s="97">
        <f>L79+$L$11</f>
        <v>0.28499999999999998</v>
      </c>
      <c r="M80" s="97">
        <f t="shared" ref="M80:N80" si="34">M79+$L$11</f>
        <v>0.245</v>
      </c>
      <c r="N80" s="97">
        <f t="shared" si="34"/>
        <v>0.22999999999999998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2:33" x14ac:dyDescent="0.3">
      <c r="B81" s="2"/>
      <c r="C81" s="2"/>
      <c r="D81" s="2"/>
      <c r="E81" s="2"/>
      <c r="F81" s="2"/>
      <c r="G81" s="2"/>
      <c r="H81" s="2"/>
      <c r="I81" s="27"/>
      <c r="J81" s="27"/>
      <c r="K81" s="27"/>
      <c r="L81" s="27"/>
      <c r="M81" s="27"/>
      <c r="N81" s="2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2:33" x14ac:dyDescent="0.3">
      <c r="B82" s="2" t="s">
        <v>80</v>
      </c>
      <c r="C82" s="61">
        <f>IS!L20</f>
        <v>-1632</v>
      </c>
      <c r="D82" s="61">
        <f>IS!M20</f>
        <v>-388</v>
      </c>
      <c r="E82" s="61">
        <f>IS!I14</f>
        <v>-69</v>
      </c>
      <c r="F82" s="60">
        <f>IS!D15</f>
        <v>1994</v>
      </c>
      <c r="G82" s="60">
        <f>IS!E15</f>
        <v>6523</v>
      </c>
      <c r="H82" s="60">
        <f>IS!F15</f>
        <v>13656</v>
      </c>
      <c r="I82" s="6">
        <f ca="1">I76*I85</f>
        <v>17530.6224</v>
      </c>
      <c r="J82" s="6">
        <f t="shared" ref="J82:N82" ca="1" si="35">J76*J85</f>
        <v>26032.974264</v>
      </c>
      <c r="K82" s="6">
        <f t="shared" ca="1" si="35"/>
        <v>39179.626267319996</v>
      </c>
      <c r="L82" s="6">
        <f t="shared" ca="1" si="35"/>
        <v>50896.200217737598</v>
      </c>
      <c r="M82" s="6">
        <f t="shared" ca="1" si="35"/>
        <v>58299.283885772151</v>
      </c>
      <c r="N82" s="6">
        <f t="shared" ca="1" si="35"/>
        <v>69084.651404640012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2:33" x14ac:dyDescent="0.3">
      <c r="B83" s="2" t="s">
        <v>234</v>
      </c>
      <c r="C83" s="59">
        <f>C47</f>
        <v>-0.13878731184624543</v>
      </c>
      <c r="D83" s="59">
        <f t="shared" ref="D83:G83" si="36">D47</f>
        <v>-1.8079306649270769E-2</v>
      </c>
      <c r="E83" s="59">
        <f t="shared" si="36"/>
        <v>-2.8073887216209618E-3</v>
      </c>
      <c r="F83" s="59">
        <f t="shared" si="36"/>
        <v>6.3229325215626589E-2</v>
      </c>
      <c r="G83" s="59">
        <f t="shared" si="36"/>
        <v>0.12119354179440016</v>
      </c>
      <c r="H83" s="59">
        <f>H47</f>
        <v>0.16763644398615304</v>
      </c>
      <c r="I83" s="7">
        <f ca="1">OFFSET(I83,$C$11,0)</f>
        <v>0.16</v>
      </c>
      <c r="J83" s="7">
        <f ca="1">OFFSET(J83,$C$11,0)</f>
        <v>0.18</v>
      </c>
      <c r="K83" s="7">
        <f t="shared" ref="K83:N83" ca="1" si="37">OFFSET(K83,$C$11,0)</f>
        <v>0.21</v>
      </c>
      <c r="L83" s="7">
        <f t="shared" ca="1" si="37"/>
        <v>0.22</v>
      </c>
      <c r="M83" s="7">
        <f t="shared" ca="1" si="37"/>
        <v>0.21</v>
      </c>
      <c r="N83" s="7">
        <f t="shared" ca="1" si="37"/>
        <v>0.21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2:33" x14ac:dyDescent="0.3">
      <c r="B84" s="29" t="s">
        <v>71</v>
      </c>
      <c r="C84" s="18"/>
      <c r="D84" s="18"/>
      <c r="E84" s="18"/>
      <c r="F84" s="18"/>
      <c r="G84" s="18"/>
      <c r="H84" s="18"/>
      <c r="I84" s="89">
        <f>I85</f>
        <v>0.16</v>
      </c>
      <c r="J84" s="89">
        <f>J85+$F$12</f>
        <v>0.16999999999999998</v>
      </c>
      <c r="K84" s="89">
        <f t="shared" ref="K84" si="38">K85+$F$12</f>
        <v>0.19999999999999998</v>
      </c>
      <c r="L84" s="89">
        <f>L85+$F$13</f>
        <v>0.2</v>
      </c>
      <c r="M84" s="89">
        <f t="shared" ref="M84:N84" si="39">M85+$F$13</f>
        <v>0.19</v>
      </c>
      <c r="N84" s="90">
        <f t="shared" si="39"/>
        <v>0.19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2:33" x14ac:dyDescent="0.3">
      <c r="B85" s="30" t="s">
        <v>73</v>
      </c>
      <c r="C85" s="6"/>
      <c r="D85" s="2"/>
      <c r="E85" s="2"/>
      <c r="F85" s="2"/>
      <c r="G85" s="2"/>
      <c r="H85" s="2"/>
      <c r="I85" s="82">
        <v>0.16</v>
      </c>
      <c r="J85" s="87">
        <v>0.18</v>
      </c>
      <c r="K85" s="82">
        <v>0.21</v>
      </c>
      <c r="L85" s="82">
        <v>0.22</v>
      </c>
      <c r="M85" s="82">
        <v>0.21</v>
      </c>
      <c r="N85" s="91">
        <v>0.21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2:33" x14ac:dyDescent="0.3">
      <c r="B86" s="31" t="s">
        <v>72</v>
      </c>
      <c r="C86" s="32"/>
      <c r="D86" s="10"/>
      <c r="E86" s="32"/>
      <c r="F86" s="32"/>
      <c r="G86" s="32"/>
      <c r="H86" s="32"/>
      <c r="I86" s="92">
        <f>I85</f>
        <v>0.16</v>
      </c>
      <c r="J86" s="92">
        <f>J85+$L$12</f>
        <v>0.19500000000000001</v>
      </c>
      <c r="K86" s="92">
        <f t="shared" ref="K86" si="40">K85+$L$12</f>
        <v>0.22499999999999998</v>
      </c>
      <c r="L86" s="92">
        <f>L85+$L$13</f>
        <v>0.245</v>
      </c>
      <c r="M86" s="92">
        <f>M85+$L$13</f>
        <v>0.23499999999999999</v>
      </c>
      <c r="N86" s="93">
        <f>N85+$L$13</f>
        <v>0.23499999999999999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2:33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2:33" x14ac:dyDescent="0.3">
      <c r="B88" s="2" t="s">
        <v>95</v>
      </c>
      <c r="C88" s="60">
        <f>C55</f>
        <v>32</v>
      </c>
      <c r="D88" s="60">
        <f t="shared" ref="D88:G88" si="41">D55</f>
        <v>58</v>
      </c>
      <c r="E88" s="60">
        <f t="shared" si="41"/>
        <v>110</v>
      </c>
      <c r="F88" s="60">
        <f t="shared" si="41"/>
        <v>292</v>
      </c>
      <c r="G88" s="60">
        <f t="shared" si="41"/>
        <v>699</v>
      </c>
      <c r="H88" s="60">
        <f>H55</f>
        <v>1132</v>
      </c>
      <c r="I88" s="6">
        <f ca="1">I82*I89</f>
        <v>1753.0622400000002</v>
      </c>
      <c r="J88" s="6">
        <f t="shared" ref="J88:N88" ca="1" si="42">J82*J89</f>
        <v>3904.9461395999997</v>
      </c>
      <c r="K88" s="6">
        <f t="shared" ca="1" si="42"/>
        <v>7052.3327281175989</v>
      </c>
      <c r="L88" s="6">
        <f t="shared" ca="1" si="42"/>
        <v>9161.3160391927668</v>
      </c>
      <c r="M88" s="6">
        <f t="shared" ca="1" si="42"/>
        <v>10493.871099438988</v>
      </c>
      <c r="N88" s="6">
        <f t="shared" ca="1" si="42"/>
        <v>12435.237252835203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2:33" x14ac:dyDescent="0.3">
      <c r="B89" s="2" t="s">
        <v>93</v>
      </c>
      <c r="C89" s="8">
        <f>C88/C82</f>
        <v>-1.9607843137254902E-2</v>
      </c>
      <c r="D89" s="8">
        <f t="shared" ref="D89:H89" si="43">D88/D82</f>
        <v>-0.14948453608247422</v>
      </c>
      <c r="E89" s="8">
        <f t="shared" si="43"/>
        <v>-1.5942028985507246</v>
      </c>
      <c r="F89" s="8">
        <f t="shared" si="43"/>
        <v>0.14643931795386159</v>
      </c>
      <c r="G89" s="8">
        <f t="shared" si="43"/>
        <v>0.10715928253870918</v>
      </c>
      <c r="H89" s="8">
        <f t="shared" si="43"/>
        <v>8.2893966022261276E-2</v>
      </c>
      <c r="I89" s="68">
        <v>0.1</v>
      </c>
      <c r="J89" s="68">
        <v>0.15</v>
      </c>
      <c r="K89" s="68">
        <v>0.18</v>
      </c>
      <c r="L89" s="68">
        <v>0.18</v>
      </c>
      <c r="M89" s="68">
        <v>0.18</v>
      </c>
      <c r="N89" s="68">
        <v>0.18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2:33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2:33" x14ac:dyDescent="0.3">
      <c r="B91" s="56" t="s">
        <v>238</v>
      </c>
      <c r="C91" s="101">
        <f t="shared" ref="C91:G91" si="44">C82-C88</f>
        <v>-1664</v>
      </c>
      <c r="D91" s="101">
        <f t="shared" si="44"/>
        <v>-446</v>
      </c>
      <c r="E91" s="101">
        <f t="shared" si="44"/>
        <v>-179</v>
      </c>
      <c r="F91" s="101">
        <f t="shared" si="44"/>
        <v>1702</v>
      </c>
      <c r="G91" s="101">
        <f t="shared" si="44"/>
        <v>5824</v>
      </c>
      <c r="H91" s="101">
        <f>H82-H88</f>
        <v>12524</v>
      </c>
      <c r="I91" s="101">
        <f ca="1">I82-I88</f>
        <v>15777.560160000001</v>
      </c>
      <c r="J91" s="101">
        <f t="shared" ref="J91:N91" ca="1" si="45">J82-J88</f>
        <v>22128.0281244</v>
      </c>
      <c r="K91" s="101">
        <f t="shared" ca="1" si="45"/>
        <v>32127.293539202397</v>
      </c>
      <c r="L91" s="101">
        <f t="shared" ca="1" si="45"/>
        <v>41734.884178544831</v>
      </c>
      <c r="M91" s="101">
        <f t="shared" ca="1" si="45"/>
        <v>47805.412786333167</v>
      </c>
      <c r="N91" s="101">
        <f t="shared" ca="1" si="45"/>
        <v>56649.414151804813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2:33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2:33" x14ac:dyDescent="0.3">
      <c r="B93" s="2" t="s">
        <v>231</v>
      </c>
      <c r="C93" s="35">
        <f>C64</f>
        <v>1636</v>
      </c>
      <c r="D93" s="35">
        <f t="shared" ref="D93:G93" si="46">D64</f>
        <v>1901</v>
      </c>
      <c r="E93" s="35">
        <f t="shared" si="46"/>
        <v>2154</v>
      </c>
      <c r="F93" s="35">
        <f t="shared" si="46"/>
        <v>2322</v>
      </c>
      <c r="G93" s="35">
        <f t="shared" si="46"/>
        <v>2911</v>
      </c>
      <c r="H93" s="35">
        <f>CF!C6</f>
        <v>3747</v>
      </c>
      <c r="I93" s="6">
        <f ca="1">I76*I94</f>
        <v>4930.4875499999998</v>
      </c>
      <c r="J93" s="6">
        <f t="shared" ref="J93:N93" ca="1" si="47">J76*J94</f>
        <v>6508.2435660000001</v>
      </c>
      <c r="K93" s="6">
        <f t="shared" ca="1" si="47"/>
        <v>6529.9377112200009</v>
      </c>
      <c r="L93" s="6">
        <f t="shared" ca="1" si="47"/>
        <v>8097.1227619128013</v>
      </c>
      <c r="M93" s="6">
        <f t="shared" ca="1" si="47"/>
        <v>9716.5473142953597</v>
      </c>
      <c r="N93" s="6">
        <f t="shared" ca="1" si="47"/>
        <v>11514.108567440004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2:33" x14ac:dyDescent="0.3">
      <c r="B94" s="2" t="s">
        <v>234</v>
      </c>
      <c r="C94" s="36">
        <f>C93/C35</f>
        <v>0.13912747682626073</v>
      </c>
      <c r="D94" s="36">
        <f>D93/D35</f>
        <v>8.8579283351195193E-2</v>
      </c>
      <c r="E94" s="36">
        <f>E93/E35</f>
        <v>8.7639352266254369E-2</v>
      </c>
      <c r="F94" s="36">
        <f>F93/F35</f>
        <v>7.3630136986301373E-2</v>
      </c>
      <c r="G94" s="36">
        <f>G93/G35</f>
        <v>5.4084684985972541E-2</v>
      </c>
      <c r="H94" s="36">
        <f>H93/H76</f>
        <v>4.5996906533107458E-2</v>
      </c>
      <c r="I94" s="68">
        <v>4.4999999999999998E-2</v>
      </c>
      <c r="J94" s="82">
        <v>4.4999999999999998E-2</v>
      </c>
      <c r="K94" s="82">
        <v>3.5000000000000003E-2</v>
      </c>
      <c r="L94" s="82">
        <v>3.5000000000000003E-2</v>
      </c>
      <c r="M94" s="82">
        <v>3.5000000000000003E-2</v>
      </c>
      <c r="N94" s="82">
        <v>3.5000000000000003E-2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2:33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2:33" x14ac:dyDescent="0.3">
      <c r="B96" s="2" t="s">
        <v>233</v>
      </c>
      <c r="C96" s="35">
        <f>C68</f>
        <v>-3415</v>
      </c>
      <c r="D96" s="35">
        <f t="shared" ref="D96:G96" si="48">D68</f>
        <v>-2101</v>
      </c>
      <c r="E96" s="35">
        <f t="shared" si="48"/>
        <v>-1327</v>
      </c>
      <c r="F96" s="35">
        <f t="shared" si="48"/>
        <v>-3157</v>
      </c>
      <c r="G96" s="35">
        <f t="shared" si="48"/>
        <v>-6482</v>
      </c>
      <c r="H96" s="35">
        <f>CF!C24</f>
        <v>-7158</v>
      </c>
      <c r="I96" s="6">
        <f ca="1">I76*I97</f>
        <v>-7669.6473000000005</v>
      </c>
      <c r="J96" s="6">
        <f t="shared" ref="J96:N96" ca="1" si="49">J76*J97</f>
        <v>-8677.6580880000001</v>
      </c>
      <c r="K96" s="6">
        <f t="shared" ca="1" si="49"/>
        <v>-9328.4824446000002</v>
      </c>
      <c r="L96" s="6">
        <f t="shared" ca="1" si="49"/>
        <v>-11567.318231304002</v>
      </c>
      <c r="M96" s="6">
        <f t="shared" ca="1" si="49"/>
        <v>-13880.781877564799</v>
      </c>
      <c r="N96" s="6">
        <f t="shared" ca="1" si="49"/>
        <v>-16448.726524914291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2:33" x14ac:dyDescent="0.3">
      <c r="B97" s="2" t="s">
        <v>234</v>
      </c>
      <c r="C97" s="36">
        <f>C69</f>
        <v>-0.29041585168806872</v>
      </c>
      <c r="D97" s="36">
        <f t="shared" ref="D97:G97" si="50">D69</f>
        <v>-9.7898513582778068E-2</v>
      </c>
      <c r="E97" s="36">
        <f t="shared" si="50"/>
        <v>-5.3991374399869806E-2</v>
      </c>
      <c r="F97" s="36">
        <f t="shared" si="50"/>
        <v>-0.1001078132927448</v>
      </c>
      <c r="G97" s="36">
        <f t="shared" si="50"/>
        <v>-0.12043178566783717</v>
      </c>
      <c r="H97" s="36">
        <f>H96/H35</f>
        <v>-8.7869190542829781E-2</v>
      </c>
      <c r="I97" s="68">
        <v>-7.0000000000000007E-2</v>
      </c>
      <c r="J97" s="68">
        <v>-0.06</v>
      </c>
      <c r="K97" s="68">
        <v>-0.05</v>
      </c>
      <c r="L97" s="68">
        <v>-0.05</v>
      </c>
      <c r="M97" s="68">
        <v>-0.05</v>
      </c>
      <c r="N97" s="68">
        <v>-0.05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2:33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2:33" x14ac:dyDescent="0.3">
      <c r="B99" s="2" t="s">
        <v>239</v>
      </c>
      <c r="C99" s="55">
        <f>C71</f>
        <v>-497</v>
      </c>
      <c r="D99" s="55">
        <f t="shared" ref="D99:G99" si="51">D71</f>
        <v>58</v>
      </c>
      <c r="E99" s="55">
        <f t="shared" si="51"/>
        <v>-349</v>
      </c>
      <c r="F99" s="55">
        <f t="shared" si="51"/>
        <v>184</v>
      </c>
      <c r="G99" s="55">
        <f t="shared" si="51"/>
        <v>518</v>
      </c>
      <c r="H99" s="100">
        <f>H76*H100</f>
        <v>25.641169010837917</v>
      </c>
      <c r="I99" s="100">
        <f t="shared" ref="I99:N99" ca="1" si="52">I76*I100</f>
        <v>34.487372319576998</v>
      </c>
      <c r="J99" s="100">
        <f ca="1">J76*J100</f>
        <v>45.523331461841636</v>
      </c>
      <c r="K99" s="100">
        <f t="shared" ca="1" si="52"/>
        <v>58.725097585775714</v>
      </c>
      <c r="L99" s="100">
        <f t="shared" ca="1" si="52"/>
        <v>72.819121006361883</v>
      </c>
      <c r="M99" s="100">
        <f t="shared" ca="1" si="52"/>
        <v>87.382945207634251</v>
      </c>
      <c r="N99" s="100">
        <f t="shared" ca="1" si="52"/>
        <v>103.54879007104661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2:33" x14ac:dyDescent="0.3">
      <c r="B100" s="2" t="s">
        <v>234</v>
      </c>
      <c r="C100" s="36">
        <f>C72</f>
        <v>-4.226549876690195E-2</v>
      </c>
      <c r="D100" s="8">
        <v>0</v>
      </c>
      <c r="E100" s="36">
        <f t="shared" ref="E100:G100" si="53">E72</f>
        <v>-1.4199690780372691E-2</v>
      </c>
      <c r="F100" s="36">
        <f t="shared" si="53"/>
        <v>5.8346017250126836E-3</v>
      </c>
      <c r="G100" s="36">
        <f t="shared" si="53"/>
        <v>9.6241383795031867E-3</v>
      </c>
      <c r="H100" s="107">
        <f>AVERAGE(D100:G100)</f>
        <v>3.1476233103579481E-4</v>
      </c>
      <c r="I100" s="95">
        <f>H100</f>
        <v>3.1476233103579481E-4</v>
      </c>
      <c r="J100" s="102">
        <f>H100</f>
        <v>3.1476233103579481E-4</v>
      </c>
      <c r="K100" s="95">
        <f>H100</f>
        <v>3.1476233103579481E-4</v>
      </c>
      <c r="L100" s="98">
        <f>H100</f>
        <v>3.1476233103579481E-4</v>
      </c>
      <c r="M100" s="98">
        <f>H100</f>
        <v>3.1476233103579481E-4</v>
      </c>
      <c r="N100" s="98">
        <f>H100</f>
        <v>3.1476233103579481E-4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2:33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2:33" x14ac:dyDescent="0.3">
      <c r="B102" s="109" t="s">
        <v>252</v>
      </c>
      <c r="C102" s="110"/>
      <c r="D102" s="110"/>
      <c r="E102" s="110"/>
      <c r="F102" s="110"/>
      <c r="G102" s="110"/>
      <c r="H102" s="110"/>
      <c r="I102" s="110">
        <f ca="1">I91+I93+I96-I99</f>
        <v>13003.913037680421</v>
      </c>
      <c r="J102" s="110">
        <f t="shared" ref="J102:N102" ca="1" si="54">J91+J93+J96-J99</f>
        <v>19913.090270938159</v>
      </c>
      <c r="K102" s="110">
        <f ca="1">K91+K93+K96-K99</f>
        <v>29270.023708236622</v>
      </c>
      <c r="L102" s="110">
        <f t="shared" ca="1" si="54"/>
        <v>38191.869588147274</v>
      </c>
      <c r="M102" s="110">
        <f t="shared" ca="1" si="54"/>
        <v>43553.795277856094</v>
      </c>
      <c r="N102" s="111">
        <f t="shared" ca="1" si="54"/>
        <v>51611.247404259484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2:33" x14ac:dyDescent="0.3">
      <c r="B103" s="112" t="s">
        <v>253</v>
      </c>
      <c r="C103" s="113"/>
      <c r="D103" s="113"/>
      <c r="E103" s="113"/>
      <c r="F103" s="113"/>
      <c r="G103" s="113"/>
      <c r="H103" s="113"/>
      <c r="I103" s="114">
        <f t="shared" ref="I103:N103" ca="1" si="55">I102/(1+wacc)^I73</f>
        <v>11645.805747103954</v>
      </c>
      <c r="J103" s="114">
        <f t="shared" ca="1" si="55"/>
        <v>15970.908920589451</v>
      </c>
      <c r="K103" s="114">
        <f t="shared" ca="1" si="55"/>
        <v>21023.718356472356</v>
      </c>
      <c r="L103" s="114">
        <f t="shared" ca="1" si="55"/>
        <v>24567.041509608254</v>
      </c>
      <c r="M103" s="114">
        <f t="shared" ca="1" si="55"/>
        <v>25090.160044202825</v>
      </c>
      <c r="N103" s="114">
        <f t="shared" ca="1" si="55"/>
        <v>26626.695217997789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2:33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2:33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2:33" x14ac:dyDescent="0.3">
      <c r="B106" s="62" t="s">
        <v>254</v>
      </c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104">
        <f ca="1">N102*(1+tgr)/(wacc-tgr)</f>
        <v>577415.91626963043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2:33" x14ac:dyDescent="0.3">
      <c r="B107" s="62" t="s">
        <v>255</v>
      </c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104">
        <f ca="1">N106/(1+wacc)^N73</f>
        <v>297893.93571726588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2:33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2:33" x14ac:dyDescent="0.3">
      <c r="B109" s="2" t="s">
        <v>256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>
        <f ca="1">SUM(I103:N103)+N107</f>
        <v>422818.26551324048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2:33" x14ac:dyDescent="0.3">
      <c r="B110" s="2" t="s">
        <v>257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f>WACC!E17</f>
        <v>3553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2:33" x14ac:dyDescent="0.3">
      <c r="B111" s="2" t="s">
        <v>258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5">
        <f>BS!D4+BS!D5</f>
        <v>22185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2:33" x14ac:dyDescent="0.3">
      <c r="B112" s="18" t="s">
        <v>259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23">
        <f ca="1">N109-N110+N111</f>
        <v>441450.26551324048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2:33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5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2:33" x14ac:dyDescent="0.3">
      <c r="B114" s="2" t="s">
        <v>260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>
        <v>3710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2:33" x14ac:dyDescent="0.3">
      <c r="B115" s="155" t="s">
        <v>261</v>
      </c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7">
        <f ca="1">N112/N114</f>
        <v>118.98928989575215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2:33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2:33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2:33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2:33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2:33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2:33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2:33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2:33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2:33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2:33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2:33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2:33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2:33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2:33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2:33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2:33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2:33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2:33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2:33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2:33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2:33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2:33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2:33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2:33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2:33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2:33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2:33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2:33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2:33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2:33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2:33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2:33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2:33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2:33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2:33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2:33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2:33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2:33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2:33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2:33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2:33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2:33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2:33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2:33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2:33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2:33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2:33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2:33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2:33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2:33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2:33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2:33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2:33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2:33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2:33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2:33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2:33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2:33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2:33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2:33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2:33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2:33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2:33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2:33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2:33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2:33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2:33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2:33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2:33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2:33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2:33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2:33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2:33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2:33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2:33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2:33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2:33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2:33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2:33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2:33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2:33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2:33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2:33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2:33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2:33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2:33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2:33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2:33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2:33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2:33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2:33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2:33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2:33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2:33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2:33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2:33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2:33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2:33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2:33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2:33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2:33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2:33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2:33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2:33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2:33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2:33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2:33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2:33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2:33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2:33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2:33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2:33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2:33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2:33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2:33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2:33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2:33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2:33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2:33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2:33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2:33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2:33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2:33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2:33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2:33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2:33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2:33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2:33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2:33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2:33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2:33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2:33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2:33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2:33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2:33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2:33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2:33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</sheetData>
  <mergeCells count="1">
    <mergeCell ref="A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AADB-8735-43D6-9854-2403BEA3D912}">
  <dimension ref="B2:G25"/>
  <sheetViews>
    <sheetView workbookViewId="0">
      <selection activeCell="E25" sqref="E25"/>
    </sheetView>
  </sheetViews>
  <sheetFormatPr defaultRowHeight="14.4" x14ac:dyDescent="0.3"/>
  <cols>
    <col min="1" max="1" width="5.109375" style="1" customWidth="1"/>
    <col min="2" max="2" width="11.33203125" style="1" customWidth="1"/>
    <col min="3" max="4" width="8.88671875" style="1"/>
    <col min="5" max="5" width="13.77734375" style="1" customWidth="1"/>
    <col min="6" max="16384" width="8.88671875" style="1"/>
  </cols>
  <sheetData>
    <row r="2" spans="2:7" x14ac:dyDescent="0.3">
      <c r="B2" s="117" t="s">
        <v>279</v>
      </c>
      <c r="C2" s="117"/>
    </row>
    <row r="3" spans="2:7" x14ac:dyDescent="0.3">
      <c r="B3" s="118"/>
      <c r="C3" s="118"/>
    </row>
    <row r="6" spans="2:7" x14ac:dyDescent="0.3">
      <c r="B6" s="1" t="s">
        <v>293</v>
      </c>
    </row>
    <row r="7" spans="2:7" x14ac:dyDescent="0.3">
      <c r="B7" s="1" t="s">
        <v>294</v>
      </c>
    </row>
    <row r="9" spans="2:7" x14ac:dyDescent="0.3">
      <c r="B9" s="73" t="s">
        <v>279</v>
      </c>
      <c r="C9" s="74"/>
      <c r="D9" s="74"/>
      <c r="E9" s="74"/>
      <c r="F9" s="74"/>
      <c r="G9" s="74"/>
    </row>
    <row r="10" spans="2:7" x14ac:dyDescent="0.3">
      <c r="B10" s="1" t="s">
        <v>305</v>
      </c>
      <c r="E10" s="6">
        <v>622980</v>
      </c>
      <c r="F10" s="1" t="s">
        <v>306</v>
      </c>
    </row>
    <row r="11" spans="2:7" x14ac:dyDescent="0.3">
      <c r="B11" s="1" t="s">
        <v>295</v>
      </c>
      <c r="E11" s="8">
        <f>E10/(E10+E17)</f>
        <v>0.99432910956007103</v>
      </c>
    </row>
    <row r="12" spans="2:7" x14ac:dyDescent="0.3">
      <c r="B12" s="1" t="s">
        <v>296</v>
      </c>
      <c r="E12" s="106">
        <f>E13+E14*E15</f>
        <v>0.11715199999999999</v>
      </c>
    </row>
    <row r="13" spans="2:7" x14ac:dyDescent="0.3">
      <c r="B13" s="1" t="s">
        <v>297</v>
      </c>
      <c r="E13" s="86">
        <v>3.5000000000000003E-2</v>
      </c>
    </row>
    <row r="14" spans="2:7" x14ac:dyDescent="0.3">
      <c r="B14" s="1" t="s">
        <v>298</v>
      </c>
      <c r="E14" s="64">
        <v>1.68</v>
      </c>
    </row>
    <row r="15" spans="2:7" x14ac:dyDescent="0.3">
      <c r="B15" s="1" t="s">
        <v>299</v>
      </c>
      <c r="E15" s="86">
        <v>4.8899999999999999E-2</v>
      </c>
      <c r="G15" s="122" t="s">
        <v>307</v>
      </c>
    </row>
    <row r="16" spans="2:7" x14ac:dyDescent="0.3">
      <c r="E16" s="2"/>
    </row>
    <row r="17" spans="2:5" x14ac:dyDescent="0.3">
      <c r="B17" s="1" t="s">
        <v>300</v>
      </c>
      <c r="E17" s="64">
        <f>1457+2096</f>
        <v>3553</v>
      </c>
    </row>
    <row r="18" spans="2:5" x14ac:dyDescent="0.3">
      <c r="B18" s="1" t="s">
        <v>301</v>
      </c>
      <c r="E18" s="8">
        <f>E17/(E17+E10)</f>
        <v>5.6708904399289427E-3</v>
      </c>
    </row>
    <row r="19" spans="2:5" x14ac:dyDescent="0.3">
      <c r="B19" s="1" t="s">
        <v>302</v>
      </c>
      <c r="E19" s="86">
        <v>2.5000000000000001E-2</v>
      </c>
    </row>
    <row r="20" spans="2:5" x14ac:dyDescent="0.3">
      <c r="B20" s="1" t="s">
        <v>303</v>
      </c>
      <c r="E20" s="103">
        <f>DCF!H55/DCF!H52</f>
        <v>8.2513302718857054E-2</v>
      </c>
    </row>
    <row r="21" spans="2:5" x14ac:dyDescent="0.3">
      <c r="E21" s="2"/>
    </row>
    <row r="22" spans="2:5" x14ac:dyDescent="0.3">
      <c r="E22" s="2"/>
    </row>
    <row r="23" spans="2:5" x14ac:dyDescent="0.3">
      <c r="B23" s="1" t="s">
        <v>304</v>
      </c>
      <c r="E23" s="2"/>
    </row>
    <row r="24" spans="2:5" x14ac:dyDescent="0.3">
      <c r="E24" s="2"/>
    </row>
    <row r="25" spans="2:5" x14ac:dyDescent="0.3">
      <c r="B25" s="1" t="s">
        <v>279</v>
      </c>
      <c r="E25" s="108">
        <f>(E11*E12)+(E18*E19)*(1-E20)</f>
        <v>0.11661771800669077</v>
      </c>
    </row>
  </sheetData>
  <mergeCells count="1">
    <mergeCell ref="B2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9CFE-BE90-400B-91AF-FF66ABB8181A}">
  <dimension ref="A1:M57"/>
  <sheetViews>
    <sheetView topLeftCell="B1" workbookViewId="0">
      <selection activeCell="I19" sqref="I19"/>
    </sheetView>
  </sheetViews>
  <sheetFormatPr defaultRowHeight="14.4" x14ac:dyDescent="0.3"/>
  <cols>
    <col min="2" max="2" width="35.21875" customWidth="1"/>
    <col min="3" max="3" width="14" customWidth="1"/>
    <col min="4" max="4" width="12.44140625" customWidth="1"/>
    <col min="5" max="5" width="16" customWidth="1"/>
    <col min="6" max="6" width="15.109375" customWidth="1"/>
    <col min="7" max="7" width="0.77734375" style="19" customWidth="1"/>
    <col min="8" max="8" width="48.77734375" customWidth="1"/>
    <col min="9" max="9" width="14.21875" customWidth="1"/>
    <col min="10" max="10" width="1.21875" style="19" customWidth="1"/>
    <col min="11" max="11" width="49.6640625" customWidth="1"/>
    <col min="12" max="12" width="13.33203125" customWidth="1"/>
    <col min="13" max="13" width="14.33203125" customWidth="1"/>
    <col min="14" max="14" width="14.88671875" customWidth="1"/>
  </cols>
  <sheetData>
    <row r="1" spans="1:13" ht="14.4" customHeight="1" x14ac:dyDescent="0.3">
      <c r="A1" s="120" t="s">
        <v>17</v>
      </c>
      <c r="B1" s="120"/>
      <c r="C1" s="120"/>
      <c r="D1" s="120"/>
      <c r="E1" s="120"/>
    </row>
    <row r="2" spans="1:13" x14ac:dyDescent="0.3">
      <c r="A2" s="120"/>
      <c r="B2" s="120"/>
      <c r="C2" s="120"/>
      <c r="D2" s="120"/>
      <c r="E2" s="120"/>
      <c r="L2" s="12" t="s">
        <v>91</v>
      </c>
      <c r="M2" s="12" t="s">
        <v>90</v>
      </c>
    </row>
    <row r="3" spans="1:13" x14ac:dyDescent="0.3">
      <c r="D3" s="121" t="s">
        <v>18</v>
      </c>
      <c r="E3" s="119"/>
      <c r="F3" s="119"/>
      <c r="I3" s="11" t="s">
        <v>56</v>
      </c>
      <c r="K3" s="13" t="s">
        <v>22</v>
      </c>
    </row>
    <row r="4" spans="1:13" x14ac:dyDescent="0.3">
      <c r="D4" s="11" t="s">
        <v>21</v>
      </c>
      <c r="E4" s="11" t="s">
        <v>20</v>
      </c>
      <c r="F4" s="11" t="s">
        <v>19</v>
      </c>
      <c r="G4" s="20"/>
      <c r="H4" s="13" t="s">
        <v>22</v>
      </c>
      <c r="K4" s="14"/>
      <c r="M4" s="15"/>
    </row>
    <row r="5" spans="1:13" x14ac:dyDescent="0.3">
      <c r="B5" s="13" t="s">
        <v>22</v>
      </c>
      <c r="D5" s="11"/>
      <c r="E5" s="11"/>
      <c r="F5" s="11"/>
      <c r="H5" s="14" t="s">
        <v>24</v>
      </c>
      <c r="I5" s="15">
        <v>24578</v>
      </c>
      <c r="K5" s="14" t="s">
        <v>50</v>
      </c>
      <c r="L5" s="15">
        <v>1106548</v>
      </c>
      <c r="M5" s="16">
        <v>883461</v>
      </c>
    </row>
    <row r="6" spans="1:13" x14ac:dyDescent="0.3">
      <c r="B6" s="14" t="s">
        <v>24</v>
      </c>
      <c r="D6" s="15">
        <v>31536</v>
      </c>
      <c r="E6" s="15">
        <v>53823</v>
      </c>
      <c r="F6" s="15">
        <v>81462</v>
      </c>
      <c r="G6" s="21"/>
      <c r="H6" s="13" t="s">
        <v>25</v>
      </c>
      <c r="K6" s="14" t="s">
        <v>51</v>
      </c>
      <c r="L6" s="16">
        <v>9641300</v>
      </c>
      <c r="M6" s="16">
        <v>18514983</v>
      </c>
    </row>
    <row r="7" spans="1:13" x14ac:dyDescent="0.3">
      <c r="B7" s="13" t="s">
        <v>25</v>
      </c>
      <c r="D7" s="14" t="s">
        <v>23</v>
      </c>
      <c r="E7" s="14" t="s">
        <v>23</v>
      </c>
      <c r="F7" s="14" t="s">
        <v>23</v>
      </c>
      <c r="H7" s="14" t="s">
        <v>26</v>
      </c>
      <c r="I7" s="16">
        <v>20509</v>
      </c>
      <c r="K7" s="14" t="s">
        <v>82</v>
      </c>
      <c r="L7" s="16">
        <v>1001185</v>
      </c>
      <c r="M7" s="16">
        <v>1391041</v>
      </c>
    </row>
    <row r="8" spans="1:13" x14ac:dyDescent="0.3">
      <c r="B8" s="14" t="s">
        <v>26</v>
      </c>
      <c r="D8" s="16">
        <v>24906</v>
      </c>
      <c r="E8" s="16">
        <v>40217</v>
      </c>
      <c r="F8" s="16">
        <v>60609</v>
      </c>
      <c r="G8" s="22"/>
      <c r="H8" s="14" t="s">
        <v>27</v>
      </c>
      <c r="I8" s="16">
        <v>4069</v>
      </c>
      <c r="K8" s="13" t="s">
        <v>24</v>
      </c>
      <c r="L8" s="34">
        <v>11758751</v>
      </c>
      <c r="M8" s="34">
        <v>21461268</v>
      </c>
    </row>
    <row r="9" spans="1:13" x14ac:dyDescent="0.3">
      <c r="B9" s="14" t="s">
        <v>27</v>
      </c>
      <c r="D9" s="16">
        <v>6630</v>
      </c>
      <c r="E9" s="16">
        <v>13606</v>
      </c>
      <c r="F9" s="16">
        <v>20853</v>
      </c>
      <c r="G9" s="22"/>
      <c r="H9" s="13" t="s">
        <v>28</v>
      </c>
      <c r="K9" s="13" t="s">
        <v>25</v>
      </c>
    </row>
    <row r="10" spans="1:13" x14ac:dyDescent="0.3">
      <c r="B10" s="13" t="s">
        <v>28</v>
      </c>
      <c r="D10" s="14" t="s">
        <v>23</v>
      </c>
      <c r="E10" s="14" t="s">
        <v>23</v>
      </c>
      <c r="F10" s="14" t="s">
        <v>23</v>
      </c>
      <c r="H10" s="14" t="s">
        <v>29</v>
      </c>
      <c r="I10" s="16">
        <v>1343</v>
      </c>
      <c r="K10" s="14" t="s">
        <v>50</v>
      </c>
      <c r="L10" s="16">
        <v>708224</v>
      </c>
      <c r="M10" s="16">
        <v>488425</v>
      </c>
    </row>
    <row r="11" spans="1:13" x14ac:dyDescent="0.3">
      <c r="B11" s="14" t="s">
        <v>29</v>
      </c>
      <c r="D11" s="16">
        <v>1491</v>
      </c>
      <c r="E11" s="16">
        <v>2593</v>
      </c>
      <c r="F11" s="16">
        <v>3075</v>
      </c>
      <c r="G11" s="22"/>
      <c r="H11" s="14" t="s">
        <v>30</v>
      </c>
      <c r="I11" s="16">
        <v>2646</v>
      </c>
      <c r="K11" s="14" t="s">
        <v>52</v>
      </c>
      <c r="L11" s="16">
        <v>7432704</v>
      </c>
      <c r="M11" s="16">
        <v>14173997</v>
      </c>
    </row>
    <row r="12" spans="1:13" x14ac:dyDescent="0.3">
      <c r="B12" s="14" t="s">
        <v>30</v>
      </c>
      <c r="D12" s="16">
        <v>3145</v>
      </c>
      <c r="E12" s="16">
        <v>4517</v>
      </c>
      <c r="F12" s="16">
        <v>3946</v>
      </c>
      <c r="G12" s="22"/>
      <c r="H12" s="14" t="s">
        <v>31</v>
      </c>
      <c r="I12" s="16">
        <v>149</v>
      </c>
      <c r="K12" s="14" t="s">
        <v>82</v>
      </c>
      <c r="L12" s="16">
        <v>1229022</v>
      </c>
      <c r="M12" s="16">
        <v>1880354</v>
      </c>
    </row>
    <row r="13" spans="1:13" x14ac:dyDescent="0.3">
      <c r="B13" s="14" t="s">
        <v>31</v>
      </c>
      <c r="D13" s="16">
        <v>0</v>
      </c>
      <c r="E13" s="16">
        <v>-27</v>
      </c>
      <c r="F13" s="16">
        <v>176</v>
      </c>
      <c r="G13" s="22"/>
      <c r="H13" s="14" t="s">
        <v>32</v>
      </c>
      <c r="I13" s="16">
        <v>4138</v>
      </c>
      <c r="K13" s="14" t="s">
        <v>26</v>
      </c>
      <c r="L13" s="16">
        <v>9536264</v>
      </c>
      <c r="M13" s="16">
        <v>17419247</v>
      </c>
    </row>
    <row r="14" spans="1:13" x14ac:dyDescent="0.3">
      <c r="B14" s="14" t="s">
        <v>32</v>
      </c>
      <c r="D14" s="16">
        <v>4636</v>
      </c>
      <c r="E14" s="16">
        <v>7083</v>
      </c>
      <c r="F14" s="16">
        <v>7197</v>
      </c>
      <c r="G14" s="22"/>
      <c r="H14" s="14" t="s">
        <v>57</v>
      </c>
      <c r="I14" s="16">
        <v>-69</v>
      </c>
      <c r="K14" s="13" t="s">
        <v>27</v>
      </c>
      <c r="L14" s="34">
        <v>2222487</v>
      </c>
      <c r="M14" s="34">
        <v>4042021</v>
      </c>
    </row>
    <row r="15" spans="1:13" x14ac:dyDescent="0.3">
      <c r="B15" s="14" t="s">
        <v>33</v>
      </c>
      <c r="D15" s="16">
        <v>1994</v>
      </c>
      <c r="E15" s="16">
        <v>6523</v>
      </c>
      <c r="F15" s="16">
        <v>13656</v>
      </c>
      <c r="G15" s="22"/>
      <c r="H15" s="14" t="s">
        <v>34</v>
      </c>
      <c r="I15" s="16">
        <v>44</v>
      </c>
      <c r="K15" s="13" t="s">
        <v>28</v>
      </c>
    </row>
    <row r="16" spans="1:13" x14ac:dyDescent="0.3">
      <c r="B16" s="14" t="s">
        <v>34</v>
      </c>
      <c r="D16" s="16">
        <v>30</v>
      </c>
      <c r="E16" s="16">
        <v>56</v>
      </c>
      <c r="F16" s="16">
        <v>297</v>
      </c>
      <c r="G16" s="22"/>
      <c r="H16" s="14" t="s">
        <v>35</v>
      </c>
      <c r="I16" s="16">
        <v>-685</v>
      </c>
      <c r="K16" s="14" t="s">
        <v>29</v>
      </c>
      <c r="L16" s="16">
        <v>1378073</v>
      </c>
      <c r="M16" s="16">
        <v>1460370</v>
      </c>
    </row>
    <row r="17" spans="2:13" x14ac:dyDescent="0.3">
      <c r="B17" s="14" t="s">
        <v>35</v>
      </c>
      <c r="D17" s="16">
        <v>-748</v>
      </c>
      <c r="E17" s="16">
        <v>-371</v>
      </c>
      <c r="F17" s="16">
        <v>-191</v>
      </c>
      <c r="G17" s="22"/>
      <c r="H17" s="14" t="s">
        <v>58</v>
      </c>
      <c r="I17" s="16">
        <v>45</v>
      </c>
      <c r="K17" s="14" t="s">
        <v>30</v>
      </c>
      <c r="L17" s="16">
        <v>2476500</v>
      </c>
      <c r="M17" s="16">
        <v>2834491</v>
      </c>
    </row>
    <row r="18" spans="2:13" x14ac:dyDescent="0.3">
      <c r="B18" s="14" t="s">
        <v>36</v>
      </c>
      <c r="D18" s="16">
        <v>-122</v>
      </c>
      <c r="E18" s="16">
        <v>135</v>
      </c>
      <c r="F18" s="16">
        <v>-43</v>
      </c>
      <c r="G18" s="22"/>
      <c r="H18" s="14" t="s">
        <v>59</v>
      </c>
      <c r="I18" s="16">
        <v>-665</v>
      </c>
      <c r="K18" s="14" t="s">
        <v>31</v>
      </c>
      <c r="M18" s="16">
        <v>135233</v>
      </c>
    </row>
    <row r="19" spans="2:13" x14ac:dyDescent="0.3">
      <c r="B19" s="14" t="s">
        <v>37</v>
      </c>
      <c r="D19" s="16">
        <v>1154</v>
      </c>
      <c r="E19" s="16">
        <v>6343</v>
      </c>
      <c r="F19" s="16">
        <v>13719</v>
      </c>
      <c r="G19" s="22"/>
      <c r="H19" s="14" t="s">
        <v>38</v>
      </c>
      <c r="I19" s="16">
        <v>110</v>
      </c>
      <c r="K19" s="14" t="s">
        <v>32</v>
      </c>
      <c r="L19" s="16">
        <v>3854573</v>
      </c>
      <c r="M19" s="16">
        <v>4430094</v>
      </c>
    </row>
    <row r="20" spans="2:13" x14ac:dyDescent="0.3">
      <c r="B20" s="14" t="s">
        <v>38</v>
      </c>
      <c r="D20" s="16">
        <v>292</v>
      </c>
      <c r="E20" s="16">
        <v>699</v>
      </c>
      <c r="F20" s="16">
        <v>1132</v>
      </c>
      <c r="G20" s="22"/>
      <c r="H20" s="14" t="s">
        <v>60</v>
      </c>
      <c r="I20" s="16">
        <v>-775</v>
      </c>
      <c r="K20" s="13" t="s">
        <v>83</v>
      </c>
      <c r="L20" s="34">
        <v>-1632</v>
      </c>
      <c r="M20" s="34">
        <v>-388</v>
      </c>
    </row>
    <row r="21" spans="2:13" ht="28.8" x14ac:dyDescent="0.3">
      <c r="B21" s="14" t="s">
        <v>39</v>
      </c>
      <c r="D21" s="16">
        <v>862</v>
      </c>
      <c r="E21" s="16">
        <v>5644</v>
      </c>
      <c r="F21" s="16">
        <v>12587</v>
      </c>
      <c r="G21" s="22"/>
      <c r="H21" s="14" t="s">
        <v>40</v>
      </c>
      <c r="I21" s="16">
        <v>87</v>
      </c>
      <c r="K21" s="14" t="s">
        <v>34</v>
      </c>
      <c r="L21" s="16">
        <v>19686</v>
      </c>
      <c r="M21" s="16">
        <v>24533</v>
      </c>
    </row>
    <row r="22" spans="2:13" ht="43.2" x14ac:dyDescent="0.3">
      <c r="B22" s="14" t="s">
        <v>40</v>
      </c>
      <c r="D22" s="16">
        <v>141</v>
      </c>
      <c r="E22" s="16">
        <v>125</v>
      </c>
      <c r="F22" s="16">
        <v>31</v>
      </c>
      <c r="G22" s="22"/>
      <c r="H22" s="14" t="s">
        <v>61</v>
      </c>
      <c r="I22" s="16">
        <v>-862</v>
      </c>
      <c r="K22" s="14" t="s">
        <v>35</v>
      </c>
      <c r="L22" s="16">
        <v>-471259</v>
      </c>
      <c r="M22" s="16">
        <v>-663071</v>
      </c>
    </row>
    <row r="23" spans="2:13" ht="28.8" x14ac:dyDescent="0.3">
      <c r="B23" s="14" t="s">
        <v>41</v>
      </c>
      <c r="D23" s="15">
        <v>721</v>
      </c>
      <c r="E23" s="15">
        <v>5519</v>
      </c>
      <c r="F23" s="15">
        <v>12556</v>
      </c>
      <c r="G23" s="22"/>
      <c r="H23" s="14" t="s">
        <v>62</v>
      </c>
      <c r="I23" s="16">
        <v>8</v>
      </c>
      <c r="K23" s="14" t="s">
        <v>58</v>
      </c>
      <c r="L23" s="16">
        <v>-125373</v>
      </c>
      <c r="M23" s="16">
        <v>21866</v>
      </c>
    </row>
    <row r="24" spans="2:13" ht="28.8" x14ac:dyDescent="0.3">
      <c r="B24" s="13" t="s">
        <v>42</v>
      </c>
      <c r="D24" s="14" t="s">
        <v>23</v>
      </c>
      <c r="E24" s="14" t="s">
        <v>23</v>
      </c>
      <c r="F24" s="14" t="s">
        <v>23</v>
      </c>
      <c r="G24" s="22"/>
      <c r="H24" s="14" t="s">
        <v>63</v>
      </c>
      <c r="I24" s="15">
        <v>-870</v>
      </c>
      <c r="K24" s="48" t="s">
        <v>84</v>
      </c>
      <c r="L24" s="49">
        <v>-2209</v>
      </c>
      <c r="M24" s="49">
        <v>-1005</v>
      </c>
    </row>
    <row r="25" spans="2:13" ht="28.8" x14ac:dyDescent="0.3">
      <c r="B25" s="14" t="s">
        <v>43</v>
      </c>
      <c r="C25" s="14" t="s">
        <v>44</v>
      </c>
      <c r="D25" s="17">
        <v>0.25</v>
      </c>
      <c r="E25" s="17">
        <v>1.87</v>
      </c>
      <c r="F25" s="17">
        <v>4.0199999999999996</v>
      </c>
      <c r="G25" s="21"/>
      <c r="H25" s="13" t="s">
        <v>64</v>
      </c>
      <c r="K25" s="48" t="s">
        <v>38</v>
      </c>
      <c r="L25" s="49">
        <v>32</v>
      </c>
      <c r="M25" s="49">
        <v>58</v>
      </c>
    </row>
    <row r="26" spans="2:13" x14ac:dyDescent="0.3">
      <c r="B26" s="14" t="s">
        <v>45</v>
      </c>
      <c r="C26" s="14" t="s">
        <v>44</v>
      </c>
      <c r="D26" s="17">
        <v>0.21</v>
      </c>
      <c r="E26" s="17">
        <v>1.63</v>
      </c>
      <c r="F26" s="17">
        <v>3.62</v>
      </c>
      <c r="H26" s="14" t="s">
        <v>43</v>
      </c>
      <c r="I26" s="17">
        <v>-0.98</v>
      </c>
      <c r="K26" s="13" t="s">
        <v>85</v>
      </c>
      <c r="L26" s="34">
        <v>-2240578</v>
      </c>
      <c r="M26" s="34">
        <v>-1062582</v>
      </c>
    </row>
    <row r="27" spans="2:13" ht="43.2" x14ac:dyDescent="0.3">
      <c r="B27" s="13" t="s">
        <v>46</v>
      </c>
      <c r="D27" s="14" t="s">
        <v>23</v>
      </c>
      <c r="E27" s="14" t="s">
        <v>23</v>
      </c>
      <c r="F27" s="14" t="s">
        <v>23</v>
      </c>
      <c r="G27" s="23"/>
      <c r="H27" s="14" t="s">
        <v>45</v>
      </c>
      <c r="I27" s="17">
        <v>-0.98</v>
      </c>
      <c r="K27" s="14" t="s">
        <v>86</v>
      </c>
      <c r="L27" s="16">
        <v>-279178</v>
      </c>
      <c r="M27" s="16">
        <v>-86491</v>
      </c>
    </row>
    <row r="28" spans="2:13" ht="28.8" x14ac:dyDescent="0.3">
      <c r="B28" s="14" t="s">
        <v>43</v>
      </c>
      <c r="C28" s="14" t="s">
        <v>44</v>
      </c>
      <c r="D28" s="16">
        <v>2798</v>
      </c>
      <c r="E28" s="16">
        <v>2959</v>
      </c>
      <c r="F28" s="16">
        <v>3130</v>
      </c>
      <c r="G28" s="23"/>
      <c r="H28" s="13" t="s">
        <v>65</v>
      </c>
      <c r="K28" s="14" t="s">
        <v>87</v>
      </c>
      <c r="L28" s="15">
        <v>-1961400</v>
      </c>
      <c r="M28" s="15">
        <v>-976091</v>
      </c>
    </row>
    <row r="29" spans="2:13" ht="28.8" x14ac:dyDescent="0.3">
      <c r="B29" s="14" t="s">
        <v>45</v>
      </c>
      <c r="C29" s="14" t="s">
        <v>44</v>
      </c>
      <c r="D29" s="16">
        <v>3249</v>
      </c>
      <c r="E29" s="16">
        <v>3386</v>
      </c>
      <c r="F29" s="16">
        <v>3475</v>
      </c>
      <c r="H29" s="14" t="s">
        <v>43</v>
      </c>
      <c r="I29" s="16">
        <v>887</v>
      </c>
      <c r="K29" s="13" t="s">
        <v>88</v>
      </c>
    </row>
    <row r="30" spans="2:13" x14ac:dyDescent="0.3">
      <c r="B30" s="14" t="s">
        <v>47</v>
      </c>
      <c r="D30" s="14" t="s">
        <v>23</v>
      </c>
      <c r="E30" s="14" t="s">
        <v>23</v>
      </c>
      <c r="F30" s="14" t="s">
        <v>23</v>
      </c>
      <c r="G30" s="22"/>
      <c r="H30" s="14" t="s">
        <v>45</v>
      </c>
      <c r="I30" s="16">
        <v>887</v>
      </c>
      <c r="K30" s="14" t="s">
        <v>43</v>
      </c>
      <c r="L30" s="17">
        <v>-11.83</v>
      </c>
      <c r="M30" s="17">
        <v>-5.72</v>
      </c>
    </row>
    <row r="31" spans="2:13" x14ac:dyDescent="0.3">
      <c r="B31" s="13" t="s">
        <v>22</v>
      </c>
      <c r="D31" s="14" t="s">
        <v>23</v>
      </c>
      <c r="E31" s="14" t="s">
        <v>23</v>
      </c>
      <c r="F31" s="14" t="s">
        <v>23</v>
      </c>
      <c r="G31" s="22"/>
      <c r="H31" s="14" t="s">
        <v>66</v>
      </c>
      <c r="K31" s="14" t="s">
        <v>45</v>
      </c>
      <c r="L31" s="17">
        <v>-11.83</v>
      </c>
      <c r="M31" s="17">
        <v>-5.72</v>
      </c>
    </row>
    <row r="32" spans="2:13" ht="28.8" x14ac:dyDescent="0.3">
      <c r="B32" s="14" t="s">
        <v>48</v>
      </c>
      <c r="D32" s="15">
        <v>24604</v>
      </c>
      <c r="E32" s="15">
        <v>44125</v>
      </c>
      <c r="F32" s="15">
        <v>67210</v>
      </c>
      <c r="H32" s="13" t="s">
        <v>22</v>
      </c>
      <c r="K32" s="13" t="s">
        <v>89</v>
      </c>
    </row>
    <row r="33" spans="2:13" x14ac:dyDescent="0.3">
      <c r="B33" s="14" t="s">
        <v>49</v>
      </c>
      <c r="D33" s="16">
        <v>1580</v>
      </c>
      <c r="E33" s="16">
        <v>1465</v>
      </c>
      <c r="F33" s="16">
        <v>1776</v>
      </c>
      <c r="H33" s="14" t="s">
        <v>22</v>
      </c>
      <c r="I33" s="15">
        <v>19358</v>
      </c>
      <c r="K33" s="14" t="s">
        <v>43</v>
      </c>
      <c r="L33" s="16">
        <v>165758</v>
      </c>
      <c r="M33" s="16">
        <v>170525</v>
      </c>
    </row>
    <row r="34" spans="2:13" x14ac:dyDescent="0.3">
      <c r="B34" s="14" t="s">
        <v>50</v>
      </c>
      <c r="D34" s="16">
        <v>1052</v>
      </c>
      <c r="E34" s="16">
        <v>1642</v>
      </c>
      <c r="F34" s="16">
        <v>2476</v>
      </c>
      <c r="G34" s="21"/>
      <c r="H34" s="14" t="s">
        <v>67</v>
      </c>
      <c r="K34" s="14" t="s">
        <v>45</v>
      </c>
      <c r="L34" s="16">
        <v>165758</v>
      </c>
      <c r="M34" s="16">
        <v>170525</v>
      </c>
    </row>
    <row r="35" spans="2:13" x14ac:dyDescent="0.3">
      <c r="B35" s="14" t="s">
        <v>51</v>
      </c>
      <c r="D35" s="16">
        <v>27236</v>
      </c>
      <c r="E35" s="16">
        <v>47232</v>
      </c>
      <c r="F35" s="16">
        <v>71462</v>
      </c>
      <c r="H35" s="13" t="s">
        <v>22</v>
      </c>
      <c r="K35" s="14" t="s">
        <v>66</v>
      </c>
    </row>
    <row r="36" spans="2:13" x14ac:dyDescent="0.3">
      <c r="B36" s="13" t="s">
        <v>25</v>
      </c>
      <c r="D36" s="14" t="s">
        <v>23</v>
      </c>
      <c r="E36" s="14" t="s">
        <v>23</v>
      </c>
      <c r="F36" s="14" t="s">
        <v>23</v>
      </c>
      <c r="H36" s="14" t="s">
        <v>22</v>
      </c>
      <c r="I36" s="16">
        <v>594</v>
      </c>
      <c r="K36" s="13" t="s">
        <v>22</v>
      </c>
    </row>
    <row r="37" spans="2:13" x14ac:dyDescent="0.3">
      <c r="B37" s="14" t="s">
        <v>48</v>
      </c>
      <c r="D37" s="16">
        <v>19696</v>
      </c>
      <c r="E37" s="16">
        <v>32415</v>
      </c>
      <c r="F37" s="16">
        <v>49599</v>
      </c>
      <c r="G37" s="22"/>
      <c r="H37" s="14" t="s">
        <v>68</v>
      </c>
      <c r="K37" s="14" t="s">
        <v>22</v>
      </c>
      <c r="L37" s="15">
        <v>8534752</v>
      </c>
      <c r="M37" s="15">
        <v>17631522</v>
      </c>
    </row>
    <row r="38" spans="2:13" x14ac:dyDescent="0.3">
      <c r="B38" s="14" t="s">
        <v>50</v>
      </c>
      <c r="D38" s="16">
        <v>563</v>
      </c>
      <c r="E38" s="16">
        <v>978</v>
      </c>
      <c r="F38" s="16">
        <v>1509</v>
      </c>
      <c r="H38" s="13" t="s">
        <v>22</v>
      </c>
      <c r="K38" s="13" t="s">
        <v>25</v>
      </c>
    </row>
    <row r="39" spans="2:13" x14ac:dyDescent="0.3">
      <c r="B39" s="14" t="s">
        <v>52</v>
      </c>
      <c r="D39" s="16">
        <v>20259</v>
      </c>
      <c r="E39" s="16">
        <v>33393</v>
      </c>
      <c r="F39" s="16">
        <v>51108</v>
      </c>
      <c r="H39" s="14" t="s">
        <v>22</v>
      </c>
      <c r="I39" s="16">
        <v>869</v>
      </c>
      <c r="K39" s="14" t="s">
        <v>25</v>
      </c>
      <c r="L39" s="16">
        <v>6724480</v>
      </c>
      <c r="M39" s="16">
        <v>13685572</v>
      </c>
    </row>
    <row r="40" spans="2:13" ht="28.8" x14ac:dyDescent="0.3">
      <c r="B40" s="14" t="s">
        <v>53</v>
      </c>
      <c r="D40" s="14" t="s">
        <v>23</v>
      </c>
      <c r="E40" s="14" t="s">
        <v>23</v>
      </c>
      <c r="F40" s="14" t="s">
        <v>23</v>
      </c>
      <c r="G40" s="22"/>
      <c r="H40" s="14" t="s">
        <v>47</v>
      </c>
      <c r="K40" s="14" t="s">
        <v>53</v>
      </c>
    </row>
    <row r="41" spans="2:13" x14ac:dyDescent="0.3">
      <c r="B41" s="13" t="s">
        <v>22</v>
      </c>
      <c r="D41" s="14" t="s">
        <v>23</v>
      </c>
      <c r="E41" s="14" t="s">
        <v>23</v>
      </c>
      <c r="F41" s="14" t="s">
        <v>23</v>
      </c>
      <c r="H41" s="13" t="s">
        <v>22</v>
      </c>
      <c r="K41" s="13" t="s">
        <v>22</v>
      </c>
    </row>
    <row r="42" spans="2:13" x14ac:dyDescent="0.3">
      <c r="B42" s="14" t="s">
        <v>22</v>
      </c>
      <c r="D42" s="16">
        <v>1994</v>
      </c>
      <c r="E42" s="16">
        <v>2789</v>
      </c>
      <c r="F42" s="16">
        <v>3909</v>
      </c>
      <c r="H42" s="14" t="s">
        <v>22</v>
      </c>
      <c r="I42" s="16">
        <v>20821</v>
      </c>
      <c r="K42" s="14" t="s">
        <v>22</v>
      </c>
      <c r="L42" s="16">
        <v>1116266</v>
      </c>
      <c r="M42" s="16">
        <v>1555244</v>
      </c>
    </row>
    <row r="43" spans="2:13" x14ac:dyDescent="0.3">
      <c r="B43" s="13" t="s">
        <v>25</v>
      </c>
      <c r="D43" s="14" t="s">
        <v>23</v>
      </c>
      <c r="E43" s="14" t="s">
        <v>23</v>
      </c>
      <c r="F43" s="14" t="s">
        <v>23</v>
      </c>
      <c r="G43" s="22"/>
      <c r="H43" s="13" t="s">
        <v>25</v>
      </c>
      <c r="K43" s="13" t="s">
        <v>25</v>
      </c>
    </row>
    <row r="44" spans="2:13" x14ac:dyDescent="0.3">
      <c r="B44" s="14" t="s">
        <v>25</v>
      </c>
      <c r="D44" s="16">
        <v>1976</v>
      </c>
      <c r="E44" s="16">
        <v>2918</v>
      </c>
      <c r="F44" s="16">
        <v>3621</v>
      </c>
      <c r="H44" s="14" t="s">
        <v>25</v>
      </c>
      <c r="I44" s="16">
        <v>15939</v>
      </c>
      <c r="K44" s="14" t="s">
        <v>25</v>
      </c>
      <c r="L44" s="15">
        <v>874538</v>
      </c>
      <c r="M44" s="15">
        <v>1364896</v>
      </c>
    </row>
    <row r="45" spans="2:13" x14ac:dyDescent="0.3">
      <c r="B45" s="14" t="s">
        <v>54</v>
      </c>
      <c r="D45" s="14" t="s">
        <v>23</v>
      </c>
      <c r="E45" s="14" t="s">
        <v>23</v>
      </c>
      <c r="F45" s="14" t="s">
        <v>23</v>
      </c>
      <c r="G45" s="22"/>
      <c r="H45" s="14" t="s">
        <v>50</v>
      </c>
      <c r="I45" s="16">
        <v>459</v>
      </c>
    </row>
    <row r="46" spans="2:13" x14ac:dyDescent="0.3">
      <c r="B46" s="13" t="s">
        <v>22</v>
      </c>
      <c r="D46" s="14" t="s">
        <v>23</v>
      </c>
      <c r="E46" s="14" t="s">
        <v>23</v>
      </c>
      <c r="F46" s="14" t="s">
        <v>23</v>
      </c>
      <c r="G46" s="22"/>
      <c r="H46" s="14" t="s">
        <v>26</v>
      </c>
      <c r="I46" s="16">
        <v>16398</v>
      </c>
    </row>
    <row r="47" spans="2:13" x14ac:dyDescent="0.3">
      <c r="B47" s="14" t="s">
        <v>22</v>
      </c>
      <c r="D47" s="16">
        <v>2306</v>
      </c>
      <c r="E47" s="16">
        <v>3802</v>
      </c>
      <c r="F47" s="16">
        <v>6091</v>
      </c>
      <c r="G47" s="22"/>
      <c r="H47" s="14" t="s">
        <v>53</v>
      </c>
    </row>
    <row r="48" spans="2:13" x14ac:dyDescent="0.3">
      <c r="B48" s="13" t="s">
        <v>25</v>
      </c>
      <c r="D48" s="14" t="s">
        <v>23</v>
      </c>
      <c r="E48" s="14" t="s">
        <v>23</v>
      </c>
      <c r="F48" s="14" t="s">
        <v>23</v>
      </c>
      <c r="H48" s="13" t="s">
        <v>22</v>
      </c>
    </row>
    <row r="49" spans="2:9" x14ac:dyDescent="0.3">
      <c r="B49" s="14" t="s">
        <v>25</v>
      </c>
      <c r="D49" s="15">
        <v>2671</v>
      </c>
      <c r="E49" s="15">
        <v>3906</v>
      </c>
      <c r="F49" s="15">
        <v>5880</v>
      </c>
      <c r="H49" s="14" t="s">
        <v>22</v>
      </c>
      <c r="I49" s="16">
        <v>1531</v>
      </c>
    </row>
    <row r="50" spans="2:9" x14ac:dyDescent="0.3">
      <c r="B50" s="119"/>
      <c r="C50" s="119"/>
      <c r="D50" s="119"/>
      <c r="E50" s="119"/>
      <c r="G50" s="22"/>
      <c r="H50" s="13" t="s">
        <v>25</v>
      </c>
    </row>
    <row r="51" spans="2:9" x14ac:dyDescent="0.3">
      <c r="H51" s="14" t="s">
        <v>25</v>
      </c>
      <c r="I51" s="16">
        <v>1341</v>
      </c>
    </row>
    <row r="52" spans="2:9" x14ac:dyDescent="0.3">
      <c r="G52" s="22"/>
      <c r="H52" s="14" t="s">
        <v>54</v>
      </c>
    </row>
    <row r="53" spans="2:9" x14ac:dyDescent="0.3">
      <c r="H53" s="13" t="s">
        <v>22</v>
      </c>
    </row>
    <row r="54" spans="2:9" x14ac:dyDescent="0.3">
      <c r="H54" s="14" t="s">
        <v>22</v>
      </c>
      <c r="I54" s="16">
        <v>2226</v>
      </c>
    </row>
    <row r="55" spans="2:9" x14ac:dyDescent="0.3">
      <c r="G55" s="22"/>
      <c r="H55" s="13" t="s">
        <v>25</v>
      </c>
    </row>
    <row r="56" spans="2:9" x14ac:dyDescent="0.3">
      <c r="H56" s="14" t="s">
        <v>25</v>
      </c>
      <c r="I56" s="15">
        <v>2770</v>
      </c>
    </row>
    <row r="57" spans="2:9" x14ac:dyDescent="0.3">
      <c r="G57" s="21"/>
    </row>
  </sheetData>
  <mergeCells count="3">
    <mergeCell ref="B50:E50"/>
    <mergeCell ref="A1:E2"/>
    <mergeCell ref="D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526C-565C-4AF9-AC13-7DC8A669AC01}">
  <dimension ref="B2:L59"/>
  <sheetViews>
    <sheetView topLeftCell="A9" workbookViewId="0">
      <selection activeCell="C6" sqref="C6"/>
    </sheetView>
  </sheetViews>
  <sheetFormatPr defaultRowHeight="14.4" x14ac:dyDescent="0.3"/>
  <cols>
    <col min="1" max="1" width="10.21875" customWidth="1"/>
    <col min="2" max="2" width="44.5546875" customWidth="1"/>
    <col min="3" max="3" width="14.5546875" customWidth="1"/>
    <col min="4" max="4" width="1.21875" style="19" customWidth="1"/>
    <col min="5" max="5" width="44.77734375" customWidth="1"/>
    <col min="6" max="6" width="15.21875" customWidth="1"/>
    <col min="7" max="7" width="13.77734375" customWidth="1"/>
    <col min="8" max="8" width="12.77734375" customWidth="1"/>
    <col min="9" max="9" width="1.21875" style="19" customWidth="1"/>
    <col min="10" max="10" width="58.5546875" customWidth="1"/>
    <col min="11" max="11" width="13.33203125" customWidth="1"/>
    <col min="12" max="12" width="12.21875" customWidth="1"/>
    <col min="13" max="13" width="14.5546875" customWidth="1"/>
    <col min="14" max="14" width="48.109375" customWidth="1"/>
    <col min="15" max="15" width="12.5546875" customWidth="1"/>
  </cols>
  <sheetData>
    <row r="2" spans="2:12" x14ac:dyDescent="0.3">
      <c r="C2" s="52">
        <v>2022</v>
      </c>
      <c r="F2" s="11" t="s">
        <v>56</v>
      </c>
      <c r="G2" s="11" t="s">
        <v>21</v>
      </c>
      <c r="H2" s="11" t="s">
        <v>20</v>
      </c>
      <c r="K2" s="11" t="s">
        <v>91</v>
      </c>
      <c r="L2" s="11" t="s">
        <v>90</v>
      </c>
    </row>
    <row r="3" spans="2:12" x14ac:dyDescent="0.3">
      <c r="B3" s="13" t="s">
        <v>98</v>
      </c>
      <c r="C3" s="14" t="s">
        <v>23</v>
      </c>
      <c r="E3" s="13" t="s">
        <v>98</v>
      </c>
      <c r="J3" s="13" t="s">
        <v>98</v>
      </c>
    </row>
    <row r="4" spans="2:12" x14ac:dyDescent="0.3">
      <c r="B4" s="14" t="s">
        <v>39</v>
      </c>
      <c r="C4" s="15">
        <v>12587</v>
      </c>
      <c r="E4" s="14" t="s">
        <v>60</v>
      </c>
      <c r="F4" s="15">
        <v>-775</v>
      </c>
      <c r="G4" s="15">
        <v>862</v>
      </c>
      <c r="H4" s="15">
        <v>5644</v>
      </c>
      <c r="J4" s="14" t="s">
        <v>85</v>
      </c>
      <c r="K4" s="15">
        <v>-2240578</v>
      </c>
      <c r="L4" s="15">
        <v>-1062582</v>
      </c>
    </row>
    <row r="5" spans="2:12" ht="28.8" x14ac:dyDescent="0.3">
      <c r="B5" s="13" t="s">
        <v>240</v>
      </c>
      <c r="C5" s="14" t="s">
        <v>23</v>
      </c>
      <c r="E5" s="13" t="s">
        <v>99</v>
      </c>
      <c r="J5" s="13" t="s">
        <v>152</v>
      </c>
    </row>
    <row r="6" spans="2:12" x14ac:dyDescent="0.3">
      <c r="B6" s="14" t="s">
        <v>100</v>
      </c>
      <c r="C6" s="16">
        <v>3747</v>
      </c>
      <c r="E6" s="14" t="s">
        <v>100</v>
      </c>
      <c r="F6" s="16">
        <v>2154</v>
      </c>
      <c r="G6" s="16">
        <v>2322</v>
      </c>
      <c r="H6" s="16">
        <v>2911</v>
      </c>
      <c r="J6" s="14" t="s">
        <v>100</v>
      </c>
      <c r="K6" s="16">
        <v>1636</v>
      </c>
      <c r="L6" s="16">
        <v>1901</v>
      </c>
    </row>
    <row r="7" spans="2:12" x14ac:dyDescent="0.3">
      <c r="B7" s="14" t="s">
        <v>101</v>
      </c>
      <c r="C7" s="16">
        <v>1560</v>
      </c>
      <c r="E7" s="14" t="s">
        <v>101</v>
      </c>
      <c r="F7" s="16">
        <v>898</v>
      </c>
      <c r="G7" s="16">
        <v>1734</v>
      </c>
      <c r="H7" s="16">
        <v>2121</v>
      </c>
      <c r="J7" s="14" t="s">
        <v>101</v>
      </c>
      <c r="K7" s="16">
        <v>466760</v>
      </c>
      <c r="L7" s="16">
        <v>749024</v>
      </c>
    </row>
    <row r="8" spans="2:12" x14ac:dyDescent="0.3">
      <c r="B8" s="14" t="s">
        <v>102</v>
      </c>
      <c r="C8" s="16">
        <v>177</v>
      </c>
      <c r="E8" s="14" t="s">
        <v>102</v>
      </c>
      <c r="F8" s="16">
        <v>193</v>
      </c>
      <c r="G8" s="16">
        <v>202</v>
      </c>
      <c r="H8" s="16">
        <v>140</v>
      </c>
      <c r="J8" s="14" t="s">
        <v>153</v>
      </c>
      <c r="K8" s="16">
        <v>91037</v>
      </c>
      <c r="L8" s="16">
        <v>158730</v>
      </c>
    </row>
    <row r="9" spans="2:12" ht="28.8" x14ac:dyDescent="0.3">
      <c r="B9" s="14" t="s">
        <v>241</v>
      </c>
      <c r="C9" s="16">
        <v>81</v>
      </c>
      <c r="E9" s="14" t="s">
        <v>103</v>
      </c>
      <c r="F9" s="16">
        <v>-48</v>
      </c>
      <c r="G9" s="16">
        <v>114</v>
      </c>
      <c r="H9" s="16">
        <v>-55</v>
      </c>
      <c r="J9" s="14" t="s">
        <v>154</v>
      </c>
      <c r="K9" s="16">
        <v>131665</v>
      </c>
      <c r="L9" s="16">
        <v>85272</v>
      </c>
    </row>
    <row r="10" spans="2:12" x14ac:dyDescent="0.3">
      <c r="B10" s="14" t="s">
        <v>104</v>
      </c>
      <c r="C10" s="16">
        <v>340</v>
      </c>
      <c r="E10" s="14" t="s">
        <v>104</v>
      </c>
      <c r="F10" s="16">
        <v>520</v>
      </c>
      <c r="G10" s="16">
        <v>525</v>
      </c>
      <c r="H10" s="16">
        <v>245</v>
      </c>
      <c r="J10" s="14" t="s">
        <v>155</v>
      </c>
      <c r="K10" s="16">
        <v>105770</v>
      </c>
      <c r="L10" s="16">
        <v>161361</v>
      </c>
    </row>
    <row r="11" spans="2:12" x14ac:dyDescent="0.3">
      <c r="B11" s="14" t="s">
        <v>242</v>
      </c>
      <c r="C11" s="16">
        <v>140</v>
      </c>
      <c r="E11" s="14" t="s">
        <v>105</v>
      </c>
      <c r="F11" s="16">
        <v>0</v>
      </c>
      <c r="G11" s="16">
        <v>0</v>
      </c>
      <c r="H11" s="16">
        <v>-27</v>
      </c>
      <c r="J11" s="14" t="s">
        <v>156</v>
      </c>
      <c r="K11" s="16">
        <v>52309</v>
      </c>
      <c r="L11" s="16">
        <v>-1511</v>
      </c>
    </row>
    <row r="12" spans="2:12" ht="28.8" x14ac:dyDescent="0.3">
      <c r="B12" s="13" t="s">
        <v>107</v>
      </c>
      <c r="C12" s="14" t="s">
        <v>23</v>
      </c>
      <c r="E12" s="14" t="s">
        <v>106</v>
      </c>
      <c r="F12" s="16">
        <v>-188</v>
      </c>
      <c r="G12" s="16">
        <v>0</v>
      </c>
      <c r="H12" s="16">
        <v>0</v>
      </c>
      <c r="J12" s="14" t="s">
        <v>157</v>
      </c>
      <c r="K12" s="16">
        <v>57746</v>
      </c>
    </row>
    <row r="13" spans="2:12" x14ac:dyDescent="0.3">
      <c r="B13" s="14" t="s">
        <v>108</v>
      </c>
      <c r="C13" s="16">
        <v>-1124</v>
      </c>
      <c r="E13" s="13" t="s">
        <v>107</v>
      </c>
      <c r="J13" s="14" t="s">
        <v>104</v>
      </c>
      <c r="K13" s="16">
        <v>135237</v>
      </c>
      <c r="L13" s="16">
        <v>48507</v>
      </c>
    </row>
    <row r="14" spans="2:12" ht="28.8" x14ac:dyDescent="0.3">
      <c r="B14" s="14" t="s">
        <v>109</v>
      </c>
      <c r="C14" s="16">
        <v>-6465</v>
      </c>
      <c r="E14" s="14" t="s">
        <v>108</v>
      </c>
      <c r="F14" s="16">
        <v>-367</v>
      </c>
      <c r="G14" s="16">
        <v>-652</v>
      </c>
      <c r="H14" s="16">
        <v>130</v>
      </c>
      <c r="J14" s="13" t="s">
        <v>158</v>
      </c>
    </row>
    <row r="15" spans="2:12" x14ac:dyDescent="0.3">
      <c r="B15" s="14" t="s">
        <v>110</v>
      </c>
      <c r="C15" s="16">
        <v>-1570</v>
      </c>
      <c r="E15" s="14" t="s">
        <v>109</v>
      </c>
      <c r="F15" s="16">
        <v>-429</v>
      </c>
      <c r="G15" s="16">
        <v>-422</v>
      </c>
      <c r="H15" s="16">
        <v>1709</v>
      </c>
      <c r="J15" s="14" t="s">
        <v>108</v>
      </c>
      <c r="K15" s="16">
        <v>-24635</v>
      </c>
      <c r="L15" s="16">
        <v>-496732</v>
      </c>
    </row>
    <row r="16" spans="2:12" x14ac:dyDescent="0.3">
      <c r="B16" s="14" t="s">
        <v>111</v>
      </c>
      <c r="C16" s="16">
        <v>-1417</v>
      </c>
      <c r="E16" s="14" t="s">
        <v>110</v>
      </c>
      <c r="F16" s="16">
        <v>-764</v>
      </c>
      <c r="G16" s="16">
        <v>-1072</v>
      </c>
      <c r="H16" s="16">
        <v>2114</v>
      </c>
      <c r="J16" s="14" t="s">
        <v>109</v>
      </c>
      <c r="K16" s="16">
        <v>-178850</v>
      </c>
      <c r="L16" s="16">
        <v>-1023264</v>
      </c>
    </row>
    <row r="17" spans="2:12" x14ac:dyDescent="0.3">
      <c r="B17" s="14" t="s">
        <v>112</v>
      </c>
      <c r="C17" s="16">
        <v>-2551</v>
      </c>
      <c r="E17" s="14" t="s">
        <v>111</v>
      </c>
      <c r="F17" s="16">
        <v>-288</v>
      </c>
      <c r="G17" s="16">
        <v>-251</v>
      </c>
      <c r="H17" s="16">
        <v>271</v>
      </c>
      <c r="J17" s="14" t="s">
        <v>110</v>
      </c>
      <c r="K17" s="16">
        <v>-1522573</v>
      </c>
      <c r="L17" s="16">
        <v>-214747</v>
      </c>
    </row>
    <row r="18" spans="2:12" x14ac:dyDescent="0.3">
      <c r="B18" s="14" t="s">
        <v>113</v>
      </c>
      <c r="C18" s="16">
        <v>6029</v>
      </c>
      <c r="E18" s="14" t="s">
        <v>112</v>
      </c>
      <c r="F18" s="16">
        <v>115</v>
      </c>
      <c r="G18" s="16">
        <v>-344</v>
      </c>
      <c r="H18" s="16">
        <v>1291</v>
      </c>
      <c r="J18" s="14" t="s">
        <v>111</v>
      </c>
      <c r="K18" s="16">
        <v>-72084</v>
      </c>
      <c r="L18" s="16">
        <v>-82125</v>
      </c>
    </row>
    <row r="19" spans="2:12" x14ac:dyDescent="0.3">
      <c r="B19" s="14" t="s">
        <v>114</v>
      </c>
      <c r="C19" s="16">
        <v>1131</v>
      </c>
      <c r="E19" s="14" t="s">
        <v>113</v>
      </c>
      <c r="F19" s="16">
        <v>646</v>
      </c>
      <c r="G19" s="16">
        <v>2102</v>
      </c>
      <c r="H19" s="16">
        <v>4578</v>
      </c>
      <c r="J19" s="14" t="s">
        <v>159</v>
      </c>
      <c r="K19" s="16">
        <v>-15453</v>
      </c>
      <c r="L19" s="16">
        <v>-207409</v>
      </c>
    </row>
    <row r="20" spans="2:12" x14ac:dyDescent="0.3">
      <c r="B20" s="14" t="s">
        <v>115</v>
      </c>
      <c r="C20" s="16">
        <v>155</v>
      </c>
      <c r="E20" s="14" t="s">
        <v>114</v>
      </c>
      <c r="F20" s="16">
        <v>801</v>
      </c>
      <c r="G20" s="16">
        <v>321</v>
      </c>
      <c r="H20" s="16">
        <v>793</v>
      </c>
      <c r="J20" s="14" t="s">
        <v>113</v>
      </c>
      <c r="K20" s="16">
        <v>388206</v>
      </c>
      <c r="L20" s="16">
        <v>1722850</v>
      </c>
    </row>
    <row r="21" spans="2:12" x14ac:dyDescent="0.3">
      <c r="B21" s="14" t="s">
        <v>116</v>
      </c>
      <c r="C21" s="16">
        <v>1904</v>
      </c>
      <c r="E21" s="14" t="s">
        <v>115</v>
      </c>
      <c r="F21" s="16">
        <v>-58</v>
      </c>
      <c r="G21" s="16">
        <v>7</v>
      </c>
      <c r="H21" s="16">
        <v>186</v>
      </c>
      <c r="J21" s="14" t="s">
        <v>114</v>
      </c>
      <c r="K21" s="16">
        <v>468902</v>
      </c>
      <c r="L21" s="16">
        <v>406661</v>
      </c>
    </row>
    <row r="22" spans="2:12" x14ac:dyDescent="0.3">
      <c r="B22" s="14" t="s">
        <v>117</v>
      </c>
      <c r="C22" s="16">
        <v>14724</v>
      </c>
      <c r="E22" s="14" t="s">
        <v>116</v>
      </c>
      <c r="F22" s="16">
        <v>-5</v>
      </c>
      <c r="G22" s="16">
        <v>495</v>
      </c>
      <c r="H22" s="16">
        <v>476</v>
      </c>
      <c r="J22" s="14" t="s">
        <v>115</v>
      </c>
      <c r="K22" s="16">
        <v>170027</v>
      </c>
      <c r="L22" s="16">
        <v>-96685</v>
      </c>
    </row>
    <row r="23" spans="2:12" x14ac:dyDescent="0.3">
      <c r="B23" s="13" t="s">
        <v>118</v>
      </c>
      <c r="C23" s="14" t="s">
        <v>23</v>
      </c>
      <c r="E23" s="14" t="s">
        <v>117</v>
      </c>
      <c r="F23" s="16">
        <v>2405</v>
      </c>
      <c r="G23" s="16">
        <v>5943</v>
      </c>
      <c r="H23" s="16">
        <v>11497</v>
      </c>
      <c r="J23" s="14" t="s">
        <v>160</v>
      </c>
      <c r="K23" s="16">
        <v>208718</v>
      </c>
      <c r="L23" s="16">
        <v>-110564</v>
      </c>
    </row>
    <row r="24" spans="2:12" ht="28.8" x14ac:dyDescent="0.3">
      <c r="B24" s="14" t="s">
        <v>119</v>
      </c>
      <c r="C24" s="16">
        <v>-7158</v>
      </c>
      <c r="E24" s="13" t="s">
        <v>118</v>
      </c>
      <c r="J24" s="14" t="s">
        <v>116</v>
      </c>
      <c r="K24" s="16">
        <v>81139</v>
      </c>
      <c r="L24" s="16">
        <v>159966</v>
      </c>
    </row>
    <row r="25" spans="2:12" ht="28.8" x14ac:dyDescent="0.3">
      <c r="B25" s="14" t="s">
        <v>120</v>
      </c>
      <c r="C25" s="16">
        <v>-5</v>
      </c>
      <c r="E25" s="14" t="s">
        <v>119</v>
      </c>
      <c r="F25" s="16">
        <v>-1327</v>
      </c>
      <c r="G25" s="16">
        <v>-3157</v>
      </c>
      <c r="H25" s="16">
        <v>-6482</v>
      </c>
      <c r="J25" s="14" t="s">
        <v>161</v>
      </c>
      <c r="K25" s="16">
        <v>-60654</v>
      </c>
      <c r="L25" s="16">
        <v>2097802</v>
      </c>
    </row>
    <row r="26" spans="2:12" x14ac:dyDescent="0.3">
      <c r="B26" s="14" t="s">
        <v>121</v>
      </c>
      <c r="C26" s="16">
        <v>0</v>
      </c>
      <c r="E26" s="14" t="s">
        <v>120</v>
      </c>
      <c r="F26" s="16">
        <v>-105</v>
      </c>
      <c r="G26" s="16">
        <v>-75</v>
      </c>
      <c r="H26" s="16">
        <v>32</v>
      </c>
      <c r="J26" s="13" t="s">
        <v>118</v>
      </c>
    </row>
    <row r="27" spans="2:12" ht="28.8" x14ac:dyDescent="0.3">
      <c r="B27" s="14" t="s">
        <v>122</v>
      </c>
      <c r="C27" s="16">
        <v>936</v>
      </c>
      <c r="E27" s="14" t="s">
        <v>121</v>
      </c>
      <c r="F27" s="16">
        <v>0</v>
      </c>
      <c r="G27" s="16">
        <v>0</v>
      </c>
      <c r="H27" s="16">
        <v>1500</v>
      </c>
      <c r="J27" s="14" t="s">
        <v>162</v>
      </c>
      <c r="K27" s="16">
        <v>-3415</v>
      </c>
      <c r="L27" s="16">
        <v>-2101</v>
      </c>
    </row>
    <row r="28" spans="2:12" x14ac:dyDescent="0.3">
      <c r="B28" s="14" t="s">
        <v>125</v>
      </c>
      <c r="C28" s="16">
        <v>-9</v>
      </c>
      <c r="E28" s="14" t="s">
        <v>122</v>
      </c>
      <c r="F28" s="16">
        <v>0</v>
      </c>
      <c r="G28" s="16">
        <v>0</v>
      </c>
      <c r="H28" s="16">
        <v>272</v>
      </c>
      <c r="J28" s="14" t="s">
        <v>163</v>
      </c>
    </row>
    <row r="29" spans="2:12" x14ac:dyDescent="0.3">
      <c r="B29" s="14" t="s">
        <v>243</v>
      </c>
      <c r="C29" s="16">
        <v>-5835</v>
      </c>
      <c r="E29" s="14" t="s">
        <v>123</v>
      </c>
      <c r="F29" s="16">
        <v>0</v>
      </c>
      <c r="G29" s="16">
        <v>0</v>
      </c>
      <c r="H29" s="16">
        <v>-132</v>
      </c>
      <c r="J29" s="14" t="s">
        <v>164</v>
      </c>
      <c r="K29" s="16">
        <v>-666540</v>
      </c>
      <c r="L29" s="16">
        <v>-218792</v>
      </c>
    </row>
    <row r="30" spans="2:12" x14ac:dyDescent="0.3">
      <c r="B30" s="14" t="s">
        <v>244</v>
      </c>
      <c r="C30" s="16">
        <v>22</v>
      </c>
      <c r="E30" s="14" t="s">
        <v>124</v>
      </c>
      <c r="F30" s="16">
        <v>46</v>
      </c>
      <c r="G30" s="16">
        <v>123</v>
      </c>
      <c r="H30" s="16">
        <v>6</v>
      </c>
      <c r="J30" s="14" t="s">
        <v>126</v>
      </c>
      <c r="K30" s="16">
        <v>-114523</v>
      </c>
      <c r="L30" s="16">
        <v>-17912</v>
      </c>
    </row>
    <row r="31" spans="2:12" x14ac:dyDescent="0.3">
      <c r="B31" s="14" t="s">
        <v>124</v>
      </c>
      <c r="C31" s="16">
        <v>76</v>
      </c>
      <c r="E31" s="14" t="s">
        <v>125</v>
      </c>
      <c r="F31" s="16">
        <v>-5</v>
      </c>
      <c r="G31" s="16">
        <v>-10</v>
      </c>
      <c r="H31" s="16">
        <v>-1500</v>
      </c>
      <c r="J31" s="14" t="s">
        <v>127</v>
      </c>
      <c r="K31" s="16">
        <v>-4195877</v>
      </c>
      <c r="L31" s="16">
        <v>-2337428</v>
      </c>
    </row>
    <row r="32" spans="2:12" x14ac:dyDescent="0.3">
      <c r="B32" s="14" t="s">
        <v>126</v>
      </c>
      <c r="C32" s="16">
        <v>0</v>
      </c>
      <c r="E32" s="14" t="s">
        <v>126</v>
      </c>
      <c r="F32" s="16">
        <v>-45</v>
      </c>
      <c r="G32" s="16">
        <v>-13</v>
      </c>
      <c r="H32" s="16">
        <v>0</v>
      </c>
      <c r="J32" s="13" t="s">
        <v>128</v>
      </c>
    </row>
    <row r="33" spans="2:12" x14ac:dyDescent="0.3">
      <c r="B33" s="14" t="s">
        <v>127</v>
      </c>
      <c r="C33" s="16">
        <v>-11973</v>
      </c>
      <c r="E33" s="14" t="s">
        <v>127</v>
      </c>
      <c r="F33" s="16">
        <v>-1436</v>
      </c>
      <c r="G33" s="16">
        <v>-3132</v>
      </c>
      <c r="H33" s="16">
        <v>-7868</v>
      </c>
      <c r="J33" s="14" t="s">
        <v>165</v>
      </c>
      <c r="K33" s="16">
        <v>400175</v>
      </c>
    </row>
    <row r="34" spans="2:12" x14ac:dyDescent="0.3">
      <c r="B34" s="13" t="s">
        <v>128</v>
      </c>
      <c r="C34" s="14" t="s">
        <v>23</v>
      </c>
      <c r="E34" s="13" t="s">
        <v>128</v>
      </c>
      <c r="J34" s="14" t="s">
        <v>130</v>
      </c>
      <c r="K34" s="16">
        <v>7138055</v>
      </c>
      <c r="L34" s="16">
        <v>6176173</v>
      </c>
    </row>
    <row r="35" spans="2:12" ht="28.8" x14ac:dyDescent="0.3">
      <c r="B35" s="14" t="s">
        <v>129</v>
      </c>
      <c r="C35" s="16">
        <v>0</v>
      </c>
      <c r="E35" s="14" t="s">
        <v>129</v>
      </c>
      <c r="F35" s="16">
        <v>848</v>
      </c>
      <c r="G35" s="16">
        <v>12269</v>
      </c>
      <c r="H35" s="16">
        <v>0</v>
      </c>
      <c r="J35" s="14" t="s">
        <v>131</v>
      </c>
      <c r="K35" s="16">
        <v>-3995484</v>
      </c>
      <c r="L35" s="16">
        <v>-5247057</v>
      </c>
    </row>
    <row r="36" spans="2:12" ht="28.8" x14ac:dyDescent="0.3">
      <c r="B36" s="14" t="s">
        <v>245</v>
      </c>
      <c r="C36" s="16">
        <v>0</v>
      </c>
      <c r="E36" s="14" t="s">
        <v>130</v>
      </c>
      <c r="F36" s="16">
        <v>10669</v>
      </c>
      <c r="G36" s="16">
        <v>9713</v>
      </c>
      <c r="H36" s="16">
        <v>8883</v>
      </c>
      <c r="J36" s="14" t="s">
        <v>166</v>
      </c>
      <c r="K36" s="16">
        <v>-165000</v>
      </c>
      <c r="L36" s="16">
        <v>-100000</v>
      </c>
    </row>
    <row r="37" spans="2:12" x14ac:dyDescent="0.3">
      <c r="B37" s="14" t="s">
        <v>131</v>
      </c>
      <c r="C37" s="16">
        <v>-3364</v>
      </c>
      <c r="E37" s="14" t="s">
        <v>131</v>
      </c>
      <c r="F37" s="16">
        <v>-9161</v>
      </c>
      <c r="G37" s="16">
        <v>-11623</v>
      </c>
      <c r="H37" s="16">
        <v>14167</v>
      </c>
      <c r="J37" s="14" t="s">
        <v>167</v>
      </c>
      <c r="K37" s="16">
        <v>511321</v>
      </c>
      <c r="L37" s="16">
        <v>-559167</v>
      </c>
    </row>
    <row r="38" spans="2:12" x14ac:dyDescent="0.3">
      <c r="B38" s="14" t="s">
        <v>132</v>
      </c>
      <c r="C38" s="16">
        <v>0</v>
      </c>
      <c r="E38" s="14" t="s">
        <v>132</v>
      </c>
      <c r="F38" s="16">
        <v>-389</v>
      </c>
      <c r="G38" s="16">
        <v>-240</v>
      </c>
      <c r="H38" s="16">
        <v>-9</v>
      </c>
      <c r="J38" s="14" t="s">
        <v>133</v>
      </c>
      <c r="K38" s="16">
        <v>259116</v>
      </c>
      <c r="L38" s="16">
        <v>295722</v>
      </c>
    </row>
    <row r="39" spans="2:12" ht="28.8" x14ac:dyDescent="0.3">
      <c r="B39" s="14" t="s">
        <v>133</v>
      </c>
      <c r="C39" s="16">
        <v>541</v>
      </c>
      <c r="E39" s="14" t="s">
        <v>133</v>
      </c>
      <c r="F39" s="16">
        <v>263</v>
      </c>
      <c r="G39" s="16">
        <v>417</v>
      </c>
      <c r="H39" s="16">
        <v>707</v>
      </c>
      <c r="J39" s="14" t="s">
        <v>168</v>
      </c>
      <c r="K39" s="16">
        <v>-103304</v>
      </c>
      <c r="L39" s="16">
        <v>-180805</v>
      </c>
    </row>
    <row r="40" spans="2:12" x14ac:dyDescent="0.3">
      <c r="B40" s="14" t="s">
        <v>134</v>
      </c>
      <c r="C40" s="16">
        <v>-502</v>
      </c>
      <c r="E40" s="14" t="s">
        <v>134</v>
      </c>
      <c r="F40" s="16">
        <v>-321</v>
      </c>
      <c r="G40" s="16">
        <v>-338</v>
      </c>
      <c r="H40" s="16">
        <v>-439</v>
      </c>
      <c r="J40" s="14" t="s">
        <v>169</v>
      </c>
      <c r="K40" s="16">
        <v>-63111</v>
      </c>
      <c r="L40" s="16">
        <v>-14973</v>
      </c>
    </row>
    <row r="41" spans="2:12" x14ac:dyDescent="0.3">
      <c r="B41" s="14" t="s">
        <v>135</v>
      </c>
      <c r="C41" s="16">
        <v>0</v>
      </c>
      <c r="E41" s="14" t="s">
        <v>135</v>
      </c>
      <c r="F41" s="16">
        <v>-37</v>
      </c>
      <c r="G41" s="16">
        <v>-6</v>
      </c>
      <c r="H41" s="16">
        <v>-9</v>
      </c>
      <c r="J41" s="14" t="s">
        <v>170</v>
      </c>
      <c r="K41" s="16">
        <v>-204102</v>
      </c>
    </row>
    <row r="42" spans="2:12" ht="28.8" x14ac:dyDescent="0.3">
      <c r="B42" s="14" t="s">
        <v>138</v>
      </c>
      <c r="C42" s="16">
        <v>0</v>
      </c>
      <c r="E42" s="14" t="s">
        <v>136</v>
      </c>
      <c r="F42" s="16">
        <v>476</v>
      </c>
      <c r="J42" s="14" t="s">
        <v>171</v>
      </c>
      <c r="K42" s="16">
        <v>287213</v>
      </c>
    </row>
    <row r="43" spans="2:12" ht="28.8" x14ac:dyDescent="0.3">
      <c r="B43" s="14" t="s">
        <v>139</v>
      </c>
      <c r="C43" s="16">
        <v>-157</v>
      </c>
      <c r="E43" s="14" t="s">
        <v>137</v>
      </c>
      <c r="F43" s="16">
        <v>174</v>
      </c>
      <c r="J43" s="14" t="s">
        <v>172</v>
      </c>
      <c r="K43" s="16">
        <v>52883</v>
      </c>
    </row>
    <row r="44" spans="2:12" ht="28.8" x14ac:dyDescent="0.3">
      <c r="B44" s="14" t="s">
        <v>140</v>
      </c>
      <c r="C44" s="16">
        <v>-45</v>
      </c>
      <c r="E44" s="14" t="s">
        <v>138</v>
      </c>
      <c r="F44" s="16">
        <v>279</v>
      </c>
      <c r="G44" s="16">
        <v>24</v>
      </c>
      <c r="H44" s="16">
        <v>2</v>
      </c>
      <c r="J44" s="14" t="s">
        <v>173</v>
      </c>
      <c r="K44" s="16">
        <v>-230385</v>
      </c>
      <c r="L44" s="16">
        <v>-11</v>
      </c>
    </row>
    <row r="45" spans="2:12" ht="28.8" x14ac:dyDescent="0.3">
      <c r="B45" s="14" t="s">
        <v>141</v>
      </c>
      <c r="C45" s="16">
        <v>-3527</v>
      </c>
      <c r="E45" s="14" t="s">
        <v>139</v>
      </c>
      <c r="F45" s="16">
        <v>-311</v>
      </c>
      <c r="G45" s="16">
        <v>-208</v>
      </c>
      <c r="H45" s="16">
        <v>-161</v>
      </c>
      <c r="J45" s="14" t="s">
        <v>138</v>
      </c>
      <c r="K45" s="16">
        <v>789704</v>
      </c>
      <c r="L45" s="16">
        <v>437134</v>
      </c>
    </row>
    <row r="46" spans="2:12" ht="28.8" x14ac:dyDescent="0.3">
      <c r="B46" s="14" t="s">
        <v>142</v>
      </c>
      <c r="C46" s="16">
        <v>-444</v>
      </c>
      <c r="E46" s="14" t="s">
        <v>140</v>
      </c>
      <c r="F46" s="16">
        <v>-9</v>
      </c>
      <c r="G46" s="16">
        <v>-35</v>
      </c>
      <c r="H46" s="16">
        <v>10</v>
      </c>
      <c r="J46" s="14" t="s">
        <v>139</v>
      </c>
      <c r="K46" s="16">
        <v>-261844</v>
      </c>
      <c r="L46" s="16">
        <v>-227304</v>
      </c>
    </row>
    <row r="47" spans="2:12" ht="28.8" x14ac:dyDescent="0.3">
      <c r="B47" s="14" t="s">
        <v>143</v>
      </c>
      <c r="C47" s="16">
        <v>-1220</v>
      </c>
      <c r="E47" s="14" t="s">
        <v>141</v>
      </c>
      <c r="F47" s="16">
        <v>1529</v>
      </c>
      <c r="G47" s="16">
        <v>9973</v>
      </c>
      <c r="H47" s="16">
        <v>-5203</v>
      </c>
      <c r="J47" s="14" t="s">
        <v>140</v>
      </c>
      <c r="K47" s="16">
        <v>-373</v>
      </c>
      <c r="L47" s="16">
        <v>-5957</v>
      </c>
    </row>
    <row r="48" spans="2:12" ht="28.8" x14ac:dyDescent="0.3">
      <c r="B48" s="14" t="s">
        <v>144</v>
      </c>
      <c r="C48" s="16">
        <v>18144</v>
      </c>
      <c r="E48" s="14" t="s">
        <v>142</v>
      </c>
      <c r="F48" s="16">
        <v>8</v>
      </c>
      <c r="G48" s="16">
        <v>334</v>
      </c>
      <c r="H48" s="16">
        <v>-183</v>
      </c>
      <c r="J48" s="14" t="s">
        <v>174</v>
      </c>
      <c r="K48" s="16">
        <v>4414864</v>
      </c>
      <c r="L48" s="16">
        <v>573755</v>
      </c>
    </row>
    <row r="49" spans="2:12" ht="28.8" x14ac:dyDescent="0.3">
      <c r="B49" s="14" t="s">
        <v>145</v>
      </c>
      <c r="C49" s="16">
        <v>16924</v>
      </c>
      <c r="E49" s="14" t="s">
        <v>143</v>
      </c>
      <c r="F49" s="16">
        <v>2506</v>
      </c>
      <c r="G49" s="16">
        <v>13118</v>
      </c>
      <c r="H49" s="16">
        <v>-1757</v>
      </c>
      <c r="J49" s="14" t="s">
        <v>142</v>
      </c>
      <c r="K49" s="16">
        <v>39726</v>
      </c>
      <c r="L49" s="16">
        <v>-22700</v>
      </c>
    </row>
    <row r="50" spans="2:12" ht="28.8" x14ac:dyDescent="0.3">
      <c r="B50" s="13" t="s">
        <v>146</v>
      </c>
      <c r="C50" s="14" t="s">
        <v>23</v>
      </c>
      <c r="E50" s="14" t="s">
        <v>144</v>
      </c>
      <c r="F50" s="16">
        <v>4277</v>
      </c>
      <c r="G50" s="16">
        <v>6783</v>
      </c>
      <c r="H50" s="16">
        <v>19901</v>
      </c>
      <c r="J50" s="14" t="s">
        <v>175</v>
      </c>
      <c r="K50" s="16">
        <v>198059</v>
      </c>
      <c r="L50" s="16">
        <v>311429</v>
      </c>
    </row>
    <row r="51" spans="2:12" ht="28.8" x14ac:dyDescent="0.3">
      <c r="B51" s="14" t="s">
        <v>148</v>
      </c>
      <c r="C51" s="16">
        <v>2148</v>
      </c>
      <c r="E51" s="14" t="s">
        <v>145</v>
      </c>
      <c r="F51" s="16">
        <v>6783</v>
      </c>
      <c r="G51" s="16">
        <v>19901</v>
      </c>
      <c r="H51" s="16">
        <v>18144</v>
      </c>
      <c r="J51" s="14" t="s">
        <v>144</v>
      </c>
      <c r="K51" s="16">
        <v>3766900</v>
      </c>
      <c r="L51" s="16">
        <v>3964959</v>
      </c>
    </row>
    <row r="52" spans="2:12" ht="28.8" x14ac:dyDescent="0.3">
      <c r="B52" s="13" t="s">
        <v>246</v>
      </c>
      <c r="C52" s="14" t="s">
        <v>23</v>
      </c>
      <c r="E52" s="13" t="s">
        <v>146</v>
      </c>
      <c r="J52" s="14" t="s">
        <v>145</v>
      </c>
      <c r="K52" s="16">
        <v>3964959</v>
      </c>
      <c r="L52" s="16">
        <v>4276388</v>
      </c>
    </row>
    <row r="53" spans="2:12" ht="28.8" x14ac:dyDescent="0.3">
      <c r="B53" s="14" t="s">
        <v>150</v>
      </c>
      <c r="C53" s="16">
        <v>152</v>
      </c>
      <c r="E53" s="14" t="s">
        <v>147</v>
      </c>
      <c r="F53" s="16">
        <v>207</v>
      </c>
      <c r="G53" s="16">
        <v>0</v>
      </c>
      <c r="H53" s="16">
        <v>0</v>
      </c>
      <c r="J53" s="13" t="s">
        <v>146</v>
      </c>
    </row>
    <row r="54" spans="2:12" ht="28.8" x14ac:dyDescent="0.3">
      <c r="B54" s="14" t="s">
        <v>151</v>
      </c>
      <c r="C54" s="15">
        <v>1203</v>
      </c>
      <c r="E54" s="14" t="s">
        <v>148</v>
      </c>
      <c r="F54" s="16">
        <v>562</v>
      </c>
      <c r="G54" s="16">
        <v>1088</v>
      </c>
      <c r="H54" s="16">
        <v>2251</v>
      </c>
      <c r="J54" s="14" t="s">
        <v>176</v>
      </c>
      <c r="K54" s="16">
        <v>10528</v>
      </c>
    </row>
    <row r="55" spans="2:12" x14ac:dyDescent="0.3">
      <c r="E55" s="13" t="s">
        <v>149</v>
      </c>
      <c r="J55" s="14" t="s">
        <v>148</v>
      </c>
      <c r="K55" s="16">
        <v>914108</v>
      </c>
      <c r="L55" s="16">
        <v>249141</v>
      </c>
    </row>
    <row r="56" spans="2:12" ht="28.8" x14ac:dyDescent="0.3">
      <c r="E56" s="14" t="s">
        <v>150</v>
      </c>
      <c r="F56" s="16">
        <v>455</v>
      </c>
      <c r="G56" s="16">
        <v>444</v>
      </c>
      <c r="H56" s="16">
        <v>266</v>
      </c>
      <c r="J56" s="14" t="s">
        <v>177</v>
      </c>
      <c r="K56" s="16">
        <v>313483</v>
      </c>
      <c r="L56" s="16">
        <v>94445</v>
      </c>
    </row>
    <row r="57" spans="2:12" x14ac:dyDescent="0.3">
      <c r="E57" s="14" t="s">
        <v>151</v>
      </c>
      <c r="F57" s="15">
        <v>54</v>
      </c>
      <c r="G57" s="15">
        <v>115</v>
      </c>
      <c r="H57" s="15">
        <v>561</v>
      </c>
      <c r="J57" s="13" t="s">
        <v>149</v>
      </c>
    </row>
    <row r="58" spans="2:12" x14ac:dyDescent="0.3">
      <c r="J58" s="14" t="s">
        <v>150</v>
      </c>
      <c r="K58" s="16">
        <v>182571</v>
      </c>
      <c r="L58" s="16">
        <v>380836</v>
      </c>
    </row>
    <row r="59" spans="2:12" x14ac:dyDescent="0.3">
      <c r="J59" s="14" t="s">
        <v>151</v>
      </c>
      <c r="K59" s="15">
        <v>65695</v>
      </c>
      <c r="L59" s="15">
        <v>35409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8485-2741-42D6-97C2-2B084E4F2944}">
  <dimension ref="B1:K48"/>
  <sheetViews>
    <sheetView workbookViewId="0">
      <selection activeCell="J14" sqref="J14"/>
    </sheetView>
  </sheetViews>
  <sheetFormatPr defaultRowHeight="14.4" x14ac:dyDescent="0.3"/>
  <cols>
    <col min="2" max="2" width="34.77734375" customWidth="1"/>
    <col min="3" max="3" width="15.33203125" customWidth="1"/>
    <col min="4" max="4" width="16.33203125" customWidth="1"/>
    <col min="5" max="5" width="10" customWidth="1"/>
    <col min="6" max="6" width="45.33203125" customWidth="1"/>
    <col min="7" max="7" width="15.44140625" customWidth="1"/>
    <col min="8" max="8" width="14.6640625" customWidth="1"/>
    <col min="9" max="9" width="12.88671875" customWidth="1"/>
  </cols>
  <sheetData>
    <row r="1" spans="2:11" ht="21" customHeight="1" x14ac:dyDescent="0.3">
      <c r="F1" s="120" t="s">
        <v>230</v>
      </c>
      <c r="G1" s="120"/>
      <c r="H1" s="120"/>
      <c r="I1" s="120"/>
    </row>
    <row r="2" spans="2:11" ht="11.4" customHeight="1" x14ac:dyDescent="0.3">
      <c r="C2" s="11" t="s">
        <v>20</v>
      </c>
      <c r="D2" s="11" t="s">
        <v>19</v>
      </c>
      <c r="G2" s="11" t="s">
        <v>90</v>
      </c>
      <c r="H2" s="11" t="s">
        <v>91</v>
      </c>
    </row>
    <row r="3" spans="2:11" x14ac:dyDescent="0.3">
      <c r="B3" s="13" t="s">
        <v>178</v>
      </c>
      <c r="C3" s="14" t="s">
        <v>23</v>
      </c>
      <c r="D3" s="14" t="s">
        <v>23</v>
      </c>
      <c r="F3" s="13" t="s">
        <v>178</v>
      </c>
    </row>
    <row r="4" spans="2:11" x14ac:dyDescent="0.3">
      <c r="B4" s="14" t="s">
        <v>179</v>
      </c>
      <c r="C4" s="15">
        <v>17576</v>
      </c>
      <c r="D4" s="15">
        <v>16253</v>
      </c>
      <c r="F4" s="14" t="s">
        <v>179</v>
      </c>
      <c r="G4" s="15">
        <v>3685618</v>
      </c>
      <c r="H4" s="15">
        <v>3367914</v>
      </c>
    </row>
    <row r="5" spans="2:11" x14ac:dyDescent="0.3">
      <c r="B5" s="14" t="s">
        <v>180</v>
      </c>
      <c r="C5" s="16">
        <v>131</v>
      </c>
      <c r="D5" s="16">
        <v>5932</v>
      </c>
      <c r="F5" s="14" t="s">
        <v>214</v>
      </c>
      <c r="G5" s="16">
        <v>192551</v>
      </c>
      <c r="H5" s="16">
        <v>155323</v>
      </c>
    </row>
    <row r="6" spans="2:11" x14ac:dyDescent="0.3">
      <c r="B6" s="14" t="s">
        <v>181</v>
      </c>
      <c r="C6" s="16">
        <v>1913</v>
      </c>
      <c r="D6" s="16">
        <v>2952</v>
      </c>
      <c r="F6" s="14" t="s">
        <v>181</v>
      </c>
      <c r="G6" s="16">
        <v>949022</v>
      </c>
      <c r="H6" s="16">
        <v>515381</v>
      </c>
    </row>
    <row r="7" spans="2:11" x14ac:dyDescent="0.3">
      <c r="B7" s="14" t="s">
        <v>109</v>
      </c>
      <c r="C7" s="16">
        <v>5757</v>
      </c>
      <c r="D7" s="16">
        <v>12839</v>
      </c>
      <c r="F7" s="14" t="s">
        <v>109</v>
      </c>
      <c r="G7" s="16">
        <v>3113446</v>
      </c>
      <c r="H7" s="16">
        <v>2263537</v>
      </c>
    </row>
    <row r="8" spans="2:11" ht="28.8" x14ac:dyDescent="0.3">
      <c r="B8" s="14" t="s">
        <v>111</v>
      </c>
      <c r="C8" s="16">
        <v>1723</v>
      </c>
      <c r="D8" s="16">
        <v>2941</v>
      </c>
      <c r="F8" s="14" t="s">
        <v>111</v>
      </c>
      <c r="G8" s="16">
        <v>365671</v>
      </c>
      <c r="H8" s="16">
        <v>268365</v>
      </c>
    </row>
    <row r="9" spans="2:11" x14ac:dyDescent="0.3">
      <c r="B9" s="14" t="s">
        <v>182</v>
      </c>
      <c r="C9" s="16">
        <v>27100</v>
      </c>
      <c r="D9" s="16">
        <v>40917</v>
      </c>
      <c r="F9" s="14" t="s">
        <v>182</v>
      </c>
      <c r="G9" s="16">
        <v>8306308</v>
      </c>
      <c r="H9" s="16">
        <v>6570520</v>
      </c>
      <c r="J9" s="52">
        <v>20</v>
      </c>
      <c r="K9" s="52">
        <v>21</v>
      </c>
    </row>
    <row r="10" spans="2:11" x14ac:dyDescent="0.3">
      <c r="B10" s="14" t="s">
        <v>183</v>
      </c>
      <c r="C10" s="16">
        <v>18884</v>
      </c>
      <c r="D10" s="16">
        <v>23548</v>
      </c>
      <c r="F10" s="14" t="s">
        <v>183</v>
      </c>
      <c r="G10" s="16">
        <v>11330077</v>
      </c>
      <c r="H10" s="16">
        <v>10027522</v>
      </c>
      <c r="J10" s="53">
        <v>184</v>
      </c>
      <c r="K10" s="53">
        <v>518</v>
      </c>
    </row>
    <row r="11" spans="2:11" x14ac:dyDescent="0.3">
      <c r="B11" s="14" t="s">
        <v>184</v>
      </c>
      <c r="C11" s="16">
        <v>2016</v>
      </c>
      <c r="D11" s="16">
        <v>2563</v>
      </c>
      <c r="F11" s="14" t="s">
        <v>186</v>
      </c>
      <c r="G11" s="16">
        <v>282492</v>
      </c>
      <c r="H11" s="16">
        <v>361502</v>
      </c>
    </row>
    <row r="12" spans="2:11" x14ac:dyDescent="0.3">
      <c r="B12" s="14" t="s">
        <v>185</v>
      </c>
      <c r="C12" s="16">
        <v>1260</v>
      </c>
      <c r="D12" s="16">
        <v>184</v>
      </c>
      <c r="F12" s="14" t="s">
        <v>187</v>
      </c>
      <c r="G12" s="16">
        <v>68159</v>
      </c>
      <c r="H12" s="16">
        <v>60237</v>
      </c>
    </row>
    <row r="13" spans="2:11" ht="28.8" x14ac:dyDescent="0.3">
      <c r="B13" s="14" t="s">
        <v>186</v>
      </c>
      <c r="C13" s="16">
        <v>257</v>
      </c>
      <c r="D13" s="16">
        <v>215</v>
      </c>
      <c r="F13" s="14" t="s">
        <v>215</v>
      </c>
      <c r="G13" s="16">
        <v>421548</v>
      </c>
      <c r="H13" s="16">
        <v>456652</v>
      </c>
    </row>
    <row r="14" spans="2:11" x14ac:dyDescent="0.3">
      <c r="B14" s="14" t="s">
        <v>187</v>
      </c>
      <c r="C14" s="16">
        <v>200</v>
      </c>
      <c r="D14" s="16">
        <v>194</v>
      </c>
      <c r="F14" s="14" t="s">
        <v>216</v>
      </c>
      <c r="G14" s="16">
        <v>398219</v>
      </c>
      <c r="H14" s="16">
        <v>441722</v>
      </c>
    </row>
    <row r="15" spans="2:11" x14ac:dyDescent="0.3">
      <c r="B15" s="14" t="s">
        <v>112</v>
      </c>
      <c r="C15" s="16">
        <v>2138</v>
      </c>
      <c r="D15" s="16">
        <v>4193</v>
      </c>
      <c r="F15" s="14" t="s">
        <v>217</v>
      </c>
      <c r="G15" s="16">
        <v>571657</v>
      </c>
      <c r="H15" s="16">
        <v>273123</v>
      </c>
    </row>
    <row r="16" spans="2:11" x14ac:dyDescent="0.3">
      <c r="B16" s="14" t="s">
        <v>188</v>
      </c>
      <c r="C16" s="16">
        <v>62131</v>
      </c>
      <c r="D16" s="16">
        <v>82338</v>
      </c>
      <c r="F16" s="13" t="s">
        <v>188</v>
      </c>
      <c r="G16" s="34">
        <v>29739614</v>
      </c>
      <c r="H16" s="34">
        <v>28655372</v>
      </c>
    </row>
    <row r="17" spans="2:8" x14ac:dyDescent="0.3">
      <c r="B17" s="13" t="s">
        <v>189</v>
      </c>
      <c r="C17" s="14" t="s">
        <v>23</v>
      </c>
      <c r="D17" s="14" t="s">
        <v>23</v>
      </c>
      <c r="F17" s="13" t="s">
        <v>189</v>
      </c>
    </row>
    <row r="18" spans="2:8" x14ac:dyDescent="0.3">
      <c r="B18" s="14" t="s">
        <v>190</v>
      </c>
      <c r="C18" s="16">
        <v>10025</v>
      </c>
      <c r="D18" s="16">
        <v>15255</v>
      </c>
      <c r="F18" s="14" t="s">
        <v>190</v>
      </c>
      <c r="G18" s="16">
        <v>3404451</v>
      </c>
      <c r="H18" s="16">
        <v>2390250</v>
      </c>
    </row>
    <row r="19" spans="2:8" x14ac:dyDescent="0.3">
      <c r="B19" s="14" t="s">
        <v>191</v>
      </c>
      <c r="C19" s="16">
        <v>5719</v>
      </c>
      <c r="D19" s="16">
        <v>7142</v>
      </c>
      <c r="E19" s="54"/>
      <c r="F19" s="14" t="s">
        <v>191</v>
      </c>
      <c r="G19" s="16">
        <v>2094253</v>
      </c>
      <c r="H19" s="16">
        <v>1731366</v>
      </c>
    </row>
    <row r="20" spans="2:8" x14ac:dyDescent="0.3">
      <c r="B20" s="14" t="s">
        <v>114</v>
      </c>
      <c r="C20" s="16">
        <v>1447</v>
      </c>
      <c r="D20" s="16">
        <v>1747</v>
      </c>
      <c r="F20" s="14" t="s">
        <v>114</v>
      </c>
      <c r="G20" s="16">
        <v>630292</v>
      </c>
      <c r="H20" s="16">
        <v>1015253</v>
      </c>
    </row>
    <row r="21" spans="2:8" x14ac:dyDescent="0.3">
      <c r="B21" s="14" t="s">
        <v>115</v>
      </c>
      <c r="C21" s="16">
        <v>925</v>
      </c>
      <c r="D21" s="16">
        <v>1063</v>
      </c>
      <c r="F21" s="14" t="s">
        <v>218</v>
      </c>
      <c r="G21" s="16">
        <v>502840</v>
      </c>
      <c r="H21" s="16">
        <v>787333</v>
      </c>
    </row>
    <row r="22" spans="2:8" ht="28.8" x14ac:dyDescent="0.3">
      <c r="B22" s="14" t="s">
        <v>192</v>
      </c>
      <c r="C22" s="16">
        <v>1589</v>
      </c>
      <c r="D22" s="16">
        <v>1502</v>
      </c>
      <c r="F22" s="14" t="s">
        <v>115</v>
      </c>
      <c r="G22" s="16">
        <v>792601</v>
      </c>
      <c r="H22" s="16">
        <v>853919</v>
      </c>
    </row>
    <row r="23" spans="2:8" x14ac:dyDescent="0.3">
      <c r="B23" s="14" t="s">
        <v>193</v>
      </c>
      <c r="C23" s="16">
        <v>19705</v>
      </c>
      <c r="D23" s="16">
        <v>26709</v>
      </c>
      <c r="F23" s="14" t="s">
        <v>219</v>
      </c>
      <c r="G23" s="16">
        <v>2567699</v>
      </c>
      <c r="H23" s="16">
        <v>796549</v>
      </c>
    </row>
    <row r="24" spans="2:8" ht="28.8" x14ac:dyDescent="0.3">
      <c r="B24" s="14" t="s">
        <v>194</v>
      </c>
      <c r="C24" s="16">
        <v>5245</v>
      </c>
      <c r="D24" s="16">
        <v>1597</v>
      </c>
      <c r="F24" s="14" t="s">
        <v>220</v>
      </c>
      <c r="H24" s="16">
        <v>100000</v>
      </c>
    </row>
    <row r="25" spans="2:8" x14ac:dyDescent="0.3">
      <c r="B25" s="14" t="s">
        <v>195</v>
      </c>
      <c r="C25" s="16">
        <v>2052</v>
      </c>
      <c r="D25" s="16">
        <v>2804</v>
      </c>
      <c r="F25" s="14" t="s">
        <v>193</v>
      </c>
      <c r="G25" s="16">
        <v>9992136</v>
      </c>
      <c r="H25" s="16">
        <v>7674670</v>
      </c>
    </row>
    <row r="26" spans="2:8" ht="28.8" x14ac:dyDescent="0.3">
      <c r="B26" s="14" t="s">
        <v>116</v>
      </c>
      <c r="C26" s="16">
        <v>3546</v>
      </c>
      <c r="D26" s="16">
        <v>5330</v>
      </c>
      <c r="F26" s="14" t="s">
        <v>221</v>
      </c>
      <c r="G26" s="16">
        <v>9403672</v>
      </c>
      <c r="H26" s="16">
        <v>9418319</v>
      </c>
    </row>
    <row r="27" spans="2:8" x14ac:dyDescent="0.3">
      <c r="B27" s="14" t="s">
        <v>196</v>
      </c>
      <c r="C27" s="16">
        <v>30548</v>
      </c>
      <c r="D27" s="16">
        <v>36440</v>
      </c>
      <c r="F27" s="14" t="s">
        <v>195</v>
      </c>
      <c r="G27" s="16">
        <v>990873</v>
      </c>
      <c r="H27" s="16">
        <v>1177799</v>
      </c>
    </row>
    <row r="28" spans="2:8" ht="28.8" x14ac:dyDescent="0.3">
      <c r="B28" s="14" t="s">
        <v>197</v>
      </c>
      <c r="C28" s="14" t="s">
        <v>213</v>
      </c>
      <c r="D28" s="14" t="s">
        <v>213</v>
      </c>
      <c r="F28" s="14" t="s">
        <v>222</v>
      </c>
      <c r="G28" s="16">
        <v>328926</v>
      </c>
      <c r="H28" s="16">
        <v>2309222</v>
      </c>
    </row>
    <row r="29" spans="2:8" ht="28.8" x14ac:dyDescent="0.3">
      <c r="B29" s="14" t="s">
        <v>198</v>
      </c>
      <c r="C29" s="16">
        <v>568</v>
      </c>
      <c r="D29" s="16">
        <v>409</v>
      </c>
      <c r="F29" s="14" t="s">
        <v>116</v>
      </c>
      <c r="G29" s="16">
        <v>2710403</v>
      </c>
      <c r="H29" s="16">
        <v>2442970</v>
      </c>
    </row>
    <row r="30" spans="2:8" x14ac:dyDescent="0.3">
      <c r="B30" s="14" t="s">
        <v>199</v>
      </c>
      <c r="C30" s="14" t="s">
        <v>23</v>
      </c>
      <c r="D30" s="14" t="s">
        <v>23</v>
      </c>
      <c r="F30" s="14" t="s">
        <v>196</v>
      </c>
      <c r="G30" s="16">
        <v>23426010</v>
      </c>
      <c r="H30" s="16">
        <v>23022980</v>
      </c>
    </row>
    <row r="31" spans="2:8" x14ac:dyDescent="0.3">
      <c r="B31" s="13" t="s">
        <v>200</v>
      </c>
      <c r="C31" s="16">
        <v>0</v>
      </c>
      <c r="D31" s="16">
        <v>0</v>
      </c>
      <c r="F31" s="14" t="s">
        <v>223</v>
      </c>
      <c r="G31" s="14" t="s">
        <v>213</v>
      </c>
      <c r="H31" s="14" t="s">
        <v>213</v>
      </c>
    </row>
    <row r="32" spans="2:8" ht="43.2" x14ac:dyDescent="0.3">
      <c r="B32" s="14" t="s">
        <v>201</v>
      </c>
      <c r="C32" s="16">
        <v>3</v>
      </c>
      <c r="D32" s="16">
        <v>3</v>
      </c>
      <c r="F32" s="14" t="s">
        <v>198</v>
      </c>
      <c r="G32" s="16">
        <v>555964</v>
      </c>
      <c r="H32" s="16">
        <v>397734</v>
      </c>
    </row>
    <row r="33" spans="2:8" ht="72" x14ac:dyDescent="0.3">
      <c r="B33" s="14" t="s">
        <v>202</v>
      </c>
      <c r="C33" s="16">
        <v>29803</v>
      </c>
      <c r="D33" s="16">
        <v>32177</v>
      </c>
      <c r="F33" s="14" t="s">
        <v>224</v>
      </c>
      <c r="H33" s="16">
        <v>70</v>
      </c>
    </row>
    <row r="34" spans="2:8" x14ac:dyDescent="0.3">
      <c r="B34" s="14" t="s">
        <v>203</v>
      </c>
      <c r="C34" s="16">
        <v>54</v>
      </c>
      <c r="D34" s="16">
        <v>-361</v>
      </c>
      <c r="F34" s="13" t="s">
        <v>200</v>
      </c>
    </row>
    <row r="35" spans="2:8" ht="28.8" x14ac:dyDescent="0.3">
      <c r="B35" s="14" t="s">
        <v>204</v>
      </c>
      <c r="C35" s="16">
        <v>329</v>
      </c>
      <c r="D35" s="16">
        <v>12885</v>
      </c>
      <c r="F35" s="14" t="s">
        <v>225</v>
      </c>
      <c r="G35" s="14" t="s">
        <v>213</v>
      </c>
      <c r="H35" s="14" t="s">
        <v>213</v>
      </c>
    </row>
    <row r="36" spans="2:8" ht="57.6" x14ac:dyDescent="0.3">
      <c r="B36" s="14" t="s">
        <v>205</v>
      </c>
      <c r="C36" s="16">
        <v>30189</v>
      </c>
      <c r="D36" s="16">
        <v>44704</v>
      </c>
      <c r="F36" s="14" t="s">
        <v>226</v>
      </c>
      <c r="G36" s="16">
        <v>173</v>
      </c>
      <c r="H36" s="16">
        <v>169</v>
      </c>
    </row>
    <row r="37" spans="2:8" x14ac:dyDescent="0.3">
      <c r="B37" s="14" t="s">
        <v>206</v>
      </c>
      <c r="C37" s="16">
        <v>826</v>
      </c>
      <c r="D37" s="16">
        <v>785</v>
      </c>
      <c r="F37" s="14" t="s">
        <v>203</v>
      </c>
      <c r="G37" s="16">
        <v>10249120</v>
      </c>
      <c r="H37" s="16">
        <v>9178024</v>
      </c>
    </row>
    <row r="38" spans="2:8" x14ac:dyDescent="0.3">
      <c r="B38" s="14" t="s">
        <v>207</v>
      </c>
      <c r="C38" s="16">
        <v>62131</v>
      </c>
      <c r="D38" s="16">
        <v>82338</v>
      </c>
      <c r="F38" s="14" t="s">
        <v>227</v>
      </c>
      <c r="G38" s="16">
        <v>-8218</v>
      </c>
      <c r="H38" s="16">
        <v>33348</v>
      </c>
    </row>
    <row r="39" spans="2:8" x14ac:dyDescent="0.3">
      <c r="B39" s="14" t="s">
        <v>208</v>
      </c>
      <c r="C39" s="14" t="s">
        <v>23</v>
      </c>
      <c r="D39" s="14" t="s">
        <v>23</v>
      </c>
      <c r="F39" s="14" t="s">
        <v>228</v>
      </c>
      <c r="G39" s="16">
        <v>-5317832</v>
      </c>
      <c r="H39" s="16">
        <v>-4974299</v>
      </c>
    </row>
    <row r="40" spans="2:8" x14ac:dyDescent="0.3">
      <c r="B40" s="14" t="s">
        <v>209</v>
      </c>
      <c r="C40" s="14" t="s">
        <v>23</v>
      </c>
      <c r="D40" s="14" t="s">
        <v>23</v>
      </c>
      <c r="F40" s="14" t="s">
        <v>206</v>
      </c>
      <c r="G40" s="16">
        <v>4923243</v>
      </c>
      <c r="H40" s="16">
        <v>4237242</v>
      </c>
    </row>
    <row r="41" spans="2:8" x14ac:dyDescent="0.3">
      <c r="B41" s="13" t="s">
        <v>178</v>
      </c>
      <c r="C41" s="16">
        <v>4511</v>
      </c>
      <c r="D41" s="16">
        <v>5035</v>
      </c>
      <c r="F41" s="14" t="s">
        <v>207</v>
      </c>
      <c r="G41" s="16">
        <v>834397</v>
      </c>
      <c r="H41" s="16">
        <v>997346</v>
      </c>
    </row>
    <row r="42" spans="2:8" x14ac:dyDescent="0.3">
      <c r="B42" s="14" t="s">
        <v>210</v>
      </c>
      <c r="C42" s="14" t="s">
        <v>23</v>
      </c>
      <c r="D42" s="14" t="s">
        <v>23</v>
      </c>
      <c r="F42" s="14" t="s">
        <v>208</v>
      </c>
      <c r="G42" s="16">
        <v>29739614</v>
      </c>
      <c r="H42" s="16">
        <v>28655372</v>
      </c>
    </row>
    <row r="43" spans="2:8" x14ac:dyDescent="0.3">
      <c r="B43" s="14" t="s">
        <v>211</v>
      </c>
      <c r="C43" s="14" t="s">
        <v>23</v>
      </c>
      <c r="D43" s="14" t="s">
        <v>23</v>
      </c>
      <c r="F43" s="14" t="s">
        <v>209</v>
      </c>
    </row>
    <row r="44" spans="2:8" x14ac:dyDescent="0.3">
      <c r="B44" s="13" t="s">
        <v>178</v>
      </c>
      <c r="C44" s="15">
        <v>5765</v>
      </c>
      <c r="D44" s="15">
        <v>5489</v>
      </c>
      <c r="F44" s="13" t="s">
        <v>178</v>
      </c>
    </row>
    <row r="45" spans="2:8" x14ac:dyDescent="0.3">
      <c r="B45" s="14" t="s">
        <v>212</v>
      </c>
      <c r="F45" s="14" t="s">
        <v>229</v>
      </c>
      <c r="G45" s="16">
        <v>2089758</v>
      </c>
      <c r="H45" s="16">
        <v>4116604</v>
      </c>
    </row>
    <row r="46" spans="2:8" x14ac:dyDescent="0.3">
      <c r="F46" s="14" t="s">
        <v>211</v>
      </c>
    </row>
    <row r="47" spans="2:8" x14ac:dyDescent="0.3">
      <c r="F47" s="13" t="s">
        <v>178</v>
      </c>
    </row>
    <row r="48" spans="2:8" x14ac:dyDescent="0.3">
      <c r="F48" s="14" t="s">
        <v>229</v>
      </c>
      <c r="G48" s="15">
        <v>6271396</v>
      </c>
      <c r="H48" s="15">
        <v>6347490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DCF</vt:lpstr>
      <vt:lpstr>WACC</vt:lpstr>
      <vt:lpstr>IS</vt:lpstr>
      <vt:lpstr>CF</vt:lpstr>
      <vt:lpstr>BS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RAJAN</dc:creator>
  <cp:lastModifiedBy>AJITH RAJAN</cp:lastModifiedBy>
  <dcterms:created xsi:type="dcterms:W3CDTF">2023-02-09T18:52:24Z</dcterms:created>
  <dcterms:modified xsi:type="dcterms:W3CDTF">2023-02-17T10:58:53Z</dcterms:modified>
</cp:coreProperties>
</file>