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202300"/>
  <mc:AlternateContent xmlns:mc="http://schemas.openxmlformats.org/markup-compatibility/2006">
    <mc:Choice Requires="x15">
      <x15ac:absPath xmlns:x15ac="http://schemas.microsoft.com/office/spreadsheetml/2010/11/ac" url="C:\Users\lilla\Desktop\Portfolio\Excel\HR Workforce Analysis - chat gpt\"/>
    </mc:Choice>
  </mc:AlternateContent>
  <xr:revisionPtr revIDLastSave="0" documentId="13_ncr:1_{090A63B4-8A0C-463D-BB64-987CFD9A1A4E}" xr6:coauthVersionLast="47" xr6:coauthVersionMax="47" xr10:uidLastSave="{00000000-0000-0000-0000-000000000000}"/>
  <bookViews>
    <workbookView xWindow="-120" yWindow="-120" windowWidth="29040" windowHeight="15720" activeTab="1" xr2:uid="{0389EDD0-87C2-4F23-8BBA-261197A2308A}"/>
  </bookViews>
  <sheets>
    <sheet name="Business Questions" sheetId="1" r:id="rId1"/>
    <sheet name="Analysis" sheetId="4" r:id="rId2"/>
    <sheet name="Dashboard" sheetId="9" r:id="rId3"/>
    <sheet name="Dataset1" sheetId="3" r:id="rId4"/>
    <sheet name="Dataset2" sheetId="7" r:id="rId5"/>
  </sheets>
  <definedNames>
    <definedName name="_xlnm._FilterDatabase" localSheetId="3" hidden="1">Dataset1!$A$1:$T$101</definedName>
    <definedName name="_xlnm._FilterDatabase" localSheetId="4" hidden="1">Dataset2!$A$1:$D$101</definedName>
    <definedName name="Slicer_Department">#N/A</definedName>
    <definedName name="Slicer_Department1">#N/A</definedName>
    <definedName name="Slicer_Department2">#N/A</definedName>
    <definedName name="Slicer_Gender">#N/A</definedName>
    <definedName name="Slicer_Job_Title">#N/A</definedName>
  </definedNames>
  <calcPr calcId="191029"/>
  <pivotCaches>
    <pivotCache cacheId="5" r:id="rId6"/>
    <pivotCache cacheId="1" r:id="rId7"/>
    <pivotCache cacheId="2" r:id="rId8"/>
    <pivotCache cacheId="9" r:id="rId9"/>
  </pivotCaches>
  <extLst>
    <ext xmlns:x14="http://schemas.microsoft.com/office/spreadsheetml/2009/9/main" uri="{BBE1A952-AA13-448e-AADC-164F8A28A991}">
      <x14:slicerCaches>
        <x14:slicerCache r:id="rId10"/>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9" l="1"/>
  <c r="B3" i="9"/>
  <c r="Q2" i="3"/>
  <c r="Q3" i="3"/>
  <c r="Q4" i="3"/>
  <c r="Q5"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Q34" i="3"/>
  <c r="Q35" i="3"/>
  <c r="Q36" i="3"/>
  <c r="Q37" i="3"/>
  <c r="Q38" i="3"/>
  <c r="Q39" i="3"/>
  <c r="Q40" i="3"/>
  <c r="Q41" i="3"/>
  <c r="Q42" i="3"/>
  <c r="Q43" i="3"/>
  <c r="Q44" i="3"/>
  <c r="Q45" i="3"/>
  <c r="Q46" i="3"/>
  <c r="Q47" i="3"/>
  <c r="Q48" i="3"/>
  <c r="Q49" i="3"/>
  <c r="Q50" i="3"/>
  <c r="Q51" i="3"/>
  <c r="Q52" i="3"/>
  <c r="Q53" i="3"/>
  <c r="Q54" i="3"/>
  <c r="Q55" i="3"/>
  <c r="Q56" i="3"/>
  <c r="Q57" i="3"/>
  <c r="Q58" i="3"/>
  <c r="Q59" i="3"/>
  <c r="Q60" i="3"/>
  <c r="Q61" i="3"/>
  <c r="Q62" i="3"/>
  <c r="Q63" i="3"/>
  <c r="Q64" i="3"/>
  <c r="Q65" i="3"/>
  <c r="Q66" i="3"/>
  <c r="Q67" i="3"/>
  <c r="Q68" i="3"/>
  <c r="Q69" i="3"/>
  <c r="Q70" i="3"/>
  <c r="Q71" i="3"/>
  <c r="Q72" i="3"/>
  <c r="Q73" i="3"/>
  <c r="Q74" i="3"/>
  <c r="Q75" i="3"/>
  <c r="Q76" i="3"/>
  <c r="Q77" i="3"/>
  <c r="Q78" i="3"/>
  <c r="Q79" i="3"/>
  <c r="Q80" i="3"/>
  <c r="Q81" i="3"/>
  <c r="Q82" i="3"/>
  <c r="Q83" i="3"/>
  <c r="Q84" i="3"/>
  <c r="Q85" i="3"/>
  <c r="Q86" i="3"/>
  <c r="Q87" i="3"/>
  <c r="Q88" i="3"/>
  <c r="Q89" i="3"/>
  <c r="Q90" i="3"/>
  <c r="Q91" i="3"/>
  <c r="Q92" i="3"/>
  <c r="Q93" i="3"/>
  <c r="Q94" i="3"/>
  <c r="Q95" i="3"/>
  <c r="Q96" i="3"/>
  <c r="Q97" i="3"/>
  <c r="Q98" i="3"/>
  <c r="Q99" i="3"/>
  <c r="Q100" i="3"/>
  <c r="Q101" i="3"/>
  <c r="R3" i="3" a="1"/>
  <c r="R3" i="3" s="1"/>
  <c r="R4" i="3" a="1"/>
  <c r="R4" i="3" s="1"/>
  <c r="R5" i="3" a="1"/>
  <c r="R5" i="3" s="1"/>
  <c r="R6" i="3" a="1"/>
  <c r="R6" i="3" s="1"/>
  <c r="R7" i="3" a="1"/>
  <c r="R7" i="3" s="1"/>
  <c r="R8" i="3" a="1"/>
  <c r="R8" i="3" s="1"/>
  <c r="R9" i="3" a="1"/>
  <c r="R9" i="3" s="1"/>
  <c r="R10" i="3" a="1"/>
  <c r="R10" i="3" s="1"/>
  <c r="R11" i="3" a="1"/>
  <c r="R11" i="3" s="1"/>
  <c r="R12" i="3" a="1"/>
  <c r="R12" i="3" s="1"/>
  <c r="R13" i="3" a="1"/>
  <c r="R13" i="3" s="1"/>
  <c r="R14" i="3" a="1"/>
  <c r="R14" i="3" s="1"/>
  <c r="R15" i="3" a="1"/>
  <c r="R15" i="3" s="1"/>
  <c r="R16" i="3" a="1"/>
  <c r="R16" i="3" s="1"/>
  <c r="R17" i="3" a="1"/>
  <c r="R17" i="3" s="1"/>
  <c r="R18" i="3" a="1"/>
  <c r="R18" i="3" s="1"/>
  <c r="R19" i="3" a="1"/>
  <c r="R19" i="3" s="1"/>
  <c r="R20" i="3" a="1"/>
  <c r="R20" i="3" s="1"/>
  <c r="R21" i="3" a="1"/>
  <c r="R21" i="3" s="1"/>
  <c r="R22" i="3" a="1"/>
  <c r="R22" i="3" s="1"/>
  <c r="R23" i="3" a="1"/>
  <c r="R23" i="3" s="1"/>
  <c r="R24" i="3" a="1"/>
  <c r="R24" i="3" s="1"/>
  <c r="R25" i="3" a="1"/>
  <c r="R25" i="3" s="1"/>
  <c r="R26" i="3" a="1"/>
  <c r="R26" i="3" s="1"/>
  <c r="R27" i="3" a="1"/>
  <c r="R27" i="3" s="1"/>
  <c r="R28" i="3" a="1"/>
  <c r="R28" i="3" s="1"/>
  <c r="R29" i="3" a="1"/>
  <c r="R29" i="3" s="1"/>
  <c r="R30" i="3" a="1"/>
  <c r="R30" i="3" s="1"/>
  <c r="R31" i="3" a="1"/>
  <c r="R31" i="3" s="1"/>
  <c r="R32" i="3" a="1"/>
  <c r="R32" i="3" s="1"/>
  <c r="R33" i="3" a="1"/>
  <c r="R33" i="3" s="1"/>
  <c r="R34" i="3" a="1"/>
  <c r="R34" i="3" s="1"/>
  <c r="R35" i="3" a="1"/>
  <c r="R35" i="3" s="1"/>
  <c r="R36" i="3" a="1"/>
  <c r="R36" i="3" s="1"/>
  <c r="R37" i="3" a="1"/>
  <c r="R37" i="3" s="1"/>
  <c r="R38" i="3" a="1"/>
  <c r="R38" i="3" s="1"/>
  <c r="R39" i="3" a="1"/>
  <c r="R39" i="3" s="1"/>
  <c r="R40" i="3" a="1"/>
  <c r="R40" i="3" s="1"/>
  <c r="R41" i="3" a="1"/>
  <c r="R41" i="3" s="1"/>
  <c r="R42" i="3" a="1"/>
  <c r="R42" i="3" s="1"/>
  <c r="R43" i="3" a="1"/>
  <c r="R43" i="3" s="1"/>
  <c r="R44" i="3" a="1"/>
  <c r="R44" i="3" s="1"/>
  <c r="R45" i="3" a="1"/>
  <c r="R45" i="3" s="1"/>
  <c r="R46" i="3" a="1"/>
  <c r="R46" i="3" s="1"/>
  <c r="R47" i="3" a="1"/>
  <c r="R47" i="3" s="1"/>
  <c r="R48" i="3" a="1"/>
  <c r="R48" i="3" s="1"/>
  <c r="R49" i="3" a="1"/>
  <c r="R49" i="3" s="1"/>
  <c r="R50" i="3" a="1"/>
  <c r="R50" i="3" s="1"/>
  <c r="R51" i="3" a="1"/>
  <c r="R51" i="3" s="1"/>
  <c r="R52" i="3" a="1"/>
  <c r="R52" i="3" s="1"/>
  <c r="R53" i="3" a="1"/>
  <c r="R53" i="3" s="1"/>
  <c r="R54" i="3" a="1"/>
  <c r="R54" i="3" s="1"/>
  <c r="R55" i="3" a="1"/>
  <c r="R55" i="3" s="1"/>
  <c r="R56" i="3" a="1"/>
  <c r="R56" i="3" s="1"/>
  <c r="R57" i="3" a="1"/>
  <c r="R57" i="3" s="1"/>
  <c r="R58" i="3" a="1"/>
  <c r="R58" i="3" s="1"/>
  <c r="R59" i="3" a="1"/>
  <c r="R59" i="3" s="1"/>
  <c r="R60" i="3" a="1"/>
  <c r="R60" i="3" s="1"/>
  <c r="R61" i="3" a="1"/>
  <c r="R61" i="3" s="1"/>
  <c r="R62" i="3" a="1"/>
  <c r="R62" i="3" s="1"/>
  <c r="R63" i="3" a="1"/>
  <c r="R63" i="3" s="1"/>
  <c r="R64" i="3" a="1"/>
  <c r="R64" i="3" s="1"/>
  <c r="R65" i="3" a="1"/>
  <c r="R65" i="3" s="1"/>
  <c r="R66" i="3" a="1"/>
  <c r="R66" i="3" s="1"/>
  <c r="R67" i="3" a="1"/>
  <c r="R67" i="3" s="1"/>
  <c r="R68" i="3" a="1"/>
  <c r="R68" i="3" s="1"/>
  <c r="R69" i="3" a="1"/>
  <c r="R69" i="3" s="1"/>
  <c r="R70" i="3" a="1"/>
  <c r="R70" i="3" s="1"/>
  <c r="R71" i="3" a="1"/>
  <c r="R71" i="3" s="1"/>
  <c r="R72" i="3" a="1"/>
  <c r="R72" i="3" s="1"/>
  <c r="R73" i="3" a="1"/>
  <c r="R73" i="3" s="1"/>
  <c r="R74" i="3" a="1"/>
  <c r="R74" i="3" s="1"/>
  <c r="R75" i="3" a="1"/>
  <c r="R75" i="3" s="1"/>
  <c r="R76" i="3" a="1"/>
  <c r="R76" i="3" s="1"/>
  <c r="R77" i="3" a="1"/>
  <c r="R77" i="3" s="1"/>
  <c r="R78" i="3" a="1"/>
  <c r="R78" i="3" s="1"/>
  <c r="R79" i="3" a="1"/>
  <c r="R79" i="3" s="1"/>
  <c r="R80" i="3" a="1"/>
  <c r="R80" i="3" s="1"/>
  <c r="R81" i="3" a="1"/>
  <c r="R81" i="3" s="1"/>
  <c r="R82" i="3" a="1"/>
  <c r="R82" i="3" s="1"/>
  <c r="R83" i="3" a="1"/>
  <c r="R83" i="3" s="1"/>
  <c r="R84" i="3" a="1"/>
  <c r="R84" i="3" s="1"/>
  <c r="R85" i="3" a="1"/>
  <c r="R85" i="3" s="1"/>
  <c r="R86" i="3" a="1"/>
  <c r="R86" i="3" s="1"/>
  <c r="R87" i="3" a="1"/>
  <c r="R87" i="3" s="1"/>
  <c r="R88" i="3" a="1"/>
  <c r="R88" i="3" s="1"/>
  <c r="R89" i="3" a="1"/>
  <c r="R89" i="3" s="1"/>
  <c r="R90" i="3" a="1"/>
  <c r="R90" i="3" s="1"/>
  <c r="R91" i="3" a="1"/>
  <c r="R91" i="3" s="1"/>
  <c r="R92" i="3" a="1"/>
  <c r="R92" i="3" s="1"/>
  <c r="R93" i="3" a="1"/>
  <c r="R93" i="3" s="1"/>
  <c r="R94" i="3" a="1"/>
  <c r="R94" i="3" s="1"/>
  <c r="R95" i="3" a="1"/>
  <c r="R95" i="3" s="1"/>
  <c r="R96" i="3" a="1"/>
  <c r="R96" i="3" s="1"/>
  <c r="R97" i="3" a="1"/>
  <c r="R97" i="3" s="1"/>
  <c r="R98" i="3" a="1"/>
  <c r="R98" i="3" s="1"/>
  <c r="R99" i="3" a="1"/>
  <c r="R99" i="3" s="1"/>
  <c r="R100" i="3" a="1"/>
  <c r="R100" i="3" s="1"/>
  <c r="R101" i="3" a="1"/>
  <c r="R101" i="3" s="1"/>
  <c r="R2" i="3" a="1"/>
  <c r="R2" i="3" s="1"/>
  <c r="P3" i="3" a="1"/>
  <c r="P3" i="3" s="1"/>
  <c r="P4" i="3" a="1"/>
  <c r="P4" i="3" s="1"/>
  <c r="P5" i="3" a="1"/>
  <c r="P5" i="3" s="1"/>
  <c r="P6" i="3" a="1"/>
  <c r="P6" i="3" s="1"/>
  <c r="P7" i="3" a="1"/>
  <c r="P7" i="3" s="1"/>
  <c r="P8" i="3" a="1"/>
  <c r="P8" i="3" s="1"/>
  <c r="P9" i="3" a="1"/>
  <c r="P9" i="3" s="1"/>
  <c r="P10" i="3" a="1"/>
  <c r="P10" i="3" s="1"/>
  <c r="P11" i="3" a="1"/>
  <c r="P11" i="3" s="1"/>
  <c r="P12" i="3" a="1"/>
  <c r="P12" i="3" s="1"/>
  <c r="P13" i="3" a="1"/>
  <c r="P13" i="3" s="1"/>
  <c r="P14" i="3" a="1"/>
  <c r="P14" i="3" s="1"/>
  <c r="P15" i="3" a="1"/>
  <c r="P15" i="3" s="1"/>
  <c r="P16" i="3" a="1"/>
  <c r="P16" i="3" s="1"/>
  <c r="P17" i="3" a="1"/>
  <c r="P17" i="3" s="1"/>
  <c r="P18" i="3" a="1"/>
  <c r="P18" i="3" s="1"/>
  <c r="P19" i="3" a="1"/>
  <c r="P19" i="3" s="1"/>
  <c r="P20" i="3" a="1"/>
  <c r="P20" i="3" s="1"/>
  <c r="P21" i="3" a="1"/>
  <c r="P21" i="3" s="1"/>
  <c r="P22" i="3" a="1"/>
  <c r="P22" i="3" s="1"/>
  <c r="P23" i="3" a="1"/>
  <c r="P23" i="3" s="1"/>
  <c r="P24" i="3" a="1"/>
  <c r="P24" i="3" s="1"/>
  <c r="P25" i="3" a="1"/>
  <c r="P25" i="3" s="1"/>
  <c r="P26" i="3" a="1"/>
  <c r="P26" i="3" s="1"/>
  <c r="P27" i="3" a="1"/>
  <c r="P27" i="3" s="1"/>
  <c r="P28" i="3" a="1"/>
  <c r="P28" i="3" s="1"/>
  <c r="P29" i="3" a="1"/>
  <c r="P29" i="3" s="1"/>
  <c r="P30" i="3" a="1"/>
  <c r="P30" i="3" s="1"/>
  <c r="P31" i="3" a="1"/>
  <c r="P31" i="3" s="1"/>
  <c r="P32" i="3" a="1"/>
  <c r="P32" i="3" s="1"/>
  <c r="P33" i="3" a="1"/>
  <c r="P33" i="3" s="1"/>
  <c r="P34" i="3" a="1"/>
  <c r="P34" i="3" s="1"/>
  <c r="P35" i="3" a="1"/>
  <c r="P35" i="3" s="1"/>
  <c r="P36" i="3" a="1"/>
  <c r="P36" i="3" s="1"/>
  <c r="P37" i="3" a="1"/>
  <c r="P37" i="3" s="1"/>
  <c r="P38" i="3" a="1"/>
  <c r="P38" i="3" s="1"/>
  <c r="P39" i="3" a="1"/>
  <c r="P39" i="3" s="1"/>
  <c r="P40" i="3" a="1"/>
  <c r="P40" i="3" s="1"/>
  <c r="P41" i="3" a="1"/>
  <c r="P41" i="3" s="1"/>
  <c r="P42" i="3" a="1"/>
  <c r="P42" i="3" s="1"/>
  <c r="P43" i="3" a="1"/>
  <c r="P43" i="3" s="1"/>
  <c r="P44" i="3" a="1"/>
  <c r="P44" i="3" s="1"/>
  <c r="P45" i="3" a="1"/>
  <c r="P45" i="3" s="1"/>
  <c r="P46" i="3" a="1"/>
  <c r="P46" i="3" s="1"/>
  <c r="P47" i="3" a="1"/>
  <c r="P47" i="3" s="1"/>
  <c r="P48" i="3" a="1"/>
  <c r="P48" i="3" s="1"/>
  <c r="P49" i="3" a="1"/>
  <c r="P49" i="3" s="1"/>
  <c r="P50" i="3" a="1"/>
  <c r="P50" i="3" s="1"/>
  <c r="P51" i="3" a="1"/>
  <c r="P51" i="3" s="1"/>
  <c r="P52" i="3" a="1"/>
  <c r="P52" i="3" s="1"/>
  <c r="P53" i="3" a="1"/>
  <c r="P53" i="3" s="1"/>
  <c r="P54" i="3" a="1"/>
  <c r="P54" i="3" s="1"/>
  <c r="P55" i="3" a="1"/>
  <c r="P55" i="3" s="1"/>
  <c r="P56" i="3" a="1"/>
  <c r="P56" i="3" s="1"/>
  <c r="P57" i="3" a="1"/>
  <c r="P57" i="3" s="1"/>
  <c r="P58" i="3" a="1"/>
  <c r="P58" i="3" s="1"/>
  <c r="P59" i="3" a="1"/>
  <c r="P59" i="3" s="1"/>
  <c r="P60" i="3" a="1"/>
  <c r="P60" i="3" s="1"/>
  <c r="P61" i="3" a="1"/>
  <c r="P61" i="3" s="1"/>
  <c r="P62" i="3" a="1"/>
  <c r="P62" i="3" s="1"/>
  <c r="P63" i="3" a="1"/>
  <c r="P63" i="3" s="1"/>
  <c r="P64" i="3" a="1"/>
  <c r="P64" i="3" s="1"/>
  <c r="P65" i="3" a="1"/>
  <c r="P65" i="3" s="1"/>
  <c r="P66" i="3" a="1"/>
  <c r="P66" i="3" s="1"/>
  <c r="P67" i="3" a="1"/>
  <c r="P67" i="3" s="1"/>
  <c r="P68" i="3" a="1"/>
  <c r="P68" i="3" s="1"/>
  <c r="P69" i="3" a="1"/>
  <c r="P69" i="3" s="1"/>
  <c r="P70" i="3" a="1"/>
  <c r="P70" i="3" s="1"/>
  <c r="P71" i="3" a="1"/>
  <c r="P71" i="3" s="1"/>
  <c r="P72" i="3" a="1"/>
  <c r="P72" i="3" s="1"/>
  <c r="P73" i="3" a="1"/>
  <c r="P73" i="3" s="1"/>
  <c r="P74" i="3" a="1"/>
  <c r="P74" i="3" s="1"/>
  <c r="P75" i="3" a="1"/>
  <c r="P75" i="3" s="1"/>
  <c r="P76" i="3" a="1"/>
  <c r="P76" i="3" s="1"/>
  <c r="P77" i="3" a="1"/>
  <c r="P77" i="3" s="1"/>
  <c r="P78" i="3" a="1"/>
  <c r="P78" i="3" s="1"/>
  <c r="P79" i="3" a="1"/>
  <c r="P79" i="3" s="1"/>
  <c r="P80" i="3" a="1"/>
  <c r="P80" i="3" s="1"/>
  <c r="P81" i="3" a="1"/>
  <c r="P81" i="3" s="1"/>
  <c r="P82" i="3" a="1"/>
  <c r="P82" i="3" s="1"/>
  <c r="P83" i="3" a="1"/>
  <c r="P83" i="3" s="1"/>
  <c r="P84" i="3" a="1"/>
  <c r="P84" i="3" s="1"/>
  <c r="P85" i="3" a="1"/>
  <c r="P85" i="3" s="1"/>
  <c r="P86" i="3" a="1"/>
  <c r="P86" i="3" s="1"/>
  <c r="P87" i="3" a="1"/>
  <c r="P87" i="3" s="1"/>
  <c r="P88" i="3" a="1"/>
  <c r="P88" i="3" s="1"/>
  <c r="P89" i="3" a="1"/>
  <c r="P89" i="3" s="1"/>
  <c r="P90" i="3" a="1"/>
  <c r="P90" i="3" s="1"/>
  <c r="P91" i="3" a="1"/>
  <c r="P91" i="3" s="1"/>
  <c r="P92" i="3" a="1"/>
  <c r="P92" i="3" s="1"/>
  <c r="P93" i="3" a="1"/>
  <c r="P93" i="3" s="1"/>
  <c r="P94" i="3" a="1"/>
  <c r="P94" i="3" s="1"/>
  <c r="P95" i="3" a="1"/>
  <c r="P95" i="3" s="1"/>
  <c r="P96" i="3" a="1"/>
  <c r="P96" i="3" s="1"/>
  <c r="P97" i="3" a="1"/>
  <c r="P97" i="3" s="1"/>
  <c r="P98" i="3" a="1"/>
  <c r="P98" i="3" s="1"/>
  <c r="P99" i="3" a="1"/>
  <c r="P99" i="3" s="1"/>
  <c r="P100" i="3" a="1"/>
  <c r="P100" i="3" s="1"/>
  <c r="P101" i="3" a="1"/>
  <c r="P101" i="3" s="1"/>
  <c r="P2" i="3" a="1"/>
  <c r="P2" i="3" s="1"/>
  <c r="M111" i="4"/>
  <c r="K113" i="4"/>
  <c r="J108" i="4"/>
  <c r="K108" i="4"/>
  <c r="L109" i="4"/>
  <c r="M110" i="4"/>
  <c r="K112" i="4"/>
  <c r="J107" i="4"/>
  <c r="J111" i="4"/>
  <c r="M113" i="4"/>
  <c r="M112" i="4"/>
  <c r="M109" i="4"/>
  <c r="K111" i="4"/>
  <c r="K110" i="4"/>
  <c r="L113" i="4"/>
  <c r="J110" i="4"/>
  <c r="J109" i="4"/>
  <c r="M108" i="4"/>
  <c r="M107" i="4"/>
  <c r="K109" i="4"/>
  <c r="J112" i="4"/>
  <c r="L112" i="4"/>
  <c r="K107" i="4"/>
  <c r="L110" i="4"/>
  <c r="L108" i="4"/>
  <c r="L107" i="4"/>
  <c r="L111" i="4"/>
  <c r="J113" i="4"/>
  <c r="F3" i="9" l="1"/>
  <c r="O3" i="3"/>
  <c r="O4" i="3"/>
  <c r="O5" i="3"/>
  <c r="O6" i="3"/>
  <c r="O7" i="3"/>
  <c r="O8" i="3"/>
  <c r="O9" i="3"/>
  <c r="O10" i="3"/>
  <c r="O11" i="3"/>
  <c r="O12" i="3"/>
  <c r="O13" i="3"/>
  <c r="O14" i="3"/>
  <c r="O15" i="3"/>
  <c r="O16" i="3"/>
  <c r="O17" i="3"/>
  <c r="O18" i="3"/>
  <c r="O19" i="3"/>
  <c r="O20" i="3"/>
  <c r="O21" i="3"/>
  <c r="O22" i="3"/>
  <c r="O23" i="3"/>
  <c r="O24" i="3"/>
  <c r="O25" i="3"/>
  <c r="O26" i="3"/>
  <c r="O27" i="3"/>
  <c r="O28" i="3"/>
  <c r="O29" i="3"/>
  <c r="O30" i="3"/>
  <c r="O31" i="3"/>
  <c r="O32" i="3"/>
  <c r="O33" i="3"/>
  <c r="O34" i="3"/>
  <c r="O35" i="3"/>
  <c r="O36" i="3"/>
  <c r="O37" i="3"/>
  <c r="O38" i="3"/>
  <c r="O39" i="3"/>
  <c r="O40" i="3"/>
  <c r="O41" i="3"/>
  <c r="O42" i="3"/>
  <c r="O43" i="3"/>
  <c r="O44" i="3"/>
  <c r="O45" i="3"/>
  <c r="O46" i="3"/>
  <c r="O47" i="3"/>
  <c r="O48" i="3"/>
  <c r="O49" i="3"/>
  <c r="O50" i="3"/>
  <c r="O51" i="3"/>
  <c r="O52" i="3"/>
  <c r="O53" i="3"/>
  <c r="O54" i="3"/>
  <c r="O55" i="3"/>
  <c r="O56" i="3"/>
  <c r="O57" i="3"/>
  <c r="O58" i="3"/>
  <c r="O59" i="3"/>
  <c r="O60" i="3"/>
  <c r="O61" i="3"/>
  <c r="O62" i="3"/>
  <c r="O63" i="3"/>
  <c r="O64" i="3"/>
  <c r="O65" i="3"/>
  <c r="O66" i="3"/>
  <c r="O67" i="3"/>
  <c r="O68" i="3"/>
  <c r="O69" i="3"/>
  <c r="O70" i="3"/>
  <c r="O71" i="3"/>
  <c r="O72" i="3"/>
  <c r="O73" i="3"/>
  <c r="O74" i="3"/>
  <c r="O75" i="3"/>
  <c r="O76" i="3"/>
  <c r="O77" i="3"/>
  <c r="O78" i="3"/>
  <c r="O79" i="3"/>
  <c r="O80" i="3"/>
  <c r="O81" i="3"/>
  <c r="O82" i="3"/>
  <c r="O83" i="3"/>
  <c r="O84" i="3"/>
  <c r="O85" i="3"/>
  <c r="O86" i="3"/>
  <c r="O87" i="3"/>
  <c r="O88" i="3"/>
  <c r="O89" i="3"/>
  <c r="O90" i="3"/>
  <c r="O91" i="3"/>
  <c r="O92" i="3"/>
  <c r="O93" i="3"/>
  <c r="O94" i="3"/>
  <c r="O95" i="3"/>
  <c r="O96" i="3"/>
  <c r="O97" i="3"/>
  <c r="O98" i="3"/>
  <c r="O99" i="3"/>
  <c r="O100" i="3"/>
  <c r="O101" i="3"/>
  <c r="O2" i="3"/>
  <c r="C28" i="4" a="1"/>
  <c r="C28" i="4" s="1"/>
  <c r="N3" i="3"/>
  <c r="N4" i="3"/>
  <c r="N5" i="3"/>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49" i="3"/>
  <c r="N50" i="3"/>
  <c r="N51" i="3"/>
  <c r="N52" i="3"/>
  <c r="N53" i="3"/>
  <c r="N54" i="3"/>
  <c r="N55" i="3"/>
  <c r="N56" i="3"/>
  <c r="N57" i="3"/>
  <c r="N58" i="3"/>
  <c r="N59" i="3"/>
  <c r="N60" i="3"/>
  <c r="N61" i="3"/>
  <c r="N62" i="3"/>
  <c r="N63" i="3"/>
  <c r="N64" i="3"/>
  <c r="N65" i="3"/>
  <c r="N66" i="3"/>
  <c r="N67" i="3"/>
  <c r="N68" i="3"/>
  <c r="N69" i="3"/>
  <c r="N70" i="3"/>
  <c r="N71" i="3"/>
  <c r="N72" i="3"/>
  <c r="N73" i="3"/>
  <c r="N74" i="3"/>
  <c r="N75" i="3"/>
  <c r="N76" i="3"/>
  <c r="N77" i="3"/>
  <c r="N78" i="3"/>
  <c r="N79" i="3"/>
  <c r="N80" i="3"/>
  <c r="N81" i="3"/>
  <c r="N82" i="3"/>
  <c r="N83" i="3"/>
  <c r="N84" i="3"/>
  <c r="N85" i="3"/>
  <c r="N86" i="3"/>
  <c r="N87" i="3"/>
  <c r="N88" i="3"/>
  <c r="N89" i="3"/>
  <c r="N90" i="3"/>
  <c r="N91" i="3"/>
  <c r="N92" i="3"/>
  <c r="N93" i="3"/>
  <c r="N94" i="3"/>
  <c r="N95" i="3"/>
  <c r="N96" i="3"/>
  <c r="N97" i="3"/>
  <c r="N98" i="3"/>
  <c r="N99" i="3"/>
  <c r="N100" i="3"/>
  <c r="N101" i="3"/>
  <c r="N2" i="3"/>
  <c r="E28" i="4" l="1"/>
  <c r="D28" i="4"/>
  <c r="E31" i="4"/>
  <c r="E30" i="4"/>
  <c r="E29" i="4"/>
  <c r="E33" i="4"/>
  <c r="E32" i="4"/>
  <c r="D33" i="4"/>
  <c r="D32" i="4"/>
  <c r="D31" i="4"/>
  <c r="D30" i="4"/>
  <c r="D29" i="4"/>
  <c r="F29" i="4" l="1"/>
  <c r="F30" i="4"/>
  <c r="F31" i="4"/>
  <c r="F32" i="4"/>
  <c r="F33" i="4"/>
  <c r="E34" i="4"/>
  <c r="D34" i="4"/>
  <c r="F28" i="4"/>
  <c r="F34"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<sst xmlns="http://schemas.openxmlformats.org/spreadsheetml/2006/main" count="1065" uniqueCount="345">
  <si>
    <t>Employee ID</t>
  </si>
  <si>
    <t>Name</t>
  </si>
  <si>
    <t>Department</t>
  </si>
  <si>
    <t>Job Title</t>
  </si>
  <si>
    <t>Hire Date</t>
  </si>
  <si>
    <t>Termination Date</t>
  </si>
  <si>
    <t>Employment Status</t>
  </si>
  <si>
    <t>Gender</t>
  </si>
  <si>
    <t>Age</t>
  </si>
  <si>
    <t>Education Level</t>
  </si>
  <si>
    <t>Location</t>
  </si>
  <si>
    <t>Salary</t>
  </si>
  <si>
    <t>Performance Score</t>
  </si>
  <si>
    <t>Sick Days YTD</t>
  </si>
  <si>
    <t>Training Hours YTD</t>
  </si>
  <si>
    <t>Michael King</t>
  </si>
  <si>
    <t>Marketing</t>
  </si>
  <si>
    <t>Content Creator</t>
  </si>
  <si>
    <t>Terminated</t>
  </si>
  <si>
    <t>Other</t>
  </si>
  <si>
    <t>Master</t>
  </si>
  <si>
    <t>Theresaberg</t>
  </si>
  <si>
    <t>Alexandra Todd</t>
  </si>
  <si>
    <t>Finance</t>
  </si>
  <si>
    <t>Financial Analyst</t>
  </si>
  <si>
    <t>Active</t>
  </si>
  <si>
    <t>Male</t>
  </si>
  <si>
    <t>Dicksonburgh</t>
  </si>
  <si>
    <t>Amanda Chambers</t>
  </si>
  <si>
    <t>Sales</t>
  </si>
  <si>
    <t>Sales Rep</t>
  </si>
  <si>
    <t>Lake Jasonborough</t>
  </si>
  <si>
    <t>Ashley Watkins</t>
  </si>
  <si>
    <t>PhD</t>
  </si>
  <si>
    <t>Michaelshire</t>
  </si>
  <si>
    <t>Sherri Dawson</t>
  </si>
  <si>
    <t>Oconnorberg</t>
  </si>
  <si>
    <t>Kevin Thomas</t>
  </si>
  <si>
    <t>Associate</t>
  </si>
  <si>
    <t>East James</t>
  </si>
  <si>
    <t>Jamie Clarke</t>
  </si>
  <si>
    <t>IT</t>
  </si>
  <si>
    <t>System Admin</t>
  </si>
  <si>
    <t>South Daniel</t>
  </si>
  <si>
    <t>Jessica Rivera</t>
  </si>
  <si>
    <t>Bachelor</t>
  </si>
  <si>
    <t>Steventown</t>
  </si>
  <si>
    <t>Meghan Brooks</t>
  </si>
  <si>
    <t>Colemanberg</t>
  </si>
  <si>
    <t>Katie Black</t>
  </si>
  <si>
    <t>Rebeccabury</t>
  </si>
  <si>
    <t>David Arroyo</t>
  </si>
  <si>
    <t>HR</t>
  </si>
  <si>
    <t>HR Coordinator</t>
  </si>
  <si>
    <t>Female</t>
  </si>
  <si>
    <t>West Ashley</t>
  </si>
  <si>
    <t>Amy Summers</t>
  </si>
  <si>
    <t>South David</t>
  </si>
  <si>
    <t>Shannon Rubio</t>
  </si>
  <si>
    <t>Glassberg</t>
  </si>
  <si>
    <t>Heather Greer</t>
  </si>
  <si>
    <t>Account Manager</t>
  </si>
  <si>
    <t>High School</t>
  </si>
  <si>
    <t>West Kevin</t>
  </si>
  <si>
    <t>Victoria Baker</t>
  </si>
  <si>
    <t>SEO Specialist</t>
  </si>
  <si>
    <t>Mendezfort</t>
  </si>
  <si>
    <t>Derek Miller</t>
  </si>
  <si>
    <t>Port Mariashire</t>
  </si>
  <si>
    <t>Paul Joseph</t>
  </si>
  <si>
    <t>Operations</t>
  </si>
  <si>
    <t>Operations Coordinator</t>
  </si>
  <si>
    <t>East Christinemouth</t>
  </si>
  <si>
    <t>David Jones</t>
  </si>
  <si>
    <t>North Rebeccahaven</t>
  </si>
  <si>
    <t>Yolanda Gonzalez</t>
  </si>
  <si>
    <t>Tanyaberg</t>
  </si>
  <si>
    <t>Veronica Pearson</t>
  </si>
  <si>
    <t>Deborahhaven</t>
  </si>
  <si>
    <t>Tabitha Chapman</t>
  </si>
  <si>
    <t>South Davidfurt</t>
  </si>
  <si>
    <t>Jill Dalton</t>
  </si>
  <si>
    <t>Developer</t>
  </si>
  <si>
    <t>Nicholasport</t>
  </si>
  <si>
    <t>Rachel Wagner MD</t>
  </si>
  <si>
    <t>HR Manager</t>
  </si>
  <si>
    <t>South Daniellechester</t>
  </si>
  <si>
    <t>James Patrick</t>
  </si>
  <si>
    <t>Johnland</t>
  </si>
  <si>
    <t>Maria Watson</t>
  </si>
  <si>
    <t>Accountant</t>
  </si>
  <si>
    <t>South Aaron</t>
  </si>
  <si>
    <t>Nathan Green</t>
  </si>
  <si>
    <t>South Felicia</t>
  </si>
  <si>
    <t>Edward Reyes</t>
  </si>
  <si>
    <t>West Joseph</t>
  </si>
  <si>
    <t>Russell Fields</t>
  </si>
  <si>
    <t>New Nicoleview</t>
  </si>
  <si>
    <t>Eric King</t>
  </si>
  <si>
    <t>New Jeanne</t>
  </si>
  <si>
    <t>Anne Mercado</t>
  </si>
  <si>
    <t>Lake Marie</t>
  </si>
  <si>
    <t>Brandon Browning</t>
  </si>
  <si>
    <t>Nicholeburgh</t>
  </si>
  <si>
    <t>Erin Martin</t>
  </si>
  <si>
    <t>Logistics Manager</t>
  </si>
  <si>
    <t>Christophermouth</t>
  </si>
  <si>
    <t>Mr. Seth Shields</t>
  </si>
  <si>
    <t>South Rickyshire</t>
  </si>
  <si>
    <t>Henry Wright</t>
  </si>
  <si>
    <t>New Kylestad</t>
  </si>
  <si>
    <t>Wesley Moran</t>
  </si>
  <si>
    <t>Martinstad</t>
  </si>
  <si>
    <t>Henry Sanders</t>
  </si>
  <si>
    <t>Lewismouth</t>
  </si>
  <si>
    <t>Timothy Lindsey</t>
  </si>
  <si>
    <t>Foleyfurt</t>
  </si>
  <si>
    <t>Mary Ross</t>
  </si>
  <si>
    <t>East Josephbury</t>
  </si>
  <si>
    <t>Richard Lee</t>
  </si>
  <si>
    <t>Port Christophermouth</t>
  </si>
  <si>
    <t>Daniel Wilson</t>
  </si>
  <si>
    <t>Lake Rebeccafort</t>
  </si>
  <si>
    <t>Amy Clark</t>
  </si>
  <si>
    <t>Williamshire</t>
  </si>
  <si>
    <t>Cynthia Evans</t>
  </si>
  <si>
    <t>Robertport</t>
  </si>
  <si>
    <t>Brian Delgado</t>
  </si>
  <si>
    <t>Margaretport</t>
  </si>
  <si>
    <t>Elizabeth Garrison</t>
  </si>
  <si>
    <t>East Sharon</t>
  </si>
  <si>
    <t>James Turner</t>
  </si>
  <si>
    <t>West Rebeccaborough</t>
  </si>
  <si>
    <t>Dean Romero</t>
  </si>
  <si>
    <t>Adamland</t>
  </si>
  <si>
    <t>Courtney Bell</t>
  </si>
  <si>
    <t>Hawkinsburgh</t>
  </si>
  <si>
    <t>Russell Becker</t>
  </si>
  <si>
    <t>Shannonfort</t>
  </si>
  <si>
    <t>Calvin Hodges</t>
  </si>
  <si>
    <t>South Lisatown</t>
  </si>
  <si>
    <t>Vickie Villarreal</t>
  </si>
  <si>
    <t>North Eddie</t>
  </si>
  <si>
    <t>Mary Brown</t>
  </si>
  <si>
    <t>Samanthastad</t>
  </si>
  <si>
    <t>Maurice Cole</t>
  </si>
  <si>
    <t>IT Support</t>
  </si>
  <si>
    <t>North Garyland</t>
  </si>
  <si>
    <t>Carlos Curtis</t>
  </si>
  <si>
    <t>Burchmouth</t>
  </si>
  <si>
    <t>Peter Ruiz</t>
  </si>
  <si>
    <t>Robertsonchester</t>
  </si>
  <si>
    <t>David Hicks</t>
  </si>
  <si>
    <t>Jasminechester</t>
  </si>
  <si>
    <t>Stephanie Tanner DVM</t>
  </si>
  <si>
    <t>Cookeberg</t>
  </si>
  <si>
    <t>Michael Miller</t>
  </si>
  <si>
    <t>North Tammy</t>
  </si>
  <si>
    <t>Taylor Martin</t>
  </si>
  <si>
    <t>East Kim</t>
  </si>
  <si>
    <t>Matthew Kelly</t>
  </si>
  <si>
    <t>Nicoleport</t>
  </si>
  <si>
    <t>Thomas Todd</t>
  </si>
  <si>
    <t>Ashleychester</t>
  </si>
  <si>
    <t>Julia Carter</t>
  </si>
  <si>
    <t>Thomasberg</t>
  </si>
  <si>
    <t>Jacqueline Thompson</t>
  </si>
  <si>
    <t>Colebury</t>
  </si>
  <si>
    <t>Jennifer Martin</t>
  </si>
  <si>
    <t>South Victoriafort</t>
  </si>
  <si>
    <t>Christina Dillon</t>
  </si>
  <si>
    <t>Port Kylebury</t>
  </si>
  <si>
    <t>Susan Long</t>
  </si>
  <si>
    <t>New Caroline</t>
  </si>
  <si>
    <t>Julie Buchanan</t>
  </si>
  <si>
    <t>Robertsonland</t>
  </si>
  <si>
    <t>Willie Flynn</t>
  </si>
  <si>
    <t>West Troy</t>
  </si>
  <si>
    <t>Lisa Young</t>
  </si>
  <si>
    <t>North Bruce</t>
  </si>
  <si>
    <t>Michelle Long</t>
  </si>
  <si>
    <t>Lake William</t>
  </si>
  <si>
    <t>Trevor Winters</t>
  </si>
  <si>
    <t>Johnbury</t>
  </si>
  <si>
    <t>Timothy Mcintyre</t>
  </si>
  <si>
    <t>Diazhaven</t>
  </si>
  <si>
    <t>Chelsea Figueroa</t>
  </si>
  <si>
    <t>East Russelltown</t>
  </si>
  <si>
    <t>Gabriel Morales</t>
  </si>
  <si>
    <t>Hannafurt</t>
  </si>
  <si>
    <t>Kevin Turner</t>
  </si>
  <si>
    <t>Schmidtshire</t>
  </si>
  <si>
    <t>Anthony Hood</t>
  </si>
  <si>
    <t>Port Tamaraville</t>
  </si>
  <si>
    <t>Derek Diaz</t>
  </si>
  <si>
    <t>Robertberg</t>
  </si>
  <si>
    <t>Daniel Wallace</t>
  </si>
  <si>
    <t>South Amy</t>
  </si>
  <si>
    <t>Pamela Delacruz</t>
  </si>
  <si>
    <t>Port Mitchell</t>
  </si>
  <si>
    <t>Nicole Long</t>
  </si>
  <si>
    <t>Hoffmanburgh</t>
  </si>
  <si>
    <t>Jessica Powell</t>
  </si>
  <si>
    <t>East Carla</t>
  </si>
  <si>
    <t>Susan Gonzalez</t>
  </si>
  <si>
    <t>Jamesburgh</t>
  </si>
  <si>
    <t>Steven Reynolds</t>
  </si>
  <si>
    <t>South Cory</t>
  </si>
  <si>
    <t>Michelle Hernandez</t>
  </si>
  <si>
    <t>Griffinton</t>
  </si>
  <si>
    <t>Jennifer Roberts</t>
  </si>
  <si>
    <t>Port Sean</t>
  </si>
  <si>
    <t>Rachael Allen</t>
  </si>
  <si>
    <t>South Kelseyton</t>
  </si>
  <si>
    <t>Charles Stewart</t>
  </si>
  <si>
    <t>East Michelehaven</t>
  </si>
  <si>
    <t>Barbara Turner</t>
  </si>
  <si>
    <t>Mooreberg</t>
  </si>
  <si>
    <t>Christina Guzman</t>
  </si>
  <si>
    <t>East Nicolefurt</t>
  </si>
  <si>
    <t>Brian Deleon</t>
  </si>
  <si>
    <t>Jasonhaven</t>
  </si>
  <si>
    <t>Jill Bennett</t>
  </si>
  <si>
    <t>Ashleystad</t>
  </si>
  <si>
    <t>Brittany Crosby</t>
  </si>
  <si>
    <t>Alexanderfurt</t>
  </si>
  <si>
    <t>Thomas Frye</t>
  </si>
  <si>
    <t>Pattonfort</t>
  </si>
  <si>
    <t>Kerry Berger</t>
  </si>
  <si>
    <t>North Maryton</t>
  </si>
  <si>
    <t>Mary Greer</t>
  </si>
  <si>
    <t>East Andreafurt</t>
  </si>
  <si>
    <t>James Fisher</t>
  </si>
  <si>
    <t>Port Whitneychester</t>
  </si>
  <si>
    <t>Emma Price</t>
  </si>
  <si>
    <t>North Destiny</t>
  </si>
  <si>
    <t>Hannah Carlson</t>
  </si>
  <si>
    <t>Loriview</t>
  </si>
  <si>
    <t>Bryan Walsh</t>
  </si>
  <si>
    <t>Lake Ericmouth</t>
  </si>
  <si>
    <t>Dawn Duffy</t>
  </si>
  <si>
    <t>Mooreburgh</t>
  </si>
  <si>
    <t>Kelly Hardin</t>
  </si>
  <si>
    <t>Mortonland</t>
  </si>
  <si>
    <t>Row Labels</t>
  </si>
  <si>
    <t>Grand Total</t>
  </si>
  <si>
    <t>Average of Salary</t>
  </si>
  <si>
    <t>What is the average salary per department and how does it vary by job title?</t>
  </si>
  <si>
    <t>Department/Job title</t>
  </si>
  <si>
    <t>TerminatedFlag</t>
  </si>
  <si>
    <t>Which departments have the highest turnover rates?</t>
  </si>
  <si>
    <t>Total Employees</t>
  </si>
  <si>
    <t>Turnover Rate</t>
  </si>
  <si>
    <t>Total</t>
  </si>
  <si>
    <t>Is there a correlation between training hours and performance scores?</t>
  </si>
  <si>
    <t>Performance Level</t>
  </si>
  <si>
    <r>
      <rPr>
        <b/>
        <sz val="11"/>
        <color theme="1"/>
        <rFont val="Aptos Narrow"/>
        <family val="2"/>
        <scheme val="minor"/>
      </rPr>
      <t>Result</t>
    </r>
    <r>
      <rPr>
        <sz val="11"/>
        <color theme="1"/>
        <rFont val="Aptos Narrow"/>
        <family val="2"/>
        <charset val="238"/>
        <scheme val="minor"/>
      </rPr>
      <t>: there’s no significant correlation between the Training hours and the Performance scores.</t>
    </r>
  </si>
  <si>
    <t>2015</t>
  </si>
  <si>
    <t>2016</t>
  </si>
  <si>
    <t>2017</t>
  </si>
  <si>
    <t>2018</t>
  </si>
  <si>
    <t>2019</t>
  </si>
  <si>
    <t>2020</t>
  </si>
  <si>
    <t>2021</t>
  </si>
  <si>
    <t>2022</t>
  </si>
  <si>
    <t>2023</t>
  </si>
  <si>
    <t>2024</t>
  </si>
  <si>
    <t>How many employees were hired each year?</t>
  </si>
  <si>
    <t>Hire Year</t>
  </si>
  <si>
    <t># of employees</t>
  </si>
  <si>
    <t>jan</t>
  </si>
  <si>
    <t>febr</t>
  </si>
  <si>
    <t>márc</t>
  </si>
  <si>
    <t>ápr</t>
  </si>
  <si>
    <t>máj</t>
  </si>
  <si>
    <t>jún</t>
  </si>
  <si>
    <t>júl</t>
  </si>
  <si>
    <t>aug</t>
  </si>
  <si>
    <t>szept</t>
  </si>
  <si>
    <t>okt</t>
  </si>
  <si>
    <t>nov</t>
  </si>
  <si>
    <t>dec</t>
  </si>
  <si>
    <t>Hire Month</t>
  </si>
  <si>
    <r>
      <rPr>
        <b/>
        <sz val="11"/>
        <color theme="1"/>
        <rFont val="Aptos Narrow"/>
        <family val="2"/>
        <scheme val="minor"/>
      </rPr>
      <t>Result</t>
    </r>
    <r>
      <rPr>
        <sz val="11"/>
        <color theme="1"/>
        <rFont val="Aptos Narrow"/>
        <family val="2"/>
        <charset val="238"/>
        <scheme val="minor"/>
      </rPr>
      <t>: Marketing Department</t>
    </r>
    <r>
      <rPr>
        <sz val="11"/>
        <color theme="1"/>
        <rFont val="Aptos Narrow"/>
        <family val="2"/>
        <scheme val="minor"/>
      </rPr>
      <t xml:space="preserve"> has the highest turnover rates.</t>
    </r>
  </si>
  <si>
    <t>High</t>
  </si>
  <si>
    <t>Low</t>
  </si>
  <si>
    <t>Medium</t>
  </si>
  <si>
    <t>Average of Training Hours YTD</t>
  </si>
  <si>
    <t>StdDev of Training Hours YTD</t>
  </si>
  <si>
    <t>Insights</t>
  </si>
  <si>
    <t>Performance level</t>
  </si>
  <si>
    <t>Wide variation in training. Some high performers had lots of training, others much less.</t>
  </si>
  <si>
    <t>Lowest standard deviation → more consistent training, but slightly lower average.</t>
  </si>
  <si>
    <t>Similar average to high performers, also quite varied. Training doesn’t clearly explain low performance.</t>
  </si>
  <si>
    <t>Standard Deviation: Consistency – do most people in that group get similar training, or is it very mixed?</t>
  </si>
  <si>
    <t>Average Training : Central tendency – how many hours on average.</t>
  </si>
  <si>
    <t>Age Groups</t>
  </si>
  <si>
    <t>18–25</t>
  </si>
  <si>
    <t>26–35</t>
  </si>
  <si>
    <t>36–45</t>
  </si>
  <si>
    <t>46–55</t>
  </si>
  <si>
    <t>56–65</t>
  </si>
  <si>
    <t>Sum of Sick Days YTD</t>
  </si>
  <si>
    <t>Age Group</t>
  </si>
  <si>
    <t>Gender imbalance in departments</t>
  </si>
  <si>
    <t>Gender Ratio (Male/Female)</t>
  </si>
  <si>
    <t>Gender % per Department</t>
  </si>
  <si>
    <t># of Years spent at company</t>
  </si>
  <si>
    <t>How long do employees typically stay before leaving?</t>
  </si>
  <si>
    <t>Average of Years spent at the company</t>
  </si>
  <si>
    <t>Average Salary</t>
  </si>
  <si>
    <t>Average Tenure</t>
  </si>
  <si>
    <t>% Active Employees</t>
  </si>
  <si>
    <t>Count of Employee ID</t>
  </si>
  <si>
    <t>Column Labels</t>
  </si>
  <si>
    <t>Department Headcount</t>
  </si>
  <si>
    <t>Gender Breakdown</t>
  </si>
  <si>
    <t xml:space="preserve">Annual Hires by Gender </t>
  </si>
  <si>
    <t xml:space="preserve">Business Questions  </t>
  </si>
  <si>
    <t>Solutions</t>
  </si>
  <si>
    <r>
      <rPr>
        <b/>
        <sz val="11"/>
        <color theme="1"/>
        <rFont val="Aptos Narrow"/>
        <family val="2"/>
        <scheme val="minor"/>
      </rPr>
      <t xml:space="preserve">Scenario: 
</t>
    </r>
    <r>
      <rPr>
        <sz val="11"/>
        <color theme="1"/>
        <rFont val="Aptos Narrow"/>
        <family val="2"/>
        <charset val="238"/>
        <scheme val="minor"/>
      </rPr>
      <t>You’re acting as an HR analyst for a mid-sized company. 
They’ve asked you to analyze their employee dataset to spot trends and support decision-making about hiring, turnover, and performance</t>
    </r>
  </si>
  <si>
    <r>
      <t xml:space="preserve">Tools: </t>
    </r>
    <r>
      <rPr>
        <b/>
        <sz val="11"/>
        <color theme="1"/>
        <rFont val="Aptos Narrow"/>
        <family val="2"/>
        <scheme val="minor"/>
      </rPr>
      <t>UNIQUE, COUNTIFS, SUMIFS</t>
    </r>
    <r>
      <rPr>
        <sz val="11"/>
        <color theme="1"/>
        <rFont val="Aptos Narrow"/>
        <family val="2"/>
        <scheme val="minor"/>
      </rPr>
      <t xml:space="preserve">
Created a table listing all unique departments using the UNIQUE function. Calculated total headcount per department with COUNTIF, and the number of terminated employees using SUMIFS based on a pre-defined termination flag. Turnover rate was then computed as the ratio of terminated employees to total headcount per department.</t>
    </r>
  </si>
  <si>
    <r>
      <t>Tools:</t>
    </r>
    <r>
      <rPr>
        <b/>
        <sz val="11"/>
        <color theme="1"/>
        <rFont val="Aptos Narrow"/>
        <family val="2"/>
        <scheme val="minor"/>
      </rPr>
      <t xml:space="preserve"> Pivot table, AVERAGE, Conditional formatting, Bar chart</t>
    </r>
    <r>
      <rPr>
        <sz val="11"/>
        <color theme="1"/>
        <rFont val="Aptos Narrow"/>
        <family val="2"/>
        <scheme val="minor"/>
      </rPr>
      <t xml:space="preserve">
 Pivot table showing the Average Salary per each Job Title at each Department with a conditional formatting highlighting from the lowest average salary to the highest. Visualized in a bar chart</t>
    </r>
  </si>
  <si>
    <r>
      <t xml:space="preserve">Tools: </t>
    </r>
    <r>
      <rPr>
        <b/>
        <sz val="11"/>
        <color theme="1"/>
        <rFont val="Aptos Narrow"/>
        <family val="2"/>
        <scheme val="minor"/>
      </rPr>
      <t>Scatter chart, AVERAGE, Standard Deviation</t>
    </r>
    <r>
      <rPr>
        <sz val="11"/>
        <color theme="1"/>
        <rFont val="Aptos Narrow"/>
        <family val="2"/>
        <scheme val="minor"/>
      </rPr>
      <t xml:space="preserve">
Created a scatter chart plotting individual training hours against performance scores, and added a trend line to visually assess correlation. Additionally, summarized average and standard deviation of training hours by performance level in a supporting table.
Key insights:
High and low performers had similar average training hours but wide variation, indicating no clear link between training quantity and performance.</t>
    </r>
  </si>
  <si>
    <t>How many employees were hired each year? / Are more employees hired in specific months?</t>
  </si>
  <si>
    <t>Which age groups have higher absence rates?</t>
  </si>
  <si>
    <t>Is there any gender imbalance in departments or job roles?</t>
  </si>
  <si>
    <t>Are more employees hired in specific months? (2015-2024)</t>
  </si>
  <si>
    <r>
      <t xml:space="preserve">Tools: </t>
    </r>
    <r>
      <rPr>
        <b/>
        <sz val="11"/>
        <color theme="1"/>
        <rFont val="Aptos Narrow"/>
        <family val="2"/>
        <scheme val="minor"/>
      </rPr>
      <t>Pivot table, IFS</t>
    </r>
    <r>
      <rPr>
        <sz val="11"/>
        <color theme="1"/>
        <rFont val="Aptos Narrow"/>
        <family val="2"/>
        <scheme val="minor"/>
      </rPr>
      <t xml:space="preserve">
Created age groups using the IFS function to classify employees into defined ranges. Summed total sick days for each age group using a pivot table, then visualized the results in a bar chart to highlight which age groups have the highest absence rates</t>
    </r>
  </si>
  <si>
    <t>What is the distribution of educational levels across the organization?</t>
  </si>
  <si>
    <r>
      <t>Tools:</t>
    </r>
    <r>
      <rPr>
        <b/>
        <sz val="11"/>
        <color theme="1"/>
        <rFont val="Aptos Narrow"/>
        <family val="2"/>
        <scheme val="minor"/>
      </rPr>
      <t xml:space="preserve"> Pivot table, Stacked Bar Chart, percentage distribution, ratio calculation</t>
    </r>
    <r>
      <rPr>
        <sz val="11"/>
        <color theme="1"/>
        <rFont val="Aptos Narrow"/>
        <family val="2"/>
        <scheme val="minor"/>
      </rPr>
      <t xml:space="preserve">
Analyzed the distribution of employees by gender across departments and job levels. Visualized the data using a stacked bar chart to highlight representation differences. Additionally, calculated gender percentages and gender ratios within each department to provide a more detailed view of proportional imbalances.
</t>
    </r>
  </si>
  <si>
    <r>
      <t>Tools:</t>
    </r>
    <r>
      <rPr>
        <b/>
        <sz val="11"/>
        <color theme="1"/>
        <rFont val="Aptos Narrow"/>
        <family val="2"/>
        <scheme val="minor"/>
      </rPr>
      <t xml:space="preserve"> Pivot table, SUM</t>
    </r>
    <r>
      <rPr>
        <sz val="11"/>
        <color theme="1"/>
        <rFont val="Aptos Narrow"/>
        <family val="2"/>
        <scheme val="minor"/>
      </rPr>
      <t xml:space="preserve">
 Created two pivot tables: one summarizing total employee hires by year, and another showing hires by month across the 2015–2024 period. Visualized yearly hiring trends with a column chart and monthly trends with a line chart to identify seasonal hiring patterns and year-over-year changes.</t>
    </r>
  </si>
  <si>
    <t>DASHBOARD Sources</t>
  </si>
  <si>
    <r>
      <t>Tools:</t>
    </r>
    <r>
      <rPr>
        <b/>
        <sz val="11"/>
        <color theme="1"/>
        <rFont val="Aptos Narrow"/>
        <family val="2"/>
        <scheme val="minor"/>
      </rPr>
      <t xml:space="preserve"> DATEDIF, Pivot table, AVERAGE,Line chart</t>
    </r>
    <r>
      <rPr>
        <sz val="11"/>
        <color theme="1"/>
        <rFont val="Aptos Narrow"/>
        <family val="2"/>
        <scheme val="minor"/>
      </rPr>
      <t xml:space="preserve">
Calculated the length of employment for terminated employees using the DATEDIF function. Filtered the dataset to include only those who have left the company, then used a pivot table to calculate the average tenure by year of termination. Visualized the trend using a line chart to observe changes in average tenure over time.</t>
    </r>
  </si>
  <si>
    <t>Solutions on "Analysis" sheet</t>
  </si>
  <si>
    <t>Dashboard sheet</t>
  </si>
  <si>
    <t>A bar chart for department headcount</t>
  </si>
  <si>
    <t>KPI Boxes showing Avg. Salary/ Avg. Tenure / % Active Employees</t>
  </si>
  <si>
    <t>A pie chart for gender breakdown</t>
  </si>
  <si>
    <t xml:space="preserve">A stacked bar chart for Annual Hires by Gender </t>
  </si>
  <si>
    <t>Slicers for Department, Job Title and Gender</t>
  </si>
  <si>
    <t>Educational Level</t>
  </si>
  <si>
    <t>Educational levels across the organization</t>
  </si>
  <si>
    <t>Educational per Departments</t>
  </si>
  <si>
    <r>
      <t xml:space="preserve">Tools: </t>
    </r>
    <r>
      <rPr>
        <b/>
        <sz val="11"/>
        <color theme="1"/>
        <rFont val="Aptos Narrow"/>
        <family val="2"/>
        <scheme val="minor"/>
      </rPr>
      <t>INDEX-MATCH, Pivot table, SUM</t>
    </r>
    <r>
      <rPr>
        <sz val="11"/>
        <color theme="1"/>
        <rFont val="Aptos Narrow"/>
        <family val="2"/>
        <scheme val="minor"/>
      </rPr>
      <t xml:space="preserve">
Integrated educational level data from a separate source into the main employee dataset using INDEX-MATCH function to ensure accurate alignment by employee ID. Performed data aggregation to summarize the number of employees by education level. The results were visualized in a stacked bar chart to provide a clear overview of the organization's qualification structure.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</si>
</sst>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0\ [$EUR]"/>
    <numFmt numFmtId="166" formatCode="0.0%"/>
    <numFmt numFmtId="167" formatCode="0.0"/>
    <numFmt numFmtId="171" formatCode="#,##0.00\ [$€-1];\-#,##0.00\ [$€-1]"/>
  </numFmts>
  <fonts count="7" x14ac:knownFonts="1">
    <font>
      <sz val="11"/>
      <color theme="1"/>
      <name val="Aptos Narrow"/>
      <family val="2"/>
      <charset val="238"/>
      <scheme val="minor"/>
    </font>
    <font>
      <sz val="11"/>
      <color theme="1"/>
      <name val="Aptos Narrow"/>
      <family val="2"/>
      <charset val="238"/>
      <scheme val="minor"/>
    </font>
    <font>
      <b/>
      <sz val="11"/>
      <color theme="1"/>
      <name val="Aptos Narrow"/>
      <family val="2"/>
      <charset val="238"/>
      <scheme val="minor"/>
    </font>
    <font>
      <sz val="11"/>
      <color theme="1"/>
      <name val="Aptos Narrow"/>
      <family val="2"/>
      <scheme val="minor"/>
    </font>
    <font>
      <b/>
      <sz val="11"/>
      <color theme="1"/>
      <name val="Aptos Narrow"/>
      <family val="2"/>
      <scheme val="minor"/>
    </font>
    <font>
      <b/>
      <sz val="16"/>
      <color theme="1"/>
      <name val="Aptos Narrow"/>
      <family val="2"/>
      <scheme val="minor"/>
    </font>
    <font>
      <b/>
      <sz val="10"/>
      <color theme="1"/>
      <name val="Aptos Narrow"/>
      <family val="2"/>
      <scheme val="minor"/>
    </font>
  </fonts>
  <fills count="8">
    <fill>
      <patternFill patternType="none"/>
    </fill>
    <fill>
      <patternFill patternType="gray125"/>
    </fill>
    <fill>
      <patternFill patternType="solid">
        <fgColor indexed="65"/>
        <bgColor indexed="64"/>
      </patternFill>
    </fill>
    <fill>
      <patternFill patternType="solid">
        <fgColor theme="3" tint="0.89999084444715716"/>
        <bgColor indexed="64"/>
      </patternFill>
    </fill>
    <fill>
      <patternFill patternType="solid">
        <fgColor theme="9" tint="0.59999389629810485"/>
        <bgColor indexed="64"/>
      </patternFill>
    </fill>
    <fill>
      <patternFill patternType="solid">
        <fgColor theme="3" tint="0.749992370372631"/>
        <bgColor indexed="64"/>
      </patternFill>
    </fill>
    <fill>
      <patternFill patternType="solid">
        <fgColor theme="3" tint="0.249977111117893"/>
        <bgColor indexed="64"/>
      </patternFill>
    </fill>
    <fill>
      <patternFill patternType="solid">
        <fgColor theme="9" tint="0.79998168889431442"/>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auto="1"/>
      </left>
      <right style="thin">
        <color auto="1"/>
      </right>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3" fillId="0" borderId="0"/>
  </cellStyleXfs>
  <cellXfs count="109">
    <xf numFmtId="0" fontId="0" fillId="0" borderId="0" xfId="0"/>
    <xf numFmtId="165" fontId="0" fillId="0" borderId="0" xfId="0" applyNumberFormat="1"/>
    <xf numFmtId="0" fontId="0" fillId="0" borderId="0" xfId="0" applyAlignment="1">
      <alignment horizontal="center"/>
    </xf>
    <xf numFmtId="0" fontId="3" fillId="0" borderId="1" xfId="2" applyBorder="1"/>
    <xf numFmtId="164" fontId="3" fillId="0" borderId="1" xfId="2" applyNumberFormat="1" applyBorder="1"/>
    <xf numFmtId="165" fontId="3" fillId="0" borderId="1" xfId="2" applyNumberFormat="1" applyBorder="1"/>
    <xf numFmtId="0" fontId="4" fillId="0" borderId="0" xfId="0" applyFont="1" applyAlignment="1">
      <alignment horizontal="center" vertical="center"/>
    </xf>
    <xf numFmtId="0" fontId="0" fillId="2" borderId="0" xfId="0" applyFill="1"/>
    <xf numFmtId="0" fontId="0" fillId="2" borderId="1" xfId="0" applyFill="1" applyBorder="1"/>
    <xf numFmtId="0" fontId="0" fillId="2" borderId="1" xfId="0" applyFill="1" applyBorder="1" applyAlignment="1">
      <alignment horizontal="left"/>
    </xf>
    <xf numFmtId="165" fontId="0" fillId="2" borderId="1" xfId="0" applyNumberFormat="1" applyFill="1" applyBorder="1"/>
    <xf numFmtId="0" fontId="0" fillId="2" borderId="1" xfId="0" applyFill="1" applyBorder="1" applyAlignment="1">
      <alignment horizontal="left" indent="1"/>
    </xf>
    <xf numFmtId="0" fontId="0" fillId="2" borderId="0" xfId="0" applyFill="1" applyAlignment="1">
      <alignment horizontal="left"/>
    </xf>
    <xf numFmtId="0" fontId="0" fillId="0" borderId="0" xfId="0" applyAlignment="1">
      <alignment horizontal="center" vertical="center"/>
    </xf>
    <xf numFmtId="0" fontId="0" fillId="2" borderId="1" xfId="0" applyFill="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xf>
    <xf numFmtId="0" fontId="4" fillId="2" borderId="1" xfId="0" applyFont="1" applyFill="1" applyBorder="1" applyAlignment="1">
      <alignment horizontal="center" vertical="center"/>
    </xf>
    <xf numFmtId="0" fontId="4" fillId="2" borderId="1" xfId="0" applyFont="1" applyFill="1" applyBorder="1"/>
    <xf numFmtId="0" fontId="0" fillId="2" borderId="1" xfId="0" applyFill="1" applyBorder="1" applyAlignment="1">
      <alignment horizontal="center"/>
    </xf>
    <xf numFmtId="166" fontId="0" fillId="2" borderId="1" xfId="1" applyNumberFormat="1" applyFont="1" applyFill="1" applyBorder="1" applyAlignment="1">
      <alignment horizontal="center"/>
    </xf>
    <xf numFmtId="166" fontId="4" fillId="2" borderId="1" xfId="1" applyNumberFormat="1" applyFont="1" applyFill="1" applyBorder="1" applyAlignment="1">
      <alignment horizontal="center"/>
    </xf>
    <xf numFmtId="0" fontId="3" fillId="2" borderId="0" xfId="0" applyFont="1" applyFill="1"/>
    <xf numFmtId="0" fontId="0" fillId="2" borderId="0" xfId="0" applyFill="1" applyAlignment="1">
      <alignment vertical="center" wrapText="1"/>
    </xf>
    <xf numFmtId="0" fontId="2" fillId="2" borderId="0" xfId="0" applyFont="1" applyFill="1"/>
    <xf numFmtId="2" fontId="0" fillId="2" borderId="1" xfId="0" applyNumberFormat="1" applyFill="1" applyBorder="1" applyAlignment="1">
      <alignment horizontal="center" vertical="center"/>
    </xf>
    <xf numFmtId="0" fontId="0" fillId="3" borderId="1" xfId="0" applyFill="1" applyBorder="1" applyAlignment="1">
      <alignment horizontal="left"/>
    </xf>
    <xf numFmtId="0" fontId="0" fillId="0" borderId="1" xfId="0" applyBorder="1"/>
    <xf numFmtId="1" fontId="0" fillId="2" borderId="1" xfId="0" applyNumberFormat="1" applyFill="1" applyBorder="1" applyAlignment="1">
      <alignment horizontal="center" vertical="center"/>
    </xf>
    <xf numFmtId="0" fontId="4" fillId="0" borderId="1" xfId="2" applyFont="1" applyBorder="1" applyAlignment="1">
      <alignment horizontal="center" vertical="center"/>
    </xf>
    <xf numFmtId="165" fontId="4" fillId="0" borderId="1" xfId="2" applyNumberFormat="1" applyFont="1" applyBorder="1" applyAlignment="1">
      <alignment horizontal="center" vertical="center"/>
    </xf>
    <xf numFmtId="0" fontId="4" fillId="3" borderId="1" xfId="2" applyFont="1" applyFill="1" applyBorder="1" applyAlignment="1">
      <alignment horizontal="center" vertical="center"/>
    </xf>
    <xf numFmtId="0" fontId="0" fillId="2" borderId="1" xfId="0" applyFill="1" applyBorder="1" applyAlignment="1">
      <alignment horizontal="center" vertical="center" wrapText="1"/>
    </xf>
    <xf numFmtId="0" fontId="4" fillId="4"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xf>
    <xf numFmtId="9" fontId="3" fillId="2" borderId="1" xfId="1" applyFont="1" applyFill="1" applyBorder="1" applyAlignment="1">
      <alignment horizontal="center" vertical="center"/>
    </xf>
    <xf numFmtId="9" fontId="3" fillId="2" borderId="1" xfId="0" applyNumberFormat="1" applyFont="1" applyFill="1" applyBorder="1" applyAlignment="1">
      <alignment horizontal="center" vertical="center"/>
    </xf>
    <xf numFmtId="9" fontId="0" fillId="2" borderId="0" xfId="1" applyFont="1" applyFill="1"/>
    <xf numFmtId="167" fontId="0" fillId="2" borderId="0" xfId="0" applyNumberFormat="1" applyFill="1" applyAlignment="1">
      <alignment horizontal="center"/>
    </xf>
    <xf numFmtId="0" fontId="4" fillId="2" borderId="1" xfId="0" applyFont="1" applyFill="1" applyBorder="1" applyAlignment="1">
      <alignment horizontal="center" vertical="center"/>
    </xf>
    <xf numFmtId="171" fontId="5" fillId="5" borderId="5" xfId="0" applyNumberFormat="1" applyFont="1" applyFill="1" applyBorder="1" applyAlignment="1">
      <alignment horizontal="center" vertical="center"/>
    </xf>
    <xf numFmtId="171" fontId="5" fillId="5" borderId="6" xfId="0" applyNumberFormat="1" applyFont="1" applyFill="1" applyBorder="1" applyAlignment="1">
      <alignment horizontal="center" vertical="center"/>
    </xf>
    <xf numFmtId="171" fontId="5" fillId="5" borderId="7" xfId="0" applyNumberFormat="1" applyFont="1" applyFill="1" applyBorder="1" applyAlignment="1">
      <alignment horizontal="center" vertical="center"/>
    </xf>
    <xf numFmtId="0" fontId="6" fillId="5" borderId="2" xfId="0" applyFont="1" applyFill="1" applyBorder="1" applyAlignment="1">
      <alignment horizontal="center"/>
    </xf>
    <xf numFmtId="0" fontId="6" fillId="5" borderId="3" xfId="0" applyFont="1" applyFill="1" applyBorder="1" applyAlignment="1">
      <alignment horizontal="center"/>
    </xf>
    <xf numFmtId="0" fontId="6" fillId="5" borderId="4" xfId="0" applyFont="1" applyFill="1" applyBorder="1" applyAlignment="1">
      <alignment horizontal="center"/>
    </xf>
    <xf numFmtId="1" fontId="0" fillId="0" borderId="1" xfId="0" applyNumberFormat="1" applyBorder="1" applyAlignment="1">
      <alignment horizontal="center"/>
    </xf>
    <xf numFmtId="167" fontId="5" fillId="5" borderId="5" xfId="0" applyNumberFormat="1" applyFont="1" applyFill="1" applyBorder="1" applyAlignment="1">
      <alignment horizontal="center" vertical="center"/>
    </xf>
    <xf numFmtId="167" fontId="5" fillId="5" borderId="6" xfId="0" applyNumberFormat="1" applyFont="1" applyFill="1" applyBorder="1" applyAlignment="1">
      <alignment horizontal="center" vertical="center"/>
    </xf>
    <xf numFmtId="167" fontId="5" fillId="5" borderId="7" xfId="0" applyNumberFormat="1" applyFont="1" applyFill="1" applyBorder="1" applyAlignment="1">
      <alignment horizontal="center" vertical="center"/>
    </xf>
    <xf numFmtId="9" fontId="5" fillId="5" borderId="5" xfId="1" applyNumberFormat="1" applyFont="1" applyFill="1" applyBorder="1" applyAlignment="1">
      <alignment horizontal="center" vertical="center"/>
    </xf>
    <xf numFmtId="9" fontId="5" fillId="5" borderId="6" xfId="1" applyNumberFormat="1" applyFont="1" applyFill="1" applyBorder="1" applyAlignment="1">
      <alignment horizontal="center" vertical="center"/>
    </xf>
    <xf numFmtId="9" fontId="5" fillId="5" borderId="7" xfId="1" applyNumberFormat="1" applyFont="1" applyFill="1" applyBorder="1" applyAlignment="1">
      <alignment horizontal="center" vertical="center"/>
    </xf>
    <xf numFmtId="1" fontId="0" fillId="2" borderId="0" xfId="0" applyNumberFormat="1" applyFill="1" applyAlignment="1">
      <alignment horizontal="center"/>
    </xf>
    <xf numFmtId="0" fontId="4" fillId="2" borderId="0" xfId="0" applyFont="1" applyFill="1" applyAlignment="1">
      <alignment horizontal="center"/>
    </xf>
    <xf numFmtId="0" fontId="0" fillId="2" borderId="1" xfId="0" applyNumberFormat="1" applyFill="1" applyBorder="1" applyAlignment="1">
      <alignment horizontal="center" vertical="center"/>
    </xf>
    <xf numFmtId="0" fontId="0" fillId="3" borderId="1" xfId="0" applyNumberFormat="1" applyFill="1" applyBorder="1" applyAlignment="1">
      <alignment horizontal="center" vertical="center"/>
    </xf>
    <xf numFmtId="0" fontId="0" fillId="2" borderId="0" xfId="0" applyNumberFormat="1" applyFill="1" applyAlignment="1">
      <alignment horizontal="center"/>
    </xf>
    <xf numFmtId="0" fontId="0" fillId="0" borderId="0" xfId="0" applyAlignment="1">
      <alignment horizontal="center"/>
    </xf>
    <xf numFmtId="171" fontId="5" fillId="5" borderId="0" xfId="0" applyNumberFormat="1" applyFont="1" applyFill="1" applyBorder="1" applyAlignment="1">
      <alignment horizontal="center" vertical="center"/>
    </xf>
    <xf numFmtId="171" fontId="5" fillId="5" borderId="9" xfId="0" applyNumberFormat="1" applyFont="1" applyFill="1" applyBorder="1" applyAlignment="1">
      <alignment horizontal="center" vertical="center"/>
    </xf>
    <xf numFmtId="171" fontId="5" fillId="5" borderId="2" xfId="0" applyNumberFormat="1" applyFont="1" applyFill="1" applyBorder="1" applyAlignment="1">
      <alignment horizontal="center" vertical="center"/>
    </xf>
    <xf numFmtId="171" fontId="5" fillId="5" borderId="3" xfId="0" applyNumberFormat="1" applyFont="1" applyFill="1" applyBorder="1" applyAlignment="1">
      <alignment horizontal="center" vertical="center"/>
    </xf>
    <xf numFmtId="171" fontId="5" fillId="5" borderId="4" xfId="0" applyNumberFormat="1" applyFont="1" applyFill="1" applyBorder="1" applyAlignment="1">
      <alignment horizontal="center" vertical="center"/>
    </xf>
    <xf numFmtId="0" fontId="0" fillId="2" borderId="0" xfId="0" applyFill="1" applyAlignment="1">
      <alignment wrapText="1"/>
    </xf>
    <xf numFmtId="0" fontId="0" fillId="2" borderId="9" xfId="0" applyFill="1" applyBorder="1"/>
    <xf numFmtId="0" fontId="0" fillId="2" borderId="0" xfId="0" applyFill="1" applyBorder="1"/>
    <xf numFmtId="0" fontId="0" fillId="2" borderId="10" xfId="0" applyFill="1" applyBorder="1"/>
    <xf numFmtId="0" fontId="0" fillId="2" borderId="5" xfId="0" applyFill="1" applyBorder="1"/>
    <xf numFmtId="0" fontId="0" fillId="2" borderId="6" xfId="0" applyFill="1" applyBorder="1"/>
    <xf numFmtId="0" fontId="0" fillId="2" borderId="7" xfId="0" applyFill="1" applyBorder="1"/>
    <xf numFmtId="0" fontId="0" fillId="2" borderId="2" xfId="0" applyFill="1" applyBorder="1"/>
    <xf numFmtId="0" fontId="0" fillId="2" borderId="3" xfId="0" applyFill="1" applyBorder="1"/>
    <xf numFmtId="0" fontId="0" fillId="2" borderId="4" xfId="0" applyFill="1" applyBorder="1"/>
    <xf numFmtId="171" fontId="5" fillId="5" borderId="10" xfId="0" applyNumberFormat="1" applyFont="1" applyFill="1" applyBorder="1" applyAlignment="1">
      <alignment horizontal="center" vertical="center"/>
    </xf>
    <xf numFmtId="0" fontId="3" fillId="0" borderId="0" xfId="0" applyFont="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horizontal="left" wrapText="1"/>
    </xf>
    <xf numFmtId="0" fontId="0" fillId="6" borderId="0" xfId="0" applyFill="1"/>
    <xf numFmtId="0" fontId="0" fillId="2" borderId="11" xfId="0" applyFill="1" applyBorder="1"/>
    <xf numFmtId="0" fontId="0" fillId="2" borderId="11" xfId="0" applyFill="1" applyBorder="1" applyAlignment="1">
      <alignment horizontal="center" vertical="center"/>
    </xf>
    <xf numFmtId="0" fontId="4" fillId="2" borderId="12"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0" xfId="0" applyFont="1" applyFill="1" applyBorder="1" applyAlignment="1">
      <alignment vertical="center" wrapText="1"/>
    </xf>
    <xf numFmtId="0" fontId="4" fillId="2" borderId="0" xfId="0" applyFont="1" applyFill="1" applyAlignment="1">
      <alignment vertical="center"/>
    </xf>
    <xf numFmtId="0" fontId="3" fillId="7" borderId="12" xfId="0" applyFont="1" applyFill="1" applyBorder="1" applyAlignment="1">
      <alignment horizontal="center" vertical="top" wrapText="1"/>
    </xf>
    <xf numFmtId="0" fontId="3" fillId="7" borderId="13" xfId="0" applyFont="1" applyFill="1" applyBorder="1" applyAlignment="1">
      <alignment horizontal="center" vertical="top" wrapText="1"/>
    </xf>
    <xf numFmtId="0" fontId="3" fillId="7" borderId="12" xfId="0" applyFont="1" applyFill="1" applyBorder="1" applyAlignment="1">
      <alignment horizontal="center" vertical="center" wrapText="1"/>
    </xf>
    <xf numFmtId="0" fontId="3" fillId="7" borderId="13" xfId="0" applyFont="1" applyFill="1" applyBorder="1" applyAlignment="1">
      <alignment horizontal="center" vertical="center" wrapText="1"/>
    </xf>
    <xf numFmtId="0" fontId="0" fillId="0" borderId="0" xfId="0" applyAlignment="1">
      <alignment horizontal="center" wrapText="1"/>
    </xf>
    <xf numFmtId="0" fontId="3" fillId="0" borderId="3" xfId="0" applyFont="1" applyFill="1" applyBorder="1" applyAlignment="1">
      <alignment horizontal="center" vertical="center" wrapText="1"/>
    </xf>
    <xf numFmtId="1" fontId="0" fillId="2" borderId="0" xfId="0" applyNumberFormat="1" applyFill="1" applyAlignment="1">
      <alignment horizontal="center" wrapText="1"/>
    </xf>
    <xf numFmtId="0" fontId="4" fillId="2" borderId="12" xfId="0" applyFont="1" applyFill="1" applyBorder="1" applyAlignment="1">
      <alignment horizontal="center" vertical="top" wrapText="1"/>
    </xf>
    <xf numFmtId="0" fontId="0" fillId="2" borderId="13" xfId="0" applyFill="1" applyBorder="1" applyAlignment="1">
      <alignment horizontal="center" vertical="top" wrapText="1"/>
    </xf>
    <xf numFmtId="0" fontId="4" fillId="2" borderId="12"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13" xfId="0" applyFont="1" applyFill="1" applyBorder="1" applyAlignment="1">
      <alignment horizontal="center" vertical="center"/>
    </xf>
    <xf numFmtId="0" fontId="0" fillId="3" borderId="1" xfId="0" applyFill="1" applyBorder="1" applyAlignment="1">
      <alignment horizontal="left" vertical="center"/>
    </xf>
    <xf numFmtId="0" fontId="0" fillId="2" borderId="1" xfId="0" applyFill="1" applyBorder="1" applyAlignment="1">
      <alignment horizontal="center" wrapText="1"/>
    </xf>
  </cellXfs>
  <cellStyles count="3">
    <cellStyle name="Normal" xfId="0" builtinId="0"/>
    <cellStyle name="Normal 2" xfId="2" xr:uid="{497F0FB5-AF0C-4AA5-9C2D-B00E84C099CA}"/>
    <cellStyle name="Per cent" xfId="1" builtinId="5"/>
  </cellStyles>
  <dxfs count="282">
    <dxf>
      <alignment vertical="center"/>
    </dxf>
    <dxf>
      <alignment horizontal="left"/>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numFmt numFmtId="1" formatCode="0"/>
    </dxf>
    <dxf>
      <alignment horizontal="center"/>
    </dxf>
    <dxf>
      <numFmt numFmtId="167" formatCode="0.0"/>
    </dxf>
    <dxf>
      <fill>
        <patternFill patternType="solid"/>
      </fill>
    </dxf>
    <dxf>
      <fill>
        <patternFill patternType="solid"/>
      </fill>
    </dxf>
    <dxf>
      <numFmt numFmtId="1" formatCode="0"/>
    </dxf>
    <dxf>
      <numFmt numFmtId="1" formatCode="0"/>
    </dxf>
    <dxf>
      <alignment wrapText="1"/>
    </dxf>
    <dxf>
      <numFmt numFmtId="1" formatCode="0"/>
    </dxf>
    <dxf>
      <numFmt numFmtId="1" formatCode="0"/>
    </dxf>
    <dxf>
      <alignment horizontal="center"/>
    </dxf>
    <dxf>
      <numFmt numFmtId="167" formatCode="0.0"/>
    </dxf>
    <dxf>
      <fill>
        <patternFill patternType="solid"/>
      </fill>
    </dxf>
    <dxf>
      <alignment wrapText="1"/>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numFmt numFmtId="1" formatCode="0"/>
    </dxf>
    <dxf>
      <alignment horizontal="center"/>
    </dxf>
    <dxf>
      <numFmt numFmtId="167" formatCode="0.0"/>
    </dxf>
    <dxf>
      <fill>
        <patternFill patternType="solid"/>
      </fill>
    </dxf>
    <dxf>
      <fill>
        <patternFill patternType="solid"/>
      </fill>
    </dxf>
    <dxf>
      <fill>
        <patternFill patternType="solid"/>
      </fill>
    </dxf>
    <dxf>
      <numFmt numFmtId="1" formatCode="0"/>
    </dxf>
    <dxf>
      <numFmt numFmtId="1" formatCode="0"/>
    </dxf>
    <dxf>
      <numFmt numFmtId="0" formatCode="General"/>
    </dxf>
    <dxf>
      <numFmt numFmtId="1" formatCode="0"/>
    </dxf>
    <dxf>
      <alignment horizontal="center"/>
    </dxf>
    <dxf>
      <numFmt numFmtId="167" formatCode="0.0"/>
    </dxf>
    <dxf>
      <fill>
        <patternFill patternType="solid"/>
      </fill>
    </dxf>
    <dxf>
      <numFmt numFmtId="1" formatCode="0"/>
    </dxf>
    <dxf>
      <numFmt numFmtId="1" formatCode="0"/>
    </dxf>
    <dxf>
      <numFmt numFmtId="1" formatCode="0"/>
    </dxf>
    <dxf>
      <alignment horizontal="center"/>
    </dxf>
    <dxf>
      <numFmt numFmtId="167" formatCode="0.0"/>
    </dxf>
    <dxf>
      <fill>
        <patternFill patternType="solid"/>
      </fill>
    </dxf>
    <dxf>
      <alignment wrapText="1"/>
    </dxf>
    <dxf>
      <numFmt numFmtId="0" formatCode="General"/>
    </dxf>
    <dxf>
      <numFmt numFmtId="1" formatCode="0"/>
    </dxf>
    <dxf>
      <numFmt numFmtId="1" formatCode="0"/>
    </dxf>
    <dxf>
      <alignment horizontal="center"/>
    </dxf>
    <dxf>
      <numFmt numFmtId="167" formatCode="0.0"/>
    </dxf>
    <dxf>
      <fill>
        <patternFill patternType="solid"/>
      </fill>
    </dxf>
    <dxf>
      <fill>
        <patternFill patternType="solid"/>
      </fill>
    </dxf>
    <dxf>
      <fill>
        <patternFill patternType="solid"/>
      </fill>
    </dxf>
    <dxf>
      <numFmt numFmtId="1" formatCode="0"/>
    </dxf>
    <dxf>
      <fill>
        <patternFill>
          <bgColor theme="3" tint="0.89999084444715716"/>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ill>
    </dxf>
    <dxf>
      <fill>
        <patternFill patternType="solid"/>
      </fill>
    </dxf>
    <dxf>
      <fill>
        <patternFill patternType="solid"/>
      </fill>
    </dxf>
    <dxf>
      <fill>
        <patternFill patternType="solid"/>
      </fill>
    </dxf>
    <dxf>
      <alignment horizontal="center"/>
    </dxf>
    <dxf>
      <alignment vertical="center"/>
    </dxf>
    <dxf>
      <numFmt numFmtId="2" formatCode="0.00"/>
    </dxf>
    <dxf>
      <numFmt numFmtId="2" formatCode="0.00"/>
    </dxf>
    <dxf>
      <alignment horizontal="center"/>
    </dxf>
    <dxf>
      <alignment horizontal="center"/>
    </dxf>
    <dxf>
      <alignment vertical="center"/>
    </dxf>
    <dxf>
      <alignment vertical="center"/>
    </dxf>
    <dxf>
      <alignment horizontal="center"/>
    </dxf>
    <dxf>
      <alignment vertical="center"/>
    </dxf>
    <dxf>
      <alignment horizontal="center"/>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ill>
    </dxf>
    <dxf>
      <fill>
        <patternFill patternType="solid"/>
      </fill>
    </dxf>
    <dxf>
      <fill>
        <patternFill patternType="solid"/>
      </fill>
    </dxf>
    <dxf>
      <fill>
        <patternFill patternType="solid"/>
      </fill>
    </dxf>
    <dxf>
      <fill>
        <patternFill patternType="solid"/>
      </fill>
    </dxf>
    <dxf>
      <alignment horizontal="center"/>
    </dxf>
    <dxf>
      <alignment horizontal="center"/>
    </dxf>
    <dxf>
      <alignment vertical="center"/>
    </dxf>
    <dxf>
      <alignment vertical="center"/>
    </dxf>
    <dxf>
      <alignment horizontal="center"/>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ill>
    </dxf>
    <dxf>
      <fill>
        <patternFill patternType="solid"/>
      </fill>
    </dxf>
    <dxf>
      <fill>
        <patternFill patternType="solid"/>
      </fill>
    </dxf>
    <dxf>
      <fill>
        <patternFill patternType="solid"/>
      </fill>
    </dxf>
    <dxf>
      <fill>
        <patternFill patternType="solid"/>
      </fill>
    </dxf>
    <dxf>
      <alignment horizontal="center"/>
    </dxf>
    <dxf>
      <alignment vertical="center"/>
    </dxf>
    <dxf>
      <fill>
        <patternFill patternType="solid"/>
      </fill>
    </dxf>
    <dxf>
      <fill>
        <patternFill patternType="solid"/>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alignment horizontal="center"/>
    </dxf>
    <dxf>
      <alignment horizontal="center"/>
    </dxf>
    <dxf>
      <alignment horizontal="center"/>
    </dxf>
    <dxf>
      <alignment vertical="center"/>
    </dxf>
    <dxf>
      <alignment vertical="center"/>
    </dxf>
    <dxf>
      <alignment vertical="center"/>
    </dxf>
    <dxf>
      <alignment wrapText="1"/>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fill>
        <patternFill patternType="solid"/>
      </fill>
    </dxf>
    <dxf>
      <fill>
        <patternFill patternType="solid"/>
      </fill>
    </dxf>
    <dxf>
      <fill>
        <patternFill patternType="solid"/>
      </fill>
    </dxf>
    <dxf>
      <alignment vertic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ill>
    </dxf>
    <dxf>
      <fill>
        <patternFill patternType="solid"/>
      </fill>
    </dxf>
    <dxf>
      <fill>
        <patternFill patternType="solid"/>
      </fill>
    </dxf>
    <dxf>
      <fill>
        <patternFill patternType="solid"/>
      </fill>
    </dxf>
    <dxf>
      <fill>
        <patternFill patternType="solid"/>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alignment vertical="center"/>
    </dxf>
    <dxf>
      <alignment horizontal="center"/>
    </dxf>
    <dxf>
      <alignment vertical="center"/>
    </dxf>
    <dxf>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microsoft.com/office/2007/relationships/slicerCache" Target="slicerCaches/slicerCache4.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pivotSource>
    <c:name>[HR Workforce Analysis Dashboard.xlsx]Analysis!PivotTable1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hu-HU"/>
              <a:t>A</a:t>
            </a:r>
            <a:r>
              <a:rPr lang="en-US"/>
              <a:t>verage salary per </a:t>
            </a:r>
            <a:r>
              <a:rPr lang="hu-HU"/>
              <a:t>D</a:t>
            </a:r>
            <a:r>
              <a:rPr lang="en-US"/>
              <a:t>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u-H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2">
              <a:lumMod val="25000"/>
              <a:lumOff val="75000"/>
            </a:schemeClr>
          </a:solidFill>
          <a:ln>
            <a:noFill/>
          </a:ln>
          <a:effectLst/>
        </c:spPr>
      </c:pivotFmt>
      <c:pivotFmt>
        <c:idx val="2"/>
        <c:spPr>
          <a:solidFill>
            <a:schemeClr val="tx2">
              <a:lumMod val="25000"/>
              <a:lumOff val="75000"/>
            </a:schemeClr>
          </a:solidFill>
          <a:ln>
            <a:noFill/>
          </a:ln>
          <a:effectLst/>
        </c:spPr>
      </c:pivotFmt>
      <c:pivotFmt>
        <c:idx val="3"/>
        <c:spPr>
          <a:solidFill>
            <a:schemeClr val="tx2">
              <a:lumMod val="50000"/>
              <a:lumOff val="50000"/>
            </a:schemeClr>
          </a:solidFill>
          <a:ln>
            <a:noFill/>
          </a:ln>
          <a:effectLst/>
        </c:spPr>
      </c:pivotFmt>
      <c:pivotFmt>
        <c:idx val="4"/>
        <c:spPr>
          <a:solidFill>
            <a:schemeClr val="tx2">
              <a:lumMod val="50000"/>
              <a:lumOff val="50000"/>
            </a:schemeClr>
          </a:solidFill>
          <a:ln>
            <a:noFill/>
          </a:ln>
          <a:effectLst/>
        </c:spPr>
      </c:pivotFmt>
      <c:pivotFmt>
        <c:idx val="5"/>
        <c:spPr>
          <a:solidFill>
            <a:schemeClr val="tx2">
              <a:lumMod val="75000"/>
              <a:lumOff val="25000"/>
            </a:schemeClr>
          </a:solidFill>
          <a:ln>
            <a:noFill/>
          </a:ln>
          <a:effectLst/>
        </c:spPr>
      </c:pivotFmt>
      <c:pivotFmt>
        <c:idx val="6"/>
        <c:spPr>
          <a:solidFill>
            <a:schemeClr val="tx2">
              <a:lumMod val="75000"/>
              <a:lumOff val="25000"/>
            </a:schemeClr>
          </a:solidFill>
          <a:ln>
            <a:noFill/>
          </a:ln>
          <a:effectLst/>
        </c:spPr>
      </c:pivotFmt>
      <c:pivotFmt>
        <c:idx val="7"/>
        <c:spPr>
          <a:solidFill>
            <a:schemeClr val="tx2">
              <a:lumMod val="90000"/>
              <a:lumOff val="10000"/>
            </a:schemeClr>
          </a:solidFill>
          <a:ln>
            <a:noFill/>
          </a:ln>
          <a:effectLst/>
        </c:spPr>
      </c:pivotFmt>
      <c:pivotFmt>
        <c:idx val="8"/>
        <c:spPr>
          <a:solidFill>
            <a:schemeClr val="tx2">
              <a:lumMod val="90000"/>
              <a:lumOff val="10000"/>
            </a:schemeClr>
          </a:solidFill>
          <a:ln>
            <a:noFill/>
          </a:ln>
          <a:effectLst/>
        </c:spPr>
      </c:pivotFmt>
      <c:pivotFmt>
        <c:idx val="9"/>
        <c:spPr>
          <a:solidFill>
            <a:schemeClr val="tx2">
              <a:lumMod val="10000"/>
              <a:lumOff val="90000"/>
            </a:schemeClr>
          </a:solidFill>
          <a:ln>
            <a:noFill/>
          </a:ln>
          <a:effectLst/>
        </c:spPr>
      </c:pivotFmt>
      <c:pivotFmt>
        <c:idx val="10"/>
        <c:spPr>
          <a:solidFill>
            <a:schemeClr val="tx2">
              <a:lumMod val="10000"/>
              <a:lumOff val="90000"/>
            </a:schemeClr>
          </a:solidFill>
          <a:ln>
            <a:noFill/>
          </a:ln>
          <a:effectLst/>
        </c:spPr>
      </c:pivotFmt>
    </c:pivotFmts>
    <c:plotArea>
      <c:layout/>
      <c:barChart>
        <c:barDir val="bar"/>
        <c:grouping val="clustered"/>
        <c:varyColors val="0"/>
        <c:ser>
          <c:idx val="0"/>
          <c:order val="0"/>
          <c:tx>
            <c:strRef>
              <c:f>Analysis!$D$3</c:f>
              <c:strCache>
                <c:ptCount val="1"/>
                <c:pt idx="0">
                  <c:v>Total</c:v>
                </c:pt>
              </c:strCache>
            </c:strRef>
          </c:tx>
          <c:spPr>
            <a:solidFill>
              <a:schemeClr val="accent1"/>
            </a:solidFill>
            <a:ln>
              <a:noFill/>
            </a:ln>
            <a:effectLst/>
          </c:spPr>
          <c:invertIfNegative val="0"/>
          <c:dPt>
            <c:idx val="0"/>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3-D87D-4195-A919-0D21C66D9CA6}"/>
              </c:ext>
            </c:extLst>
          </c:dPt>
          <c:dPt>
            <c:idx val="1"/>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2-D87D-4195-A919-0D21C66D9CA6}"/>
              </c:ext>
            </c:extLst>
          </c:dPt>
          <c:dPt>
            <c:idx val="2"/>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5-B5C4-4E0D-906B-69A1F603A255}"/>
              </c:ext>
            </c:extLst>
          </c:dPt>
          <c:dPt>
            <c:idx val="3"/>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7-B5C4-4E0D-906B-69A1F603A255}"/>
              </c:ext>
            </c:extLst>
          </c:dPt>
          <c:dPt>
            <c:idx val="7"/>
            <c:invertIfNegative val="0"/>
            <c:bubble3D val="0"/>
            <c:spPr>
              <a:solidFill>
                <a:schemeClr val="tx2">
                  <a:lumMod val="75000"/>
                  <a:lumOff val="25000"/>
                </a:schemeClr>
              </a:solidFill>
              <a:ln>
                <a:noFill/>
              </a:ln>
              <a:effectLst/>
            </c:spPr>
            <c:extLst>
              <c:ext xmlns:c16="http://schemas.microsoft.com/office/drawing/2014/chart" uri="{C3380CC4-5D6E-409C-BE32-E72D297353CC}">
                <c16:uniqueId val="{00000009-B5C4-4E0D-906B-69A1F603A255}"/>
              </c:ext>
            </c:extLst>
          </c:dPt>
          <c:dPt>
            <c:idx val="8"/>
            <c:invertIfNegative val="0"/>
            <c:bubble3D val="0"/>
            <c:spPr>
              <a:solidFill>
                <a:schemeClr val="tx2">
                  <a:lumMod val="75000"/>
                  <a:lumOff val="25000"/>
                </a:schemeClr>
              </a:solidFill>
              <a:ln>
                <a:noFill/>
              </a:ln>
              <a:effectLst/>
            </c:spPr>
            <c:extLst>
              <c:ext xmlns:c16="http://schemas.microsoft.com/office/drawing/2014/chart" uri="{C3380CC4-5D6E-409C-BE32-E72D297353CC}">
                <c16:uniqueId val="{0000000B-B5C4-4E0D-906B-69A1F603A255}"/>
              </c:ext>
            </c:extLst>
          </c:dPt>
          <c:dPt>
            <c:idx val="9"/>
            <c:invertIfNegative val="0"/>
            <c:bubble3D val="0"/>
            <c:spPr>
              <a:solidFill>
                <a:schemeClr val="tx2">
                  <a:lumMod val="90000"/>
                  <a:lumOff val="10000"/>
                </a:schemeClr>
              </a:solidFill>
              <a:ln>
                <a:noFill/>
              </a:ln>
              <a:effectLst/>
            </c:spPr>
            <c:extLst>
              <c:ext xmlns:c16="http://schemas.microsoft.com/office/drawing/2014/chart" uri="{C3380CC4-5D6E-409C-BE32-E72D297353CC}">
                <c16:uniqueId val="{0000000D-B5C4-4E0D-906B-69A1F603A255}"/>
              </c:ext>
            </c:extLst>
          </c:dPt>
          <c:dPt>
            <c:idx val="10"/>
            <c:invertIfNegative val="0"/>
            <c:bubble3D val="0"/>
            <c:spPr>
              <a:solidFill>
                <a:schemeClr val="tx2">
                  <a:lumMod val="90000"/>
                  <a:lumOff val="10000"/>
                </a:schemeClr>
              </a:solidFill>
              <a:ln>
                <a:noFill/>
              </a:ln>
              <a:effectLst/>
            </c:spPr>
            <c:extLst>
              <c:ext xmlns:c16="http://schemas.microsoft.com/office/drawing/2014/chart" uri="{C3380CC4-5D6E-409C-BE32-E72D297353CC}">
                <c16:uniqueId val="{0000000F-B5C4-4E0D-906B-69A1F603A255}"/>
              </c:ext>
            </c:extLst>
          </c:dPt>
          <c:dPt>
            <c:idx val="11"/>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11-B5C4-4E0D-906B-69A1F603A255}"/>
              </c:ext>
            </c:extLst>
          </c:dPt>
          <c:dPt>
            <c:idx val="12"/>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13-B5C4-4E0D-906B-69A1F603A255}"/>
              </c:ext>
            </c:extLst>
          </c:dPt>
          <c:cat>
            <c:multiLvlStrRef>
              <c:f>Analysis!$C$4:$C$23</c:f>
              <c:multiLvlStrCache>
                <c:ptCount val="13"/>
                <c:lvl>
                  <c:pt idx="0">
                    <c:v>Accountant</c:v>
                  </c:pt>
                  <c:pt idx="1">
                    <c:v>Financial Analyst</c:v>
                  </c:pt>
                  <c:pt idx="2">
                    <c:v>HR Coordinator</c:v>
                  </c:pt>
                  <c:pt idx="3">
                    <c:v>HR Manager</c:v>
                  </c:pt>
                  <c:pt idx="4">
                    <c:v>Developer</c:v>
                  </c:pt>
                  <c:pt idx="5">
                    <c:v>IT Support</c:v>
                  </c:pt>
                  <c:pt idx="6">
                    <c:v>System Admin</c:v>
                  </c:pt>
                  <c:pt idx="7">
                    <c:v>Content Creator</c:v>
                  </c:pt>
                  <c:pt idx="8">
                    <c:v>SEO Specialist</c:v>
                  </c:pt>
                  <c:pt idx="9">
                    <c:v>Logistics Manager</c:v>
                  </c:pt>
                  <c:pt idx="10">
                    <c:v>Operations Coordinator</c:v>
                  </c:pt>
                  <c:pt idx="11">
                    <c:v>Account Manager</c:v>
                  </c:pt>
                  <c:pt idx="12">
                    <c:v>Sales Rep</c:v>
                  </c:pt>
                </c:lvl>
                <c:lvl>
                  <c:pt idx="0">
                    <c:v>Finance</c:v>
                  </c:pt>
                  <c:pt idx="2">
                    <c:v>HR</c:v>
                  </c:pt>
                  <c:pt idx="4">
                    <c:v>IT</c:v>
                  </c:pt>
                  <c:pt idx="7">
                    <c:v>Marketing</c:v>
                  </c:pt>
                  <c:pt idx="9">
                    <c:v>Operations</c:v>
                  </c:pt>
                  <c:pt idx="11">
                    <c:v>Sales</c:v>
                  </c:pt>
                </c:lvl>
              </c:multiLvlStrCache>
            </c:multiLvlStrRef>
          </c:cat>
          <c:val>
            <c:numRef>
              <c:f>Analysis!$D$4:$D$23</c:f>
              <c:numCache>
                <c:formatCode>#\ ##0\ [$EUR]</c:formatCode>
                <c:ptCount val="13"/>
                <c:pt idx="0">
                  <c:v>83096.125</c:v>
                </c:pt>
                <c:pt idx="1">
                  <c:v>69945.600000000006</c:v>
                </c:pt>
                <c:pt idx="2">
                  <c:v>83021.916666666672</c:v>
                </c:pt>
                <c:pt idx="3">
                  <c:v>71722.71428571429</c:v>
                </c:pt>
                <c:pt idx="4">
                  <c:v>60385.833333333336</c:v>
                </c:pt>
                <c:pt idx="5">
                  <c:v>78950.333333333328</c:v>
                </c:pt>
                <c:pt idx="6">
                  <c:v>82395.75</c:v>
                </c:pt>
                <c:pt idx="7">
                  <c:v>77698.142857142855</c:v>
                </c:pt>
                <c:pt idx="8">
                  <c:v>83220.28571428571</c:v>
                </c:pt>
                <c:pt idx="9">
                  <c:v>71399.5</c:v>
                </c:pt>
                <c:pt idx="10">
                  <c:v>79446.142857142855</c:v>
                </c:pt>
                <c:pt idx="11">
                  <c:v>69898.3</c:v>
                </c:pt>
                <c:pt idx="12">
                  <c:v>70270.5</c:v>
                </c:pt>
              </c:numCache>
            </c:numRef>
          </c:val>
          <c:extLst>
            <c:ext xmlns:c16="http://schemas.microsoft.com/office/drawing/2014/chart" uri="{C3380CC4-5D6E-409C-BE32-E72D297353CC}">
              <c16:uniqueId val="{00000000-D87D-4195-A919-0D21C66D9CA6}"/>
            </c:ext>
          </c:extLst>
        </c:ser>
        <c:dLbls>
          <c:showLegendKey val="0"/>
          <c:showVal val="0"/>
          <c:showCatName val="0"/>
          <c:showSerName val="0"/>
          <c:showPercent val="0"/>
          <c:showBubbleSize val="0"/>
        </c:dLbls>
        <c:gapWidth val="182"/>
        <c:axId val="583049520"/>
        <c:axId val="583043760"/>
      </c:barChart>
      <c:catAx>
        <c:axId val="58304952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crossAx val="583043760"/>
        <c:crosses val="autoZero"/>
        <c:auto val="1"/>
        <c:lblAlgn val="ctr"/>
        <c:lblOffset val="100"/>
        <c:noMultiLvlLbl val="0"/>
      </c:catAx>
      <c:valAx>
        <c:axId val="583043760"/>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2]\ #,\K" sourceLinked="0"/>
        <c:majorTickMark val="out"/>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crossAx val="583049520"/>
        <c:crosses val="autoZero"/>
        <c:crossBetween val="between"/>
        <c:majorUnit val="20000"/>
        <c:minorUnit val="4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u-H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hu-HU"/>
              <a:t>Correlation between Training hours and Performance scores</a:t>
            </a:r>
          </a:p>
        </c:rich>
      </c:tx>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hu-HU"/>
        </a:p>
      </c:txPr>
    </c:title>
    <c:autoTitleDeleted val="0"/>
    <c:plotArea>
      <c:layout/>
      <c:scatterChart>
        <c:scatterStyle val="lineMarker"/>
        <c:varyColors val="0"/>
        <c:ser>
          <c:idx val="0"/>
          <c:order val="0"/>
          <c:tx>
            <c:strRef>
              <c:f>Dataset1!$M$1</c:f>
              <c:strCache>
                <c:ptCount val="1"/>
                <c:pt idx="0">
                  <c:v>Training Hours YTD</c:v>
                </c:pt>
              </c:strCache>
            </c:strRef>
          </c:tx>
          <c:spPr>
            <a:ln w="381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Dataset1!$K$2:$K$101</c:f>
              <c:numCache>
                <c:formatCode>General</c:formatCode>
                <c:ptCount val="100"/>
                <c:pt idx="0">
                  <c:v>3</c:v>
                </c:pt>
                <c:pt idx="1">
                  <c:v>4</c:v>
                </c:pt>
                <c:pt idx="2">
                  <c:v>2</c:v>
                </c:pt>
                <c:pt idx="3">
                  <c:v>3</c:v>
                </c:pt>
                <c:pt idx="4">
                  <c:v>2</c:v>
                </c:pt>
                <c:pt idx="5">
                  <c:v>1</c:v>
                </c:pt>
                <c:pt idx="6">
                  <c:v>3</c:v>
                </c:pt>
                <c:pt idx="7">
                  <c:v>4</c:v>
                </c:pt>
                <c:pt idx="8">
                  <c:v>1</c:v>
                </c:pt>
                <c:pt idx="9">
                  <c:v>5</c:v>
                </c:pt>
                <c:pt idx="10">
                  <c:v>3</c:v>
                </c:pt>
                <c:pt idx="11">
                  <c:v>4</c:v>
                </c:pt>
                <c:pt idx="12">
                  <c:v>3</c:v>
                </c:pt>
                <c:pt idx="13">
                  <c:v>4</c:v>
                </c:pt>
                <c:pt idx="14">
                  <c:v>5</c:v>
                </c:pt>
                <c:pt idx="15">
                  <c:v>4</c:v>
                </c:pt>
                <c:pt idx="16">
                  <c:v>5</c:v>
                </c:pt>
                <c:pt idx="17">
                  <c:v>5</c:v>
                </c:pt>
                <c:pt idx="18">
                  <c:v>1</c:v>
                </c:pt>
                <c:pt idx="19">
                  <c:v>5</c:v>
                </c:pt>
                <c:pt idx="20">
                  <c:v>3</c:v>
                </c:pt>
                <c:pt idx="21">
                  <c:v>4</c:v>
                </c:pt>
                <c:pt idx="22">
                  <c:v>1</c:v>
                </c:pt>
                <c:pt idx="23">
                  <c:v>3</c:v>
                </c:pt>
                <c:pt idx="24">
                  <c:v>5</c:v>
                </c:pt>
                <c:pt idx="25">
                  <c:v>3</c:v>
                </c:pt>
                <c:pt idx="26">
                  <c:v>5</c:v>
                </c:pt>
                <c:pt idx="27">
                  <c:v>3</c:v>
                </c:pt>
                <c:pt idx="28">
                  <c:v>1</c:v>
                </c:pt>
                <c:pt idx="29">
                  <c:v>1</c:v>
                </c:pt>
                <c:pt idx="30">
                  <c:v>3</c:v>
                </c:pt>
                <c:pt idx="31">
                  <c:v>2</c:v>
                </c:pt>
                <c:pt idx="32">
                  <c:v>2</c:v>
                </c:pt>
                <c:pt idx="33">
                  <c:v>1</c:v>
                </c:pt>
                <c:pt idx="34">
                  <c:v>5</c:v>
                </c:pt>
                <c:pt idx="35">
                  <c:v>5</c:v>
                </c:pt>
                <c:pt idx="36">
                  <c:v>1</c:v>
                </c:pt>
                <c:pt idx="37">
                  <c:v>2</c:v>
                </c:pt>
                <c:pt idx="38">
                  <c:v>1</c:v>
                </c:pt>
                <c:pt idx="39">
                  <c:v>1</c:v>
                </c:pt>
                <c:pt idx="40">
                  <c:v>3</c:v>
                </c:pt>
                <c:pt idx="41">
                  <c:v>1</c:v>
                </c:pt>
                <c:pt idx="42">
                  <c:v>5</c:v>
                </c:pt>
                <c:pt idx="43">
                  <c:v>2</c:v>
                </c:pt>
                <c:pt idx="44">
                  <c:v>2</c:v>
                </c:pt>
                <c:pt idx="45">
                  <c:v>1</c:v>
                </c:pt>
                <c:pt idx="46">
                  <c:v>2</c:v>
                </c:pt>
                <c:pt idx="47">
                  <c:v>4</c:v>
                </c:pt>
                <c:pt idx="48">
                  <c:v>3</c:v>
                </c:pt>
                <c:pt idx="49">
                  <c:v>1</c:v>
                </c:pt>
                <c:pt idx="50">
                  <c:v>3</c:v>
                </c:pt>
                <c:pt idx="51">
                  <c:v>1</c:v>
                </c:pt>
                <c:pt idx="52">
                  <c:v>3</c:v>
                </c:pt>
                <c:pt idx="53">
                  <c:v>1</c:v>
                </c:pt>
                <c:pt idx="54">
                  <c:v>1</c:v>
                </c:pt>
                <c:pt idx="55">
                  <c:v>5</c:v>
                </c:pt>
                <c:pt idx="56">
                  <c:v>5</c:v>
                </c:pt>
                <c:pt idx="57">
                  <c:v>3</c:v>
                </c:pt>
                <c:pt idx="58">
                  <c:v>1</c:v>
                </c:pt>
                <c:pt idx="59">
                  <c:v>2</c:v>
                </c:pt>
                <c:pt idx="60">
                  <c:v>2</c:v>
                </c:pt>
                <c:pt idx="61">
                  <c:v>2</c:v>
                </c:pt>
                <c:pt idx="62">
                  <c:v>1</c:v>
                </c:pt>
                <c:pt idx="63">
                  <c:v>3</c:v>
                </c:pt>
                <c:pt idx="64">
                  <c:v>4</c:v>
                </c:pt>
                <c:pt idx="65">
                  <c:v>5</c:v>
                </c:pt>
                <c:pt idx="66">
                  <c:v>4</c:v>
                </c:pt>
                <c:pt idx="67">
                  <c:v>5</c:v>
                </c:pt>
                <c:pt idx="68">
                  <c:v>1</c:v>
                </c:pt>
                <c:pt idx="69">
                  <c:v>4</c:v>
                </c:pt>
                <c:pt idx="70">
                  <c:v>4</c:v>
                </c:pt>
                <c:pt idx="71">
                  <c:v>3</c:v>
                </c:pt>
                <c:pt idx="72">
                  <c:v>2</c:v>
                </c:pt>
                <c:pt idx="73">
                  <c:v>4</c:v>
                </c:pt>
                <c:pt idx="74">
                  <c:v>4</c:v>
                </c:pt>
                <c:pt idx="75">
                  <c:v>5</c:v>
                </c:pt>
                <c:pt idx="76">
                  <c:v>2</c:v>
                </c:pt>
                <c:pt idx="77">
                  <c:v>2</c:v>
                </c:pt>
                <c:pt idx="78">
                  <c:v>3</c:v>
                </c:pt>
                <c:pt idx="79">
                  <c:v>2</c:v>
                </c:pt>
                <c:pt idx="80">
                  <c:v>2</c:v>
                </c:pt>
                <c:pt idx="81">
                  <c:v>5</c:v>
                </c:pt>
                <c:pt idx="82">
                  <c:v>1</c:v>
                </c:pt>
                <c:pt idx="83">
                  <c:v>2</c:v>
                </c:pt>
                <c:pt idx="84">
                  <c:v>1</c:v>
                </c:pt>
                <c:pt idx="85">
                  <c:v>4</c:v>
                </c:pt>
                <c:pt idx="86">
                  <c:v>5</c:v>
                </c:pt>
                <c:pt idx="87">
                  <c:v>2</c:v>
                </c:pt>
                <c:pt idx="88">
                  <c:v>3</c:v>
                </c:pt>
                <c:pt idx="89">
                  <c:v>3</c:v>
                </c:pt>
                <c:pt idx="90">
                  <c:v>2</c:v>
                </c:pt>
                <c:pt idx="91">
                  <c:v>2</c:v>
                </c:pt>
                <c:pt idx="92">
                  <c:v>1</c:v>
                </c:pt>
                <c:pt idx="93">
                  <c:v>1</c:v>
                </c:pt>
                <c:pt idx="94">
                  <c:v>4</c:v>
                </c:pt>
                <c:pt idx="95">
                  <c:v>3</c:v>
                </c:pt>
                <c:pt idx="96">
                  <c:v>1</c:v>
                </c:pt>
                <c:pt idx="97">
                  <c:v>5</c:v>
                </c:pt>
                <c:pt idx="98">
                  <c:v>3</c:v>
                </c:pt>
                <c:pt idx="99">
                  <c:v>2</c:v>
                </c:pt>
              </c:numCache>
            </c:numRef>
          </c:xVal>
          <c:yVal>
            <c:numRef>
              <c:f>Dataset1!$M$2:$M$101</c:f>
              <c:numCache>
                <c:formatCode>General</c:formatCode>
                <c:ptCount val="100"/>
                <c:pt idx="0">
                  <c:v>21</c:v>
                </c:pt>
                <c:pt idx="1">
                  <c:v>52</c:v>
                </c:pt>
                <c:pt idx="2">
                  <c:v>53</c:v>
                </c:pt>
                <c:pt idx="3">
                  <c:v>51</c:v>
                </c:pt>
                <c:pt idx="4">
                  <c:v>72</c:v>
                </c:pt>
                <c:pt idx="5">
                  <c:v>82</c:v>
                </c:pt>
                <c:pt idx="6">
                  <c:v>64</c:v>
                </c:pt>
                <c:pt idx="7">
                  <c:v>46</c:v>
                </c:pt>
                <c:pt idx="8">
                  <c:v>39</c:v>
                </c:pt>
                <c:pt idx="9">
                  <c:v>92</c:v>
                </c:pt>
                <c:pt idx="10">
                  <c:v>9</c:v>
                </c:pt>
                <c:pt idx="11">
                  <c:v>62</c:v>
                </c:pt>
                <c:pt idx="12">
                  <c:v>27</c:v>
                </c:pt>
                <c:pt idx="13">
                  <c:v>30</c:v>
                </c:pt>
                <c:pt idx="14">
                  <c:v>52</c:v>
                </c:pt>
                <c:pt idx="15">
                  <c:v>42</c:v>
                </c:pt>
                <c:pt idx="16">
                  <c:v>91</c:v>
                </c:pt>
                <c:pt idx="17">
                  <c:v>49</c:v>
                </c:pt>
                <c:pt idx="18">
                  <c:v>9</c:v>
                </c:pt>
                <c:pt idx="19">
                  <c:v>11</c:v>
                </c:pt>
                <c:pt idx="20">
                  <c:v>90</c:v>
                </c:pt>
                <c:pt idx="21">
                  <c:v>45</c:v>
                </c:pt>
                <c:pt idx="22">
                  <c:v>70</c:v>
                </c:pt>
                <c:pt idx="23">
                  <c:v>55</c:v>
                </c:pt>
                <c:pt idx="24">
                  <c:v>28</c:v>
                </c:pt>
                <c:pt idx="25">
                  <c:v>14</c:v>
                </c:pt>
                <c:pt idx="26">
                  <c:v>2</c:v>
                </c:pt>
                <c:pt idx="27">
                  <c:v>71</c:v>
                </c:pt>
                <c:pt idx="28">
                  <c:v>45</c:v>
                </c:pt>
                <c:pt idx="29">
                  <c:v>63</c:v>
                </c:pt>
                <c:pt idx="30">
                  <c:v>96</c:v>
                </c:pt>
                <c:pt idx="31">
                  <c:v>8</c:v>
                </c:pt>
                <c:pt idx="32">
                  <c:v>98</c:v>
                </c:pt>
                <c:pt idx="33">
                  <c:v>63</c:v>
                </c:pt>
                <c:pt idx="34">
                  <c:v>12</c:v>
                </c:pt>
                <c:pt idx="35">
                  <c:v>82</c:v>
                </c:pt>
                <c:pt idx="36">
                  <c:v>0</c:v>
                </c:pt>
                <c:pt idx="37">
                  <c:v>15</c:v>
                </c:pt>
                <c:pt idx="38">
                  <c:v>62</c:v>
                </c:pt>
                <c:pt idx="39">
                  <c:v>28</c:v>
                </c:pt>
                <c:pt idx="40">
                  <c:v>70</c:v>
                </c:pt>
                <c:pt idx="41">
                  <c:v>83</c:v>
                </c:pt>
                <c:pt idx="42">
                  <c:v>63</c:v>
                </c:pt>
                <c:pt idx="43">
                  <c:v>67</c:v>
                </c:pt>
                <c:pt idx="44">
                  <c:v>18</c:v>
                </c:pt>
                <c:pt idx="45">
                  <c:v>78</c:v>
                </c:pt>
                <c:pt idx="46">
                  <c:v>92</c:v>
                </c:pt>
                <c:pt idx="47">
                  <c:v>41</c:v>
                </c:pt>
                <c:pt idx="48">
                  <c:v>14</c:v>
                </c:pt>
                <c:pt idx="49">
                  <c:v>86</c:v>
                </c:pt>
                <c:pt idx="50">
                  <c:v>93</c:v>
                </c:pt>
                <c:pt idx="51">
                  <c:v>94</c:v>
                </c:pt>
                <c:pt idx="52">
                  <c:v>61</c:v>
                </c:pt>
                <c:pt idx="53">
                  <c:v>51</c:v>
                </c:pt>
                <c:pt idx="54">
                  <c:v>0</c:v>
                </c:pt>
                <c:pt idx="55">
                  <c:v>8</c:v>
                </c:pt>
                <c:pt idx="56">
                  <c:v>80</c:v>
                </c:pt>
                <c:pt idx="57">
                  <c:v>83</c:v>
                </c:pt>
                <c:pt idx="58">
                  <c:v>89</c:v>
                </c:pt>
                <c:pt idx="59">
                  <c:v>70</c:v>
                </c:pt>
                <c:pt idx="60">
                  <c:v>9</c:v>
                </c:pt>
                <c:pt idx="61">
                  <c:v>88</c:v>
                </c:pt>
                <c:pt idx="62">
                  <c:v>52</c:v>
                </c:pt>
                <c:pt idx="63">
                  <c:v>38</c:v>
                </c:pt>
                <c:pt idx="64">
                  <c:v>17</c:v>
                </c:pt>
                <c:pt idx="65">
                  <c:v>74</c:v>
                </c:pt>
                <c:pt idx="66">
                  <c:v>4</c:v>
                </c:pt>
                <c:pt idx="67">
                  <c:v>68</c:v>
                </c:pt>
                <c:pt idx="68">
                  <c:v>53</c:v>
                </c:pt>
                <c:pt idx="69">
                  <c:v>95</c:v>
                </c:pt>
                <c:pt idx="70">
                  <c:v>61</c:v>
                </c:pt>
                <c:pt idx="71">
                  <c:v>75</c:v>
                </c:pt>
                <c:pt idx="72">
                  <c:v>82</c:v>
                </c:pt>
                <c:pt idx="73">
                  <c:v>20</c:v>
                </c:pt>
                <c:pt idx="74">
                  <c:v>74</c:v>
                </c:pt>
                <c:pt idx="75">
                  <c:v>98</c:v>
                </c:pt>
                <c:pt idx="76">
                  <c:v>41</c:v>
                </c:pt>
                <c:pt idx="77">
                  <c:v>59</c:v>
                </c:pt>
                <c:pt idx="78">
                  <c:v>45</c:v>
                </c:pt>
                <c:pt idx="79">
                  <c:v>74</c:v>
                </c:pt>
                <c:pt idx="80">
                  <c:v>19</c:v>
                </c:pt>
                <c:pt idx="81">
                  <c:v>93</c:v>
                </c:pt>
                <c:pt idx="82">
                  <c:v>87</c:v>
                </c:pt>
                <c:pt idx="83">
                  <c:v>63</c:v>
                </c:pt>
                <c:pt idx="84">
                  <c:v>12</c:v>
                </c:pt>
                <c:pt idx="85">
                  <c:v>80</c:v>
                </c:pt>
                <c:pt idx="86">
                  <c:v>6</c:v>
                </c:pt>
                <c:pt idx="87">
                  <c:v>35</c:v>
                </c:pt>
                <c:pt idx="88">
                  <c:v>84</c:v>
                </c:pt>
                <c:pt idx="89">
                  <c:v>30</c:v>
                </c:pt>
                <c:pt idx="90">
                  <c:v>100</c:v>
                </c:pt>
                <c:pt idx="91">
                  <c:v>54</c:v>
                </c:pt>
                <c:pt idx="92">
                  <c:v>34</c:v>
                </c:pt>
                <c:pt idx="93">
                  <c:v>97</c:v>
                </c:pt>
                <c:pt idx="94">
                  <c:v>19</c:v>
                </c:pt>
                <c:pt idx="95">
                  <c:v>62</c:v>
                </c:pt>
                <c:pt idx="96">
                  <c:v>85</c:v>
                </c:pt>
                <c:pt idx="97">
                  <c:v>75</c:v>
                </c:pt>
                <c:pt idx="98">
                  <c:v>51</c:v>
                </c:pt>
                <c:pt idx="99">
                  <c:v>25</c:v>
                </c:pt>
              </c:numCache>
            </c:numRef>
          </c:yVal>
          <c:smooth val="0"/>
          <c:extLst>
            <c:ext xmlns:c16="http://schemas.microsoft.com/office/drawing/2014/chart" uri="{C3380CC4-5D6E-409C-BE32-E72D297353CC}">
              <c16:uniqueId val="{00000001-FFAD-4713-A5EC-CD7FA0698E14}"/>
            </c:ext>
          </c:extLst>
        </c:ser>
        <c:dLbls>
          <c:showLegendKey val="0"/>
          <c:showVal val="0"/>
          <c:showCatName val="0"/>
          <c:showSerName val="0"/>
          <c:showPercent val="0"/>
          <c:showBubbleSize val="0"/>
        </c:dLbls>
        <c:axId val="709528592"/>
        <c:axId val="709526672"/>
      </c:scatterChart>
      <c:valAx>
        <c:axId val="709528592"/>
        <c:scaling>
          <c:orientation val="minMax"/>
          <c:max val="6"/>
          <c:min val="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hu-HU"/>
                  <a:t>Performance Score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hu-HU"/>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crossAx val="709526672"/>
        <c:crosses val="autoZero"/>
        <c:crossBetween val="midCat"/>
        <c:majorUnit val="1"/>
      </c:valAx>
      <c:valAx>
        <c:axId val="709526672"/>
        <c:scaling>
          <c:orientation val="minMax"/>
          <c:max val="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hu-HU"/>
                  <a:t>Training Hours YTD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hu-HU"/>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crossAx val="709528592"/>
        <c:crosses val="autoZero"/>
        <c:crossBetween val="midCat"/>
        <c:majorUnit val="20"/>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u-HU"/>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5"/>
    </mc:Choice>
    <mc:Fallback>
      <c:style val="5"/>
    </mc:Fallback>
  </mc:AlternateContent>
  <c:pivotSource>
    <c:name>[HR Workforce Analysis Dashboard.xlsx]Analysis!PivotTable12</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of employees hired in each months</a:t>
            </a:r>
            <a:r>
              <a:rPr lang="hu-HU"/>
              <a:t> </a:t>
            </a:r>
          </a:p>
          <a:p>
            <a:pPr>
              <a:defRPr/>
            </a:pPr>
            <a:r>
              <a:rPr lang="hu-HU"/>
              <a:t>(2015-2024)</a:t>
            </a:r>
            <a:endParaRPr lang="en-US"/>
          </a:p>
        </c:rich>
      </c:tx>
      <c:layout>
        <c:manualLayout>
          <c:xMode val="edge"/>
          <c:yMode val="edge"/>
          <c:x val="0.27103439656249867"/>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u-HU"/>
        </a:p>
      </c:txPr>
    </c:title>
    <c:autoTitleDeleted val="0"/>
    <c:pivotFmts>
      <c:pivotFmt>
        <c:idx val="0"/>
        <c:spPr>
          <a:ln w="28575" cap="rnd">
            <a:solidFill>
              <a:schemeClr val="accent3"/>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Analysis!$K$66</c:f>
              <c:strCache>
                <c:ptCount val="1"/>
                <c:pt idx="0">
                  <c:v>Total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Analysis!$J$67:$J$79</c:f>
              <c:strCache>
                <c:ptCount val="12"/>
                <c:pt idx="0">
                  <c:v>jan</c:v>
                </c:pt>
                <c:pt idx="1">
                  <c:v>febr</c:v>
                </c:pt>
                <c:pt idx="2">
                  <c:v>márc</c:v>
                </c:pt>
                <c:pt idx="3">
                  <c:v>ápr</c:v>
                </c:pt>
                <c:pt idx="4">
                  <c:v>máj</c:v>
                </c:pt>
                <c:pt idx="5">
                  <c:v>jún</c:v>
                </c:pt>
                <c:pt idx="6">
                  <c:v>júl</c:v>
                </c:pt>
                <c:pt idx="7">
                  <c:v>aug</c:v>
                </c:pt>
                <c:pt idx="8">
                  <c:v>szept</c:v>
                </c:pt>
                <c:pt idx="9">
                  <c:v>okt</c:v>
                </c:pt>
                <c:pt idx="10">
                  <c:v>nov</c:v>
                </c:pt>
                <c:pt idx="11">
                  <c:v>dec</c:v>
                </c:pt>
              </c:strCache>
            </c:strRef>
          </c:cat>
          <c:val>
            <c:numRef>
              <c:f>Analysis!$K$67:$K$79</c:f>
              <c:numCache>
                <c:formatCode>General</c:formatCode>
                <c:ptCount val="12"/>
                <c:pt idx="0">
                  <c:v>12</c:v>
                </c:pt>
                <c:pt idx="1">
                  <c:v>9</c:v>
                </c:pt>
                <c:pt idx="2">
                  <c:v>6</c:v>
                </c:pt>
                <c:pt idx="3">
                  <c:v>3</c:v>
                </c:pt>
                <c:pt idx="4">
                  <c:v>9</c:v>
                </c:pt>
                <c:pt idx="5">
                  <c:v>12</c:v>
                </c:pt>
                <c:pt idx="6">
                  <c:v>17</c:v>
                </c:pt>
                <c:pt idx="7">
                  <c:v>3</c:v>
                </c:pt>
                <c:pt idx="8">
                  <c:v>10</c:v>
                </c:pt>
                <c:pt idx="9">
                  <c:v>4</c:v>
                </c:pt>
                <c:pt idx="10">
                  <c:v>10</c:v>
                </c:pt>
                <c:pt idx="11">
                  <c:v>5</c:v>
                </c:pt>
              </c:numCache>
            </c:numRef>
          </c:val>
          <c:smooth val="0"/>
          <c:extLst>
            <c:ext xmlns:c16="http://schemas.microsoft.com/office/drawing/2014/chart" uri="{C3380CC4-5D6E-409C-BE32-E72D297353CC}">
              <c16:uniqueId val="{00000000-FD69-4786-A6ED-C49021457D6F}"/>
            </c:ext>
          </c:extLst>
        </c:ser>
        <c:dLbls>
          <c:showLegendKey val="0"/>
          <c:showVal val="0"/>
          <c:showCatName val="0"/>
          <c:showSerName val="0"/>
          <c:showPercent val="0"/>
          <c:showBubbleSize val="0"/>
        </c:dLbls>
        <c:marker val="1"/>
        <c:smooth val="0"/>
        <c:axId val="705620416"/>
        <c:axId val="705611296"/>
      </c:lineChart>
      <c:catAx>
        <c:axId val="705620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crossAx val="705611296"/>
        <c:crosses val="autoZero"/>
        <c:auto val="1"/>
        <c:lblAlgn val="ctr"/>
        <c:lblOffset val="100"/>
        <c:noMultiLvlLbl val="0"/>
      </c:catAx>
      <c:valAx>
        <c:axId val="705611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crossAx val="705620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hu-HU"/>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Workforce Analysis Dashboard.xlsx]Analysis!PivotTable18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Which age groups have higher absence rates?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u-H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2">
              <a:lumMod val="90000"/>
              <a:lumOff val="10000"/>
            </a:schemeClr>
          </a:solidFill>
          <a:ln>
            <a:noFill/>
          </a:ln>
          <a:effectLst/>
        </c:spPr>
      </c:pivotFmt>
      <c:pivotFmt>
        <c:idx val="2"/>
        <c:spPr>
          <a:solidFill>
            <a:schemeClr val="tx2">
              <a:lumMod val="50000"/>
              <a:lumOff val="50000"/>
            </a:schemeClr>
          </a:solidFill>
          <a:ln>
            <a:noFill/>
          </a:ln>
          <a:effectLst/>
        </c:spPr>
      </c:pivotFmt>
      <c:pivotFmt>
        <c:idx val="3"/>
        <c:spPr>
          <a:solidFill>
            <a:schemeClr val="tx2">
              <a:lumMod val="50000"/>
              <a:lumOff val="50000"/>
            </a:schemeClr>
          </a:solidFill>
          <a:ln>
            <a:noFill/>
          </a:ln>
          <a:effectLst/>
        </c:spPr>
      </c:pivotFmt>
      <c:pivotFmt>
        <c:idx val="4"/>
        <c:spPr>
          <a:solidFill>
            <a:schemeClr val="tx2">
              <a:lumMod val="50000"/>
              <a:lumOff val="50000"/>
            </a:schemeClr>
          </a:solidFill>
          <a:ln>
            <a:noFill/>
          </a:ln>
          <a:effectLst/>
        </c:spPr>
      </c:pivotFmt>
    </c:pivotFmts>
    <c:plotArea>
      <c:layout/>
      <c:barChart>
        <c:barDir val="col"/>
        <c:grouping val="clustered"/>
        <c:varyColors val="0"/>
        <c:ser>
          <c:idx val="0"/>
          <c:order val="0"/>
          <c:tx>
            <c:strRef>
              <c:f>Analysis!$D$88</c:f>
              <c:strCache>
                <c:ptCount val="1"/>
                <c:pt idx="0">
                  <c:v>Total</c:v>
                </c:pt>
              </c:strCache>
            </c:strRef>
          </c:tx>
          <c:spPr>
            <a:solidFill>
              <a:schemeClr val="accent1"/>
            </a:solidFill>
            <a:ln>
              <a:noFill/>
            </a:ln>
            <a:effectLst/>
          </c:spPr>
          <c:invertIfNegative val="0"/>
          <c:dPt>
            <c:idx val="0"/>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3-1B5D-4B94-86C2-B9A08ECBE0BB}"/>
              </c:ext>
            </c:extLst>
          </c:dPt>
          <c:dPt>
            <c:idx val="1"/>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2-1B5D-4B94-86C2-B9A08ECBE0BB}"/>
              </c:ext>
            </c:extLst>
          </c:dPt>
          <c:dPt>
            <c:idx val="2"/>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1-1B5D-4B94-86C2-B9A08ECBE0BB}"/>
              </c:ext>
            </c:extLst>
          </c:dPt>
          <c:dPt>
            <c:idx val="3"/>
            <c:invertIfNegative val="0"/>
            <c:bubble3D val="0"/>
            <c:spPr>
              <a:solidFill>
                <a:schemeClr val="tx2">
                  <a:lumMod val="90000"/>
                  <a:lumOff val="10000"/>
                </a:schemeClr>
              </a:solidFill>
              <a:ln>
                <a:noFill/>
              </a:ln>
              <a:effectLst/>
            </c:spPr>
            <c:extLst>
              <c:ext xmlns:c16="http://schemas.microsoft.com/office/drawing/2014/chart" uri="{C3380CC4-5D6E-409C-BE32-E72D297353CC}">
                <c16:uniqueId val="{00000004-1B5D-4B94-86C2-B9A08ECBE0BB}"/>
              </c:ext>
            </c:extLst>
          </c:dPt>
          <c:dPt>
            <c:idx val="4"/>
            <c:invertIfNegative val="0"/>
            <c:bubble3D val="0"/>
            <c:spPr>
              <a:solidFill>
                <a:schemeClr val="tx2">
                  <a:lumMod val="90000"/>
                  <a:lumOff val="10000"/>
                </a:schemeClr>
              </a:solidFill>
              <a:ln>
                <a:noFill/>
              </a:ln>
              <a:effectLst/>
            </c:spPr>
            <c:extLst>
              <c:ext xmlns:c16="http://schemas.microsoft.com/office/drawing/2014/chart" uri="{C3380CC4-5D6E-409C-BE32-E72D297353CC}">
                <c16:uniqueId val="{00000000-1B5D-4B94-86C2-B9A08ECBE0BB}"/>
              </c:ext>
            </c:extLst>
          </c:dPt>
          <c:cat>
            <c:strRef>
              <c:f>Analysis!$C$89:$C$94</c:f>
              <c:strCache>
                <c:ptCount val="5"/>
                <c:pt idx="0">
                  <c:v>18–25</c:v>
                </c:pt>
                <c:pt idx="1">
                  <c:v>26–35</c:v>
                </c:pt>
                <c:pt idx="2">
                  <c:v>36–45</c:v>
                </c:pt>
                <c:pt idx="3">
                  <c:v>46–55</c:v>
                </c:pt>
                <c:pt idx="4">
                  <c:v>56–65</c:v>
                </c:pt>
              </c:strCache>
            </c:strRef>
          </c:cat>
          <c:val>
            <c:numRef>
              <c:f>Analysis!$D$89:$D$94</c:f>
              <c:numCache>
                <c:formatCode>0</c:formatCode>
                <c:ptCount val="5"/>
                <c:pt idx="0">
                  <c:v>86</c:v>
                </c:pt>
                <c:pt idx="1">
                  <c:v>199</c:v>
                </c:pt>
                <c:pt idx="2">
                  <c:v>160</c:v>
                </c:pt>
                <c:pt idx="3">
                  <c:v>231</c:v>
                </c:pt>
                <c:pt idx="4">
                  <c:v>65</c:v>
                </c:pt>
              </c:numCache>
            </c:numRef>
          </c:val>
          <c:extLst>
            <c:ext xmlns:c16="http://schemas.microsoft.com/office/drawing/2014/chart" uri="{C3380CC4-5D6E-409C-BE32-E72D297353CC}">
              <c16:uniqueId val="{00000000-E70F-4328-8EBD-9BE434492B54}"/>
            </c:ext>
          </c:extLst>
        </c:ser>
        <c:dLbls>
          <c:showLegendKey val="0"/>
          <c:showVal val="0"/>
          <c:showCatName val="0"/>
          <c:showSerName val="0"/>
          <c:showPercent val="0"/>
          <c:showBubbleSize val="0"/>
        </c:dLbls>
        <c:gapWidth val="219"/>
        <c:overlap val="-27"/>
        <c:axId val="687004592"/>
        <c:axId val="687005072"/>
      </c:barChart>
      <c:catAx>
        <c:axId val="6870045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hu-HU"/>
                  <a:t>Age Group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hu-HU"/>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crossAx val="687005072"/>
        <c:crosses val="autoZero"/>
        <c:auto val="1"/>
        <c:lblAlgn val="ctr"/>
        <c:lblOffset val="100"/>
        <c:noMultiLvlLbl val="0"/>
      </c:catAx>
      <c:valAx>
        <c:axId val="6870050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hu-HU"/>
                  <a:t># of sick days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hu-HU"/>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crossAx val="687004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u-HU"/>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Workforce Analysis Dashboard.xlsx]Analysis!PivotTable19</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Analysis!$D$105:$D$106</c:f>
              <c:strCache>
                <c:ptCount val="1"/>
                <c:pt idx="0">
                  <c:v>Female</c:v>
                </c:pt>
              </c:strCache>
            </c:strRef>
          </c:tx>
          <c:spPr>
            <a:solidFill>
              <a:schemeClr val="accent1"/>
            </a:solidFill>
            <a:ln>
              <a:noFill/>
            </a:ln>
            <a:effectLst/>
          </c:spPr>
          <c:invertIfNegative val="0"/>
          <c:cat>
            <c:multiLvlStrRef>
              <c:f>Analysis!$C$107:$C$126</c:f>
              <c:multiLvlStrCache>
                <c:ptCount val="13"/>
                <c:lvl>
                  <c:pt idx="0">
                    <c:v>Accountant</c:v>
                  </c:pt>
                  <c:pt idx="1">
                    <c:v>Financial Analyst</c:v>
                  </c:pt>
                  <c:pt idx="2">
                    <c:v>HR Coordinator</c:v>
                  </c:pt>
                  <c:pt idx="3">
                    <c:v>HR Manager</c:v>
                  </c:pt>
                  <c:pt idx="4">
                    <c:v>Developer</c:v>
                  </c:pt>
                  <c:pt idx="5">
                    <c:v>IT Support</c:v>
                  </c:pt>
                  <c:pt idx="6">
                    <c:v>System Admin</c:v>
                  </c:pt>
                  <c:pt idx="7">
                    <c:v>Content Creator</c:v>
                  </c:pt>
                  <c:pt idx="8">
                    <c:v>SEO Specialist</c:v>
                  </c:pt>
                  <c:pt idx="9">
                    <c:v>Logistics Manager</c:v>
                  </c:pt>
                  <c:pt idx="10">
                    <c:v>Operations Coordinator</c:v>
                  </c:pt>
                  <c:pt idx="11">
                    <c:v>Account Manager</c:v>
                  </c:pt>
                  <c:pt idx="12">
                    <c:v>Sales Rep</c:v>
                  </c:pt>
                </c:lvl>
                <c:lvl>
                  <c:pt idx="0">
                    <c:v>Finance</c:v>
                  </c:pt>
                  <c:pt idx="2">
                    <c:v>HR</c:v>
                  </c:pt>
                  <c:pt idx="4">
                    <c:v>IT</c:v>
                  </c:pt>
                  <c:pt idx="7">
                    <c:v>Marketing</c:v>
                  </c:pt>
                  <c:pt idx="9">
                    <c:v>Operations</c:v>
                  </c:pt>
                  <c:pt idx="11">
                    <c:v>Sales</c:v>
                  </c:pt>
                </c:lvl>
              </c:multiLvlStrCache>
            </c:multiLvlStrRef>
          </c:cat>
          <c:val>
            <c:numRef>
              <c:f>Analysis!$D$107:$D$126</c:f>
              <c:numCache>
                <c:formatCode>General</c:formatCode>
                <c:ptCount val="13"/>
                <c:pt idx="0">
                  <c:v>3</c:v>
                </c:pt>
                <c:pt idx="1">
                  <c:v>5</c:v>
                </c:pt>
                <c:pt idx="2">
                  <c:v>1</c:v>
                </c:pt>
                <c:pt idx="3">
                  <c:v>3</c:v>
                </c:pt>
                <c:pt idx="4">
                  <c:v>4</c:v>
                </c:pt>
                <c:pt idx="5">
                  <c:v>2</c:v>
                </c:pt>
                <c:pt idx="6">
                  <c:v>1</c:v>
                </c:pt>
                <c:pt idx="7">
                  <c:v>7</c:v>
                </c:pt>
                <c:pt idx="8">
                  <c:v>2</c:v>
                </c:pt>
                <c:pt idx="9">
                  <c:v>3</c:v>
                </c:pt>
                <c:pt idx="10">
                  <c:v>2</c:v>
                </c:pt>
                <c:pt idx="11">
                  <c:v>3</c:v>
                </c:pt>
                <c:pt idx="12">
                  <c:v>1</c:v>
                </c:pt>
              </c:numCache>
            </c:numRef>
          </c:val>
          <c:extLst>
            <c:ext xmlns:c16="http://schemas.microsoft.com/office/drawing/2014/chart" uri="{C3380CC4-5D6E-409C-BE32-E72D297353CC}">
              <c16:uniqueId val="{00000000-16CD-4CC2-99F6-B82BB5B9D484}"/>
            </c:ext>
          </c:extLst>
        </c:ser>
        <c:ser>
          <c:idx val="1"/>
          <c:order val="1"/>
          <c:tx>
            <c:strRef>
              <c:f>Analysis!$E$105:$E$106</c:f>
              <c:strCache>
                <c:ptCount val="1"/>
                <c:pt idx="0">
                  <c:v>Male</c:v>
                </c:pt>
              </c:strCache>
            </c:strRef>
          </c:tx>
          <c:spPr>
            <a:solidFill>
              <a:schemeClr val="accent2"/>
            </a:solidFill>
            <a:ln>
              <a:noFill/>
            </a:ln>
            <a:effectLst/>
          </c:spPr>
          <c:invertIfNegative val="0"/>
          <c:cat>
            <c:multiLvlStrRef>
              <c:f>Analysis!$C$107:$C$126</c:f>
              <c:multiLvlStrCache>
                <c:ptCount val="13"/>
                <c:lvl>
                  <c:pt idx="0">
                    <c:v>Accountant</c:v>
                  </c:pt>
                  <c:pt idx="1">
                    <c:v>Financial Analyst</c:v>
                  </c:pt>
                  <c:pt idx="2">
                    <c:v>HR Coordinator</c:v>
                  </c:pt>
                  <c:pt idx="3">
                    <c:v>HR Manager</c:v>
                  </c:pt>
                  <c:pt idx="4">
                    <c:v>Developer</c:v>
                  </c:pt>
                  <c:pt idx="5">
                    <c:v>IT Support</c:v>
                  </c:pt>
                  <c:pt idx="6">
                    <c:v>System Admin</c:v>
                  </c:pt>
                  <c:pt idx="7">
                    <c:v>Content Creator</c:v>
                  </c:pt>
                  <c:pt idx="8">
                    <c:v>SEO Specialist</c:v>
                  </c:pt>
                  <c:pt idx="9">
                    <c:v>Logistics Manager</c:v>
                  </c:pt>
                  <c:pt idx="10">
                    <c:v>Operations Coordinator</c:v>
                  </c:pt>
                  <c:pt idx="11">
                    <c:v>Account Manager</c:v>
                  </c:pt>
                  <c:pt idx="12">
                    <c:v>Sales Rep</c:v>
                  </c:pt>
                </c:lvl>
                <c:lvl>
                  <c:pt idx="0">
                    <c:v>Finance</c:v>
                  </c:pt>
                  <c:pt idx="2">
                    <c:v>HR</c:v>
                  </c:pt>
                  <c:pt idx="4">
                    <c:v>IT</c:v>
                  </c:pt>
                  <c:pt idx="7">
                    <c:v>Marketing</c:v>
                  </c:pt>
                  <c:pt idx="9">
                    <c:v>Operations</c:v>
                  </c:pt>
                  <c:pt idx="11">
                    <c:v>Sales</c:v>
                  </c:pt>
                </c:lvl>
              </c:multiLvlStrCache>
            </c:multiLvlStrRef>
          </c:cat>
          <c:val>
            <c:numRef>
              <c:f>Analysis!$E$107:$E$126</c:f>
              <c:numCache>
                <c:formatCode>General</c:formatCode>
                <c:ptCount val="13"/>
                <c:pt idx="0">
                  <c:v>3</c:v>
                </c:pt>
                <c:pt idx="1">
                  <c:v>4</c:v>
                </c:pt>
                <c:pt idx="2">
                  <c:v>6</c:v>
                </c:pt>
                <c:pt idx="3">
                  <c:v>2</c:v>
                </c:pt>
                <c:pt idx="5">
                  <c:v>1</c:v>
                </c:pt>
                <c:pt idx="6">
                  <c:v>1</c:v>
                </c:pt>
                <c:pt idx="7">
                  <c:v>4</c:v>
                </c:pt>
                <c:pt idx="8">
                  <c:v>5</c:v>
                </c:pt>
                <c:pt idx="9">
                  <c:v>2</c:v>
                </c:pt>
                <c:pt idx="10">
                  <c:v>4</c:v>
                </c:pt>
                <c:pt idx="11">
                  <c:v>2</c:v>
                </c:pt>
                <c:pt idx="12">
                  <c:v>3</c:v>
                </c:pt>
              </c:numCache>
            </c:numRef>
          </c:val>
          <c:extLst>
            <c:ext xmlns:c16="http://schemas.microsoft.com/office/drawing/2014/chart" uri="{C3380CC4-5D6E-409C-BE32-E72D297353CC}">
              <c16:uniqueId val="{00000004-16CD-4CC2-99F6-B82BB5B9D484}"/>
            </c:ext>
          </c:extLst>
        </c:ser>
        <c:ser>
          <c:idx val="2"/>
          <c:order val="2"/>
          <c:tx>
            <c:strRef>
              <c:f>Analysis!$F$105:$F$106</c:f>
              <c:strCache>
                <c:ptCount val="1"/>
                <c:pt idx="0">
                  <c:v>Other</c:v>
                </c:pt>
              </c:strCache>
            </c:strRef>
          </c:tx>
          <c:spPr>
            <a:solidFill>
              <a:schemeClr val="accent3"/>
            </a:solidFill>
            <a:ln>
              <a:noFill/>
            </a:ln>
            <a:effectLst/>
          </c:spPr>
          <c:invertIfNegative val="0"/>
          <c:cat>
            <c:multiLvlStrRef>
              <c:f>Analysis!$C$107:$C$126</c:f>
              <c:multiLvlStrCache>
                <c:ptCount val="13"/>
                <c:lvl>
                  <c:pt idx="0">
                    <c:v>Accountant</c:v>
                  </c:pt>
                  <c:pt idx="1">
                    <c:v>Financial Analyst</c:v>
                  </c:pt>
                  <c:pt idx="2">
                    <c:v>HR Coordinator</c:v>
                  </c:pt>
                  <c:pt idx="3">
                    <c:v>HR Manager</c:v>
                  </c:pt>
                  <c:pt idx="4">
                    <c:v>Developer</c:v>
                  </c:pt>
                  <c:pt idx="5">
                    <c:v>IT Support</c:v>
                  </c:pt>
                  <c:pt idx="6">
                    <c:v>System Admin</c:v>
                  </c:pt>
                  <c:pt idx="7">
                    <c:v>Content Creator</c:v>
                  </c:pt>
                  <c:pt idx="8">
                    <c:v>SEO Specialist</c:v>
                  </c:pt>
                  <c:pt idx="9">
                    <c:v>Logistics Manager</c:v>
                  </c:pt>
                  <c:pt idx="10">
                    <c:v>Operations Coordinator</c:v>
                  </c:pt>
                  <c:pt idx="11">
                    <c:v>Account Manager</c:v>
                  </c:pt>
                  <c:pt idx="12">
                    <c:v>Sales Rep</c:v>
                  </c:pt>
                </c:lvl>
                <c:lvl>
                  <c:pt idx="0">
                    <c:v>Finance</c:v>
                  </c:pt>
                  <c:pt idx="2">
                    <c:v>HR</c:v>
                  </c:pt>
                  <c:pt idx="4">
                    <c:v>IT</c:v>
                  </c:pt>
                  <c:pt idx="7">
                    <c:v>Marketing</c:v>
                  </c:pt>
                  <c:pt idx="9">
                    <c:v>Operations</c:v>
                  </c:pt>
                  <c:pt idx="11">
                    <c:v>Sales</c:v>
                  </c:pt>
                </c:lvl>
              </c:multiLvlStrCache>
            </c:multiLvlStrRef>
          </c:cat>
          <c:val>
            <c:numRef>
              <c:f>Analysis!$F$107:$F$126</c:f>
              <c:numCache>
                <c:formatCode>General</c:formatCode>
                <c:ptCount val="13"/>
                <c:pt idx="0">
                  <c:v>2</c:v>
                </c:pt>
                <c:pt idx="1">
                  <c:v>1</c:v>
                </c:pt>
                <c:pt idx="2">
                  <c:v>5</c:v>
                </c:pt>
                <c:pt idx="3">
                  <c:v>2</c:v>
                </c:pt>
                <c:pt idx="4">
                  <c:v>2</c:v>
                </c:pt>
                <c:pt idx="6">
                  <c:v>2</c:v>
                </c:pt>
                <c:pt idx="7">
                  <c:v>3</c:v>
                </c:pt>
                <c:pt idx="9">
                  <c:v>1</c:v>
                </c:pt>
                <c:pt idx="10">
                  <c:v>1</c:v>
                </c:pt>
                <c:pt idx="11">
                  <c:v>5</c:v>
                </c:pt>
                <c:pt idx="12">
                  <c:v>2</c:v>
                </c:pt>
              </c:numCache>
            </c:numRef>
          </c:val>
          <c:extLst>
            <c:ext xmlns:c16="http://schemas.microsoft.com/office/drawing/2014/chart" uri="{C3380CC4-5D6E-409C-BE32-E72D297353CC}">
              <c16:uniqueId val="{00000005-16CD-4CC2-99F6-B82BB5B9D484}"/>
            </c:ext>
          </c:extLst>
        </c:ser>
        <c:dLbls>
          <c:showLegendKey val="0"/>
          <c:showVal val="0"/>
          <c:showCatName val="0"/>
          <c:showSerName val="0"/>
          <c:showPercent val="0"/>
          <c:showBubbleSize val="0"/>
        </c:dLbls>
        <c:gapWidth val="150"/>
        <c:overlap val="100"/>
        <c:axId val="824333632"/>
        <c:axId val="818762432"/>
      </c:barChart>
      <c:catAx>
        <c:axId val="824333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crossAx val="818762432"/>
        <c:crosses val="autoZero"/>
        <c:auto val="1"/>
        <c:lblAlgn val="ctr"/>
        <c:lblOffset val="100"/>
        <c:noMultiLvlLbl val="0"/>
      </c:catAx>
      <c:valAx>
        <c:axId val="818762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crossAx val="82433363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hu-HU"/>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Workforce Analysis Dashboard.xlsx]Analysis!PivotTable39</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670074468539534E-2"/>
          <c:y val="6.2946943920299689E-2"/>
          <c:w val="0.9267772541090592"/>
          <c:h val="0.73504198210077221"/>
        </c:manualLayout>
      </c:layout>
      <c:lineChart>
        <c:grouping val="standard"/>
        <c:varyColors val="0"/>
        <c:ser>
          <c:idx val="0"/>
          <c:order val="0"/>
          <c:tx>
            <c:strRef>
              <c:f>Analysis!$D$135</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Analysis!$C$136:$C$142</c:f>
              <c:strCache>
                <c:ptCount val="6"/>
                <c:pt idx="0">
                  <c:v>Finance</c:v>
                </c:pt>
                <c:pt idx="1">
                  <c:v>HR</c:v>
                </c:pt>
                <c:pt idx="2">
                  <c:v>IT</c:v>
                </c:pt>
                <c:pt idx="3">
                  <c:v>Marketing</c:v>
                </c:pt>
                <c:pt idx="4">
                  <c:v>Operations</c:v>
                </c:pt>
                <c:pt idx="5">
                  <c:v>Sales</c:v>
                </c:pt>
              </c:strCache>
            </c:strRef>
          </c:cat>
          <c:val>
            <c:numRef>
              <c:f>Analysis!$D$136:$D$142</c:f>
              <c:numCache>
                <c:formatCode>0.0</c:formatCode>
                <c:ptCount val="6"/>
                <c:pt idx="0">
                  <c:v>1.8</c:v>
                </c:pt>
                <c:pt idx="1">
                  <c:v>1.7142857142857142</c:v>
                </c:pt>
                <c:pt idx="2">
                  <c:v>4.5</c:v>
                </c:pt>
                <c:pt idx="3">
                  <c:v>3.1666666666666665</c:v>
                </c:pt>
                <c:pt idx="4">
                  <c:v>2.8571428571428572</c:v>
                </c:pt>
                <c:pt idx="5">
                  <c:v>3.1666666666666665</c:v>
                </c:pt>
              </c:numCache>
            </c:numRef>
          </c:val>
          <c:smooth val="0"/>
          <c:extLst>
            <c:ext xmlns:c16="http://schemas.microsoft.com/office/drawing/2014/chart" uri="{C3380CC4-5D6E-409C-BE32-E72D297353CC}">
              <c16:uniqueId val="{00000000-A796-4AC4-B402-78A768AA201A}"/>
            </c:ext>
          </c:extLst>
        </c:ser>
        <c:dLbls>
          <c:dLblPos val="t"/>
          <c:showLegendKey val="0"/>
          <c:showVal val="1"/>
          <c:showCatName val="0"/>
          <c:showSerName val="0"/>
          <c:showPercent val="0"/>
          <c:showBubbleSize val="0"/>
        </c:dLbls>
        <c:smooth val="0"/>
        <c:axId val="720071088"/>
        <c:axId val="720073488"/>
      </c:lineChart>
      <c:catAx>
        <c:axId val="720071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w="3175">
                  <a:noFill/>
                </a:ln>
                <a:solidFill>
                  <a:schemeClr val="tx1"/>
                </a:solidFill>
                <a:latin typeface="+mn-lt"/>
                <a:ea typeface="+mn-ea"/>
                <a:cs typeface="+mn-cs"/>
              </a:defRPr>
            </a:pPr>
            <a:endParaRPr lang="hu-HU"/>
          </a:p>
        </c:txPr>
        <c:crossAx val="720073488"/>
        <c:crosses val="autoZero"/>
        <c:auto val="1"/>
        <c:lblAlgn val="ctr"/>
        <c:lblOffset val="100"/>
        <c:noMultiLvlLbl val="0"/>
      </c:catAx>
      <c:valAx>
        <c:axId val="720073488"/>
        <c:scaling>
          <c:orientation val="minMax"/>
          <c:max val="5"/>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crossAx val="720071088"/>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u-H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Workforce Analysis Dashboard.xlsx]Analysis!PivotTable11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hu-HU"/>
              <a:t>Yearly hiring trends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u-H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1823059410391383E-2"/>
          <c:y val="0.20023010941308042"/>
          <c:w val="0.92633517495395945"/>
          <c:h val="0.6839056741879278"/>
        </c:manualLayout>
      </c:layout>
      <c:barChart>
        <c:barDir val="col"/>
        <c:grouping val="clustered"/>
        <c:varyColors val="0"/>
        <c:ser>
          <c:idx val="0"/>
          <c:order val="0"/>
          <c:tx>
            <c:strRef>
              <c:f>Analysis!$D$67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Analysis!$C$68:$C$78</c:f>
              <c:strCache>
                <c:ptCount val="10"/>
                <c:pt idx="0">
                  <c:v>2024</c:v>
                </c:pt>
                <c:pt idx="1">
                  <c:v>2023</c:v>
                </c:pt>
                <c:pt idx="2">
                  <c:v>2022</c:v>
                </c:pt>
                <c:pt idx="3">
                  <c:v>2021</c:v>
                </c:pt>
                <c:pt idx="4">
                  <c:v>2020</c:v>
                </c:pt>
                <c:pt idx="5">
                  <c:v>2019</c:v>
                </c:pt>
                <c:pt idx="6">
                  <c:v>2018</c:v>
                </c:pt>
                <c:pt idx="7">
                  <c:v>2017</c:v>
                </c:pt>
                <c:pt idx="8">
                  <c:v>2016</c:v>
                </c:pt>
                <c:pt idx="9">
                  <c:v>2015</c:v>
                </c:pt>
              </c:strCache>
            </c:strRef>
          </c:cat>
          <c:val>
            <c:numRef>
              <c:f>Analysis!$D$68:$D$78</c:f>
              <c:numCache>
                <c:formatCode>General</c:formatCode>
                <c:ptCount val="10"/>
                <c:pt idx="0">
                  <c:v>4</c:v>
                </c:pt>
                <c:pt idx="1">
                  <c:v>9</c:v>
                </c:pt>
                <c:pt idx="2">
                  <c:v>12</c:v>
                </c:pt>
                <c:pt idx="3">
                  <c:v>7</c:v>
                </c:pt>
                <c:pt idx="4">
                  <c:v>10</c:v>
                </c:pt>
                <c:pt idx="5">
                  <c:v>11</c:v>
                </c:pt>
                <c:pt idx="6">
                  <c:v>17</c:v>
                </c:pt>
                <c:pt idx="7">
                  <c:v>9</c:v>
                </c:pt>
                <c:pt idx="8">
                  <c:v>15</c:v>
                </c:pt>
                <c:pt idx="9">
                  <c:v>6</c:v>
                </c:pt>
              </c:numCache>
            </c:numRef>
          </c:val>
          <c:extLst>
            <c:ext xmlns:c16="http://schemas.microsoft.com/office/drawing/2014/chart" uri="{C3380CC4-5D6E-409C-BE32-E72D297353CC}">
              <c16:uniqueId val="{00000000-D230-489F-9D7D-228D4C80640F}"/>
            </c:ext>
          </c:extLst>
        </c:ser>
        <c:dLbls>
          <c:dLblPos val="outEnd"/>
          <c:showLegendKey val="0"/>
          <c:showVal val="1"/>
          <c:showCatName val="0"/>
          <c:showSerName val="0"/>
          <c:showPercent val="0"/>
          <c:showBubbleSize val="0"/>
        </c:dLbls>
        <c:gapWidth val="219"/>
        <c:overlap val="-27"/>
        <c:axId val="1435980943"/>
        <c:axId val="1636061391"/>
      </c:barChart>
      <c:catAx>
        <c:axId val="1435980943"/>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crossAx val="1636061391"/>
        <c:crosses val="autoZero"/>
        <c:auto val="1"/>
        <c:lblAlgn val="ctr"/>
        <c:lblOffset val="100"/>
        <c:noMultiLvlLbl val="0"/>
      </c:catAx>
      <c:valAx>
        <c:axId val="1636061391"/>
        <c:scaling>
          <c:orientation val="minMax"/>
        </c:scaling>
        <c:delete val="1"/>
        <c:axPos val="r"/>
        <c:numFmt formatCode="General" sourceLinked="1"/>
        <c:majorTickMark val="none"/>
        <c:minorTickMark val="none"/>
        <c:tickLblPos val="nextTo"/>
        <c:crossAx val="14359809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hu-H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Workforce Analysis Dashboard.xlsx]Analysis!PivotTable6</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Analysis!$D$152:$D$153</c:f>
              <c:strCache>
                <c:ptCount val="1"/>
                <c:pt idx="0">
                  <c:v>Associate</c:v>
                </c:pt>
              </c:strCache>
            </c:strRef>
          </c:tx>
          <c:spPr>
            <a:solidFill>
              <a:schemeClr val="accent1"/>
            </a:solidFill>
            <a:ln>
              <a:noFill/>
            </a:ln>
            <a:effectLst/>
          </c:spPr>
          <c:invertIfNegative val="0"/>
          <c:cat>
            <c:strRef>
              <c:f>Analysis!$C$154:$C$160</c:f>
              <c:strCache>
                <c:ptCount val="6"/>
                <c:pt idx="0">
                  <c:v>Finance</c:v>
                </c:pt>
                <c:pt idx="1">
                  <c:v>HR</c:v>
                </c:pt>
                <c:pt idx="2">
                  <c:v>IT</c:v>
                </c:pt>
                <c:pt idx="3">
                  <c:v>Marketing</c:v>
                </c:pt>
                <c:pt idx="4">
                  <c:v>Operations</c:v>
                </c:pt>
                <c:pt idx="5">
                  <c:v>Sales</c:v>
                </c:pt>
              </c:strCache>
            </c:strRef>
          </c:cat>
          <c:val>
            <c:numRef>
              <c:f>Analysis!$D$154:$D$160</c:f>
              <c:numCache>
                <c:formatCode>0</c:formatCode>
                <c:ptCount val="6"/>
                <c:pt idx="0">
                  <c:v>6</c:v>
                </c:pt>
                <c:pt idx="1">
                  <c:v>4</c:v>
                </c:pt>
                <c:pt idx="2">
                  <c:v>5</c:v>
                </c:pt>
                <c:pt idx="3">
                  <c:v>6</c:v>
                </c:pt>
                <c:pt idx="4">
                  <c:v>4</c:v>
                </c:pt>
                <c:pt idx="5">
                  <c:v>5</c:v>
                </c:pt>
              </c:numCache>
            </c:numRef>
          </c:val>
          <c:extLst>
            <c:ext xmlns:c16="http://schemas.microsoft.com/office/drawing/2014/chart" uri="{C3380CC4-5D6E-409C-BE32-E72D297353CC}">
              <c16:uniqueId val="{00000000-3B39-4B0D-BA0E-CD1873950937}"/>
            </c:ext>
          </c:extLst>
        </c:ser>
        <c:ser>
          <c:idx val="1"/>
          <c:order val="1"/>
          <c:tx>
            <c:strRef>
              <c:f>Analysis!$E$152:$E$153</c:f>
              <c:strCache>
                <c:ptCount val="1"/>
                <c:pt idx="0">
                  <c:v>Bachelor</c:v>
                </c:pt>
              </c:strCache>
            </c:strRef>
          </c:tx>
          <c:spPr>
            <a:solidFill>
              <a:schemeClr val="accent2"/>
            </a:solidFill>
            <a:ln>
              <a:noFill/>
            </a:ln>
            <a:effectLst/>
          </c:spPr>
          <c:invertIfNegative val="0"/>
          <c:cat>
            <c:strRef>
              <c:f>Analysis!$C$154:$C$160</c:f>
              <c:strCache>
                <c:ptCount val="6"/>
                <c:pt idx="0">
                  <c:v>Finance</c:v>
                </c:pt>
                <c:pt idx="1">
                  <c:v>HR</c:v>
                </c:pt>
                <c:pt idx="2">
                  <c:v>IT</c:v>
                </c:pt>
                <c:pt idx="3">
                  <c:v>Marketing</c:v>
                </c:pt>
                <c:pt idx="4">
                  <c:v>Operations</c:v>
                </c:pt>
                <c:pt idx="5">
                  <c:v>Sales</c:v>
                </c:pt>
              </c:strCache>
            </c:strRef>
          </c:cat>
          <c:val>
            <c:numRef>
              <c:f>Analysis!$E$154:$E$160</c:f>
              <c:numCache>
                <c:formatCode>0</c:formatCode>
                <c:ptCount val="6"/>
                <c:pt idx="0">
                  <c:v>4</c:v>
                </c:pt>
                <c:pt idx="1">
                  <c:v>4</c:v>
                </c:pt>
                <c:pt idx="2">
                  <c:v>1</c:v>
                </c:pt>
                <c:pt idx="3">
                  <c:v>5</c:v>
                </c:pt>
                <c:pt idx="4">
                  <c:v>3</c:v>
                </c:pt>
                <c:pt idx="5">
                  <c:v>3</c:v>
                </c:pt>
              </c:numCache>
            </c:numRef>
          </c:val>
          <c:extLst>
            <c:ext xmlns:c16="http://schemas.microsoft.com/office/drawing/2014/chart" uri="{C3380CC4-5D6E-409C-BE32-E72D297353CC}">
              <c16:uniqueId val="{00000006-3B39-4B0D-BA0E-CD1873950937}"/>
            </c:ext>
          </c:extLst>
        </c:ser>
        <c:ser>
          <c:idx val="2"/>
          <c:order val="2"/>
          <c:tx>
            <c:strRef>
              <c:f>Analysis!$F$152:$F$153</c:f>
              <c:strCache>
                <c:ptCount val="1"/>
                <c:pt idx="0">
                  <c:v>High School</c:v>
                </c:pt>
              </c:strCache>
            </c:strRef>
          </c:tx>
          <c:spPr>
            <a:solidFill>
              <a:schemeClr val="accent3"/>
            </a:solidFill>
            <a:ln>
              <a:noFill/>
            </a:ln>
            <a:effectLst/>
          </c:spPr>
          <c:invertIfNegative val="0"/>
          <c:cat>
            <c:strRef>
              <c:f>Analysis!$C$154:$C$160</c:f>
              <c:strCache>
                <c:ptCount val="6"/>
                <c:pt idx="0">
                  <c:v>Finance</c:v>
                </c:pt>
                <c:pt idx="1">
                  <c:v>HR</c:v>
                </c:pt>
                <c:pt idx="2">
                  <c:v>IT</c:v>
                </c:pt>
                <c:pt idx="3">
                  <c:v>Marketing</c:v>
                </c:pt>
                <c:pt idx="4">
                  <c:v>Operations</c:v>
                </c:pt>
                <c:pt idx="5">
                  <c:v>Sales</c:v>
                </c:pt>
              </c:strCache>
            </c:strRef>
          </c:cat>
          <c:val>
            <c:numRef>
              <c:f>Analysis!$F$154:$F$160</c:f>
              <c:numCache>
                <c:formatCode>0</c:formatCode>
                <c:ptCount val="6"/>
                <c:pt idx="1">
                  <c:v>5</c:v>
                </c:pt>
                <c:pt idx="2">
                  <c:v>3</c:v>
                </c:pt>
                <c:pt idx="3">
                  <c:v>2</c:v>
                </c:pt>
                <c:pt idx="4">
                  <c:v>2</c:v>
                </c:pt>
                <c:pt idx="5">
                  <c:v>1</c:v>
                </c:pt>
              </c:numCache>
            </c:numRef>
          </c:val>
          <c:extLst>
            <c:ext xmlns:c16="http://schemas.microsoft.com/office/drawing/2014/chart" uri="{C3380CC4-5D6E-409C-BE32-E72D297353CC}">
              <c16:uniqueId val="{00000007-3B39-4B0D-BA0E-CD1873950937}"/>
            </c:ext>
          </c:extLst>
        </c:ser>
        <c:ser>
          <c:idx val="3"/>
          <c:order val="3"/>
          <c:tx>
            <c:strRef>
              <c:f>Analysis!$G$152:$G$153</c:f>
              <c:strCache>
                <c:ptCount val="1"/>
                <c:pt idx="0">
                  <c:v>Master</c:v>
                </c:pt>
              </c:strCache>
            </c:strRef>
          </c:tx>
          <c:spPr>
            <a:solidFill>
              <a:schemeClr val="accent4"/>
            </a:solidFill>
            <a:ln>
              <a:noFill/>
            </a:ln>
            <a:effectLst/>
          </c:spPr>
          <c:invertIfNegative val="0"/>
          <c:cat>
            <c:strRef>
              <c:f>Analysis!$C$154:$C$160</c:f>
              <c:strCache>
                <c:ptCount val="6"/>
                <c:pt idx="0">
                  <c:v>Finance</c:v>
                </c:pt>
                <c:pt idx="1">
                  <c:v>HR</c:v>
                </c:pt>
                <c:pt idx="2">
                  <c:v>IT</c:v>
                </c:pt>
                <c:pt idx="3">
                  <c:v>Marketing</c:v>
                </c:pt>
                <c:pt idx="4">
                  <c:v>Operations</c:v>
                </c:pt>
                <c:pt idx="5">
                  <c:v>Sales</c:v>
                </c:pt>
              </c:strCache>
            </c:strRef>
          </c:cat>
          <c:val>
            <c:numRef>
              <c:f>Analysis!$G$154:$G$160</c:f>
              <c:numCache>
                <c:formatCode>0</c:formatCode>
                <c:ptCount val="6"/>
                <c:pt idx="0">
                  <c:v>4</c:v>
                </c:pt>
                <c:pt idx="1">
                  <c:v>4</c:v>
                </c:pt>
                <c:pt idx="2">
                  <c:v>4</c:v>
                </c:pt>
                <c:pt idx="3">
                  <c:v>5</c:v>
                </c:pt>
                <c:pt idx="4">
                  <c:v>3</c:v>
                </c:pt>
                <c:pt idx="5">
                  <c:v>3</c:v>
                </c:pt>
              </c:numCache>
            </c:numRef>
          </c:val>
          <c:extLst>
            <c:ext xmlns:c16="http://schemas.microsoft.com/office/drawing/2014/chart" uri="{C3380CC4-5D6E-409C-BE32-E72D297353CC}">
              <c16:uniqueId val="{00000008-3B39-4B0D-BA0E-CD1873950937}"/>
            </c:ext>
          </c:extLst>
        </c:ser>
        <c:ser>
          <c:idx val="4"/>
          <c:order val="4"/>
          <c:tx>
            <c:strRef>
              <c:f>Analysis!$H$152:$H$153</c:f>
              <c:strCache>
                <c:ptCount val="1"/>
                <c:pt idx="0">
                  <c:v>PhD</c:v>
                </c:pt>
              </c:strCache>
            </c:strRef>
          </c:tx>
          <c:spPr>
            <a:solidFill>
              <a:schemeClr val="accent5"/>
            </a:solidFill>
            <a:ln>
              <a:noFill/>
            </a:ln>
            <a:effectLst/>
          </c:spPr>
          <c:invertIfNegative val="0"/>
          <c:cat>
            <c:strRef>
              <c:f>Analysis!$C$154:$C$160</c:f>
              <c:strCache>
                <c:ptCount val="6"/>
                <c:pt idx="0">
                  <c:v>Finance</c:v>
                </c:pt>
                <c:pt idx="1">
                  <c:v>HR</c:v>
                </c:pt>
                <c:pt idx="2">
                  <c:v>IT</c:v>
                </c:pt>
                <c:pt idx="3">
                  <c:v>Marketing</c:v>
                </c:pt>
                <c:pt idx="4">
                  <c:v>Operations</c:v>
                </c:pt>
                <c:pt idx="5">
                  <c:v>Sales</c:v>
                </c:pt>
              </c:strCache>
            </c:strRef>
          </c:cat>
          <c:val>
            <c:numRef>
              <c:f>Analysis!$H$154:$H$160</c:f>
              <c:numCache>
                <c:formatCode>0</c:formatCode>
                <c:ptCount val="6"/>
                <c:pt idx="0">
                  <c:v>4</c:v>
                </c:pt>
                <c:pt idx="1">
                  <c:v>2</c:v>
                </c:pt>
                <c:pt idx="3">
                  <c:v>3</c:v>
                </c:pt>
                <c:pt idx="4">
                  <c:v>1</c:v>
                </c:pt>
                <c:pt idx="5">
                  <c:v>4</c:v>
                </c:pt>
              </c:numCache>
            </c:numRef>
          </c:val>
          <c:extLst>
            <c:ext xmlns:c16="http://schemas.microsoft.com/office/drawing/2014/chart" uri="{C3380CC4-5D6E-409C-BE32-E72D297353CC}">
              <c16:uniqueId val="{0000000A-3B39-4B0D-BA0E-CD1873950937}"/>
            </c:ext>
          </c:extLst>
        </c:ser>
        <c:dLbls>
          <c:showLegendKey val="0"/>
          <c:showVal val="0"/>
          <c:showCatName val="0"/>
          <c:showSerName val="0"/>
          <c:showPercent val="0"/>
          <c:showBubbleSize val="0"/>
        </c:dLbls>
        <c:gapWidth val="150"/>
        <c:overlap val="100"/>
        <c:axId val="1586521903"/>
        <c:axId val="1586519983"/>
      </c:barChart>
      <c:catAx>
        <c:axId val="1586521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crossAx val="1586519983"/>
        <c:crosses val="autoZero"/>
        <c:auto val="1"/>
        <c:lblAlgn val="ctr"/>
        <c:lblOffset val="100"/>
        <c:noMultiLvlLbl val="0"/>
      </c:catAx>
      <c:valAx>
        <c:axId val="15865199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crossAx val="158652190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u-H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pivotSource>
    <c:name>[HR Workforce Analysis Dashboard.xlsx]Analysis!PivotTable2</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Analysis!$C$171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Analysis!$B$172:$B$178</c:f>
              <c:strCache>
                <c:ptCount val="6"/>
                <c:pt idx="0">
                  <c:v>Finance</c:v>
                </c:pt>
                <c:pt idx="1">
                  <c:v>HR</c:v>
                </c:pt>
                <c:pt idx="2">
                  <c:v>IT</c:v>
                </c:pt>
                <c:pt idx="3">
                  <c:v>Marketing</c:v>
                </c:pt>
                <c:pt idx="4">
                  <c:v>Operations</c:v>
                </c:pt>
                <c:pt idx="5">
                  <c:v>Sales</c:v>
                </c:pt>
              </c:strCache>
            </c:strRef>
          </c:cat>
          <c:val>
            <c:numRef>
              <c:f>Analysis!$C$172:$C$178</c:f>
              <c:numCache>
                <c:formatCode>0</c:formatCode>
                <c:ptCount val="6"/>
                <c:pt idx="0">
                  <c:v>13</c:v>
                </c:pt>
                <c:pt idx="1">
                  <c:v>12</c:v>
                </c:pt>
                <c:pt idx="2">
                  <c:v>9</c:v>
                </c:pt>
                <c:pt idx="3">
                  <c:v>9</c:v>
                </c:pt>
                <c:pt idx="4">
                  <c:v>6</c:v>
                </c:pt>
                <c:pt idx="5">
                  <c:v>10</c:v>
                </c:pt>
              </c:numCache>
            </c:numRef>
          </c:val>
          <c:extLst>
            <c:ext xmlns:c16="http://schemas.microsoft.com/office/drawing/2014/chart" uri="{C3380CC4-5D6E-409C-BE32-E72D297353CC}">
              <c16:uniqueId val="{00000000-6721-46ED-AFA4-6504D57BC6A2}"/>
            </c:ext>
          </c:extLst>
        </c:ser>
        <c:dLbls>
          <c:dLblPos val="outEnd"/>
          <c:showLegendKey val="0"/>
          <c:showVal val="1"/>
          <c:showCatName val="0"/>
          <c:showSerName val="0"/>
          <c:showPercent val="0"/>
          <c:showBubbleSize val="0"/>
        </c:dLbls>
        <c:gapWidth val="219"/>
        <c:overlap val="-27"/>
        <c:axId val="1427618063"/>
        <c:axId val="1427625263"/>
      </c:barChart>
      <c:catAx>
        <c:axId val="1427618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crossAx val="1427625263"/>
        <c:crosses val="autoZero"/>
        <c:auto val="1"/>
        <c:lblAlgn val="ctr"/>
        <c:lblOffset val="100"/>
        <c:noMultiLvlLbl val="0"/>
      </c:catAx>
      <c:valAx>
        <c:axId val="142762526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crossAx val="1427618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hu-HU"/>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Workforce Analysis Dashboard.xlsx]Analysis!PivotTable3</c:name>
    <c:fmtId val="29"/>
  </c:pivotSource>
  <c:chart>
    <c:autoTitleDeleted val="1"/>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hu-HU"/>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hu-HU"/>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hu-HU"/>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3"/>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6.3807766135243443E-2"/>
          <c:y val="7.7549201086706265E-2"/>
          <c:w val="0.87778257609632604"/>
          <c:h val="0.76074522263664413"/>
        </c:manualLayout>
      </c:layout>
      <c:doughnutChart>
        <c:varyColors val="1"/>
        <c:ser>
          <c:idx val="0"/>
          <c:order val="0"/>
          <c:tx>
            <c:strRef>
              <c:f>Analysis!$K$171</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BB53-400C-8076-8AF2C1B41C63}"/>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BB53-400C-8076-8AF2C1B41C63}"/>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BB53-400C-8076-8AF2C1B41C6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hu-HU"/>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Analysis!$J$172:$J$175</c:f>
              <c:strCache>
                <c:ptCount val="3"/>
                <c:pt idx="0">
                  <c:v>Female</c:v>
                </c:pt>
                <c:pt idx="1">
                  <c:v>Male</c:v>
                </c:pt>
                <c:pt idx="2">
                  <c:v>Other</c:v>
                </c:pt>
              </c:strCache>
            </c:strRef>
          </c:cat>
          <c:val>
            <c:numRef>
              <c:f>Analysis!$K$172:$K$175</c:f>
              <c:numCache>
                <c:formatCode>General</c:formatCode>
                <c:ptCount val="3"/>
                <c:pt idx="0">
                  <c:v>22</c:v>
                </c:pt>
                <c:pt idx="1">
                  <c:v>22</c:v>
                </c:pt>
                <c:pt idx="2">
                  <c:v>15</c:v>
                </c:pt>
              </c:numCache>
            </c:numRef>
          </c:val>
          <c:extLst>
            <c:ext xmlns:c16="http://schemas.microsoft.com/office/drawing/2014/chart" uri="{C3380CC4-5D6E-409C-BE32-E72D297353CC}">
              <c16:uniqueId val="{00000006-BB53-400C-8076-8AF2C1B41C63}"/>
            </c:ext>
          </c:extLst>
        </c:ser>
        <c:dLbls>
          <c:showLegendKey val="0"/>
          <c:showVal val="0"/>
          <c:showCatName val="1"/>
          <c:showSerName val="0"/>
          <c:showPercent val="1"/>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hu-H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hu-HU"/>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Workforce Analysis Dashboard.xlsx]Analysis!PivotTable5</c:name>
    <c:fmtId val="3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Analysis!$C$183:$C$184</c:f>
              <c:strCache>
                <c:ptCount val="1"/>
                <c:pt idx="0">
                  <c:v>Female</c:v>
                </c:pt>
              </c:strCache>
            </c:strRef>
          </c:tx>
          <c:spPr>
            <a:solidFill>
              <a:schemeClr val="accent1"/>
            </a:solidFill>
            <a:ln>
              <a:noFill/>
            </a:ln>
            <a:effectLst/>
          </c:spPr>
          <c:invertIfNegative val="0"/>
          <c:cat>
            <c:strRef>
              <c:f>Analysis!$B$185:$B$195</c:f>
              <c:strCache>
                <c:ptCount val="10"/>
                <c:pt idx="0">
                  <c:v>2015</c:v>
                </c:pt>
                <c:pt idx="1">
                  <c:v>2016</c:v>
                </c:pt>
                <c:pt idx="2">
                  <c:v>2017</c:v>
                </c:pt>
                <c:pt idx="3">
                  <c:v>2018</c:v>
                </c:pt>
                <c:pt idx="4">
                  <c:v>2019</c:v>
                </c:pt>
                <c:pt idx="5">
                  <c:v>2020</c:v>
                </c:pt>
                <c:pt idx="6">
                  <c:v>2021</c:v>
                </c:pt>
                <c:pt idx="7">
                  <c:v>2022</c:v>
                </c:pt>
                <c:pt idx="8">
                  <c:v>2023</c:v>
                </c:pt>
                <c:pt idx="9">
                  <c:v>2024</c:v>
                </c:pt>
              </c:strCache>
            </c:strRef>
          </c:cat>
          <c:val>
            <c:numRef>
              <c:f>Analysis!$C$185:$C$195</c:f>
              <c:numCache>
                <c:formatCode>General</c:formatCode>
                <c:ptCount val="10"/>
                <c:pt idx="0">
                  <c:v>2</c:v>
                </c:pt>
                <c:pt idx="1">
                  <c:v>4</c:v>
                </c:pt>
                <c:pt idx="2">
                  <c:v>2</c:v>
                </c:pt>
                <c:pt idx="3">
                  <c:v>3</c:v>
                </c:pt>
                <c:pt idx="4">
                  <c:v>1</c:v>
                </c:pt>
                <c:pt idx="5">
                  <c:v>2</c:v>
                </c:pt>
                <c:pt idx="6">
                  <c:v>2</c:v>
                </c:pt>
                <c:pt idx="7">
                  <c:v>2</c:v>
                </c:pt>
                <c:pt idx="8">
                  <c:v>4</c:v>
                </c:pt>
              </c:numCache>
            </c:numRef>
          </c:val>
          <c:extLst>
            <c:ext xmlns:c16="http://schemas.microsoft.com/office/drawing/2014/chart" uri="{C3380CC4-5D6E-409C-BE32-E72D297353CC}">
              <c16:uniqueId val="{00000000-C2B8-484E-ADBA-4E02A32A8D4F}"/>
            </c:ext>
          </c:extLst>
        </c:ser>
        <c:ser>
          <c:idx val="1"/>
          <c:order val="1"/>
          <c:tx>
            <c:strRef>
              <c:f>Analysis!$D$183:$D$184</c:f>
              <c:strCache>
                <c:ptCount val="1"/>
                <c:pt idx="0">
                  <c:v>Male</c:v>
                </c:pt>
              </c:strCache>
            </c:strRef>
          </c:tx>
          <c:spPr>
            <a:solidFill>
              <a:schemeClr val="accent2"/>
            </a:solidFill>
            <a:ln>
              <a:noFill/>
            </a:ln>
            <a:effectLst/>
          </c:spPr>
          <c:invertIfNegative val="0"/>
          <c:cat>
            <c:strRef>
              <c:f>Analysis!$B$185:$B$195</c:f>
              <c:strCache>
                <c:ptCount val="10"/>
                <c:pt idx="0">
                  <c:v>2015</c:v>
                </c:pt>
                <c:pt idx="1">
                  <c:v>2016</c:v>
                </c:pt>
                <c:pt idx="2">
                  <c:v>2017</c:v>
                </c:pt>
                <c:pt idx="3">
                  <c:v>2018</c:v>
                </c:pt>
                <c:pt idx="4">
                  <c:v>2019</c:v>
                </c:pt>
                <c:pt idx="5">
                  <c:v>2020</c:v>
                </c:pt>
                <c:pt idx="6">
                  <c:v>2021</c:v>
                </c:pt>
                <c:pt idx="7">
                  <c:v>2022</c:v>
                </c:pt>
                <c:pt idx="8">
                  <c:v>2023</c:v>
                </c:pt>
                <c:pt idx="9">
                  <c:v>2024</c:v>
                </c:pt>
              </c:strCache>
            </c:strRef>
          </c:cat>
          <c:val>
            <c:numRef>
              <c:f>Analysis!$D$185:$D$195</c:f>
              <c:numCache>
                <c:formatCode>0</c:formatCode>
                <c:ptCount val="10"/>
                <c:pt idx="0">
                  <c:v>1</c:v>
                </c:pt>
                <c:pt idx="1">
                  <c:v>2</c:v>
                </c:pt>
                <c:pt idx="2">
                  <c:v>3</c:v>
                </c:pt>
                <c:pt idx="3">
                  <c:v>6</c:v>
                </c:pt>
                <c:pt idx="4">
                  <c:v>1</c:v>
                </c:pt>
                <c:pt idx="5">
                  <c:v>2</c:v>
                </c:pt>
                <c:pt idx="6">
                  <c:v>2</c:v>
                </c:pt>
                <c:pt idx="7">
                  <c:v>3</c:v>
                </c:pt>
                <c:pt idx="8">
                  <c:v>1</c:v>
                </c:pt>
                <c:pt idx="9">
                  <c:v>1</c:v>
                </c:pt>
              </c:numCache>
            </c:numRef>
          </c:val>
          <c:extLst>
            <c:ext xmlns:c16="http://schemas.microsoft.com/office/drawing/2014/chart" uri="{C3380CC4-5D6E-409C-BE32-E72D297353CC}">
              <c16:uniqueId val="{00000012-C2B8-484E-ADBA-4E02A32A8D4F}"/>
            </c:ext>
          </c:extLst>
        </c:ser>
        <c:ser>
          <c:idx val="2"/>
          <c:order val="2"/>
          <c:tx>
            <c:strRef>
              <c:f>Analysis!$E$183:$E$184</c:f>
              <c:strCache>
                <c:ptCount val="1"/>
                <c:pt idx="0">
                  <c:v>Other</c:v>
                </c:pt>
              </c:strCache>
            </c:strRef>
          </c:tx>
          <c:spPr>
            <a:solidFill>
              <a:schemeClr val="accent3"/>
            </a:solidFill>
            <a:ln>
              <a:noFill/>
            </a:ln>
            <a:effectLst/>
          </c:spPr>
          <c:invertIfNegative val="0"/>
          <c:cat>
            <c:strRef>
              <c:f>Analysis!$B$185:$B$195</c:f>
              <c:strCache>
                <c:ptCount val="10"/>
                <c:pt idx="0">
                  <c:v>2015</c:v>
                </c:pt>
                <c:pt idx="1">
                  <c:v>2016</c:v>
                </c:pt>
                <c:pt idx="2">
                  <c:v>2017</c:v>
                </c:pt>
                <c:pt idx="3">
                  <c:v>2018</c:v>
                </c:pt>
                <c:pt idx="4">
                  <c:v>2019</c:v>
                </c:pt>
                <c:pt idx="5">
                  <c:v>2020</c:v>
                </c:pt>
                <c:pt idx="6">
                  <c:v>2021</c:v>
                </c:pt>
                <c:pt idx="7">
                  <c:v>2022</c:v>
                </c:pt>
                <c:pt idx="8">
                  <c:v>2023</c:v>
                </c:pt>
                <c:pt idx="9">
                  <c:v>2024</c:v>
                </c:pt>
              </c:strCache>
            </c:strRef>
          </c:cat>
          <c:val>
            <c:numRef>
              <c:f>Analysis!$E$185:$E$195</c:f>
              <c:numCache>
                <c:formatCode>0</c:formatCode>
                <c:ptCount val="10"/>
                <c:pt idx="1">
                  <c:v>1</c:v>
                </c:pt>
                <c:pt idx="2">
                  <c:v>1</c:v>
                </c:pt>
                <c:pt idx="3">
                  <c:v>3</c:v>
                </c:pt>
                <c:pt idx="4">
                  <c:v>4</c:v>
                </c:pt>
                <c:pt idx="5">
                  <c:v>1</c:v>
                </c:pt>
                <c:pt idx="6">
                  <c:v>1</c:v>
                </c:pt>
                <c:pt idx="7">
                  <c:v>3</c:v>
                </c:pt>
                <c:pt idx="9">
                  <c:v>1</c:v>
                </c:pt>
              </c:numCache>
            </c:numRef>
          </c:val>
          <c:extLst>
            <c:ext xmlns:c16="http://schemas.microsoft.com/office/drawing/2014/chart" uri="{C3380CC4-5D6E-409C-BE32-E72D297353CC}">
              <c16:uniqueId val="{00000013-C2B8-484E-ADBA-4E02A32A8D4F}"/>
            </c:ext>
          </c:extLst>
        </c:ser>
        <c:dLbls>
          <c:dLblPos val="ctr"/>
          <c:showLegendKey val="0"/>
          <c:showVal val="0"/>
          <c:showCatName val="0"/>
          <c:showSerName val="0"/>
          <c:showPercent val="0"/>
          <c:showBubbleSize val="0"/>
        </c:dLbls>
        <c:gapWidth val="150"/>
        <c:overlap val="100"/>
        <c:axId val="1438793311"/>
        <c:axId val="1438795231"/>
      </c:barChart>
      <c:catAx>
        <c:axId val="1438793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crossAx val="1438795231"/>
        <c:crosses val="autoZero"/>
        <c:auto val="1"/>
        <c:lblAlgn val="ctr"/>
        <c:lblOffset val="100"/>
        <c:noMultiLvlLbl val="0"/>
      </c:catAx>
      <c:valAx>
        <c:axId val="14387952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crossAx val="14387933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hu-H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Workforce Analysis Dashboard.xlsx]Analysis!PivotTable7</c:name>
    <c:fmtId val="3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u-H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Analysis!$J$183:$J$184</c:f>
              <c:strCache>
                <c:ptCount val="1"/>
                <c:pt idx="0">
                  <c:v>Associate</c:v>
                </c:pt>
              </c:strCache>
            </c:strRef>
          </c:tx>
          <c:spPr>
            <a:solidFill>
              <a:schemeClr val="accent1"/>
            </a:solidFill>
            <a:ln>
              <a:noFill/>
            </a:ln>
            <a:effectLst/>
          </c:spPr>
          <c:invertIfNegative val="0"/>
          <c:cat>
            <c:strRef>
              <c:f>Analysis!$I$185:$I$191</c:f>
              <c:strCache>
                <c:ptCount val="6"/>
                <c:pt idx="0">
                  <c:v>Finance</c:v>
                </c:pt>
                <c:pt idx="1">
                  <c:v>HR</c:v>
                </c:pt>
                <c:pt idx="2">
                  <c:v>IT</c:v>
                </c:pt>
                <c:pt idx="3">
                  <c:v>Marketing</c:v>
                </c:pt>
                <c:pt idx="4">
                  <c:v>Operations</c:v>
                </c:pt>
                <c:pt idx="5">
                  <c:v>Sales</c:v>
                </c:pt>
              </c:strCache>
            </c:strRef>
          </c:cat>
          <c:val>
            <c:numRef>
              <c:f>Analysis!$J$185:$J$191</c:f>
              <c:numCache>
                <c:formatCode>0</c:formatCode>
                <c:ptCount val="6"/>
                <c:pt idx="0">
                  <c:v>6</c:v>
                </c:pt>
                <c:pt idx="1">
                  <c:v>4</c:v>
                </c:pt>
                <c:pt idx="2">
                  <c:v>5</c:v>
                </c:pt>
                <c:pt idx="3">
                  <c:v>6</c:v>
                </c:pt>
                <c:pt idx="4">
                  <c:v>4</c:v>
                </c:pt>
                <c:pt idx="5">
                  <c:v>5</c:v>
                </c:pt>
              </c:numCache>
            </c:numRef>
          </c:val>
          <c:extLst>
            <c:ext xmlns:c16="http://schemas.microsoft.com/office/drawing/2014/chart" uri="{C3380CC4-5D6E-409C-BE32-E72D297353CC}">
              <c16:uniqueId val="{00000000-8658-46A5-8437-642401C4EF63}"/>
            </c:ext>
          </c:extLst>
        </c:ser>
        <c:ser>
          <c:idx val="1"/>
          <c:order val="1"/>
          <c:tx>
            <c:strRef>
              <c:f>Analysis!$K$183:$K$184</c:f>
              <c:strCache>
                <c:ptCount val="1"/>
                <c:pt idx="0">
                  <c:v>Bachelor</c:v>
                </c:pt>
              </c:strCache>
            </c:strRef>
          </c:tx>
          <c:spPr>
            <a:solidFill>
              <a:schemeClr val="accent2"/>
            </a:solidFill>
            <a:ln>
              <a:noFill/>
            </a:ln>
            <a:effectLst/>
          </c:spPr>
          <c:invertIfNegative val="0"/>
          <c:cat>
            <c:strRef>
              <c:f>Analysis!$I$185:$I$191</c:f>
              <c:strCache>
                <c:ptCount val="6"/>
                <c:pt idx="0">
                  <c:v>Finance</c:v>
                </c:pt>
                <c:pt idx="1">
                  <c:v>HR</c:v>
                </c:pt>
                <c:pt idx="2">
                  <c:v>IT</c:v>
                </c:pt>
                <c:pt idx="3">
                  <c:v>Marketing</c:v>
                </c:pt>
                <c:pt idx="4">
                  <c:v>Operations</c:v>
                </c:pt>
                <c:pt idx="5">
                  <c:v>Sales</c:v>
                </c:pt>
              </c:strCache>
            </c:strRef>
          </c:cat>
          <c:val>
            <c:numRef>
              <c:f>Analysis!$K$185:$K$191</c:f>
              <c:numCache>
                <c:formatCode>0</c:formatCode>
                <c:ptCount val="6"/>
                <c:pt idx="0">
                  <c:v>4</c:v>
                </c:pt>
                <c:pt idx="1">
                  <c:v>4</c:v>
                </c:pt>
                <c:pt idx="2">
                  <c:v>1</c:v>
                </c:pt>
                <c:pt idx="3">
                  <c:v>5</c:v>
                </c:pt>
                <c:pt idx="4">
                  <c:v>3</c:v>
                </c:pt>
                <c:pt idx="5">
                  <c:v>3</c:v>
                </c:pt>
              </c:numCache>
            </c:numRef>
          </c:val>
          <c:extLst>
            <c:ext xmlns:c16="http://schemas.microsoft.com/office/drawing/2014/chart" uri="{C3380CC4-5D6E-409C-BE32-E72D297353CC}">
              <c16:uniqueId val="{00000006-8658-46A5-8437-642401C4EF63}"/>
            </c:ext>
          </c:extLst>
        </c:ser>
        <c:ser>
          <c:idx val="2"/>
          <c:order val="2"/>
          <c:tx>
            <c:strRef>
              <c:f>Analysis!$L$183:$L$184</c:f>
              <c:strCache>
                <c:ptCount val="1"/>
                <c:pt idx="0">
                  <c:v>High School</c:v>
                </c:pt>
              </c:strCache>
            </c:strRef>
          </c:tx>
          <c:spPr>
            <a:solidFill>
              <a:schemeClr val="accent3"/>
            </a:solidFill>
            <a:ln>
              <a:noFill/>
            </a:ln>
            <a:effectLst/>
          </c:spPr>
          <c:invertIfNegative val="0"/>
          <c:cat>
            <c:strRef>
              <c:f>Analysis!$I$185:$I$191</c:f>
              <c:strCache>
                <c:ptCount val="6"/>
                <c:pt idx="0">
                  <c:v>Finance</c:v>
                </c:pt>
                <c:pt idx="1">
                  <c:v>HR</c:v>
                </c:pt>
                <c:pt idx="2">
                  <c:v>IT</c:v>
                </c:pt>
                <c:pt idx="3">
                  <c:v>Marketing</c:v>
                </c:pt>
                <c:pt idx="4">
                  <c:v>Operations</c:v>
                </c:pt>
                <c:pt idx="5">
                  <c:v>Sales</c:v>
                </c:pt>
              </c:strCache>
            </c:strRef>
          </c:cat>
          <c:val>
            <c:numRef>
              <c:f>Analysis!$L$185:$L$191</c:f>
              <c:numCache>
                <c:formatCode>0</c:formatCode>
                <c:ptCount val="6"/>
                <c:pt idx="1">
                  <c:v>5</c:v>
                </c:pt>
                <c:pt idx="2">
                  <c:v>3</c:v>
                </c:pt>
                <c:pt idx="3">
                  <c:v>2</c:v>
                </c:pt>
                <c:pt idx="4">
                  <c:v>2</c:v>
                </c:pt>
                <c:pt idx="5">
                  <c:v>1</c:v>
                </c:pt>
              </c:numCache>
            </c:numRef>
          </c:val>
          <c:extLst>
            <c:ext xmlns:c16="http://schemas.microsoft.com/office/drawing/2014/chart" uri="{C3380CC4-5D6E-409C-BE32-E72D297353CC}">
              <c16:uniqueId val="{00000007-8658-46A5-8437-642401C4EF63}"/>
            </c:ext>
          </c:extLst>
        </c:ser>
        <c:ser>
          <c:idx val="3"/>
          <c:order val="3"/>
          <c:tx>
            <c:strRef>
              <c:f>Analysis!$M$183:$M$184</c:f>
              <c:strCache>
                <c:ptCount val="1"/>
                <c:pt idx="0">
                  <c:v>Master</c:v>
                </c:pt>
              </c:strCache>
            </c:strRef>
          </c:tx>
          <c:spPr>
            <a:solidFill>
              <a:schemeClr val="accent4"/>
            </a:solidFill>
            <a:ln>
              <a:noFill/>
            </a:ln>
            <a:effectLst/>
          </c:spPr>
          <c:invertIfNegative val="0"/>
          <c:cat>
            <c:strRef>
              <c:f>Analysis!$I$185:$I$191</c:f>
              <c:strCache>
                <c:ptCount val="6"/>
                <c:pt idx="0">
                  <c:v>Finance</c:v>
                </c:pt>
                <c:pt idx="1">
                  <c:v>HR</c:v>
                </c:pt>
                <c:pt idx="2">
                  <c:v>IT</c:v>
                </c:pt>
                <c:pt idx="3">
                  <c:v>Marketing</c:v>
                </c:pt>
                <c:pt idx="4">
                  <c:v>Operations</c:v>
                </c:pt>
                <c:pt idx="5">
                  <c:v>Sales</c:v>
                </c:pt>
              </c:strCache>
            </c:strRef>
          </c:cat>
          <c:val>
            <c:numRef>
              <c:f>Analysis!$M$185:$M$191</c:f>
              <c:numCache>
                <c:formatCode>0</c:formatCode>
                <c:ptCount val="6"/>
                <c:pt idx="0">
                  <c:v>4</c:v>
                </c:pt>
                <c:pt idx="1">
                  <c:v>4</c:v>
                </c:pt>
                <c:pt idx="2">
                  <c:v>4</c:v>
                </c:pt>
                <c:pt idx="3">
                  <c:v>5</c:v>
                </c:pt>
                <c:pt idx="4">
                  <c:v>3</c:v>
                </c:pt>
                <c:pt idx="5">
                  <c:v>3</c:v>
                </c:pt>
              </c:numCache>
            </c:numRef>
          </c:val>
          <c:extLst>
            <c:ext xmlns:c16="http://schemas.microsoft.com/office/drawing/2014/chart" uri="{C3380CC4-5D6E-409C-BE32-E72D297353CC}">
              <c16:uniqueId val="{00000008-8658-46A5-8437-642401C4EF63}"/>
            </c:ext>
          </c:extLst>
        </c:ser>
        <c:ser>
          <c:idx val="4"/>
          <c:order val="4"/>
          <c:tx>
            <c:strRef>
              <c:f>Analysis!$N$183:$N$184</c:f>
              <c:strCache>
                <c:ptCount val="1"/>
                <c:pt idx="0">
                  <c:v>PhD</c:v>
                </c:pt>
              </c:strCache>
            </c:strRef>
          </c:tx>
          <c:spPr>
            <a:solidFill>
              <a:schemeClr val="accent5"/>
            </a:solidFill>
            <a:ln>
              <a:noFill/>
            </a:ln>
            <a:effectLst/>
          </c:spPr>
          <c:invertIfNegative val="0"/>
          <c:cat>
            <c:strRef>
              <c:f>Analysis!$I$185:$I$191</c:f>
              <c:strCache>
                <c:ptCount val="6"/>
                <c:pt idx="0">
                  <c:v>Finance</c:v>
                </c:pt>
                <c:pt idx="1">
                  <c:v>HR</c:v>
                </c:pt>
                <c:pt idx="2">
                  <c:v>IT</c:v>
                </c:pt>
                <c:pt idx="3">
                  <c:v>Marketing</c:v>
                </c:pt>
                <c:pt idx="4">
                  <c:v>Operations</c:v>
                </c:pt>
                <c:pt idx="5">
                  <c:v>Sales</c:v>
                </c:pt>
              </c:strCache>
            </c:strRef>
          </c:cat>
          <c:val>
            <c:numRef>
              <c:f>Analysis!$N$185:$N$191</c:f>
              <c:numCache>
                <c:formatCode>0</c:formatCode>
                <c:ptCount val="6"/>
                <c:pt idx="0">
                  <c:v>4</c:v>
                </c:pt>
                <c:pt idx="1">
                  <c:v>2</c:v>
                </c:pt>
                <c:pt idx="3">
                  <c:v>3</c:v>
                </c:pt>
                <c:pt idx="4">
                  <c:v>1</c:v>
                </c:pt>
                <c:pt idx="5">
                  <c:v>4</c:v>
                </c:pt>
              </c:numCache>
            </c:numRef>
          </c:val>
          <c:extLst>
            <c:ext xmlns:c16="http://schemas.microsoft.com/office/drawing/2014/chart" uri="{C3380CC4-5D6E-409C-BE32-E72D297353CC}">
              <c16:uniqueId val="{0000000A-8658-46A5-8437-642401C4EF63}"/>
            </c:ext>
          </c:extLst>
        </c:ser>
        <c:dLbls>
          <c:showLegendKey val="0"/>
          <c:showVal val="0"/>
          <c:showCatName val="0"/>
          <c:showSerName val="0"/>
          <c:showPercent val="0"/>
          <c:showBubbleSize val="0"/>
        </c:dLbls>
        <c:gapWidth val="150"/>
        <c:overlap val="100"/>
        <c:axId val="1500802031"/>
        <c:axId val="1500802511"/>
      </c:barChart>
      <c:catAx>
        <c:axId val="1500802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crossAx val="1500802511"/>
        <c:crosses val="autoZero"/>
        <c:auto val="1"/>
        <c:lblAlgn val="ctr"/>
        <c:lblOffset val="100"/>
        <c:noMultiLvlLbl val="0"/>
      </c:catAx>
      <c:valAx>
        <c:axId val="15008025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crossAx val="150080203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u-H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hu-H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4">
  <a:schemeClr val="accent1"/>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editAs="oneCell">
    <xdr:from>
      <xdr:col>4</xdr:col>
      <xdr:colOff>542925</xdr:colOff>
      <xdr:row>2</xdr:row>
      <xdr:rowOff>9525</xdr:rowOff>
    </xdr:from>
    <xdr:to>
      <xdr:col>7</xdr:col>
      <xdr:colOff>114300</xdr:colOff>
      <xdr:row>13</xdr:row>
      <xdr:rowOff>76200</xdr:rowOff>
    </xdr:to>
    <mc:AlternateContent xmlns:mc="http://schemas.openxmlformats.org/markup-compatibility/2006" xmlns:a14="http://schemas.microsoft.com/office/drawing/2010/main">
      <mc:Choice Requires="a14">
        <xdr:graphicFrame macro="">
          <xdr:nvGraphicFramePr>
            <xdr:cNvPr id="2" name="Department">
              <a:extLst>
                <a:ext uri="{FF2B5EF4-FFF2-40B4-BE49-F238E27FC236}">
                  <a16:creationId xmlns:a16="http://schemas.microsoft.com/office/drawing/2014/main" id="{E5370B63-4439-DA69-5396-6CF0AE3022D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4895850" y="819150"/>
              <a:ext cx="1828800" cy="2162175"/>
            </a:xfrm>
            <a:prstGeom prst="rect">
              <a:avLst/>
            </a:prstGeom>
            <a:solidFill>
              <a:prstClr val="white"/>
            </a:solidFill>
            <a:ln w="1">
              <a:solidFill>
                <a:prstClr val="green"/>
              </a:solidFill>
            </a:ln>
          </xdr:spPr>
          <xdr:txBody>
            <a:bodyPr vertOverflow="clip" horzOverflow="clip"/>
            <a:lstStyle/>
            <a:p>
              <a:r>
                <a:rPr lang="hu-H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1047749</xdr:colOff>
      <xdr:row>2</xdr:row>
      <xdr:rowOff>4761</xdr:rowOff>
    </xdr:from>
    <xdr:to>
      <xdr:col>11</xdr:col>
      <xdr:colOff>257175</xdr:colOff>
      <xdr:row>20</xdr:row>
      <xdr:rowOff>47624</xdr:rowOff>
    </xdr:to>
    <xdr:graphicFrame macro="">
      <xdr:nvGraphicFramePr>
        <xdr:cNvPr id="5" name="Chart 4">
          <a:extLst>
            <a:ext uri="{FF2B5EF4-FFF2-40B4-BE49-F238E27FC236}">
              <a16:creationId xmlns:a16="http://schemas.microsoft.com/office/drawing/2014/main" id="{3E34BC35-B52C-9E43-3CFA-4781A3A18A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xdr:colOff>
      <xdr:row>38</xdr:row>
      <xdr:rowOff>38100</xdr:rowOff>
    </xdr:from>
    <xdr:to>
      <xdr:col>5</xdr:col>
      <xdr:colOff>876301</xdr:colOff>
      <xdr:row>61</xdr:row>
      <xdr:rowOff>104775</xdr:rowOff>
    </xdr:to>
    <xdr:graphicFrame macro="">
      <xdr:nvGraphicFramePr>
        <xdr:cNvPr id="7" name="Chart 6">
          <a:extLst>
            <a:ext uri="{FF2B5EF4-FFF2-40B4-BE49-F238E27FC236}">
              <a16:creationId xmlns:a16="http://schemas.microsoft.com/office/drawing/2014/main" id="{C17BC997-1FDE-4B5A-A8EA-5D1E2FBC1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57150</xdr:colOff>
      <xdr:row>65</xdr:row>
      <xdr:rowOff>42862</xdr:rowOff>
    </xdr:from>
    <xdr:to>
      <xdr:col>20</xdr:col>
      <xdr:colOff>590549</xdr:colOff>
      <xdr:row>78</xdr:row>
      <xdr:rowOff>180975</xdr:rowOff>
    </xdr:to>
    <xdr:graphicFrame macro="">
      <xdr:nvGraphicFramePr>
        <xdr:cNvPr id="8" name="Chart 7">
          <a:extLst>
            <a:ext uri="{FF2B5EF4-FFF2-40B4-BE49-F238E27FC236}">
              <a16:creationId xmlns:a16="http://schemas.microsoft.com/office/drawing/2014/main" id="{49DC8057-7744-6F31-0106-6D2F33B150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85</xdr:row>
      <xdr:rowOff>52387</xdr:rowOff>
    </xdr:from>
    <xdr:to>
      <xdr:col>10</xdr:col>
      <xdr:colOff>1600200</xdr:colOff>
      <xdr:row>99</xdr:row>
      <xdr:rowOff>104775</xdr:rowOff>
    </xdr:to>
    <xdr:graphicFrame macro="">
      <xdr:nvGraphicFramePr>
        <xdr:cNvPr id="11" name="Chart 10">
          <a:extLst>
            <a:ext uri="{FF2B5EF4-FFF2-40B4-BE49-F238E27FC236}">
              <a16:creationId xmlns:a16="http://schemas.microsoft.com/office/drawing/2014/main" id="{A2836CD9-D50D-CDCA-BB9E-154B84D58E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933450</xdr:colOff>
      <xdr:row>114</xdr:row>
      <xdr:rowOff>9525</xdr:rowOff>
    </xdr:from>
    <xdr:to>
      <xdr:col>13</xdr:col>
      <xdr:colOff>266700</xdr:colOff>
      <xdr:row>130</xdr:row>
      <xdr:rowOff>38100</xdr:rowOff>
    </xdr:to>
    <xdr:graphicFrame macro="">
      <xdr:nvGraphicFramePr>
        <xdr:cNvPr id="13" name="Chart 12">
          <a:extLst>
            <a:ext uri="{FF2B5EF4-FFF2-40B4-BE49-F238E27FC236}">
              <a16:creationId xmlns:a16="http://schemas.microsoft.com/office/drawing/2014/main" id="{044D0EDB-0737-99B1-0F84-AE26EF6A6F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476249</xdr:colOff>
      <xdr:row>132</xdr:row>
      <xdr:rowOff>138111</xdr:rowOff>
    </xdr:from>
    <xdr:to>
      <xdr:col>10</xdr:col>
      <xdr:colOff>762000</xdr:colOff>
      <xdr:row>146</xdr:row>
      <xdr:rowOff>171450</xdr:rowOff>
    </xdr:to>
    <xdr:graphicFrame macro="">
      <xdr:nvGraphicFramePr>
        <xdr:cNvPr id="17" name="Chart 16">
          <a:extLst>
            <a:ext uri="{FF2B5EF4-FFF2-40B4-BE49-F238E27FC236}">
              <a16:creationId xmlns:a16="http://schemas.microsoft.com/office/drawing/2014/main" id="{58768A82-0909-EDDA-2717-C049E08E2D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142874</xdr:colOff>
      <xdr:row>65</xdr:row>
      <xdr:rowOff>166686</xdr:rowOff>
    </xdr:from>
    <xdr:to>
      <xdr:col>8</xdr:col>
      <xdr:colOff>1219200</xdr:colOff>
      <xdr:row>78</xdr:row>
      <xdr:rowOff>19049</xdr:rowOff>
    </xdr:to>
    <xdr:graphicFrame macro="">
      <xdr:nvGraphicFramePr>
        <xdr:cNvPr id="16" name="Chart 15">
          <a:extLst>
            <a:ext uri="{FF2B5EF4-FFF2-40B4-BE49-F238E27FC236}">
              <a16:creationId xmlns:a16="http://schemas.microsoft.com/office/drawing/2014/main" id="{79DA78B6-1AF3-18F9-94D3-EC63C486B9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13</xdr:col>
      <xdr:colOff>447675</xdr:colOff>
      <xdr:row>115</xdr:row>
      <xdr:rowOff>142875</xdr:rowOff>
    </xdr:from>
    <xdr:to>
      <xdr:col>16</xdr:col>
      <xdr:colOff>142875</xdr:colOff>
      <xdr:row>129</xdr:row>
      <xdr:rowOff>142875</xdr:rowOff>
    </xdr:to>
    <mc:AlternateContent xmlns:mc="http://schemas.openxmlformats.org/markup-compatibility/2006">
      <mc:Choice xmlns:a14="http://schemas.microsoft.com/office/drawing/2010/main" Requires="a14">
        <xdr:graphicFrame macro="">
          <xdr:nvGraphicFramePr>
            <xdr:cNvPr id="18" name="Department 2">
              <a:extLst>
                <a:ext uri="{FF2B5EF4-FFF2-40B4-BE49-F238E27FC236}">
                  <a16:creationId xmlns:a16="http://schemas.microsoft.com/office/drawing/2014/main" id="{ED74456A-D743-6997-F837-5FAA7012E784}"/>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dr:sp macro="" textlink="">
          <xdr:nvSpPr>
            <xdr:cNvPr id="0" name=""/>
            <xdr:cNvSpPr>
              <a:spLocks noTextEdit="1"/>
            </xdr:cNvSpPr>
          </xdr:nvSpPr>
          <xdr:spPr>
            <a:xfrm>
              <a:off x="17054513" y="24169688"/>
              <a:ext cx="1816893" cy="2667000"/>
            </a:xfrm>
            <a:prstGeom prst="rect">
              <a:avLst/>
            </a:prstGeom>
            <a:solidFill>
              <a:prstClr val="white"/>
            </a:solidFill>
            <a:ln w="1">
              <a:solidFill>
                <a:prstClr val="green"/>
              </a:solidFill>
            </a:ln>
          </xdr:spPr>
          <xdr:txBody>
            <a:bodyPr vertOverflow="clip" horzOverflow="clip"/>
            <a:lstStyle/>
            <a:p>
              <a:r>
                <a:rPr lang="hu-H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828675</xdr:colOff>
      <xdr:row>150</xdr:row>
      <xdr:rowOff>109537</xdr:rowOff>
    </xdr:from>
    <xdr:to>
      <xdr:col>16</xdr:col>
      <xdr:colOff>438150</xdr:colOff>
      <xdr:row>162</xdr:row>
      <xdr:rowOff>161925</xdr:rowOff>
    </xdr:to>
    <xdr:graphicFrame macro="">
      <xdr:nvGraphicFramePr>
        <xdr:cNvPr id="19" name="Chart 18">
          <a:extLst>
            <a:ext uri="{FF2B5EF4-FFF2-40B4-BE49-F238E27FC236}">
              <a16:creationId xmlns:a16="http://schemas.microsoft.com/office/drawing/2014/main" id="{2CDAC560-D32D-46F4-45F2-48E62196C3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57151</xdr:colOff>
      <xdr:row>7</xdr:row>
      <xdr:rowOff>38100</xdr:rowOff>
    </xdr:from>
    <xdr:to>
      <xdr:col>6</xdr:col>
      <xdr:colOff>552451</xdr:colOff>
      <xdr:row>21</xdr:row>
      <xdr:rowOff>180976</xdr:rowOff>
    </xdr:to>
    <xdr:graphicFrame macro="">
      <xdr:nvGraphicFramePr>
        <xdr:cNvPr id="2" name="Chart 1">
          <a:extLst>
            <a:ext uri="{FF2B5EF4-FFF2-40B4-BE49-F238E27FC236}">
              <a16:creationId xmlns:a16="http://schemas.microsoft.com/office/drawing/2014/main" id="{52B0FCD7-4081-4ACA-9880-0218CCC4C5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38100</xdr:colOff>
      <xdr:row>7</xdr:row>
      <xdr:rowOff>66675</xdr:rowOff>
    </xdr:from>
    <xdr:to>
      <xdr:col>11</xdr:col>
      <xdr:colOff>561976</xdr:colOff>
      <xdr:row>21</xdr:row>
      <xdr:rowOff>114300</xdr:rowOff>
    </xdr:to>
    <xdr:graphicFrame macro="">
      <xdr:nvGraphicFramePr>
        <xdr:cNvPr id="4" name="Chart 3">
          <a:extLst>
            <a:ext uri="{FF2B5EF4-FFF2-40B4-BE49-F238E27FC236}">
              <a16:creationId xmlns:a16="http://schemas.microsoft.com/office/drawing/2014/main" id="{240BD9CC-8AFF-45B4-A482-F4C5FDF219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533400</xdr:colOff>
      <xdr:row>1</xdr:row>
      <xdr:rowOff>9525</xdr:rowOff>
    </xdr:from>
    <xdr:to>
      <xdr:col>15</xdr:col>
      <xdr:colOff>533400</xdr:colOff>
      <xdr:row>14</xdr:row>
      <xdr:rowOff>123825</xdr:rowOff>
    </xdr:to>
    <mc:AlternateContent xmlns:mc="http://schemas.openxmlformats.org/markup-compatibility/2006">
      <mc:Choice xmlns:a14="http://schemas.microsoft.com/office/drawing/2010/main" Requires="a14">
        <xdr:graphicFrame macro="">
          <xdr:nvGraphicFramePr>
            <xdr:cNvPr id="7" name="Department 1">
              <a:extLst>
                <a:ext uri="{FF2B5EF4-FFF2-40B4-BE49-F238E27FC236}">
                  <a16:creationId xmlns:a16="http://schemas.microsoft.com/office/drawing/2014/main" id="{FA728F07-F5E8-825E-6CCC-D5A523C8F5CE}"/>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7848600" y="200025"/>
              <a:ext cx="1828800" cy="2667000"/>
            </a:xfrm>
            <a:prstGeom prst="rect">
              <a:avLst/>
            </a:prstGeom>
            <a:solidFill>
              <a:prstClr val="white"/>
            </a:solidFill>
            <a:ln w="1">
              <a:solidFill>
                <a:prstClr val="green"/>
              </a:solidFill>
            </a:ln>
          </xdr:spPr>
          <xdr:txBody>
            <a:bodyPr vertOverflow="clip" horzOverflow="clip"/>
            <a:lstStyle/>
            <a:p>
              <a:r>
                <a:rPr lang="hu-H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9525</xdr:colOff>
      <xdr:row>1</xdr:row>
      <xdr:rowOff>0</xdr:rowOff>
    </xdr:from>
    <xdr:to>
      <xdr:col>19</xdr:col>
      <xdr:colOff>9525</xdr:colOff>
      <xdr:row>14</xdr:row>
      <xdr:rowOff>114300</xdr:rowOff>
    </xdr:to>
    <mc:AlternateContent xmlns:mc="http://schemas.openxmlformats.org/markup-compatibility/2006">
      <mc:Choice xmlns:a14="http://schemas.microsoft.com/office/drawing/2010/main" Requires="a14">
        <xdr:graphicFrame macro="">
          <xdr:nvGraphicFramePr>
            <xdr:cNvPr id="8" name="Job Title">
              <a:extLst>
                <a:ext uri="{FF2B5EF4-FFF2-40B4-BE49-F238E27FC236}">
                  <a16:creationId xmlns:a16="http://schemas.microsoft.com/office/drawing/2014/main" id="{BAEF4DB5-86FD-6991-B1F9-0AF86E21AB7B}"/>
                </a:ext>
              </a:extLst>
            </xdr:cNvPr>
            <xdr:cNvGraphicFramePr/>
          </xdr:nvGraphicFramePr>
          <xdr:xfrm>
            <a:off x="0" y="0"/>
            <a:ext cx="0" cy="0"/>
          </xdr:xfrm>
          <a:graphic>
            <a:graphicData uri="http://schemas.microsoft.com/office/drawing/2010/slicer">
              <sle:slicer xmlns:sle="http://schemas.microsoft.com/office/drawing/2010/slicer" name="Job Title"/>
            </a:graphicData>
          </a:graphic>
        </xdr:graphicFrame>
      </mc:Choice>
      <mc:Fallback>
        <xdr:sp macro="" textlink="">
          <xdr:nvSpPr>
            <xdr:cNvPr id="0" name=""/>
            <xdr:cNvSpPr>
              <a:spLocks noTextEdit="1"/>
            </xdr:cNvSpPr>
          </xdr:nvSpPr>
          <xdr:spPr>
            <a:xfrm>
              <a:off x="9763125" y="190500"/>
              <a:ext cx="1828800" cy="2667000"/>
            </a:xfrm>
            <a:prstGeom prst="rect">
              <a:avLst/>
            </a:prstGeom>
            <a:solidFill>
              <a:prstClr val="white"/>
            </a:solidFill>
            <a:ln w="1">
              <a:solidFill>
                <a:prstClr val="green"/>
              </a:solidFill>
            </a:ln>
          </xdr:spPr>
          <xdr:txBody>
            <a:bodyPr vertOverflow="clip" horzOverflow="clip"/>
            <a:lstStyle/>
            <a:p>
              <a:r>
                <a:rPr lang="hu-H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104775</xdr:colOff>
      <xdr:row>1</xdr:row>
      <xdr:rowOff>0</xdr:rowOff>
    </xdr:from>
    <xdr:to>
      <xdr:col>22</xdr:col>
      <xdr:colOff>104775</xdr:colOff>
      <xdr:row>14</xdr:row>
      <xdr:rowOff>114300</xdr:rowOff>
    </xdr:to>
    <mc:AlternateContent xmlns:mc="http://schemas.openxmlformats.org/markup-compatibility/2006">
      <mc:Choice xmlns:a14="http://schemas.microsoft.com/office/drawing/2010/main" Requires="a14">
        <xdr:graphicFrame macro="">
          <xdr:nvGraphicFramePr>
            <xdr:cNvPr id="9" name="Gender">
              <a:extLst>
                <a:ext uri="{FF2B5EF4-FFF2-40B4-BE49-F238E27FC236}">
                  <a16:creationId xmlns:a16="http://schemas.microsoft.com/office/drawing/2014/main" id="{2FE9CB28-FA45-C571-286A-FA7D1194E51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1687175" y="190500"/>
              <a:ext cx="1828800" cy="2667000"/>
            </a:xfrm>
            <a:prstGeom prst="rect">
              <a:avLst/>
            </a:prstGeom>
            <a:solidFill>
              <a:prstClr val="white"/>
            </a:solidFill>
            <a:ln w="1">
              <a:solidFill>
                <a:prstClr val="green"/>
              </a:solidFill>
            </a:ln>
          </xdr:spPr>
          <xdr:txBody>
            <a:bodyPr vertOverflow="clip" horzOverflow="clip"/>
            <a:lstStyle/>
            <a:p>
              <a:r>
                <a:rPr lang="hu-H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76199</xdr:colOff>
      <xdr:row>25</xdr:row>
      <xdr:rowOff>28575</xdr:rowOff>
    </xdr:from>
    <xdr:to>
      <xdr:col>11</xdr:col>
      <xdr:colOff>542924</xdr:colOff>
      <xdr:row>39</xdr:row>
      <xdr:rowOff>123825</xdr:rowOff>
    </xdr:to>
    <xdr:graphicFrame macro="">
      <xdr:nvGraphicFramePr>
        <xdr:cNvPr id="14" name="Chart 13">
          <a:extLst>
            <a:ext uri="{FF2B5EF4-FFF2-40B4-BE49-F238E27FC236}">
              <a16:creationId xmlns:a16="http://schemas.microsoft.com/office/drawing/2014/main" id="{C990F329-C930-45C9-9C1C-FCF2BF88B0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47625</xdr:colOff>
      <xdr:row>18</xdr:row>
      <xdr:rowOff>19050</xdr:rowOff>
    </xdr:from>
    <xdr:to>
      <xdr:col>22</xdr:col>
      <xdr:colOff>542925</xdr:colOff>
      <xdr:row>39</xdr:row>
      <xdr:rowOff>133350</xdr:rowOff>
    </xdr:to>
    <xdr:graphicFrame macro="">
      <xdr:nvGraphicFramePr>
        <xdr:cNvPr id="15" name="Chart 14">
          <a:extLst>
            <a:ext uri="{FF2B5EF4-FFF2-40B4-BE49-F238E27FC236}">
              <a16:creationId xmlns:a16="http://schemas.microsoft.com/office/drawing/2014/main" id="{5B907AF5-FC0B-4AED-8669-9586483554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ona Lilla" refreshedDate="45783.718996412033" createdVersion="8" refreshedVersion="8" minRefreshableVersion="3" recordCount="100" xr:uid="{CB7915B7-24EB-4064-813C-94556C9E3FDA}">
  <cacheSource type="worksheet">
    <worksheetSource ref="A1:M101" sheet="Dataset1"/>
  </cacheSource>
  <cacheFields count="18">
    <cacheField name="Employee ID" numFmtId="0">
      <sharedItems containsSemiMixedTypes="0" containsString="0" containsNumber="1" containsInteger="1" minValue="1058" maxValue="9988"/>
    </cacheField>
    <cacheField name="Name" numFmtId="0">
      <sharedItems/>
    </cacheField>
    <cacheField name="Department" numFmtId="0">
      <sharedItems count="6">
        <s v="Marketing"/>
        <s v="Finance"/>
        <s v="Sales"/>
        <s v="IT"/>
        <s v="HR"/>
        <s v="Operations"/>
      </sharedItems>
    </cacheField>
    <cacheField name="Job Title" numFmtId="0">
      <sharedItems count="13">
        <s v="Content Creator"/>
        <s v="Financial Analyst"/>
        <s v="Sales Rep"/>
        <s v="System Admin"/>
        <s v="HR Coordinator"/>
        <s v="Account Manager"/>
        <s v="SEO Specialist"/>
        <s v="Operations Coordinator"/>
        <s v="Developer"/>
        <s v="HR Manager"/>
        <s v="Accountant"/>
        <s v="Logistics Manager"/>
        <s v="IT Support"/>
      </sharedItems>
    </cacheField>
    <cacheField name="Hire Date" numFmtId="164">
      <sharedItems containsSemiMixedTypes="0" containsNonDate="0" containsDate="1" containsString="0" minDate="2015-07-18T00:00:00" maxDate="2024-03-12T00:00:00" count="96">
        <d v="2017-11-16T00:00:00"/>
        <d v="2018-06-27T00:00:00"/>
        <d v="2018-12-10T00:00:00"/>
        <d v="2018-03-05T00:00:00"/>
        <d v="2018-07-31T00:00:00"/>
        <d v="2018-10-23T00:00:00"/>
        <d v="2017-04-09T00:00:00"/>
        <d v="2022-09-21T00:00:00"/>
        <d v="2024-02-16T00:00:00"/>
        <d v="2015-09-10T00:00:00"/>
        <d v="2018-05-16T00:00:00"/>
        <d v="2016-09-19T00:00:00"/>
        <d v="2023-05-30T00:00:00"/>
        <d v="2016-03-11T00:00:00"/>
        <d v="2018-01-27T00:00:00"/>
        <d v="2017-07-04T00:00:00"/>
        <d v="2016-07-09T00:00:00"/>
        <d v="2020-01-13T00:00:00"/>
        <d v="2016-09-14T00:00:00"/>
        <d v="2019-07-28T00:00:00"/>
        <d v="2020-01-24T00:00:00"/>
        <d v="2021-11-25T00:00:00"/>
        <d v="2017-09-12T00:00:00"/>
        <d v="2016-05-24T00:00:00"/>
        <d v="2019-02-03T00:00:00"/>
        <d v="2022-02-24T00:00:00"/>
        <d v="2019-01-02T00:00:00"/>
        <d v="2018-01-10T00:00:00"/>
        <d v="2020-12-02T00:00:00"/>
        <d v="2017-04-08T00:00:00"/>
        <d v="2024-01-07T00:00:00"/>
        <d v="2015-10-23T00:00:00"/>
        <d v="2015-11-04T00:00:00"/>
        <d v="2016-01-15T00:00:00"/>
        <d v="2016-06-22T00:00:00"/>
        <d v="2020-06-03T00:00:00"/>
        <d v="2019-07-24T00:00:00"/>
        <d v="2021-01-09T00:00:00"/>
        <d v="2018-01-06T00:00:00"/>
        <d v="2022-02-21T00:00:00"/>
        <d v="2018-09-23T00:00:00"/>
        <d v="2017-05-03T00:00:00"/>
        <d v="2019-08-10T00:00:00"/>
        <d v="2023-07-19T00:00:00"/>
        <d v="2019-06-08T00:00:00"/>
        <d v="2015-07-18T00:00:00"/>
        <d v="2016-07-18T00:00:00"/>
        <d v="2024-03-11T00:00:00"/>
        <d v="2020-07-05T00:00:00"/>
        <d v="2023-01-24T00:00:00"/>
        <d v="2016-08-09T00:00:00"/>
        <d v="2021-10-23T00:00:00"/>
        <d v="2018-12-15T00:00:00"/>
        <d v="2021-07-15T00:00:00"/>
        <d v="2018-04-12T00:00:00"/>
        <d v="2020-11-23T00:00:00"/>
        <d v="2021-07-12T00:00:00"/>
        <d v="2023-11-11T00:00:00"/>
        <d v="2020-09-16T00:00:00"/>
        <d v="2022-12-24T00:00:00"/>
        <d v="2016-09-23T00:00:00"/>
        <d v="2017-07-13T00:00:00"/>
        <d v="2020-07-07T00:00:00"/>
        <d v="2023-02-05T00:00:00"/>
        <d v="2023-11-30T00:00:00"/>
        <d v="2022-06-09T00:00:00"/>
        <d v="2019-06-01T00:00:00"/>
        <d v="2023-03-21T00:00:00"/>
        <d v="2022-06-28T00:00:00"/>
        <d v="2016-03-07T00:00:00"/>
        <d v="2016-02-10T00:00:00"/>
        <d v="2020-10-25T00:00:00"/>
        <d v="2018-05-29T00:00:00"/>
        <d v="2022-11-25T00:00:00"/>
        <d v="2023-09-29T00:00:00"/>
        <d v="2016-11-08T00:00:00"/>
        <d v="2016-06-05T00:00:00"/>
        <d v="2016-06-04T00:00:00"/>
        <d v="2020-02-01T00:00:00"/>
        <d v="2022-05-06T00:00:00"/>
        <d v="2023-02-08T00:00:00"/>
        <d v="2018-06-15T00:00:00"/>
        <d v="2015-11-26T00:00:00"/>
        <d v="2021-08-12T00:00:00"/>
        <d v="2022-06-02T00:00:00"/>
        <d v="2019-05-11T00:00:00"/>
        <d v="2022-02-04T00:00:00"/>
        <d v="2018-07-17T00:00:00"/>
        <d v="2018-05-21T00:00:00"/>
        <d v="2019-01-30T00:00:00"/>
        <d v="2017-11-20T00:00:00"/>
        <d v="2022-01-10T00:00:00"/>
        <d v="2018-07-15T00:00:00"/>
        <d v="2019-05-04T00:00:00"/>
        <d v="2021-07-09T00:00:00"/>
        <d v="2022-12-17T00:00:00"/>
      </sharedItems>
      <fieldGroup par="17"/>
    </cacheField>
    <cacheField name="Termination Date" numFmtId="0">
      <sharedItems containsNonDate="0" containsDate="1" containsString="0" containsBlank="1" minDate="2018-01-23T00:00:00" maxDate="2025-04-12T00:00:00"/>
    </cacheField>
    <cacheField name="Employment Status" numFmtId="0">
      <sharedItems/>
    </cacheField>
    <cacheField name="Gender" numFmtId="0">
      <sharedItems count="3">
        <s v="Other"/>
        <s v="Male"/>
        <s v="Female"/>
      </sharedItems>
    </cacheField>
    <cacheField name="Age" numFmtId="0">
      <sharedItems containsSemiMixedTypes="0" containsString="0" containsNumber="1" containsInteger="1" minValue="22" maxValue="61" count="37">
        <n v="38"/>
        <n v="36"/>
        <n v="60"/>
        <n v="25"/>
        <n v="51"/>
        <n v="46"/>
        <n v="40"/>
        <n v="52"/>
        <n v="26"/>
        <n v="50"/>
        <n v="34"/>
        <n v="58"/>
        <n v="32"/>
        <n v="49"/>
        <n v="35"/>
        <n v="33"/>
        <n v="59"/>
        <n v="30"/>
        <n v="61"/>
        <n v="55"/>
        <n v="45"/>
        <n v="23"/>
        <n v="44"/>
        <n v="48"/>
        <n v="56"/>
        <n v="57"/>
        <n v="28"/>
        <n v="43"/>
        <n v="41"/>
        <n v="42"/>
        <n v="37"/>
        <n v="22"/>
        <n v="24"/>
        <n v="53"/>
        <n v="29"/>
        <n v="27"/>
        <n v="47"/>
      </sharedItems>
    </cacheField>
    <cacheField name="Education Level" numFmtId="0">
      <sharedItems/>
    </cacheField>
    <cacheField name="Location" numFmtId="0">
      <sharedItems/>
    </cacheField>
    <cacheField name="Salary" numFmtId="165">
      <sharedItems containsSemiMixedTypes="0" containsString="0" containsNumber="1" containsInteger="1" minValue="30561" maxValue="119492"/>
    </cacheField>
    <cacheField name="Performance Score" numFmtId="0">
      <sharedItems containsSemiMixedTypes="0" containsString="0" containsNumber="1" containsInteger="1" minValue="1" maxValue="5"/>
    </cacheField>
    <cacheField name="Sick Days YTD" numFmtId="0">
      <sharedItems containsSemiMixedTypes="0" containsString="0" containsNumber="1" containsInteger="1" minValue="0" maxValue="15"/>
    </cacheField>
    <cacheField name="Training Hours YTD" numFmtId="0">
      <sharedItems containsSemiMixedTypes="0" containsString="0" containsNumber="1" containsInteger="1" minValue="0" maxValue="100"/>
    </cacheField>
    <cacheField name="Months (Hire Date)" numFmtId="0" databaseField="0">
      <fieldGroup base="4">
        <rangePr groupBy="months" startDate="2015-07-18T00:00:00" endDate="2024-03-12T00:00:00"/>
        <groupItems count="14">
          <s v="&lt;2015.07.18"/>
          <s v="jan"/>
          <s v="febr"/>
          <s v="márc"/>
          <s v="ápr"/>
          <s v="máj"/>
          <s v="jún"/>
          <s v="júl"/>
          <s v="aug"/>
          <s v="szept"/>
          <s v="okt"/>
          <s v="nov"/>
          <s v="dec"/>
          <s v="&gt;2024.03.12"/>
        </groupItems>
      </fieldGroup>
    </cacheField>
    <cacheField name="Quarters (Hire Date)" numFmtId="0" databaseField="0">
      <fieldGroup base="4">
        <rangePr groupBy="quarters" startDate="2015-07-18T00:00:00" endDate="2024-03-12T00:00:00"/>
        <groupItems count="6">
          <s v="&lt;2015.07.18"/>
          <s v="Qtr1"/>
          <s v="Qtr2"/>
          <s v="Qtr3"/>
          <s v="Qtr4"/>
          <s v="&gt;2024.03.12"/>
        </groupItems>
      </fieldGroup>
    </cacheField>
    <cacheField name="Years (Hire Date)" numFmtId="0" databaseField="0">
      <fieldGroup base="4">
        <rangePr groupBy="years" startDate="2015-07-18T00:00:00" endDate="2024-03-12T00:00:00"/>
        <groupItems count="12">
          <s v="&lt;2015.07.18"/>
          <s v="2015"/>
          <s v="2016"/>
          <s v="2017"/>
          <s v="2018"/>
          <s v="2019"/>
          <s v="2020"/>
          <s v="2021"/>
          <s v="2022"/>
          <s v="2023"/>
          <s v="2024"/>
          <s v="&gt;2024.03.12"/>
        </groupItems>
      </fieldGroup>
    </cacheField>
  </cacheFields>
  <extLst>
    <ext xmlns:x14="http://schemas.microsoft.com/office/spreadsheetml/2009/9/main" uri="{725AE2AE-9491-48be-B2B4-4EB974FC3084}">
      <x14:pivotCacheDefinition pivotCacheId="86876726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ona Lilla" refreshedDate="45783.719259143516" createdVersion="8" refreshedVersion="8" minRefreshableVersion="3" recordCount="100" xr:uid="{4A17B84F-B980-4F61-9F85-132B30169DAB}">
  <cacheSource type="worksheet">
    <worksheetSource ref="A1:O101" sheet="Dataset1"/>
  </cacheSource>
  <cacheFields count="18">
    <cacheField name="Employee ID" numFmtId="0">
      <sharedItems containsSemiMixedTypes="0" containsString="0" containsNumber="1" containsInteger="1" minValue="1058" maxValue="9988"/>
    </cacheField>
    <cacheField name="Name" numFmtId="0">
      <sharedItems/>
    </cacheField>
    <cacheField name="Department" numFmtId="0">
      <sharedItems/>
    </cacheField>
    <cacheField name="Job Title" numFmtId="0">
      <sharedItems/>
    </cacheField>
    <cacheField name="Hire Date" numFmtId="164">
      <sharedItems containsSemiMixedTypes="0" containsNonDate="0" containsDate="1" containsString="0" minDate="2015-07-18T00:00:00" maxDate="2024-03-12T00:00:00"/>
    </cacheField>
    <cacheField name="Termination Date" numFmtId="0">
      <sharedItems containsNonDate="0" containsDate="1" containsString="0" containsBlank="1" minDate="2018-01-23T00:00:00" maxDate="2025-04-12T00:00:00"/>
    </cacheField>
    <cacheField name="Employment Status" numFmtId="0">
      <sharedItems/>
    </cacheField>
    <cacheField name="Gender" numFmtId="0">
      <sharedItems/>
    </cacheField>
    <cacheField name="Age" numFmtId="0">
      <sharedItems containsSemiMixedTypes="0" containsString="0" containsNumber="1" containsInteger="1" minValue="22" maxValue="61"/>
    </cacheField>
    <cacheField name="Education Level" numFmtId="0">
      <sharedItems/>
    </cacheField>
    <cacheField name="Location" numFmtId="0">
      <sharedItems/>
    </cacheField>
    <cacheField name="Salary" numFmtId="165">
      <sharedItems containsSemiMixedTypes="0" containsString="0" containsNumber="1" containsInteger="1" minValue="30561" maxValue="119492"/>
    </cacheField>
    <cacheField name="Performance Score" numFmtId="0">
      <sharedItems containsSemiMixedTypes="0" containsString="0" containsNumber="1" containsInteger="1" minValue="1" maxValue="5"/>
    </cacheField>
    <cacheField name="Sick Days YTD" numFmtId="0">
      <sharedItems containsSemiMixedTypes="0" containsString="0" containsNumber="1" containsInteger="1" minValue="0" maxValue="15"/>
    </cacheField>
    <cacheField name="Training Hours YTD" numFmtId="0">
      <sharedItems containsSemiMixedTypes="0" containsString="0" containsNumber="1" containsInteger="1" minValue="0" maxValue="100"/>
    </cacheField>
    <cacheField name="Training Hours YTD2" numFmtId="0">
      <sharedItems containsSemiMixedTypes="0" containsString="0" containsNumber="1" containsInteger="1" minValue="2" maxValue="100"/>
    </cacheField>
    <cacheField name="TerminatedFlag" numFmtId="0">
      <sharedItems containsSemiMixedTypes="0" containsString="0" containsNumber="1" containsInteger="1" minValue="0" maxValue="1"/>
    </cacheField>
    <cacheField name="Performance Level" numFmtId="0">
      <sharedItems count="3">
        <s v="Medium"/>
        <s v="Low"/>
        <s v="High"/>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ona Lilla" refreshedDate="45783.740500115739" createdVersion="8" refreshedVersion="8" minRefreshableVersion="3" recordCount="100" xr:uid="{B9A5035D-E71B-413A-8EEE-141B31C4B747}">
  <cacheSource type="worksheet">
    <worksheetSource ref="A1:P101" sheet="Dataset1"/>
  </cacheSource>
  <cacheFields count="18">
    <cacheField name="Employee ID" numFmtId="0">
      <sharedItems containsSemiMixedTypes="0" containsString="0" containsNumber="1" containsInteger="1" minValue="1058" maxValue="9988"/>
    </cacheField>
    <cacheField name="Name" numFmtId="0">
      <sharedItems/>
    </cacheField>
    <cacheField name="Department" numFmtId="0">
      <sharedItems count="6">
        <s v="Marketing"/>
        <s v="Finance"/>
        <s v="Sales"/>
        <s v="IT"/>
        <s v="HR"/>
        <s v="Operations"/>
      </sharedItems>
    </cacheField>
    <cacheField name="Job Title" numFmtId="0">
      <sharedItems count="13">
        <s v="Content Creator"/>
        <s v="Financial Analyst"/>
        <s v="Sales Rep"/>
        <s v="System Admin"/>
        <s v="HR Coordinator"/>
        <s v="Account Manager"/>
        <s v="SEO Specialist"/>
        <s v="Operations Coordinator"/>
        <s v="Developer"/>
        <s v="HR Manager"/>
        <s v="Accountant"/>
        <s v="Logistics Manager"/>
        <s v="IT Support"/>
      </sharedItems>
    </cacheField>
    <cacheField name="Hire Date" numFmtId="164">
      <sharedItems containsSemiMixedTypes="0" containsNonDate="0" containsDate="1" containsString="0" minDate="2015-07-18T00:00:00" maxDate="2024-03-12T00:00:00"/>
    </cacheField>
    <cacheField name="Termination Date" numFmtId="0">
      <sharedItems containsNonDate="0" containsDate="1" containsString="0" containsBlank="1" minDate="2018-01-23T00:00:00" maxDate="2025-04-12T00:00:00"/>
    </cacheField>
    <cacheField name="Employment Status" numFmtId="0">
      <sharedItems/>
    </cacheField>
    <cacheField name="Gender" numFmtId="0">
      <sharedItems count="3">
        <s v="Other"/>
        <s v="Male"/>
        <s v="Female"/>
      </sharedItems>
    </cacheField>
    <cacheField name="Age" numFmtId="0">
      <sharedItems containsSemiMixedTypes="0" containsString="0" containsNumber="1" containsInteger="1" minValue="22" maxValue="61"/>
    </cacheField>
    <cacheField name="Education Level" numFmtId="0">
      <sharedItems/>
    </cacheField>
    <cacheField name="Location" numFmtId="0">
      <sharedItems/>
    </cacheField>
    <cacheField name="Salary" numFmtId="165">
      <sharedItems containsSemiMixedTypes="0" containsString="0" containsNumber="1" containsInteger="1" minValue="30561" maxValue="119492"/>
    </cacheField>
    <cacheField name="Performance Score" numFmtId="0">
      <sharedItems containsSemiMixedTypes="0" containsString="0" containsNumber="1" containsInteger="1" minValue="1" maxValue="5"/>
    </cacheField>
    <cacheField name="Sick Days YTD" numFmtId="0">
      <sharedItems containsSemiMixedTypes="0" containsString="0" containsNumber="1" containsInteger="1" minValue="0" maxValue="15"/>
    </cacheField>
    <cacheField name="Training Hours YTD" numFmtId="0">
      <sharedItems containsSemiMixedTypes="0" containsString="0" containsNumber="1" containsInteger="1" minValue="0" maxValue="100"/>
    </cacheField>
    <cacheField name="TerminatedFlag" numFmtId="0">
      <sharedItems containsSemiMixedTypes="0" containsString="0" containsNumber="1" containsInteger="1" minValue="0" maxValue="1"/>
    </cacheField>
    <cacheField name="Performance Level" numFmtId="0">
      <sharedItems/>
    </cacheField>
    <cacheField name="Age Groups" numFmtId="0">
      <sharedItems count="5">
        <s v="36–45"/>
        <s v="56–65"/>
        <s v="18–25"/>
        <s v="46–55"/>
        <s v="26–35"/>
      </sharedItems>
    </cacheField>
  </cacheFields>
  <extLst>
    <ext xmlns:x14="http://schemas.microsoft.com/office/spreadsheetml/2009/9/main" uri="{725AE2AE-9491-48be-B2B4-4EB974FC3084}">
      <x14:pivotCacheDefinition pivotCacheId="132483725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ona Lilla" refreshedDate="45783.775371527779" createdVersion="8" refreshedVersion="8" minRefreshableVersion="3" recordCount="100" xr:uid="{68374C03-55A4-4E1D-921E-4CC37B3710E8}">
  <cacheSource type="worksheet">
    <worksheetSource ref="A1:S101" sheet="Dataset1"/>
  </cacheSource>
  <cacheFields count="22">
    <cacheField name="Employee ID" numFmtId="0">
      <sharedItems containsSemiMixedTypes="0" containsString="0" containsNumber="1" containsInteger="1" minValue="1058" maxValue="9988"/>
    </cacheField>
    <cacheField name="Name" numFmtId="0">
      <sharedItems/>
    </cacheField>
    <cacheField name="Department" numFmtId="0">
      <sharedItems count="6">
        <s v="Marketing"/>
        <s v="Finance"/>
        <s v="Sales"/>
        <s v="IT"/>
        <s v="HR"/>
        <s v="Operations"/>
      </sharedItems>
    </cacheField>
    <cacheField name="Job Title" numFmtId="0">
      <sharedItems count="13">
        <s v="Content Creator"/>
        <s v="Financial Analyst"/>
        <s v="Sales Rep"/>
        <s v="System Admin"/>
        <s v="HR Coordinator"/>
        <s v="Account Manager"/>
        <s v="SEO Specialist"/>
        <s v="Operations Coordinator"/>
        <s v="Developer"/>
        <s v="HR Manager"/>
        <s v="Accountant"/>
        <s v="Logistics Manager"/>
        <s v="IT Support"/>
      </sharedItems>
    </cacheField>
    <cacheField name="Hire Date" numFmtId="164">
      <sharedItems containsSemiMixedTypes="0" containsNonDate="0" containsDate="1" containsString="0" minDate="2015-07-18T00:00:00" maxDate="2024-03-12T00:00:00" count="96">
        <d v="2017-11-16T00:00:00"/>
        <d v="2018-06-27T00:00:00"/>
        <d v="2018-12-10T00:00:00"/>
        <d v="2018-03-05T00:00:00"/>
        <d v="2018-07-31T00:00:00"/>
        <d v="2018-10-23T00:00:00"/>
        <d v="2017-04-09T00:00:00"/>
        <d v="2022-09-21T00:00:00"/>
        <d v="2024-02-16T00:00:00"/>
        <d v="2015-09-10T00:00:00"/>
        <d v="2018-05-16T00:00:00"/>
        <d v="2016-09-19T00:00:00"/>
        <d v="2023-05-30T00:00:00"/>
        <d v="2016-03-11T00:00:00"/>
        <d v="2018-01-27T00:00:00"/>
        <d v="2017-07-04T00:00:00"/>
        <d v="2016-07-09T00:00:00"/>
        <d v="2020-01-13T00:00:00"/>
        <d v="2016-09-14T00:00:00"/>
        <d v="2019-07-28T00:00:00"/>
        <d v="2020-01-24T00:00:00"/>
        <d v="2021-11-25T00:00:00"/>
        <d v="2017-09-12T00:00:00"/>
        <d v="2016-05-24T00:00:00"/>
        <d v="2019-02-03T00:00:00"/>
        <d v="2022-02-24T00:00:00"/>
        <d v="2019-01-02T00:00:00"/>
        <d v="2018-01-10T00:00:00"/>
        <d v="2020-12-02T00:00:00"/>
        <d v="2017-04-08T00:00:00"/>
        <d v="2024-01-07T00:00:00"/>
        <d v="2015-10-23T00:00:00"/>
        <d v="2015-11-04T00:00:00"/>
        <d v="2016-01-15T00:00:00"/>
        <d v="2016-06-22T00:00:00"/>
        <d v="2020-06-03T00:00:00"/>
        <d v="2019-07-24T00:00:00"/>
        <d v="2021-01-09T00:00:00"/>
        <d v="2018-01-06T00:00:00"/>
        <d v="2022-02-21T00:00:00"/>
        <d v="2018-09-23T00:00:00"/>
        <d v="2017-05-03T00:00:00"/>
        <d v="2019-08-10T00:00:00"/>
        <d v="2023-07-19T00:00:00"/>
        <d v="2019-06-08T00:00:00"/>
        <d v="2015-07-18T00:00:00"/>
        <d v="2016-07-18T00:00:00"/>
        <d v="2024-03-11T00:00:00"/>
        <d v="2020-07-05T00:00:00"/>
        <d v="2023-01-24T00:00:00"/>
        <d v="2016-08-09T00:00:00"/>
        <d v="2021-10-23T00:00:00"/>
        <d v="2018-12-15T00:00:00"/>
        <d v="2021-07-15T00:00:00"/>
        <d v="2018-04-12T00:00:00"/>
        <d v="2020-11-23T00:00:00"/>
        <d v="2021-07-12T00:00:00"/>
        <d v="2023-11-11T00:00:00"/>
        <d v="2020-09-16T00:00:00"/>
        <d v="2022-12-24T00:00:00"/>
        <d v="2016-09-23T00:00:00"/>
        <d v="2017-07-13T00:00:00"/>
        <d v="2020-07-07T00:00:00"/>
        <d v="2023-02-05T00:00:00"/>
        <d v="2023-11-30T00:00:00"/>
        <d v="2022-06-09T00:00:00"/>
        <d v="2019-06-01T00:00:00"/>
        <d v="2023-03-21T00:00:00"/>
        <d v="2022-06-28T00:00:00"/>
        <d v="2016-03-07T00:00:00"/>
        <d v="2016-02-10T00:00:00"/>
        <d v="2020-10-25T00:00:00"/>
        <d v="2018-05-29T00:00:00"/>
        <d v="2022-11-25T00:00:00"/>
        <d v="2023-09-29T00:00:00"/>
        <d v="2016-11-08T00:00:00"/>
        <d v="2016-06-05T00:00:00"/>
        <d v="2016-06-04T00:00:00"/>
        <d v="2020-02-01T00:00:00"/>
        <d v="2022-05-06T00:00:00"/>
        <d v="2023-02-08T00:00:00"/>
        <d v="2018-06-15T00:00:00"/>
        <d v="2015-11-26T00:00:00"/>
        <d v="2021-08-12T00:00:00"/>
        <d v="2022-06-02T00:00:00"/>
        <d v="2019-05-11T00:00:00"/>
        <d v="2022-02-04T00:00:00"/>
        <d v="2018-07-17T00:00:00"/>
        <d v="2018-05-21T00:00:00"/>
        <d v="2019-01-30T00:00:00"/>
        <d v="2017-11-20T00:00:00"/>
        <d v="2022-01-10T00:00:00"/>
        <d v="2018-07-15T00:00:00"/>
        <d v="2019-05-04T00:00:00"/>
        <d v="2021-07-09T00:00:00"/>
        <d v="2022-12-17T00:00:00"/>
      </sharedItems>
      <fieldGroup par="21"/>
    </cacheField>
    <cacheField name="Termination Date" numFmtId="0">
      <sharedItems containsNonDate="0" containsDate="1" containsString="0" containsBlank="1" minDate="2018-01-23T00:00:00" maxDate="2025-04-12T00:00:00"/>
    </cacheField>
    <cacheField name="Employment Status" numFmtId="0">
      <sharedItems count="2">
        <s v="Terminated"/>
        <s v="Active"/>
      </sharedItems>
    </cacheField>
    <cacheField name="Gender" numFmtId="0">
      <sharedItems count="3">
        <s v="Other"/>
        <s v="Male"/>
        <s v="Female"/>
      </sharedItems>
    </cacheField>
    <cacheField name="Age" numFmtId="0">
      <sharedItems containsSemiMixedTypes="0" containsString="0" containsNumber="1" containsInteger="1" minValue="22" maxValue="61"/>
    </cacheField>
    <cacheField name="Salary" numFmtId="165">
      <sharedItems containsSemiMixedTypes="0" containsString="0" containsNumber="1" containsInteger="1" minValue="30561" maxValue="119492"/>
    </cacheField>
    <cacheField name="Performance Score" numFmtId="0">
      <sharedItems containsSemiMixedTypes="0" containsString="0" containsNumber="1" containsInteger="1" minValue="1" maxValue="5"/>
    </cacheField>
    <cacheField name="Sick Days YTD" numFmtId="0">
      <sharedItems containsSemiMixedTypes="0" containsString="0" containsNumber="1" containsInteger="1" minValue="0" maxValue="15"/>
    </cacheField>
    <cacheField name="Training Hours YTD" numFmtId="0">
      <sharedItems containsSemiMixedTypes="0" containsString="0" containsNumber="1" containsInteger="1" minValue="0" maxValue="100"/>
    </cacheField>
    <cacheField name="TerminatedFlag" numFmtId="0">
      <sharedItems containsSemiMixedTypes="0" containsString="0" containsNumber="1" containsInteger="1" minValue="0" maxValue="1"/>
    </cacheField>
    <cacheField name="Performance Level" numFmtId="0">
      <sharedItems/>
    </cacheField>
    <cacheField name="Age Groups" numFmtId="0">
      <sharedItems/>
    </cacheField>
    <cacheField name="# of Years spent at company" numFmtId="0">
      <sharedItems containsMixedTypes="1" containsNumber="1" containsInteger="1" minValue="0" maxValue="8"/>
    </cacheField>
    <cacheField name="Education Level" numFmtId="0">
      <sharedItems count="5">
        <s v="Master"/>
        <s v="PhD"/>
        <s v="Associate"/>
        <s v="Bachelor"/>
        <s v="High School"/>
      </sharedItems>
    </cacheField>
    <cacheField name="Location" numFmtId="0">
      <sharedItems/>
    </cacheField>
    <cacheField name="Months (Hire Date)" numFmtId="0" databaseField="0">
      <fieldGroup base="4">
        <rangePr groupBy="months" startDate="2015-07-18T00:00:00" endDate="2024-03-12T00:00:00"/>
        <groupItems count="14">
          <s v="&lt;2015.07.18"/>
          <s v="jan"/>
          <s v="febr"/>
          <s v="márc"/>
          <s v="ápr"/>
          <s v="máj"/>
          <s v="jún"/>
          <s v="júl"/>
          <s v="aug"/>
          <s v="szept"/>
          <s v="okt"/>
          <s v="nov"/>
          <s v="dec"/>
          <s v="&gt;2024.03.12"/>
        </groupItems>
      </fieldGroup>
    </cacheField>
    <cacheField name="Quarters (Hire Date)" numFmtId="0" databaseField="0">
      <fieldGroup base="4">
        <rangePr groupBy="quarters" startDate="2015-07-18T00:00:00" endDate="2024-03-12T00:00:00"/>
        <groupItems count="6">
          <s v="&lt;2015.07.18"/>
          <s v="Qtr1"/>
          <s v="Qtr2"/>
          <s v="Qtr3"/>
          <s v="Qtr4"/>
          <s v="&gt;2024.03.12"/>
        </groupItems>
      </fieldGroup>
    </cacheField>
    <cacheField name="Years (Hire Date)" numFmtId="0" databaseField="0">
      <fieldGroup base="4">
        <rangePr groupBy="years" startDate="2015-07-18T00:00:00" endDate="2024-03-12T00:00:00"/>
        <groupItems count="12">
          <s v="&lt;2015.07.18"/>
          <s v="2015"/>
          <s v="2016"/>
          <s v="2017"/>
          <s v="2018"/>
          <s v="2019"/>
          <s v="2020"/>
          <s v="2021"/>
          <s v="2022"/>
          <s v="2023"/>
          <s v="2024"/>
          <s v="&gt;2024.03.12"/>
        </groupItems>
      </fieldGroup>
    </cacheField>
  </cacheFields>
  <extLst>
    <ext xmlns:x14="http://schemas.microsoft.com/office/spreadsheetml/2009/9/main" uri="{725AE2AE-9491-48be-B2B4-4EB974FC3084}">
      <x14:pivotCacheDefinition pivotCacheId="17538813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9121"/>
    <s v="Michael King"/>
    <x v="0"/>
    <x v="0"/>
    <x v="0"/>
    <d v="2020-08-15T00:00:00"/>
    <s v="Terminated"/>
    <x v="0"/>
    <x v="0"/>
    <s v="Master"/>
    <s v="Theresaberg"/>
    <n v="44456"/>
    <n v="3"/>
    <n v="7"/>
    <n v="21"/>
  </r>
  <r>
    <n v="5105"/>
    <s v="Alexandra Todd"/>
    <x v="1"/>
    <x v="1"/>
    <x v="1"/>
    <m/>
    <s v="Active"/>
    <x v="1"/>
    <x v="1"/>
    <s v="Master"/>
    <s v="Dicksonburgh"/>
    <n v="95380"/>
    <n v="4"/>
    <n v="10"/>
    <n v="52"/>
  </r>
  <r>
    <n v="2934"/>
    <s v="Amanda Chambers"/>
    <x v="2"/>
    <x v="2"/>
    <x v="2"/>
    <m/>
    <s v="Active"/>
    <x v="0"/>
    <x v="2"/>
    <s v="Master"/>
    <s v="Lake Jasonborough"/>
    <n v="50090"/>
    <n v="2"/>
    <n v="5"/>
    <n v="53"/>
  </r>
  <r>
    <n v="4601"/>
    <s v="Ashley Watkins"/>
    <x v="1"/>
    <x v="1"/>
    <x v="3"/>
    <m/>
    <s v="Active"/>
    <x v="0"/>
    <x v="3"/>
    <s v="PhD"/>
    <s v="Michaelshire"/>
    <n v="53855"/>
    <n v="3"/>
    <n v="15"/>
    <n v="51"/>
  </r>
  <r>
    <n v="2805"/>
    <s v="Sherri Dawson"/>
    <x v="0"/>
    <x v="0"/>
    <x v="4"/>
    <m/>
    <s v="Active"/>
    <x v="1"/>
    <x v="2"/>
    <s v="Master"/>
    <s v="Oconnorberg"/>
    <n v="119492"/>
    <n v="2"/>
    <n v="11"/>
    <n v="72"/>
  </r>
  <r>
    <n v="4264"/>
    <s v="Kevin Thomas"/>
    <x v="0"/>
    <x v="0"/>
    <x v="5"/>
    <m/>
    <s v="Active"/>
    <x v="1"/>
    <x v="4"/>
    <s v="Associate"/>
    <s v="East James"/>
    <n v="41008"/>
    <n v="1"/>
    <n v="14"/>
    <n v="82"/>
  </r>
  <r>
    <n v="1593"/>
    <s v="Jamie Clarke"/>
    <x v="3"/>
    <x v="3"/>
    <x v="6"/>
    <m/>
    <s v="Active"/>
    <x v="0"/>
    <x v="5"/>
    <s v="Associate"/>
    <s v="South Daniel"/>
    <n v="102970"/>
    <n v="3"/>
    <n v="1"/>
    <n v="64"/>
  </r>
  <r>
    <n v="2498"/>
    <s v="Jessica Rivera"/>
    <x v="2"/>
    <x v="2"/>
    <x v="7"/>
    <m/>
    <s v="Active"/>
    <x v="1"/>
    <x v="6"/>
    <s v="Bachelor"/>
    <s v="Steventown"/>
    <n v="75001"/>
    <n v="4"/>
    <n v="5"/>
    <n v="46"/>
  </r>
  <r>
    <n v="2560"/>
    <s v="Meghan Brooks"/>
    <x v="0"/>
    <x v="0"/>
    <x v="8"/>
    <m/>
    <s v="Active"/>
    <x v="1"/>
    <x v="7"/>
    <s v="PhD"/>
    <s v="Colemanberg"/>
    <n v="111260"/>
    <n v="1"/>
    <n v="8"/>
    <n v="39"/>
  </r>
  <r>
    <n v="8584"/>
    <s v="Katie Black"/>
    <x v="1"/>
    <x v="1"/>
    <x v="9"/>
    <d v="2018-11-19T00:00:00"/>
    <s v="Terminated"/>
    <x v="1"/>
    <x v="8"/>
    <s v="Bachelor"/>
    <s v="Rebeccabury"/>
    <n v="78806"/>
    <n v="5"/>
    <n v="6"/>
    <n v="92"/>
  </r>
  <r>
    <n v="3897"/>
    <s v="David Arroyo"/>
    <x v="4"/>
    <x v="4"/>
    <x v="10"/>
    <d v="2021-04-01T00:00:00"/>
    <s v="Terminated"/>
    <x v="2"/>
    <x v="9"/>
    <s v="Master"/>
    <s v="West Ashley"/>
    <n v="75813"/>
    <n v="3"/>
    <n v="1"/>
    <n v="9"/>
  </r>
  <r>
    <n v="1477"/>
    <s v="Amy Summers"/>
    <x v="2"/>
    <x v="2"/>
    <x v="11"/>
    <d v="2020-01-12T00:00:00"/>
    <s v="Terminated"/>
    <x v="1"/>
    <x v="10"/>
    <s v="PhD"/>
    <s v="South David"/>
    <n v="32313"/>
    <n v="4"/>
    <n v="15"/>
    <n v="62"/>
  </r>
  <r>
    <n v="7051"/>
    <s v="Shannon Rubio"/>
    <x v="1"/>
    <x v="1"/>
    <x v="12"/>
    <m/>
    <s v="Active"/>
    <x v="2"/>
    <x v="4"/>
    <s v="Associate"/>
    <s v="Glassberg"/>
    <n v="79626"/>
    <n v="3"/>
    <n v="4"/>
    <n v="27"/>
  </r>
  <r>
    <n v="9637"/>
    <s v="Heather Greer"/>
    <x v="2"/>
    <x v="5"/>
    <x v="13"/>
    <m/>
    <s v="Active"/>
    <x v="0"/>
    <x v="6"/>
    <s v="High School"/>
    <s v="West Kevin"/>
    <n v="79583"/>
    <n v="4"/>
    <n v="4"/>
    <n v="30"/>
  </r>
  <r>
    <n v="9110"/>
    <s v="Victoria Baker"/>
    <x v="0"/>
    <x v="6"/>
    <x v="14"/>
    <m/>
    <s v="Active"/>
    <x v="1"/>
    <x v="6"/>
    <s v="Associate"/>
    <s v="Mendezfort"/>
    <n v="87991"/>
    <n v="5"/>
    <n v="3"/>
    <n v="52"/>
  </r>
  <r>
    <n v="8200"/>
    <s v="Derek Miller"/>
    <x v="4"/>
    <x v="4"/>
    <x v="15"/>
    <d v="2018-04-27T00:00:00"/>
    <s v="Terminated"/>
    <x v="1"/>
    <x v="11"/>
    <s v="High School"/>
    <s v="Port Mariashire"/>
    <n v="90023"/>
    <n v="4"/>
    <n v="3"/>
    <n v="42"/>
  </r>
  <r>
    <n v="1778"/>
    <s v="Paul Joseph"/>
    <x v="5"/>
    <x v="7"/>
    <x v="16"/>
    <m/>
    <s v="Active"/>
    <x v="2"/>
    <x v="12"/>
    <s v="Associate"/>
    <s v="East Christinemouth"/>
    <n v="95371"/>
    <n v="5"/>
    <n v="13"/>
    <n v="91"/>
  </r>
  <r>
    <n v="1182"/>
    <s v="David Jones"/>
    <x v="4"/>
    <x v="4"/>
    <x v="17"/>
    <m/>
    <s v="Active"/>
    <x v="1"/>
    <x v="13"/>
    <s v="Associate"/>
    <s v="North Rebeccahaven"/>
    <n v="54240"/>
    <n v="5"/>
    <n v="1"/>
    <n v="49"/>
  </r>
  <r>
    <n v="4254"/>
    <s v="Yolanda Gonzalez"/>
    <x v="0"/>
    <x v="6"/>
    <x v="18"/>
    <m/>
    <s v="Active"/>
    <x v="2"/>
    <x v="14"/>
    <s v="Associate"/>
    <s v="Tanyaberg"/>
    <n v="105074"/>
    <n v="1"/>
    <n v="7"/>
    <n v="9"/>
  </r>
  <r>
    <n v="4235"/>
    <s v="Veronica Pearson"/>
    <x v="1"/>
    <x v="1"/>
    <x v="19"/>
    <d v="2023-06-14T00:00:00"/>
    <s v="Terminated"/>
    <x v="2"/>
    <x v="15"/>
    <s v="Bachelor"/>
    <s v="Deborahhaven"/>
    <n v="34603"/>
    <n v="5"/>
    <n v="15"/>
    <n v="11"/>
  </r>
  <r>
    <n v="4528"/>
    <s v="Tabitha Chapman"/>
    <x v="0"/>
    <x v="0"/>
    <x v="20"/>
    <d v="2025-02-05T00:00:00"/>
    <s v="Terminated"/>
    <x v="1"/>
    <x v="16"/>
    <s v="PhD"/>
    <s v="South Davidfurt"/>
    <n v="76940"/>
    <n v="3"/>
    <n v="6"/>
    <n v="90"/>
  </r>
  <r>
    <n v="3157"/>
    <s v="Jill Dalton"/>
    <x v="3"/>
    <x v="8"/>
    <x v="21"/>
    <m/>
    <s v="Active"/>
    <x v="0"/>
    <x v="17"/>
    <s v="Master"/>
    <s v="Nicholasport"/>
    <n v="78941"/>
    <n v="4"/>
    <n v="15"/>
    <n v="45"/>
  </r>
  <r>
    <n v="4362"/>
    <s v="Rachel Wagner MD"/>
    <x v="4"/>
    <x v="9"/>
    <x v="22"/>
    <m/>
    <s v="Active"/>
    <x v="1"/>
    <x v="7"/>
    <s v="PhD"/>
    <s v="South Daniellechester"/>
    <n v="69098"/>
    <n v="1"/>
    <n v="14"/>
    <n v="70"/>
  </r>
  <r>
    <n v="3081"/>
    <s v="James Patrick"/>
    <x v="4"/>
    <x v="4"/>
    <x v="23"/>
    <d v="2021-02-16T00:00:00"/>
    <s v="Terminated"/>
    <x v="0"/>
    <x v="18"/>
    <s v="Bachelor"/>
    <s v="Johnland"/>
    <n v="91852"/>
    <n v="3"/>
    <n v="5"/>
    <n v="55"/>
  </r>
  <r>
    <n v="1136"/>
    <s v="Maria Watson"/>
    <x v="1"/>
    <x v="10"/>
    <x v="24"/>
    <d v="2021-03-13T00:00:00"/>
    <s v="Terminated"/>
    <x v="2"/>
    <x v="2"/>
    <s v="Bachelor"/>
    <s v="South Aaron"/>
    <n v="52930"/>
    <n v="5"/>
    <n v="1"/>
    <n v="28"/>
  </r>
  <r>
    <n v="3308"/>
    <s v="Nathan Green"/>
    <x v="0"/>
    <x v="0"/>
    <x v="25"/>
    <d v="2023-04-12T00:00:00"/>
    <s v="Terminated"/>
    <x v="2"/>
    <x v="19"/>
    <s v="Bachelor"/>
    <s v="South Felicia"/>
    <n v="79715"/>
    <n v="3"/>
    <n v="5"/>
    <n v="14"/>
  </r>
  <r>
    <n v="1482"/>
    <s v="Edward Reyes"/>
    <x v="4"/>
    <x v="9"/>
    <x v="26"/>
    <m/>
    <s v="Active"/>
    <x v="0"/>
    <x v="20"/>
    <s v="Bachelor"/>
    <s v="West Joseph"/>
    <n v="72076"/>
    <n v="5"/>
    <n v="4"/>
    <n v="2"/>
  </r>
  <r>
    <n v="4592"/>
    <s v="Russell Fields"/>
    <x v="3"/>
    <x v="8"/>
    <x v="27"/>
    <m/>
    <s v="Active"/>
    <x v="2"/>
    <x v="21"/>
    <s v="Master"/>
    <s v="New Nicoleview"/>
    <n v="42397"/>
    <n v="3"/>
    <n v="9"/>
    <n v="71"/>
  </r>
  <r>
    <n v="7479"/>
    <s v="Eric King"/>
    <x v="0"/>
    <x v="6"/>
    <x v="28"/>
    <d v="2022-07-26T00:00:00"/>
    <s v="Terminated"/>
    <x v="1"/>
    <x v="22"/>
    <s v="Bachelor"/>
    <s v="New Jeanne"/>
    <n v="67028"/>
    <n v="1"/>
    <n v="3"/>
    <n v="45"/>
  </r>
  <r>
    <n v="7732"/>
    <s v="Anne Mercado"/>
    <x v="1"/>
    <x v="1"/>
    <x v="29"/>
    <m/>
    <s v="Active"/>
    <x v="1"/>
    <x v="23"/>
    <s v="Associate"/>
    <s v="Lake Marie"/>
    <n v="47478"/>
    <n v="1"/>
    <n v="3"/>
    <n v="63"/>
  </r>
  <r>
    <n v="1283"/>
    <s v="Brandon Browning"/>
    <x v="5"/>
    <x v="7"/>
    <x v="30"/>
    <d v="2024-12-22T00:00:00"/>
    <s v="Terminated"/>
    <x v="1"/>
    <x v="23"/>
    <s v="Associate"/>
    <s v="Nicholeburgh"/>
    <n v="42504"/>
    <n v="3"/>
    <n v="2"/>
    <n v="96"/>
  </r>
  <r>
    <n v="8580"/>
    <s v="Erin Martin"/>
    <x v="5"/>
    <x v="11"/>
    <x v="31"/>
    <m/>
    <s v="Active"/>
    <x v="2"/>
    <x v="15"/>
    <s v="High School"/>
    <s v="Christophermouth"/>
    <n v="55814"/>
    <n v="2"/>
    <n v="15"/>
    <n v="8"/>
  </r>
  <r>
    <n v="2568"/>
    <s v="Mr. Seth Shields"/>
    <x v="2"/>
    <x v="2"/>
    <x v="32"/>
    <d v="2018-01-23T00:00:00"/>
    <s v="Terminated"/>
    <x v="2"/>
    <x v="14"/>
    <s v="Associate"/>
    <s v="South Rickyshire"/>
    <n v="86857"/>
    <n v="2"/>
    <n v="1"/>
    <n v="98"/>
  </r>
  <r>
    <n v="3962"/>
    <s v="Henry Wright"/>
    <x v="3"/>
    <x v="3"/>
    <x v="33"/>
    <d v="2024-09-14T00:00:00"/>
    <s v="Terminated"/>
    <x v="1"/>
    <x v="19"/>
    <s v="High School"/>
    <s v="New Kylestad"/>
    <n v="45506"/>
    <n v="1"/>
    <n v="13"/>
    <n v="63"/>
  </r>
  <r>
    <n v="3178"/>
    <s v="Wesley Moran"/>
    <x v="4"/>
    <x v="9"/>
    <x v="34"/>
    <d v="2022-07-26T00:00:00"/>
    <s v="Terminated"/>
    <x v="2"/>
    <x v="8"/>
    <s v="PhD"/>
    <s v="Martinstad"/>
    <n v="49807"/>
    <n v="5"/>
    <n v="4"/>
    <n v="12"/>
  </r>
  <r>
    <n v="4141"/>
    <s v="Henry Sanders"/>
    <x v="2"/>
    <x v="5"/>
    <x v="35"/>
    <m/>
    <s v="Active"/>
    <x v="0"/>
    <x v="19"/>
    <s v="Associate"/>
    <s v="Lewismouth"/>
    <n v="88542"/>
    <n v="5"/>
    <n v="10"/>
    <n v="82"/>
  </r>
  <r>
    <n v="3599"/>
    <s v="Timothy Lindsey"/>
    <x v="4"/>
    <x v="9"/>
    <x v="36"/>
    <m/>
    <s v="Active"/>
    <x v="0"/>
    <x v="4"/>
    <s v="Master"/>
    <s v="Foleyfurt"/>
    <n v="111654"/>
    <n v="1"/>
    <n v="11"/>
    <n v="0"/>
  </r>
  <r>
    <n v="2514"/>
    <s v="Mary Ross"/>
    <x v="4"/>
    <x v="4"/>
    <x v="37"/>
    <d v="2021-10-03T00:00:00"/>
    <s v="Terminated"/>
    <x v="1"/>
    <x v="0"/>
    <s v="High School"/>
    <s v="East Josephbury"/>
    <n v="86120"/>
    <n v="2"/>
    <n v="13"/>
    <n v="15"/>
  </r>
  <r>
    <n v="8563"/>
    <s v="Richard Lee"/>
    <x v="1"/>
    <x v="10"/>
    <x v="38"/>
    <m/>
    <s v="Active"/>
    <x v="0"/>
    <x v="9"/>
    <s v="Master"/>
    <s v="Port Christophermouth"/>
    <n v="94810"/>
    <n v="1"/>
    <n v="1"/>
    <n v="62"/>
  </r>
  <r>
    <n v="7364"/>
    <s v="Daniel Wilson"/>
    <x v="0"/>
    <x v="6"/>
    <x v="39"/>
    <m/>
    <s v="Active"/>
    <x v="1"/>
    <x v="21"/>
    <s v="High School"/>
    <s v="Lake Rebeccafort"/>
    <n v="94333"/>
    <n v="1"/>
    <n v="3"/>
    <n v="28"/>
  </r>
  <r>
    <n v="8855"/>
    <s v="Amy Clark"/>
    <x v="2"/>
    <x v="5"/>
    <x v="40"/>
    <d v="2021-09-07T00:00:00"/>
    <s v="Terminated"/>
    <x v="2"/>
    <x v="3"/>
    <s v="Associate"/>
    <s v="Williamshire"/>
    <n v="50792"/>
    <n v="3"/>
    <n v="15"/>
    <n v="70"/>
  </r>
  <r>
    <n v="6895"/>
    <s v="Cynthia Evans"/>
    <x v="3"/>
    <x v="8"/>
    <x v="41"/>
    <d v="2021-05-22T00:00:00"/>
    <s v="Terminated"/>
    <x v="0"/>
    <x v="24"/>
    <s v="Associate"/>
    <s v="Robertport"/>
    <n v="72062"/>
    <n v="1"/>
    <n v="10"/>
    <n v="83"/>
  </r>
  <r>
    <n v="2287"/>
    <s v="Brian Delgado"/>
    <x v="2"/>
    <x v="5"/>
    <x v="42"/>
    <d v="2024-11-14T00:00:00"/>
    <s v="Terminated"/>
    <x v="0"/>
    <x v="25"/>
    <s v="Bachelor"/>
    <s v="Margaretport"/>
    <n v="32508"/>
    <n v="5"/>
    <n v="0"/>
    <n v="63"/>
  </r>
  <r>
    <n v="5762"/>
    <s v="Elizabeth Garrison"/>
    <x v="3"/>
    <x v="8"/>
    <x v="43"/>
    <m/>
    <s v="Active"/>
    <x v="2"/>
    <x v="5"/>
    <s v="Master"/>
    <s v="East Sharon"/>
    <n v="89304"/>
    <n v="2"/>
    <n v="11"/>
    <n v="67"/>
  </r>
  <r>
    <n v="8230"/>
    <s v="James Turner"/>
    <x v="4"/>
    <x v="4"/>
    <x v="44"/>
    <m/>
    <s v="Active"/>
    <x v="0"/>
    <x v="26"/>
    <s v="Master"/>
    <s v="West Rebeccaborough"/>
    <n v="69923"/>
    <n v="2"/>
    <n v="0"/>
    <n v="18"/>
  </r>
  <r>
    <n v="1149"/>
    <s v="Dean Romero"/>
    <x v="0"/>
    <x v="0"/>
    <x v="45"/>
    <d v="2023-06-23T00:00:00"/>
    <s v="Terminated"/>
    <x v="2"/>
    <x v="27"/>
    <s v="Bachelor"/>
    <s v="Adamland"/>
    <n v="50915"/>
    <n v="1"/>
    <n v="7"/>
    <n v="78"/>
  </r>
  <r>
    <n v="7251"/>
    <s v="Courtney Bell"/>
    <x v="5"/>
    <x v="11"/>
    <x v="46"/>
    <d v="2025-02-19T00:00:00"/>
    <s v="Terminated"/>
    <x v="0"/>
    <x v="17"/>
    <s v="Bachelor"/>
    <s v="Hawkinsburgh"/>
    <n v="40203"/>
    <n v="2"/>
    <n v="11"/>
    <n v="92"/>
  </r>
  <r>
    <n v="6688"/>
    <s v="Russell Becker"/>
    <x v="0"/>
    <x v="6"/>
    <x v="47"/>
    <d v="2025-04-11T00:00:00"/>
    <s v="Terminated"/>
    <x v="2"/>
    <x v="28"/>
    <s v="Master"/>
    <s v="Shannonfort"/>
    <n v="48144"/>
    <n v="4"/>
    <n v="10"/>
    <n v="41"/>
  </r>
  <r>
    <n v="1416"/>
    <s v="Calvin Hodges"/>
    <x v="4"/>
    <x v="9"/>
    <x v="48"/>
    <m/>
    <s v="Active"/>
    <x v="2"/>
    <x v="21"/>
    <s v="Associate"/>
    <s v="South Lisatown"/>
    <n v="39751"/>
    <n v="3"/>
    <n v="4"/>
    <n v="14"/>
  </r>
  <r>
    <n v="5884"/>
    <s v="Vickie Villarreal"/>
    <x v="0"/>
    <x v="0"/>
    <x v="49"/>
    <m/>
    <s v="Active"/>
    <x v="2"/>
    <x v="4"/>
    <s v="High School"/>
    <s v="North Eddie"/>
    <n v="86639"/>
    <n v="1"/>
    <n v="11"/>
    <n v="86"/>
  </r>
  <r>
    <n v="4207"/>
    <s v="Mary Brown"/>
    <x v="0"/>
    <x v="0"/>
    <x v="50"/>
    <d v="2023-05-15T00:00:00"/>
    <s v="Terminated"/>
    <x v="0"/>
    <x v="9"/>
    <s v="Associate"/>
    <s v="Samanthastad"/>
    <n v="54958"/>
    <n v="3"/>
    <n v="0"/>
    <n v="93"/>
  </r>
  <r>
    <n v="8564"/>
    <s v="Maurice Cole"/>
    <x v="3"/>
    <x v="12"/>
    <x v="51"/>
    <m/>
    <s v="Active"/>
    <x v="2"/>
    <x v="5"/>
    <s v="Associate"/>
    <s v="North Garyland"/>
    <n v="68275"/>
    <n v="1"/>
    <n v="8"/>
    <n v="94"/>
  </r>
  <r>
    <n v="2841"/>
    <s v="Carlos Curtis"/>
    <x v="4"/>
    <x v="4"/>
    <x v="47"/>
    <m/>
    <s v="Active"/>
    <x v="0"/>
    <x v="5"/>
    <s v="High School"/>
    <s v="Burchmouth"/>
    <n v="114995"/>
    <n v="3"/>
    <n v="12"/>
    <n v="61"/>
  </r>
  <r>
    <n v="6768"/>
    <s v="Peter Ruiz"/>
    <x v="5"/>
    <x v="7"/>
    <x v="52"/>
    <d v="2023-01-04T00:00:00"/>
    <s v="Terminated"/>
    <x v="2"/>
    <x v="8"/>
    <s v="Associate"/>
    <s v="Robertsonchester"/>
    <n v="77544"/>
    <n v="1"/>
    <n v="14"/>
    <n v="51"/>
  </r>
  <r>
    <n v="3597"/>
    <s v="David Hicks"/>
    <x v="0"/>
    <x v="0"/>
    <x v="53"/>
    <d v="2023-03-17T00:00:00"/>
    <s v="Terminated"/>
    <x v="2"/>
    <x v="9"/>
    <s v="Associate"/>
    <s v="Jasminechester"/>
    <n v="105628"/>
    <n v="1"/>
    <n v="9"/>
    <n v="0"/>
  </r>
  <r>
    <n v="2123"/>
    <s v="Stephanie Tanner DVM"/>
    <x v="2"/>
    <x v="2"/>
    <x v="54"/>
    <d v="2024-07-22T00:00:00"/>
    <s v="Terminated"/>
    <x v="1"/>
    <x v="24"/>
    <s v="Associate"/>
    <s v="Cookeberg"/>
    <n v="75632"/>
    <n v="5"/>
    <n v="3"/>
    <n v="8"/>
  </r>
  <r>
    <n v="3003"/>
    <s v="Michael Miller"/>
    <x v="3"/>
    <x v="12"/>
    <x v="55"/>
    <d v="2021-05-04T00:00:00"/>
    <s v="Terminated"/>
    <x v="1"/>
    <x v="12"/>
    <s v="Associate"/>
    <s v="North Tammy"/>
    <n v="77541"/>
    <n v="5"/>
    <n v="12"/>
    <n v="80"/>
  </r>
  <r>
    <n v="2366"/>
    <s v="Taylor Martin"/>
    <x v="4"/>
    <x v="9"/>
    <x v="56"/>
    <m/>
    <s v="Active"/>
    <x v="1"/>
    <x v="29"/>
    <s v="Bachelor"/>
    <s v="East Kim"/>
    <n v="95682"/>
    <n v="3"/>
    <n v="4"/>
    <n v="83"/>
  </r>
  <r>
    <n v="1058"/>
    <s v="Matthew Kelly"/>
    <x v="4"/>
    <x v="4"/>
    <x v="57"/>
    <d v="2024-10-01T00:00:00"/>
    <s v="Terminated"/>
    <x v="1"/>
    <x v="1"/>
    <s v="Associate"/>
    <s v="Nicoleport"/>
    <n v="89157"/>
    <n v="1"/>
    <n v="10"/>
    <n v="89"/>
  </r>
  <r>
    <n v="3618"/>
    <s v="Thomas Todd"/>
    <x v="1"/>
    <x v="1"/>
    <x v="58"/>
    <m/>
    <s v="Active"/>
    <x v="2"/>
    <x v="14"/>
    <s v="Associate"/>
    <s v="Ashleychester"/>
    <n v="71201"/>
    <n v="2"/>
    <n v="0"/>
    <n v="70"/>
  </r>
  <r>
    <n v="8934"/>
    <s v="Julia Carter"/>
    <x v="0"/>
    <x v="6"/>
    <x v="59"/>
    <d v="2024-06-11T00:00:00"/>
    <s v="Terminated"/>
    <x v="1"/>
    <x v="30"/>
    <s v="Master"/>
    <s v="Thomasberg"/>
    <n v="89415"/>
    <n v="2"/>
    <n v="4"/>
    <n v="9"/>
  </r>
  <r>
    <n v="9903"/>
    <s v="Jacqueline Thompson"/>
    <x v="0"/>
    <x v="0"/>
    <x v="60"/>
    <d v="2022-05-25T00:00:00"/>
    <s v="Terminated"/>
    <x v="2"/>
    <x v="20"/>
    <s v="Associate"/>
    <s v="Colebury"/>
    <n v="111547"/>
    <n v="2"/>
    <n v="2"/>
    <n v="88"/>
  </r>
  <r>
    <n v="2597"/>
    <s v="Jennifer Martin"/>
    <x v="2"/>
    <x v="5"/>
    <x v="61"/>
    <m/>
    <s v="Active"/>
    <x v="1"/>
    <x v="23"/>
    <s v="PhD"/>
    <s v="South Victoriafort"/>
    <n v="65766"/>
    <n v="1"/>
    <n v="10"/>
    <n v="52"/>
  </r>
  <r>
    <n v="6155"/>
    <s v="Christina Dillon"/>
    <x v="1"/>
    <x v="10"/>
    <x v="62"/>
    <m/>
    <s v="Active"/>
    <x v="1"/>
    <x v="7"/>
    <s v="Bachelor"/>
    <s v="Port Kylebury"/>
    <n v="50937"/>
    <n v="3"/>
    <n v="14"/>
    <n v="38"/>
  </r>
  <r>
    <n v="6831"/>
    <s v="Susan Long"/>
    <x v="5"/>
    <x v="7"/>
    <x v="63"/>
    <m/>
    <s v="Active"/>
    <x v="1"/>
    <x v="3"/>
    <s v="Master"/>
    <s v="New Caroline"/>
    <n v="100776"/>
    <n v="4"/>
    <n v="15"/>
    <n v="17"/>
  </r>
  <r>
    <n v="1849"/>
    <s v="Julie Buchanan"/>
    <x v="2"/>
    <x v="5"/>
    <x v="64"/>
    <m/>
    <s v="Active"/>
    <x v="2"/>
    <x v="30"/>
    <s v="Master"/>
    <s v="Robertsonland"/>
    <n v="82514"/>
    <n v="5"/>
    <n v="9"/>
    <n v="74"/>
  </r>
  <r>
    <n v="2091"/>
    <s v="Willie Flynn"/>
    <x v="4"/>
    <x v="4"/>
    <x v="65"/>
    <d v="2023-03-05T00:00:00"/>
    <s v="Terminated"/>
    <x v="0"/>
    <x v="6"/>
    <s v="Bachelor"/>
    <s v="West Troy"/>
    <n v="118137"/>
    <n v="4"/>
    <n v="4"/>
    <n v="4"/>
  </r>
  <r>
    <n v="3783"/>
    <s v="Lisa Young"/>
    <x v="2"/>
    <x v="5"/>
    <x v="66"/>
    <m/>
    <s v="Active"/>
    <x v="0"/>
    <x v="6"/>
    <s v="Master"/>
    <s v="North Bruce"/>
    <n v="87170"/>
    <n v="5"/>
    <n v="1"/>
    <n v="68"/>
  </r>
  <r>
    <n v="9921"/>
    <s v="Michelle Long"/>
    <x v="5"/>
    <x v="7"/>
    <x v="44"/>
    <m/>
    <s v="Active"/>
    <x v="1"/>
    <x v="2"/>
    <s v="Bachelor"/>
    <s v="Lake William"/>
    <n v="89211"/>
    <n v="1"/>
    <n v="6"/>
    <n v="53"/>
  </r>
  <r>
    <n v="3620"/>
    <s v="Trevor Winters"/>
    <x v="1"/>
    <x v="1"/>
    <x v="67"/>
    <d v="2024-11-22T00:00:00"/>
    <s v="Terminated"/>
    <x v="2"/>
    <x v="22"/>
    <s v="Associate"/>
    <s v="Johnbury"/>
    <n v="41460"/>
    <n v="4"/>
    <n v="1"/>
    <n v="95"/>
  </r>
  <r>
    <n v="3843"/>
    <s v="Timothy Mcintyre"/>
    <x v="1"/>
    <x v="10"/>
    <x v="68"/>
    <d v="2022-08-30T00:00:00"/>
    <s v="Terminated"/>
    <x v="0"/>
    <x v="28"/>
    <s v="PhD"/>
    <s v="Diazhaven"/>
    <n v="99989"/>
    <n v="4"/>
    <n v="14"/>
    <n v="61"/>
  </r>
  <r>
    <n v="9533"/>
    <s v="Chelsea Figueroa"/>
    <x v="0"/>
    <x v="0"/>
    <x v="69"/>
    <d v="2019-10-12T00:00:00"/>
    <s v="Terminated"/>
    <x v="2"/>
    <x v="28"/>
    <s v="Bachelor"/>
    <s v="East Russelltown"/>
    <n v="60621"/>
    <n v="3"/>
    <n v="7"/>
    <n v="75"/>
  </r>
  <r>
    <n v="1298"/>
    <s v="Gabriel Morales"/>
    <x v="3"/>
    <x v="12"/>
    <x v="15"/>
    <m/>
    <s v="Active"/>
    <x v="2"/>
    <x v="31"/>
    <s v="Associate"/>
    <s v="Hannafurt"/>
    <n v="91035"/>
    <n v="2"/>
    <n v="1"/>
    <n v="82"/>
  </r>
  <r>
    <n v="5229"/>
    <s v="Kevin Turner"/>
    <x v="4"/>
    <x v="9"/>
    <x v="70"/>
    <m/>
    <s v="Active"/>
    <x v="2"/>
    <x v="4"/>
    <s v="High School"/>
    <s v="Schmidtshire"/>
    <n v="63991"/>
    <n v="4"/>
    <n v="13"/>
    <n v="20"/>
  </r>
  <r>
    <n v="8146"/>
    <s v="Anthony Hood"/>
    <x v="5"/>
    <x v="7"/>
    <x v="71"/>
    <d v="2023-05-01T00:00:00"/>
    <s v="Terminated"/>
    <x v="1"/>
    <x v="32"/>
    <s v="Master"/>
    <s v="Port Tamaraville"/>
    <n v="32478"/>
    <n v="4"/>
    <n v="5"/>
    <n v="74"/>
  </r>
  <r>
    <n v="5382"/>
    <s v="Derek Diaz"/>
    <x v="1"/>
    <x v="10"/>
    <x v="72"/>
    <m/>
    <s v="Active"/>
    <x v="1"/>
    <x v="33"/>
    <s v="Associate"/>
    <s v="Robertberg"/>
    <n v="61670"/>
    <n v="5"/>
    <n v="10"/>
    <n v="98"/>
  </r>
  <r>
    <n v="1433"/>
    <s v="Daniel Wallace"/>
    <x v="3"/>
    <x v="8"/>
    <x v="73"/>
    <m/>
    <s v="Active"/>
    <x v="2"/>
    <x v="6"/>
    <s v="Bachelor"/>
    <s v="South Amy"/>
    <n v="30561"/>
    <n v="2"/>
    <n v="13"/>
    <n v="41"/>
  </r>
  <r>
    <n v="8795"/>
    <s v="Pamela Delacruz"/>
    <x v="5"/>
    <x v="7"/>
    <x v="74"/>
    <d v="2024-06-10T00:00:00"/>
    <s v="Terminated"/>
    <x v="0"/>
    <x v="34"/>
    <s v="Associate"/>
    <s v="Port Mitchell"/>
    <n v="118239"/>
    <n v="2"/>
    <n v="12"/>
    <n v="59"/>
  </r>
  <r>
    <n v="8327"/>
    <s v="Nicole Long"/>
    <x v="4"/>
    <x v="4"/>
    <x v="9"/>
    <m/>
    <s v="Active"/>
    <x v="1"/>
    <x v="10"/>
    <s v="High School"/>
    <s v="Hoffmanburgh"/>
    <n v="55289"/>
    <n v="3"/>
    <n v="14"/>
    <n v="45"/>
  </r>
  <r>
    <n v="2213"/>
    <s v="Jessica Powell"/>
    <x v="4"/>
    <x v="4"/>
    <x v="75"/>
    <m/>
    <s v="Active"/>
    <x v="1"/>
    <x v="17"/>
    <s v="Associate"/>
    <s v="East Carla"/>
    <n v="31843"/>
    <n v="2"/>
    <n v="9"/>
    <n v="74"/>
  </r>
  <r>
    <n v="9111"/>
    <s v="Susan Gonzalez"/>
    <x v="2"/>
    <x v="5"/>
    <x v="76"/>
    <m/>
    <s v="Active"/>
    <x v="2"/>
    <x v="15"/>
    <s v="PhD"/>
    <s v="Jamesburgh"/>
    <n v="37502"/>
    <n v="2"/>
    <n v="4"/>
    <n v="19"/>
  </r>
  <r>
    <n v="8719"/>
    <s v="Steven Reynolds"/>
    <x v="1"/>
    <x v="1"/>
    <x v="77"/>
    <m/>
    <s v="Active"/>
    <x v="1"/>
    <x v="32"/>
    <s v="Master"/>
    <s v="South Cory"/>
    <n v="109241"/>
    <n v="5"/>
    <n v="6"/>
    <n v="93"/>
  </r>
  <r>
    <n v="7494"/>
    <s v="Michelle Hernandez"/>
    <x v="0"/>
    <x v="6"/>
    <x v="78"/>
    <d v="2025-02-05T00:00:00"/>
    <s v="Terminated"/>
    <x v="1"/>
    <x v="15"/>
    <s v="Master"/>
    <s v="Griffinton"/>
    <n v="90557"/>
    <n v="1"/>
    <n v="11"/>
    <n v="87"/>
  </r>
  <r>
    <n v="7771"/>
    <s v="Jennifer Roberts"/>
    <x v="2"/>
    <x v="5"/>
    <x v="79"/>
    <m/>
    <s v="Active"/>
    <x v="0"/>
    <x v="2"/>
    <s v="Associate"/>
    <s v="Port Sean"/>
    <n v="102116"/>
    <n v="2"/>
    <n v="6"/>
    <n v="63"/>
  </r>
  <r>
    <n v="4350"/>
    <s v="Rachael Allen"/>
    <x v="5"/>
    <x v="11"/>
    <x v="80"/>
    <d v="2025-02-22T00:00:00"/>
    <s v="Terminated"/>
    <x v="1"/>
    <x v="30"/>
    <s v="High School"/>
    <s v="South Kelseyton"/>
    <n v="81896"/>
    <n v="1"/>
    <n v="6"/>
    <n v="12"/>
  </r>
  <r>
    <n v="3165"/>
    <s v="Charles Stewart"/>
    <x v="1"/>
    <x v="10"/>
    <x v="81"/>
    <m/>
    <s v="Active"/>
    <x v="2"/>
    <x v="5"/>
    <s v="Associate"/>
    <s v="East Michelehaven"/>
    <n v="113859"/>
    <n v="4"/>
    <n v="14"/>
    <n v="80"/>
  </r>
  <r>
    <n v="2997"/>
    <s v="Barbara Turner"/>
    <x v="3"/>
    <x v="8"/>
    <x v="82"/>
    <m/>
    <s v="Active"/>
    <x v="2"/>
    <x v="24"/>
    <s v="High School"/>
    <s v="Mooreberg"/>
    <n v="49050"/>
    <n v="5"/>
    <n v="4"/>
    <n v="6"/>
  </r>
  <r>
    <n v="1854"/>
    <s v="Christina Guzman"/>
    <x v="0"/>
    <x v="0"/>
    <x v="83"/>
    <m/>
    <s v="Active"/>
    <x v="2"/>
    <x v="6"/>
    <s v="Bachelor"/>
    <s v="East Nicolefurt"/>
    <n v="113337"/>
    <n v="2"/>
    <n v="5"/>
    <n v="35"/>
  </r>
  <r>
    <n v="3581"/>
    <s v="Brian Deleon"/>
    <x v="5"/>
    <x v="11"/>
    <x v="84"/>
    <m/>
    <s v="Active"/>
    <x v="1"/>
    <x v="13"/>
    <s v="PhD"/>
    <s v="Jasonhaven"/>
    <n v="80945"/>
    <n v="3"/>
    <n v="7"/>
    <n v="84"/>
  </r>
  <r>
    <n v="9915"/>
    <s v="Jill Bennett"/>
    <x v="2"/>
    <x v="2"/>
    <x v="85"/>
    <d v="2020-10-08T00:00:00"/>
    <s v="Terminated"/>
    <x v="0"/>
    <x v="35"/>
    <s v="Bachelor"/>
    <s v="Ashleystad"/>
    <n v="101730"/>
    <n v="3"/>
    <n v="6"/>
    <n v="30"/>
  </r>
  <r>
    <n v="1161"/>
    <s v="Brittany Crosby"/>
    <x v="0"/>
    <x v="0"/>
    <x v="86"/>
    <m/>
    <s v="Active"/>
    <x v="0"/>
    <x v="6"/>
    <s v="PhD"/>
    <s v="Alexanderfurt"/>
    <n v="31258"/>
    <n v="2"/>
    <n v="14"/>
    <n v="100"/>
  </r>
  <r>
    <n v="4475"/>
    <s v="Thomas Frye"/>
    <x v="1"/>
    <x v="10"/>
    <x v="87"/>
    <m/>
    <s v="Active"/>
    <x v="2"/>
    <x v="32"/>
    <s v="Master"/>
    <s v="Pattonfort"/>
    <n v="97480"/>
    <n v="2"/>
    <n v="8"/>
    <n v="54"/>
  </r>
  <r>
    <n v="7857"/>
    <s v="Kerry Berger"/>
    <x v="1"/>
    <x v="10"/>
    <x v="88"/>
    <m/>
    <s v="Active"/>
    <x v="1"/>
    <x v="35"/>
    <s v="PhD"/>
    <s v="North Maryton"/>
    <n v="93094"/>
    <n v="1"/>
    <n v="7"/>
    <n v="34"/>
  </r>
  <r>
    <n v="9988"/>
    <s v="Mary Greer"/>
    <x v="3"/>
    <x v="3"/>
    <x v="89"/>
    <d v="2025-04-09T00:00:00"/>
    <s v="Terminated"/>
    <x v="0"/>
    <x v="9"/>
    <s v="Master"/>
    <s v="East Andreafurt"/>
    <n v="75761"/>
    <n v="1"/>
    <n v="1"/>
    <n v="97"/>
  </r>
  <r>
    <n v="7047"/>
    <s v="James Fisher"/>
    <x v="1"/>
    <x v="1"/>
    <x v="90"/>
    <m/>
    <s v="Active"/>
    <x v="2"/>
    <x v="34"/>
    <s v="PhD"/>
    <s v="Port Whitneychester"/>
    <n v="87806"/>
    <n v="4"/>
    <n v="1"/>
    <n v="19"/>
  </r>
  <r>
    <n v="2453"/>
    <s v="Emma Price"/>
    <x v="3"/>
    <x v="3"/>
    <x v="91"/>
    <m/>
    <s v="Active"/>
    <x v="2"/>
    <x v="36"/>
    <s v="High School"/>
    <s v="North Destiny"/>
    <n v="105346"/>
    <n v="3"/>
    <n v="12"/>
    <n v="62"/>
  </r>
  <r>
    <n v="1752"/>
    <s v="Hannah Carlson"/>
    <x v="5"/>
    <x v="11"/>
    <x v="92"/>
    <d v="2022-08-31T00:00:00"/>
    <s v="Terminated"/>
    <x v="2"/>
    <x v="14"/>
    <s v="Master"/>
    <s v="Loriview"/>
    <n v="69033"/>
    <n v="1"/>
    <n v="7"/>
    <n v="85"/>
  </r>
  <r>
    <n v="7646"/>
    <s v="Bryan Walsh"/>
    <x v="5"/>
    <x v="11"/>
    <x v="93"/>
    <m/>
    <s v="Active"/>
    <x v="2"/>
    <x v="11"/>
    <s v="Bachelor"/>
    <s v="Lake Ericmouth"/>
    <n v="100506"/>
    <n v="5"/>
    <n v="5"/>
    <n v="75"/>
  </r>
  <r>
    <n v="7271"/>
    <s v="Dawn Duffy"/>
    <x v="2"/>
    <x v="5"/>
    <x v="94"/>
    <m/>
    <s v="Active"/>
    <x v="1"/>
    <x v="21"/>
    <s v="PhD"/>
    <s v="Mooreburgh"/>
    <n v="72490"/>
    <n v="3"/>
    <n v="5"/>
    <n v="51"/>
  </r>
  <r>
    <n v="6795"/>
    <s v="Kelly Hardin"/>
    <x v="4"/>
    <x v="4"/>
    <x v="95"/>
    <m/>
    <s v="Active"/>
    <x v="0"/>
    <x v="5"/>
    <s v="Master"/>
    <s v="Mortonland"/>
    <n v="118871"/>
    <n v="2"/>
    <n v="11"/>
    <n v="2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9121"/>
    <s v="Michael King"/>
    <s v="Marketing"/>
    <s v="Content Creator"/>
    <d v="2017-11-16T00:00:00"/>
    <d v="2020-08-15T00:00:00"/>
    <s v="Terminated"/>
    <s v="Other"/>
    <n v="38"/>
    <s v="Master"/>
    <s v="Theresaberg"/>
    <n v="44456"/>
    <n v="3"/>
    <n v="7"/>
    <n v="21"/>
    <n v="41"/>
    <n v="1"/>
    <x v="0"/>
  </r>
  <r>
    <n v="5105"/>
    <s v="Alexandra Todd"/>
    <s v="Finance"/>
    <s v="Financial Analyst"/>
    <d v="2018-06-27T00:00:00"/>
    <m/>
    <s v="Active"/>
    <s v="Male"/>
    <n v="36"/>
    <s v="Master"/>
    <s v="Dicksonburgh"/>
    <n v="95380"/>
    <n v="4"/>
    <n v="10"/>
    <n v="52"/>
    <n v="82"/>
    <n v="0"/>
    <x v="0"/>
  </r>
  <r>
    <n v="2934"/>
    <s v="Amanda Chambers"/>
    <s v="Sales"/>
    <s v="Sales Rep"/>
    <d v="2018-12-10T00:00:00"/>
    <m/>
    <s v="Active"/>
    <s v="Other"/>
    <n v="60"/>
    <s v="Master"/>
    <s v="Lake Jasonborough"/>
    <n v="50090"/>
    <n v="2"/>
    <n v="5"/>
    <n v="53"/>
    <n v="29"/>
    <n v="0"/>
    <x v="1"/>
  </r>
  <r>
    <n v="4601"/>
    <s v="Ashley Watkins"/>
    <s v="Finance"/>
    <s v="Financial Analyst"/>
    <d v="2018-03-05T00:00:00"/>
    <m/>
    <s v="Active"/>
    <s v="Other"/>
    <n v="25"/>
    <s v="PhD"/>
    <s v="Michaelshire"/>
    <n v="53855"/>
    <n v="3"/>
    <n v="15"/>
    <n v="51"/>
    <n v="49"/>
    <n v="0"/>
    <x v="0"/>
  </r>
  <r>
    <n v="2805"/>
    <s v="Sherri Dawson"/>
    <s v="Marketing"/>
    <s v="Content Creator"/>
    <d v="2018-07-31T00:00:00"/>
    <m/>
    <s v="Active"/>
    <s v="Male"/>
    <n v="60"/>
    <s v="Master"/>
    <s v="Oconnorberg"/>
    <n v="119492"/>
    <n v="2"/>
    <n v="11"/>
    <n v="72"/>
    <n v="31"/>
    <n v="0"/>
    <x v="1"/>
  </r>
  <r>
    <n v="4264"/>
    <s v="Kevin Thomas"/>
    <s v="Marketing"/>
    <s v="Content Creator"/>
    <d v="2018-10-23T00:00:00"/>
    <m/>
    <s v="Active"/>
    <s v="Male"/>
    <n v="51"/>
    <s v="Associate"/>
    <s v="East James"/>
    <n v="41008"/>
    <n v="1"/>
    <n v="14"/>
    <n v="82"/>
    <n v="6"/>
    <n v="0"/>
    <x v="1"/>
  </r>
  <r>
    <n v="1593"/>
    <s v="Jamie Clarke"/>
    <s v="IT"/>
    <s v="System Admin"/>
    <d v="2017-04-09T00:00:00"/>
    <m/>
    <s v="Active"/>
    <s v="Other"/>
    <n v="46"/>
    <s v="Associate"/>
    <s v="South Daniel"/>
    <n v="102970"/>
    <n v="3"/>
    <n v="1"/>
    <n v="64"/>
    <n v="39"/>
    <n v="0"/>
    <x v="0"/>
  </r>
  <r>
    <n v="2498"/>
    <s v="Jessica Rivera"/>
    <s v="Sales"/>
    <s v="Sales Rep"/>
    <d v="2022-09-21T00:00:00"/>
    <m/>
    <s v="Active"/>
    <s v="Male"/>
    <n v="40"/>
    <s v="Bachelor"/>
    <s v="Steventown"/>
    <n v="75001"/>
    <n v="4"/>
    <n v="5"/>
    <n v="46"/>
    <n v="65"/>
    <n v="0"/>
    <x v="0"/>
  </r>
  <r>
    <n v="2560"/>
    <s v="Meghan Brooks"/>
    <s v="Marketing"/>
    <s v="Content Creator"/>
    <d v="2024-02-16T00:00:00"/>
    <m/>
    <s v="Active"/>
    <s v="Male"/>
    <n v="52"/>
    <s v="PhD"/>
    <s v="Colemanberg"/>
    <n v="111260"/>
    <n v="1"/>
    <n v="8"/>
    <n v="39"/>
    <n v="2"/>
    <n v="0"/>
    <x v="1"/>
  </r>
  <r>
    <n v="8584"/>
    <s v="Katie Black"/>
    <s v="Finance"/>
    <s v="Financial Analyst"/>
    <d v="2015-09-10T00:00:00"/>
    <d v="2018-11-19T00:00:00"/>
    <s v="Terminated"/>
    <s v="Male"/>
    <n v="26"/>
    <s v="Bachelor"/>
    <s v="Rebeccabury"/>
    <n v="78806"/>
    <n v="5"/>
    <n v="6"/>
    <n v="92"/>
    <n v="74"/>
    <n v="1"/>
    <x v="2"/>
  </r>
  <r>
    <n v="3897"/>
    <s v="David Arroyo"/>
    <s v="HR"/>
    <s v="HR Coordinator"/>
    <d v="2018-05-16T00:00:00"/>
    <d v="2021-04-01T00:00:00"/>
    <s v="Terminated"/>
    <s v="Female"/>
    <n v="50"/>
    <s v="Master"/>
    <s v="West Ashley"/>
    <n v="75813"/>
    <n v="3"/>
    <n v="1"/>
    <n v="9"/>
    <n v="51"/>
    <n v="1"/>
    <x v="0"/>
  </r>
  <r>
    <n v="1477"/>
    <s v="Amy Summers"/>
    <s v="Sales"/>
    <s v="Sales Rep"/>
    <d v="2016-09-19T00:00:00"/>
    <d v="2020-01-12T00:00:00"/>
    <s v="Terminated"/>
    <s v="Male"/>
    <n v="34"/>
    <s v="PhD"/>
    <s v="South David"/>
    <n v="32313"/>
    <n v="4"/>
    <n v="15"/>
    <n v="62"/>
    <n v="93"/>
    <n v="1"/>
    <x v="0"/>
  </r>
  <r>
    <n v="7051"/>
    <s v="Shannon Rubio"/>
    <s v="Finance"/>
    <s v="Financial Analyst"/>
    <d v="2023-05-30T00:00:00"/>
    <m/>
    <s v="Active"/>
    <s v="Female"/>
    <n v="51"/>
    <s v="Associate"/>
    <s v="Glassberg"/>
    <n v="79626"/>
    <n v="3"/>
    <n v="4"/>
    <n v="27"/>
    <n v="47"/>
    <n v="0"/>
    <x v="0"/>
  </r>
  <r>
    <n v="9637"/>
    <s v="Heather Greer"/>
    <s v="Sales"/>
    <s v="Account Manager"/>
    <d v="2016-03-11T00:00:00"/>
    <m/>
    <s v="Active"/>
    <s v="Other"/>
    <n v="40"/>
    <s v="High School"/>
    <s v="West Kevin"/>
    <n v="79583"/>
    <n v="4"/>
    <n v="4"/>
    <n v="30"/>
    <n v="91"/>
    <n v="0"/>
    <x v="0"/>
  </r>
  <r>
    <n v="9110"/>
    <s v="Victoria Baker"/>
    <s v="Marketing"/>
    <s v="SEO Specialist"/>
    <d v="2018-01-27T00:00:00"/>
    <m/>
    <s v="Active"/>
    <s v="Male"/>
    <n v="40"/>
    <s v="Associate"/>
    <s v="Mendezfort"/>
    <n v="87991"/>
    <n v="5"/>
    <n v="3"/>
    <n v="52"/>
    <n v="61"/>
    <n v="0"/>
    <x v="2"/>
  </r>
  <r>
    <n v="8200"/>
    <s v="Derek Miller"/>
    <s v="HR"/>
    <s v="HR Coordinator"/>
    <d v="2017-07-04T00:00:00"/>
    <d v="2018-04-27T00:00:00"/>
    <s v="Terminated"/>
    <s v="Male"/>
    <n v="58"/>
    <s v="High School"/>
    <s v="Port Mariashire"/>
    <n v="90023"/>
    <n v="4"/>
    <n v="3"/>
    <n v="42"/>
    <n v="62"/>
    <n v="1"/>
    <x v="0"/>
  </r>
  <r>
    <n v="1778"/>
    <s v="Paul Joseph"/>
    <s v="Operations"/>
    <s v="Operations Coordinator"/>
    <d v="2016-07-09T00:00:00"/>
    <m/>
    <s v="Active"/>
    <s v="Female"/>
    <n v="32"/>
    <s v="Associate"/>
    <s v="East Christinemouth"/>
    <n v="95371"/>
    <n v="5"/>
    <n v="13"/>
    <n v="91"/>
    <n v="100"/>
    <n v="0"/>
    <x v="2"/>
  </r>
  <r>
    <n v="1182"/>
    <s v="David Jones"/>
    <s v="HR"/>
    <s v="HR Coordinator"/>
    <d v="2020-01-13T00:00:00"/>
    <m/>
    <s v="Active"/>
    <s v="Male"/>
    <n v="49"/>
    <s v="Associate"/>
    <s v="North Rebeccahaven"/>
    <n v="54240"/>
    <n v="5"/>
    <n v="1"/>
    <n v="49"/>
    <n v="87"/>
    <n v="0"/>
    <x v="2"/>
  </r>
  <r>
    <n v="4254"/>
    <s v="Yolanda Gonzalez"/>
    <s v="Marketing"/>
    <s v="SEO Specialist"/>
    <d v="2016-09-14T00:00:00"/>
    <m/>
    <s v="Active"/>
    <s v="Female"/>
    <n v="35"/>
    <s v="Associate"/>
    <s v="Tanyaberg"/>
    <n v="105074"/>
    <n v="1"/>
    <n v="7"/>
    <n v="9"/>
    <n v="17"/>
    <n v="0"/>
    <x v="1"/>
  </r>
  <r>
    <n v="4235"/>
    <s v="Veronica Pearson"/>
    <s v="Finance"/>
    <s v="Financial Analyst"/>
    <d v="2019-07-28T00:00:00"/>
    <d v="2023-06-14T00:00:00"/>
    <s v="Terminated"/>
    <s v="Female"/>
    <n v="33"/>
    <s v="Bachelor"/>
    <s v="Deborahhaven"/>
    <n v="34603"/>
    <n v="5"/>
    <n v="15"/>
    <n v="11"/>
    <n v="81"/>
    <n v="1"/>
    <x v="2"/>
  </r>
  <r>
    <n v="4528"/>
    <s v="Tabitha Chapman"/>
    <s v="Marketing"/>
    <s v="Content Creator"/>
    <d v="2020-01-24T00:00:00"/>
    <d v="2025-02-05T00:00:00"/>
    <s v="Terminated"/>
    <s v="Male"/>
    <n v="59"/>
    <s v="PhD"/>
    <s v="South Davidfurt"/>
    <n v="76940"/>
    <n v="3"/>
    <n v="6"/>
    <n v="90"/>
    <n v="50"/>
    <n v="1"/>
    <x v="0"/>
  </r>
  <r>
    <n v="3157"/>
    <s v="Jill Dalton"/>
    <s v="IT"/>
    <s v="Developer"/>
    <d v="2021-11-25T00:00:00"/>
    <m/>
    <s v="Active"/>
    <s v="Other"/>
    <n v="30"/>
    <s v="Master"/>
    <s v="Nicholasport"/>
    <n v="78941"/>
    <n v="4"/>
    <n v="15"/>
    <n v="45"/>
    <n v="85"/>
    <n v="0"/>
    <x v="0"/>
  </r>
  <r>
    <n v="4362"/>
    <s v="Rachel Wagner MD"/>
    <s v="HR"/>
    <s v="HR Manager"/>
    <d v="2017-09-12T00:00:00"/>
    <m/>
    <s v="Active"/>
    <s v="Male"/>
    <n v="52"/>
    <s v="PhD"/>
    <s v="South Daniellechester"/>
    <n v="69098"/>
    <n v="1"/>
    <n v="14"/>
    <n v="70"/>
    <n v="5"/>
    <n v="0"/>
    <x v="1"/>
  </r>
  <r>
    <n v="3081"/>
    <s v="James Patrick"/>
    <s v="HR"/>
    <s v="HR Coordinator"/>
    <d v="2016-05-24T00:00:00"/>
    <d v="2021-02-16T00:00:00"/>
    <s v="Terminated"/>
    <s v="Other"/>
    <n v="61"/>
    <s v="Bachelor"/>
    <s v="Johnland"/>
    <n v="91852"/>
    <n v="3"/>
    <n v="5"/>
    <n v="55"/>
    <n v="57"/>
    <n v="1"/>
    <x v="0"/>
  </r>
  <r>
    <n v="1136"/>
    <s v="Maria Watson"/>
    <s v="Finance"/>
    <s v="Accountant"/>
    <d v="2019-02-03T00:00:00"/>
    <d v="2021-03-13T00:00:00"/>
    <s v="Terminated"/>
    <s v="Female"/>
    <n v="60"/>
    <s v="Bachelor"/>
    <s v="South Aaron"/>
    <n v="52930"/>
    <n v="5"/>
    <n v="1"/>
    <n v="28"/>
    <n v="60"/>
    <n v="1"/>
    <x v="2"/>
  </r>
  <r>
    <n v="3308"/>
    <s v="Nathan Green"/>
    <s v="Marketing"/>
    <s v="Content Creator"/>
    <d v="2022-02-24T00:00:00"/>
    <d v="2023-04-12T00:00:00"/>
    <s v="Terminated"/>
    <s v="Female"/>
    <n v="55"/>
    <s v="Bachelor"/>
    <s v="South Felicia"/>
    <n v="79715"/>
    <n v="3"/>
    <n v="5"/>
    <n v="14"/>
    <n v="50"/>
    <n v="1"/>
    <x v="0"/>
  </r>
  <r>
    <n v="1482"/>
    <s v="Edward Reyes"/>
    <s v="HR"/>
    <s v="HR Manager"/>
    <d v="2019-01-02T00:00:00"/>
    <m/>
    <s v="Active"/>
    <s v="Other"/>
    <n v="45"/>
    <s v="Bachelor"/>
    <s v="West Joseph"/>
    <n v="72076"/>
    <n v="5"/>
    <n v="4"/>
    <n v="2"/>
    <n v="59"/>
    <n v="0"/>
    <x v="2"/>
  </r>
  <r>
    <n v="4592"/>
    <s v="Russell Fields"/>
    <s v="IT"/>
    <s v="Developer"/>
    <d v="2018-01-10T00:00:00"/>
    <m/>
    <s v="Active"/>
    <s v="Female"/>
    <n v="23"/>
    <s v="Master"/>
    <s v="New Nicoleview"/>
    <n v="42397"/>
    <n v="3"/>
    <n v="9"/>
    <n v="71"/>
    <n v="40"/>
    <n v="0"/>
    <x v="0"/>
  </r>
  <r>
    <n v="7479"/>
    <s v="Eric King"/>
    <s v="Marketing"/>
    <s v="SEO Specialist"/>
    <d v="2020-12-02T00:00:00"/>
    <d v="2022-07-26T00:00:00"/>
    <s v="Terminated"/>
    <s v="Male"/>
    <n v="44"/>
    <s v="Bachelor"/>
    <s v="New Jeanne"/>
    <n v="67028"/>
    <n v="1"/>
    <n v="3"/>
    <n v="45"/>
    <n v="13"/>
    <n v="1"/>
    <x v="1"/>
  </r>
  <r>
    <n v="7732"/>
    <s v="Anne Mercado"/>
    <s v="Finance"/>
    <s v="Financial Analyst"/>
    <d v="2017-04-08T00:00:00"/>
    <m/>
    <s v="Active"/>
    <s v="Male"/>
    <n v="48"/>
    <s v="Associate"/>
    <s v="Lake Marie"/>
    <n v="47478"/>
    <n v="1"/>
    <n v="3"/>
    <n v="63"/>
    <n v="8"/>
    <n v="0"/>
    <x v="1"/>
  </r>
  <r>
    <n v="1283"/>
    <s v="Brandon Browning"/>
    <s v="Operations"/>
    <s v="Operations Coordinator"/>
    <d v="2024-01-07T00:00:00"/>
    <d v="2024-12-22T00:00:00"/>
    <s v="Terminated"/>
    <s v="Male"/>
    <n v="48"/>
    <s v="Associate"/>
    <s v="Nicholeburgh"/>
    <n v="42504"/>
    <n v="3"/>
    <n v="2"/>
    <n v="96"/>
    <n v="42"/>
    <n v="1"/>
    <x v="0"/>
  </r>
  <r>
    <n v="8580"/>
    <s v="Erin Martin"/>
    <s v="Operations"/>
    <s v="Logistics Manager"/>
    <d v="2015-10-23T00:00:00"/>
    <m/>
    <s v="Active"/>
    <s v="Female"/>
    <n v="33"/>
    <s v="High School"/>
    <s v="Christophermouth"/>
    <n v="55814"/>
    <n v="2"/>
    <n v="15"/>
    <n v="8"/>
    <n v="33"/>
    <n v="0"/>
    <x v="1"/>
  </r>
  <r>
    <n v="2568"/>
    <s v="Mr. Seth Shields"/>
    <s v="Sales"/>
    <s v="Sales Rep"/>
    <d v="2015-11-04T00:00:00"/>
    <d v="2018-01-23T00:00:00"/>
    <s v="Terminated"/>
    <s v="Female"/>
    <n v="35"/>
    <s v="Associate"/>
    <s v="South Rickyshire"/>
    <n v="86857"/>
    <n v="2"/>
    <n v="1"/>
    <n v="98"/>
    <n v="33"/>
    <n v="1"/>
    <x v="1"/>
  </r>
  <r>
    <n v="3962"/>
    <s v="Henry Wright"/>
    <s v="IT"/>
    <s v="System Admin"/>
    <d v="2016-01-15T00:00:00"/>
    <d v="2024-09-14T00:00:00"/>
    <s v="Terminated"/>
    <s v="Male"/>
    <n v="55"/>
    <s v="High School"/>
    <s v="New Kylestad"/>
    <n v="45506"/>
    <n v="1"/>
    <n v="13"/>
    <n v="63"/>
    <n v="6"/>
    <n v="1"/>
    <x v="1"/>
  </r>
  <r>
    <n v="3178"/>
    <s v="Wesley Moran"/>
    <s v="HR"/>
    <s v="HR Manager"/>
    <d v="2016-06-22T00:00:00"/>
    <d v="2022-07-26T00:00:00"/>
    <s v="Terminated"/>
    <s v="Female"/>
    <n v="26"/>
    <s v="PhD"/>
    <s v="Martinstad"/>
    <n v="49807"/>
    <n v="5"/>
    <n v="4"/>
    <n v="12"/>
    <n v="77"/>
    <n v="1"/>
    <x v="2"/>
  </r>
  <r>
    <n v="4141"/>
    <s v="Henry Sanders"/>
    <s v="Sales"/>
    <s v="Account Manager"/>
    <d v="2020-06-03T00:00:00"/>
    <m/>
    <s v="Active"/>
    <s v="Other"/>
    <n v="55"/>
    <s v="Associate"/>
    <s v="Lewismouth"/>
    <n v="88542"/>
    <n v="5"/>
    <n v="10"/>
    <n v="82"/>
    <n v="70"/>
    <n v="0"/>
    <x v="2"/>
  </r>
  <r>
    <n v="3599"/>
    <s v="Timothy Lindsey"/>
    <s v="HR"/>
    <s v="HR Manager"/>
    <d v="2019-07-24T00:00:00"/>
    <m/>
    <s v="Active"/>
    <s v="Other"/>
    <n v="51"/>
    <s v="Master"/>
    <s v="Foleyfurt"/>
    <n v="111654"/>
    <n v="1"/>
    <n v="11"/>
    <n v="0"/>
    <n v="17"/>
    <n v="0"/>
    <x v="1"/>
  </r>
  <r>
    <n v="2514"/>
    <s v="Mary Ross"/>
    <s v="HR"/>
    <s v="HR Coordinator"/>
    <d v="2021-01-09T00:00:00"/>
    <d v="2021-10-03T00:00:00"/>
    <s v="Terminated"/>
    <s v="Male"/>
    <n v="38"/>
    <s v="High School"/>
    <s v="East Josephbury"/>
    <n v="86120"/>
    <n v="2"/>
    <n v="13"/>
    <n v="15"/>
    <n v="38"/>
    <n v="1"/>
    <x v="1"/>
  </r>
  <r>
    <n v="8563"/>
    <s v="Richard Lee"/>
    <s v="Finance"/>
    <s v="Accountant"/>
    <d v="2018-01-06T00:00:00"/>
    <m/>
    <s v="Active"/>
    <s v="Other"/>
    <n v="50"/>
    <s v="Master"/>
    <s v="Port Christophermouth"/>
    <n v="94810"/>
    <n v="1"/>
    <n v="1"/>
    <n v="62"/>
    <n v="11"/>
    <n v="0"/>
    <x v="1"/>
  </r>
  <r>
    <n v="7364"/>
    <s v="Daniel Wilson"/>
    <s v="Marketing"/>
    <s v="SEO Specialist"/>
    <d v="2022-02-21T00:00:00"/>
    <m/>
    <s v="Active"/>
    <s v="Male"/>
    <n v="23"/>
    <s v="High School"/>
    <s v="Lake Rebeccafort"/>
    <n v="94333"/>
    <n v="1"/>
    <n v="3"/>
    <n v="28"/>
    <n v="17"/>
    <n v="0"/>
    <x v="1"/>
  </r>
  <r>
    <n v="8855"/>
    <s v="Amy Clark"/>
    <s v="Sales"/>
    <s v="Account Manager"/>
    <d v="2018-09-23T00:00:00"/>
    <d v="2021-09-07T00:00:00"/>
    <s v="Terminated"/>
    <s v="Female"/>
    <n v="25"/>
    <s v="Associate"/>
    <s v="Williamshire"/>
    <n v="50792"/>
    <n v="3"/>
    <n v="15"/>
    <n v="70"/>
    <n v="39"/>
    <n v="1"/>
    <x v="0"/>
  </r>
  <r>
    <n v="6895"/>
    <s v="Cynthia Evans"/>
    <s v="IT"/>
    <s v="Developer"/>
    <d v="2017-05-03T00:00:00"/>
    <d v="2021-05-22T00:00:00"/>
    <s v="Terminated"/>
    <s v="Other"/>
    <n v="56"/>
    <s v="Associate"/>
    <s v="Robertport"/>
    <n v="72062"/>
    <n v="1"/>
    <n v="10"/>
    <n v="83"/>
    <n v="16"/>
    <n v="1"/>
    <x v="1"/>
  </r>
  <r>
    <n v="2287"/>
    <s v="Brian Delgado"/>
    <s v="Sales"/>
    <s v="Account Manager"/>
    <d v="2019-08-10T00:00:00"/>
    <d v="2024-11-14T00:00:00"/>
    <s v="Terminated"/>
    <s v="Other"/>
    <n v="57"/>
    <s v="Bachelor"/>
    <s v="Margaretport"/>
    <n v="32508"/>
    <n v="5"/>
    <n v="0"/>
    <n v="63"/>
    <n v="99"/>
    <n v="1"/>
    <x v="2"/>
  </r>
  <r>
    <n v="5762"/>
    <s v="Elizabeth Garrison"/>
    <s v="IT"/>
    <s v="Developer"/>
    <d v="2023-07-19T00:00:00"/>
    <m/>
    <s v="Active"/>
    <s v="Female"/>
    <n v="46"/>
    <s v="Master"/>
    <s v="East Sharon"/>
    <n v="89304"/>
    <n v="2"/>
    <n v="11"/>
    <n v="67"/>
    <n v="23"/>
    <n v="0"/>
    <x v="1"/>
  </r>
  <r>
    <n v="8230"/>
    <s v="James Turner"/>
    <s v="HR"/>
    <s v="HR Coordinator"/>
    <d v="2019-06-08T00:00:00"/>
    <m/>
    <s v="Active"/>
    <s v="Other"/>
    <n v="28"/>
    <s v="Master"/>
    <s v="West Rebeccaborough"/>
    <n v="69923"/>
    <n v="2"/>
    <n v="0"/>
    <n v="18"/>
    <n v="39"/>
    <n v="0"/>
    <x v="1"/>
  </r>
  <r>
    <n v="1149"/>
    <s v="Dean Romero"/>
    <s v="Marketing"/>
    <s v="Content Creator"/>
    <d v="2015-07-18T00:00:00"/>
    <d v="2023-06-23T00:00:00"/>
    <s v="Terminated"/>
    <s v="Female"/>
    <n v="43"/>
    <s v="Bachelor"/>
    <s v="Adamland"/>
    <n v="50915"/>
    <n v="1"/>
    <n v="7"/>
    <n v="78"/>
    <n v="20"/>
    <n v="1"/>
    <x v="1"/>
  </r>
  <r>
    <n v="7251"/>
    <s v="Courtney Bell"/>
    <s v="Operations"/>
    <s v="Logistics Manager"/>
    <d v="2016-07-18T00:00:00"/>
    <d v="2025-02-19T00:00:00"/>
    <s v="Terminated"/>
    <s v="Other"/>
    <n v="30"/>
    <s v="Bachelor"/>
    <s v="Hawkinsburgh"/>
    <n v="40203"/>
    <n v="2"/>
    <n v="11"/>
    <n v="92"/>
    <n v="26"/>
    <n v="1"/>
    <x v="1"/>
  </r>
  <r>
    <n v="6688"/>
    <s v="Russell Becker"/>
    <s v="Marketing"/>
    <s v="SEO Specialist"/>
    <d v="2024-03-11T00:00:00"/>
    <d v="2025-04-11T00:00:00"/>
    <s v="Terminated"/>
    <s v="Female"/>
    <n v="41"/>
    <s v="Master"/>
    <s v="Shannonfort"/>
    <n v="48144"/>
    <n v="4"/>
    <n v="10"/>
    <n v="41"/>
    <n v="82"/>
    <n v="1"/>
    <x v="0"/>
  </r>
  <r>
    <n v="1416"/>
    <s v="Calvin Hodges"/>
    <s v="HR"/>
    <s v="HR Manager"/>
    <d v="2020-07-05T00:00:00"/>
    <m/>
    <s v="Active"/>
    <s v="Female"/>
    <n v="23"/>
    <s v="Associate"/>
    <s v="South Lisatown"/>
    <n v="39751"/>
    <n v="3"/>
    <n v="4"/>
    <n v="14"/>
    <n v="40"/>
    <n v="0"/>
    <x v="0"/>
  </r>
  <r>
    <n v="5884"/>
    <s v="Vickie Villarreal"/>
    <s v="Marketing"/>
    <s v="Content Creator"/>
    <d v="2023-01-24T00:00:00"/>
    <m/>
    <s v="Active"/>
    <s v="Female"/>
    <n v="51"/>
    <s v="High School"/>
    <s v="North Eddie"/>
    <n v="86639"/>
    <n v="1"/>
    <n v="11"/>
    <n v="86"/>
    <n v="15"/>
    <n v="0"/>
    <x v="1"/>
  </r>
  <r>
    <n v="4207"/>
    <s v="Mary Brown"/>
    <s v="Marketing"/>
    <s v="Content Creator"/>
    <d v="2016-08-09T00:00:00"/>
    <d v="2023-05-15T00:00:00"/>
    <s v="Terminated"/>
    <s v="Other"/>
    <n v="50"/>
    <s v="Associate"/>
    <s v="Samanthastad"/>
    <n v="54958"/>
    <n v="3"/>
    <n v="0"/>
    <n v="93"/>
    <n v="54"/>
    <n v="1"/>
    <x v="0"/>
  </r>
  <r>
    <n v="8564"/>
    <s v="Maurice Cole"/>
    <s v="IT"/>
    <s v="IT Support"/>
    <d v="2021-10-23T00:00:00"/>
    <m/>
    <s v="Active"/>
    <s v="Female"/>
    <n v="46"/>
    <s v="Associate"/>
    <s v="North Garyland"/>
    <n v="68275"/>
    <n v="1"/>
    <n v="8"/>
    <n v="94"/>
    <n v="6"/>
    <n v="0"/>
    <x v="1"/>
  </r>
  <r>
    <n v="2841"/>
    <s v="Carlos Curtis"/>
    <s v="HR"/>
    <s v="HR Coordinator"/>
    <d v="2024-03-11T00:00:00"/>
    <m/>
    <s v="Active"/>
    <s v="Other"/>
    <n v="46"/>
    <s v="High School"/>
    <s v="Burchmouth"/>
    <n v="114995"/>
    <n v="3"/>
    <n v="12"/>
    <n v="61"/>
    <n v="47"/>
    <n v="0"/>
    <x v="0"/>
  </r>
  <r>
    <n v="6768"/>
    <s v="Peter Ruiz"/>
    <s v="Operations"/>
    <s v="Operations Coordinator"/>
    <d v="2018-12-15T00:00:00"/>
    <d v="2023-01-04T00:00:00"/>
    <s v="Terminated"/>
    <s v="Female"/>
    <n v="26"/>
    <s v="Associate"/>
    <s v="Robertsonchester"/>
    <n v="77544"/>
    <n v="1"/>
    <n v="14"/>
    <n v="51"/>
    <n v="13"/>
    <n v="1"/>
    <x v="1"/>
  </r>
  <r>
    <n v="3597"/>
    <s v="David Hicks"/>
    <s v="Marketing"/>
    <s v="Content Creator"/>
    <d v="2021-07-15T00:00:00"/>
    <d v="2023-03-17T00:00:00"/>
    <s v="Terminated"/>
    <s v="Female"/>
    <n v="50"/>
    <s v="Associate"/>
    <s v="Jasminechester"/>
    <n v="105628"/>
    <n v="1"/>
    <n v="9"/>
    <n v="0"/>
    <n v="19"/>
    <n v="1"/>
    <x v="1"/>
  </r>
  <r>
    <n v="2123"/>
    <s v="Stephanie Tanner DVM"/>
    <s v="Sales"/>
    <s v="Sales Rep"/>
    <d v="2018-04-12T00:00:00"/>
    <d v="2024-07-22T00:00:00"/>
    <s v="Terminated"/>
    <s v="Male"/>
    <n v="56"/>
    <s v="Associate"/>
    <s v="Cookeberg"/>
    <n v="75632"/>
    <n v="5"/>
    <n v="3"/>
    <n v="8"/>
    <n v="79"/>
    <n v="1"/>
    <x v="2"/>
  </r>
  <r>
    <n v="3003"/>
    <s v="Michael Miller"/>
    <s v="IT"/>
    <s v="IT Support"/>
    <d v="2020-11-23T00:00:00"/>
    <d v="2021-05-04T00:00:00"/>
    <s v="Terminated"/>
    <s v="Male"/>
    <n v="32"/>
    <s v="Associate"/>
    <s v="North Tammy"/>
    <n v="77541"/>
    <n v="5"/>
    <n v="12"/>
    <n v="80"/>
    <n v="87"/>
    <n v="1"/>
    <x v="2"/>
  </r>
  <r>
    <n v="2366"/>
    <s v="Taylor Martin"/>
    <s v="HR"/>
    <s v="HR Manager"/>
    <d v="2021-07-12T00:00:00"/>
    <m/>
    <s v="Active"/>
    <s v="Male"/>
    <n v="42"/>
    <s v="Bachelor"/>
    <s v="East Kim"/>
    <n v="95682"/>
    <n v="3"/>
    <n v="4"/>
    <n v="83"/>
    <n v="45"/>
    <n v="0"/>
    <x v="0"/>
  </r>
  <r>
    <n v="1058"/>
    <s v="Matthew Kelly"/>
    <s v="HR"/>
    <s v="HR Coordinator"/>
    <d v="2023-11-11T00:00:00"/>
    <d v="2024-10-01T00:00:00"/>
    <s v="Terminated"/>
    <s v="Male"/>
    <n v="36"/>
    <s v="Associate"/>
    <s v="Nicoleport"/>
    <n v="89157"/>
    <n v="1"/>
    <n v="10"/>
    <n v="89"/>
    <n v="17"/>
    <n v="1"/>
    <x v="1"/>
  </r>
  <r>
    <n v="3618"/>
    <s v="Thomas Todd"/>
    <s v="Finance"/>
    <s v="Financial Analyst"/>
    <d v="2020-09-16T00:00:00"/>
    <m/>
    <s v="Active"/>
    <s v="Female"/>
    <n v="35"/>
    <s v="Associate"/>
    <s v="Ashleychester"/>
    <n v="71201"/>
    <n v="2"/>
    <n v="0"/>
    <n v="70"/>
    <n v="36"/>
    <n v="0"/>
    <x v="1"/>
  </r>
  <r>
    <n v="8934"/>
    <s v="Julia Carter"/>
    <s v="Marketing"/>
    <s v="SEO Specialist"/>
    <d v="2022-12-24T00:00:00"/>
    <d v="2024-06-11T00:00:00"/>
    <s v="Terminated"/>
    <s v="Male"/>
    <n v="37"/>
    <s v="Master"/>
    <s v="Thomasberg"/>
    <n v="89415"/>
    <n v="2"/>
    <n v="4"/>
    <n v="9"/>
    <n v="21"/>
    <n v="1"/>
    <x v="1"/>
  </r>
  <r>
    <n v="9903"/>
    <s v="Jacqueline Thompson"/>
    <s v="Marketing"/>
    <s v="Content Creator"/>
    <d v="2016-09-23T00:00:00"/>
    <d v="2022-05-25T00:00:00"/>
    <s v="Terminated"/>
    <s v="Female"/>
    <n v="45"/>
    <s v="Associate"/>
    <s v="Colebury"/>
    <n v="111547"/>
    <n v="2"/>
    <n v="2"/>
    <n v="88"/>
    <n v="27"/>
    <n v="1"/>
    <x v="1"/>
  </r>
  <r>
    <n v="2597"/>
    <s v="Jennifer Martin"/>
    <s v="Sales"/>
    <s v="Account Manager"/>
    <d v="2017-07-13T00:00:00"/>
    <m/>
    <s v="Active"/>
    <s v="Male"/>
    <n v="48"/>
    <s v="PhD"/>
    <s v="South Victoriafort"/>
    <n v="65766"/>
    <n v="1"/>
    <n v="10"/>
    <n v="52"/>
    <n v="6"/>
    <n v="0"/>
    <x v="1"/>
  </r>
  <r>
    <n v="6155"/>
    <s v="Christina Dillon"/>
    <s v="Finance"/>
    <s v="Accountant"/>
    <d v="2020-07-07T00:00:00"/>
    <m/>
    <s v="Active"/>
    <s v="Male"/>
    <n v="52"/>
    <s v="Bachelor"/>
    <s v="Port Kylebury"/>
    <n v="50937"/>
    <n v="3"/>
    <n v="14"/>
    <n v="38"/>
    <n v="57"/>
    <n v="0"/>
    <x v="0"/>
  </r>
  <r>
    <n v="6831"/>
    <s v="Susan Long"/>
    <s v="Operations"/>
    <s v="Operations Coordinator"/>
    <d v="2023-02-05T00:00:00"/>
    <m/>
    <s v="Active"/>
    <s v="Male"/>
    <n v="25"/>
    <s v="Master"/>
    <s v="New Caroline"/>
    <n v="100776"/>
    <n v="4"/>
    <n v="15"/>
    <n v="17"/>
    <n v="59"/>
    <n v="0"/>
    <x v="0"/>
  </r>
  <r>
    <n v="1849"/>
    <s v="Julie Buchanan"/>
    <s v="Sales"/>
    <s v="Account Manager"/>
    <d v="2023-11-30T00:00:00"/>
    <m/>
    <s v="Active"/>
    <s v="Female"/>
    <n v="37"/>
    <s v="Master"/>
    <s v="Robertsonland"/>
    <n v="82514"/>
    <n v="5"/>
    <n v="9"/>
    <n v="74"/>
    <n v="89"/>
    <n v="0"/>
    <x v="2"/>
  </r>
  <r>
    <n v="2091"/>
    <s v="Willie Flynn"/>
    <s v="HR"/>
    <s v="HR Coordinator"/>
    <d v="2022-06-09T00:00:00"/>
    <d v="2023-03-05T00:00:00"/>
    <s v="Terminated"/>
    <s v="Other"/>
    <n v="40"/>
    <s v="Bachelor"/>
    <s v="West Troy"/>
    <n v="118137"/>
    <n v="4"/>
    <n v="4"/>
    <n v="4"/>
    <n v="63"/>
    <n v="1"/>
    <x v="0"/>
  </r>
  <r>
    <n v="3783"/>
    <s v="Lisa Young"/>
    <s v="Sales"/>
    <s v="Account Manager"/>
    <d v="2019-06-01T00:00:00"/>
    <m/>
    <s v="Active"/>
    <s v="Other"/>
    <n v="40"/>
    <s v="Master"/>
    <s v="North Bruce"/>
    <n v="87170"/>
    <n v="5"/>
    <n v="1"/>
    <n v="68"/>
    <n v="99"/>
    <n v="0"/>
    <x v="2"/>
  </r>
  <r>
    <n v="9921"/>
    <s v="Michelle Long"/>
    <s v="Operations"/>
    <s v="Operations Coordinator"/>
    <d v="2019-06-08T00:00:00"/>
    <m/>
    <s v="Active"/>
    <s v="Male"/>
    <n v="60"/>
    <s v="Bachelor"/>
    <s v="Lake William"/>
    <n v="89211"/>
    <n v="1"/>
    <n v="6"/>
    <n v="53"/>
    <n v="11"/>
    <n v="0"/>
    <x v="1"/>
  </r>
  <r>
    <n v="3620"/>
    <s v="Trevor Winters"/>
    <s v="Finance"/>
    <s v="Financial Analyst"/>
    <d v="2023-03-21T00:00:00"/>
    <d v="2024-11-22T00:00:00"/>
    <s v="Terminated"/>
    <s v="Female"/>
    <n v="44"/>
    <s v="Associate"/>
    <s v="Johnbury"/>
    <n v="41460"/>
    <n v="4"/>
    <n v="1"/>
    <n v="95"/>
    <n v="97"/>
    <n v="1"/>
    <x v="0"/>
  </r>
  <r>
    <n v="3843"/>
    <s v="Timothy Mcintyre"/>
    <s v="Finance"/>
    <s v="Accountant"/>
    <d v="2022-06-28T00:00:00"/>
    <d v="2022-08-30T00:00:00"/>
    <s v="Terminated"/>
    <s v="Other"/>
    <n v="41"/>
    <s v="PhD"/>
    <s v="Diazhaven"/>
    <n v="99989"/>
    <n v="4"/>
    <n v="14"/>
    <n v="61"/>
    <n v="95"/>
    <n v="1"/>
    <x v="0"/>
  </r>
  <r>
    <n v="9533"/>
    <s v="Chelsea Figueroa"/>
    <s v="Marketing"/>
    <s v="Content Creator"/>
    <d v="2016-03-07T00:00:00"/>
    <d v="2019-10-12T00:00:00"/>
    <s v="Terminated"/>
    <s v="Female"/>
    <n v="41"/>
    <s v="Bachelor"/>
    <s v="East Russelltown"/>
    <n v="60621"/>
    <n v="3"/>
    <n v="7"/>
    <n v="75"/>
    <n v="55"/>
    <n v="1"/>
    <x v="0"/>
  </r>
  <r>
    <n v="1298"/>
    <s v="Gabriel Morales"/>
    <s v="IT"/>
    <s v="IT Support"/>
    <d v="2017-07-04T00:00:00"/>
    <m/>
    <s v="Active"/>
    <s v="Female"/>
    <n v="22"/>
    <s v="Associate"/>
    <s v="Hannafurt"/>
    <n v="91035"/>
    <n v="2"/>
    <n v="1"/>
    <n v="82"/>
    <n v="19"/>
    <n v="0"/>
    <x v="1"/>
  </r>
  <r>
    <n v="5229"/>
    <s v="Kevin Turner"/>
    <s v="HR"/>
    <s v="HR Manager"/>
    <d v="2016-02-10T00:00:00"/>
    <m/>
    <s v="Active"/>
    <s v="Female"/>
    <n v="51"/>
    <s v="High School"/>
    <s v="Schmidtshire"/>
    <n v="63991"/>
    <n v="4"/>
    <n v="13"/>
    <n v="20"/>
    <n v="68"/>
    <n v="0"/>
    <x v="0"/>
  </r>
  <r>
    <n v="8146"/>
    <s v="Anthony Hood"/>
    <s v="Operations"/>
    <s v="Operations Coordinator"/>
    <d v="2020-10-25T00:00:00"/>
    <d v="2023-05-01T00:00:00"/>
    <s v="Terminated"/>
    <s v="Male"/>
    <n v="24"/>
    <s v="Master"/>
    <s v="Port Tamaraville"/>
    <n v="32478"/>
    <n v="4"/>
    <n v="5"/>
    <n v="74"/>
    <n v="62"/>
    <n v="1"/>
    <x v="0"/>
  </r>
  <r>
    <n v="5382"/>
    <s v="Derek Diaz"/>
    <s v="Finance"/>
    <s v="Accountant"/>
    <d v="2018-05-29T00:00:00"/>
    <m/>
    <s v="Active"/>
    <s v="Male"/>
    <n v="53"/>
    <s v="Associate"/>
    <s v="Robertberg"/>
    <n v="61670"/>
    <n v="5"/>
    <n v="10"/>
    <n v="98"/>
    <n v="92"/>
    <n v="0"/>
    <x v="2"/>
  </r>
  <r>
    <n v="1433"/>
    <s v="Daniel Wallace"/>
    <s v="IT"/>
    <s v="Developer"/>
    <d v="2022-11-25T00:00:00"/>
    <m/>
    <s v="Active"/>
    <s v="Female"/>
    <n v="40"/>
    <s v="Bachelor"/>
    <s v="South Amy"/>
    <n v="30561"/>
    <n v="2"/>
    <n v="13"/>
    <n v="41"/>
    <n v="37"/>
    <n v="0"/>
    <x v="1"/>
  </r>
  <r>
    <n v="8795"/>
    <s v="Pamela Delacruz"/>
    <s v="Operations"/>
    <s v="Operations Coordinator"/>
    <d v="2023-09-29T00:00:00"/>
    <d v="2024-06-10T00:00:00"/>
    <s v="Terminated"/>
    <s v="Other"/>
    <n v="29"/>
    <s v="Associate"/>
    <s v="Port Mitchell"/>
    <n v="118239"/>
    <n v="2"/>
    <n v="12"/>
    <n v="59"/>
    <n v="20"/>
    <n v="1"/>
    <x v="1"/>
  </r>
  <r>
    <n v="8327"/>
    <s v="Nicole Long"/>
    <s v="HR"/>
    <s v="HR Coordinator"/>
    <d v="2015-09-10T00:00:00"/>
    <m/>
    <s v="Active"/>
    <s v="Male"/>
    <n v="34"/>
    <s v="High School"/>
    <s v="Hoffmanburgh"/>
    <n v="55289"/>
    <n v="3"/>
    <n v="14"/>
    <n v="45"/>
    <n v="41"/>
    <n v="0"/>
    <x v="0"/>
  </r>
  <r>
    <n v="2213"/>
    <s v="Jessica Powell"/>
    <s v="HR"/>
    <s v="HR Coordinator"/>
    <d v="2016-11-08T00:00:00"/>
    <m/>
    <s v="Active"/>
    <s v="Male"/>
    <n v="30"/>
    <s v="Associate"/>
    <s v="East Carla"/>
    <n v="31843"/>
    <n v="2"/>
    <n v="9"/>
    <n v="74"/>
    <n v="32"/>
    <n v="0"/>
    <x v="1"/>
  </r>
  <r>
    <n v="9111"/>
    <s v="Susan Gonzalez"/>
    <s v="Sales"/>
    <s v="Account Manager"/>
    <d v="2016-06-05T00:00:00"/>
    <m/>
    <s v="Active"/>
    <s v="Female"/>
    <n v="33"/>
    <s v="PhD"/>
    <s v="Jamesburgh"/>
    <n v="37502"/>
    <n v="2"/>
    <n v="4"/>
    <n v="19"/>
    <n v="39"/>
    <n v="0"/>
    <x v="1"/>
  </r>
  <r>
    <n v="8719"/>
    <s v="Steven Reynolds"/>
    <s v="Finance"/>
    <s v="Financial Analyst"/>
    <d v="2016-06-04T00:00:00"/>
    <m/>
    <s v="Active"/>
    <s v="Male"/>
    <n v="24"/>
    <s v="Master"/>
    <s v="South Cory"/>
    <n v="109241"/>
    <n v="5"/>
    <n v="6"/>
    <n v="93"/>
    <n v="72"/>
    <n v="0"/>
    <x v="2"/>
  </r>
  <r>
    <n v="7494"/>
    <s v="Michelle Hernandez"/>
    <s v="Marketing"/>
    <s v="SEO Specialist"/>
    <d v="2020-02-01T00:00:00"/>
    <d v="2025-02-05T00:00:00"/>
    <s v="Terminated"/>
    <s v="Male"/>
    <n v="33"/>
    <s v="Master"/>
    <s v="Griffinton"/>
    <n v="90557"/>
    <n v="1"/>
    <n v="11"/>
    <n v="87"/>
    <n v="15"/>
    <n v="1"/>
    <x v="1"/>
  </r>
  <r>
    <n v="7771"/>
    <s v="Jennifer Roberts"/>
    <s v="Sales"/>
    <s v="Account Manager"/>
    <d v="2022-05-06T00:00:00"/>
    <m/>
    <s v="Active"/>
    <s v="Other"/>
    <n v="60"/>
    <s v="Associate"/>
    <s v="Port Sean"/>
    <n v="102116"/>
    <n v="2"/>
    <n v="6"/>
    <n v="63"/>
    <n v="29"/>
    <n v="0"/>
    <x v="1"/>
  </r>
  <r>
    <n v="4350"/>
    <s v="Rachael Allen"/>
    <s v="Operations"/>
    <s v="Logistics Manager"/>
    <d v="2023-02-08T00:00:00"/>
    <d v="2025-02-22T00:00:00"/>
    <s v="Terminated"/>
    <s v="Male"/>
    <n v="37"/>
    <s v="High School"/>
    <s v="South Kelseyton"/>
    <n v="81896"/>
    <n v="1"/>
    <n v="6"/>
    <n v="12"/>
    <n v="12"/>
    <n v="1"/>
    <x v="1"/>
  </r>
  <r>
    <n v="3165"/>
    <s v="Charles Stewart"/>
    <s v="Finance"/>
    <s v="Accountant"/>
    <d v="2018-06-15T00:00:00"/>
    <m/>
    <s v="Active"/>
    <s v="Female"/>
    <n v="46"/>
    <s v="Associate"/>
    <s v="East Michelehaven"/>
    <n v="113859"/>
    <n v="4"/>
    <n v="14"/>
    <n v="80"/>
    <n v="74"/>
    <n v="0"/>
    <x v="0"/>
  </r>
  <r>
    <n v="2997"/>
    <s v="Barbara Turner"/>
    <s v="IT"/>
    <s v="Developer"/>
    <d v="2015-11-26T00:00:00"/>
    <m/>
    <s v="Active"/>
    <s v="Female"/>
    <n v="56"/>
    <s v="High School"/>
    <s v="Mooreberg"/>
    <n v="49050"/>
    <n v="5"/>
    <n v="4"/>
    <n v="6"/>
    <n v="75"/>
    <n v="0"/>
    <x v="2"/>
  </r>
  <r>
    <n v="1854"/>
    <s v="Christina Guzman"/>
    <s v="Marketing"/>
    <s v="Content Creator"/>
    <d v="2021-08-12T00:00:00"/>
    <m/>
    <s v="Active"/>
    <s v="Female"/>
    <n v="40"/>
    <s v="Bachelor"/>
    <s v="East Nicolefurt"/>
    <n v="113337"/>
    <n v="2"/>
    <n v="5"/>
    <n v="35"/>
    <n v="21"/>
    <n v="0"/>
    <x v="1"/>
  </r>
  <r>
    <n v="3581"/>
    <s v="Brian Deleon"/>
    <s v="Operations"/>
    <s v="Logistics Manager"/>
    <d v="2022-06-02T00:00:00"/>
    <m/>
    <s v="Active"/>
    <s v="Male"/>
    <n v="49"/>
    <s v="PhD"/>
    <s v="Jasonhaven"/>
    <n v="80945"/>
    <n v="3"/>
    <n v="7"/>
    <n v="84"/>
    <n v="49"/>
    <n v="0"/>
    <x v="0"/>
  </r>
  <r>
    <n v="9915"/>
    <s v="Jill Bennett"/>
    <s v="Sales"/>
    <s v="Sales Rep"/>
    <d v="2019-05-11T00:00:00"/>
    <d v="2020-10-08T00:00:00"/>
    <s v="Terminated"/>
    <s v="Other"/>
    <n v="27"/>
    <s v="Bachelor"/>
    <s v="Ashleystad"/>
    <n v="101730"/>
    <n v="3"/>
    <n v="6"/>
    <n v="30"/>
    <n v="40"/>
    <n v="1"/>
    <x v="0"/>
  </r>
  <r>
    <n v="1161"/>
    <s v="Brittany Crosby"/>
    <s v="Marketing"/>
    <s v="Content Creator"/>
    <d v="2022-02-04T00:00:00"/>
    <m/>
    <s v="Active"/>
    <s v="Other"/>
    <n v="40"/>
    <s v="PhD"/>
    <s v="Alexanderfurt"/>
    <n v="31258"/>
    <n v="2"/>
    <n v="14"/>
    <n v="100"/>
    <n v="26"/>
    <n v="0"/>
    <x v="1"/>
  </r>
  <r>
    <n v="4475"/>
    <s v="Thomas Frye"/>
    <s v="Finance"/>
    <s v="Accountant"/>
    <d v="2018-07-17T00:00:00"/>
    <m/>
    <s v="Active"/>
    <s v="Female"/>
    <n v="24"/>
    <s v="Master"/>
    <s v="Pattonfort"/>
    <n v="97480"/>
    <n v="2"/>
    <n v="8"/>
    <n v="54"/>
    <n v="33"/>
    <n v="0"/>
    <x v="1"/>
  </r>
  <r>
    <n v="7857"/>
    <s v="Kerry Berger"/>
    <s v="Finance"/>
    <s v="Accountant"/>
    <d v="2018-05-21T00:00:00"/>
    <m/>
    <s v="Active"/>
    <s v="Male"/>
    <n v="27"/>
    <s v="PhD"/>
    <s v="North Maryton"/>
    <n v="93094"/>
    <n v="1"/>
    <n v="7"/>
    <n v="34"/>
    <n v="20"/>
    <n v="0"/>
    <x v="1"/>
  </r>
  <r>
    <n v="9988"/>
    <s v="Mary Greer"/>
    <s v="IT"/>
    <s v="System Admin"/>
    <d v="2019-01-30T00:00:00"/>
    <d v="2025-04-09T00:00:00"/>
    <s v="Terminated"/>
    <s v="Other"/>
    <n v="50"/>
    <s v="Master"/>
    <s v="East Andreafurt"/>
    <n v="75761"/>
    <n v="1"/>
    <n v="1"/>
    <n v="97"/>
    <n v="4"/>
    <n v="1"/>
    <x v="1"/>
  </r>
  <r>
    <n v="7047"/>
    <s v="James Fisher"/>
    <s v="Finance"/>
    <s v="Financial Analyst"/>
    <d v="2017-11-20T00:00:00"/>
    <m/>
    <s v="Active"/>
    <s v="Female"/>
    <n v="29"/>
    <s v="PhD"/>
    <s v="Port Whitneychester"/>
    <n v="87806"/>
    <n v="4"/>
    <n v="1"/>
    <n v="19"/>
    <n v="79"/>
    <n v="0"/>
    <x v="0"/>
  </r>
  <r>
    <n v="2453"/>
    <s v="Emma Price"/>
    <s v="IT"/>
    <s v="System Admin"/>
    <d v="2022-01-10T00:00:00"/>
    <m/>
    <s v="Active"/>
    <s v="Female"/>
    <n v="47"/>
    <s v="High School"/>
    <s v="North Destiny"/>
    <n v="105346"/>
    <n v="3"/>
    <n v="12"/>
    <n v="62"/>
    <n v="43"/>
    <n v="0"/>
    <x v="0"/>
  </r>
  <r>
    <n v="1752"/>
    <s v="Hannah Carlson"/>
    <s v="Operations"/>
    <s v="Logistics Manager"/>
    <d v="2018-07-15T00:00:00"/>
    <d v="2022-08-31T00:00:00"/>
    <s v="Terminated"/>
    <s v="Female"/>
    <n v="35"/>
    <s v="Master"/>
    <s v="Loriview"/>
    <n v="69033"/>
    <n v="1"/>
    <n v="7"/>
    <n v="85"/>
    <n v="6"/>
    <n v="1"/>
    <x v="1"/>
  </r>
  <r>
    <n v="7646"/>
    <s v="Bryan Walsh"/>
    <s v="Operations"/>
    <s v="Logistics Manager"/>
    <d v="2019-05-04T00:00:00"/>
    <m/>
    <s v="Active"/>
    <s v="Female"/>
    <n v="58"/>
    <s v="Bachelor"/>
    <s v="Lake Ericmouth"/>
    <n v="100506"/>
    <n v="5"/>
    <n v="5"/>
    <n v="75"/>
    <n v="82"/>
    <n v="0"/>
    <x v="2"/>
  </r>
  <r>
    <n v="7271"/>
    <s v="Dawn Duffy"/>
    <s v="Sales"/>
    <s v="Account Manager"/>
    <d v="2021-07-09T00:00:00"/>
    <m/>
    <s v="Active"/>
    <s v="Male"/>
    <n v="23"/>
    <s v="PhD"/>
    <s v="Mooreburgh"/>
    <n v="72490"/>
    <n v="3"/>
    <n v="5"/>
    <n v="51"/>
    <n v="49"/>
    <n v="0"/>
    <x v="0"/>
  </r>
  <r>
    <n v="6795"/>
    <s v="Kelly Hardin"/>
    <s v="HR"/>
    <s v="HR Coordinator"/>
    <d v="2022-12-17T00:00:00"/>
    <m/>
    <s v="Active"/>
    <s v="Other"/>
    <n v="46"/>
    <s v="Master"/>
    <s v="Mortonland"/>
    <n v="118871"/>
    <n v="2"/>
    <n v="11"/>
    <n v="25"/>
    <n v="19"/>
    <n v="0"/>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9121"/>
    <s v="Michael King"/>
    <x v="0"/>
    <x v="0"/>
    <d v="2017-11-16T00:00:00"/>
    <d v="2020-08-15T00:00:00"/>
    <s v="Terminated"/>
    <x v="0"/>
    <n v="38"/>
    <s v="Master"/>
    <s v="Theresaberg"/>
    <n v="44456"/>
    <n v="3"/>
    <n v="7"/>
    <n v="21"/>
    <n v="1"/>
    <s v="Medium"/>
    <x v="0"/>
  </r>
  <r>
    <n v="5105"/>
    <s v="Alexandra Todd"/>
    <x v="1"/>
    <x v="1"/>
    <d v="2018-06-27T00:00:00"/>
    <m/>
    <s v="Active"/>
    <x v="1"/>
    <n v="36"/>
    <s v="Master"/>
    <s v="Dicksonburgh"/>
    <n v="95380"/>
    <n v="4"/>
    <n v="10"/>
    <n v="52"/>
    <n v="0"/>
    <s v="Medium"/>
    <x v="0"/>
  </r>
  <r>
    <n v="2934"/>
    <s v="Amanda Chambers"/>
    <x v="2"/>
    <x v="2"/>
    <d v="2018-12-10T00:00:00"/>
    <m/>
    <s v="Active"/>
    <x v="0"/>
    <n v="60"/>
    <s v="Master"/>
    <s v="Lake Jasonborough"/>
    <n v="50090"/>
    <n v="2"/>
    <n v="5"/>
    <n v="53"/>
    <n v="0"/>
    <s v="Low"/>
    <x v="1"/>
  </r>
  <r>
    <n v="4601"/>
    <s v="Ashley Watkins"/>
    <x v="1"/>
    <x v="1"/>
    <d v="2018-03-05T00:00:00"/>
    <m/>
    <s v="Active"/>
    <x v="0"/>
    <n v="25"/>
    <s v="PhD"/>
    <s v="Michaelshire"/>
    <n v="53855"/>
    <n v="3"/>
    <n v="15"/>
    <n v="51"/>
    <n v="0"/>
    <s v="Medium"/>
    <x v="2"/>
  </r>
  <r>
    <n v="2805"/>
    <s v="Sherri Dawson"/>
    <x v="0"/>
    <x v="0"/>
    <d v="2018-07-31T00:00:00"/>
    <m/>
    <s v="Active"/>
    <x v="1"/>
    <n v="60"/>
    <s v="Master"/>
    <s v="Oconnorberg"/>
    <n v="119492"/>
    <n v="2"/>
    <n v="11"/>
    <n v="72"/>
    <n v="0"/>
    <s v="Low"/>
    <x v="1"/>
  </r>
  <r>
    <n v="4264"/>
    <s v="Kevin Thomas"/>
    <x v="0"/>
    <x v="0"/>
    <d v="2018-10-23T00:00:00"/>
    <m/>
    <s v="Active"/>
    <x v="1"/>
    <n v="51"/>
    <s v="Associate"/>
    <s v="East James"/>
    <n v="41008"/>
    <n v="1"/>
    <n v="14"/>
    <n v="82"/>
    <n v="0"/>
    <s v="Low"/>
    <x v="3"/>
  </r>
  <r>
    <n v="1593"/>
    <s v="Jamie Clarke"/>
    <x v="3"/>
    <x v="3"/>
    <d v="2017-04-09T00:00:00"/>
    <m/>
    <s v="Active"/>
    <x v="0"/>
    <n v="46"/>
    <s v="Associate"/>
    <s v="South Daniel"/>
    <n v="102970"/>
    <n v="3"/>
    <n v="1"/>
    <n v="64"/>
    <n v="0"/>
    <s v="Medium"/>
    <x v="3"/>
  </r>
  <r>
    <n v="2498"/>
    <s v="Jessica Rivera"/>
    <x v="2"/>
    <x v="2"/>
    <d v="2022-09-21T00:00:00"/>
    <m/>
    <s v="Active"/>
    <x v="1"/>
    <n v="40"/>
    <s v="Bachelor"/>
    <s v="Steventown"/>
    <n v="75001"/>
    <n v="4"/>
    <n v="5"/>
    <n v="46"/>
    <n v="0"/>
    <s v="Medium"/>
    <x v="0"/>
  </r>
  <r>
    <n v="2560"/>
    <s v="Meghan Brooks"/>
    <x v="0"/>
    <x v="0"/>
    <d v="2024-02-16T00:00:00"/>
    <m/>
    <s v="Active"/>
    <x v="1"/>
    <n v="52"/>
    <s v="PhD"/>
    <s v="Colemanberg"/>
    <n v="111260"/>
    <n v="1"/>
    <n v="8"/>
    <n v="39"/>
    <n v="0"/>
    <s v="Low"/>
    <x v="3"/>
  </r>
  <r>
    <n v="8584"/>
    <s v="Katie Black"/>
    <x v="1"/>
    <x v="1"/>
    <d v="2015-09-10T00:00:00"/>
    <d v="2018-11-19T00:00:00"/>
    <s v="Terminated"/>
    <x v="1"/>
    <n v="26"/>
    <s v="Bachelor"/>
    <s v="Rebeccabury"/>
    <n v="78806"/>
    <n v="5"/>
    <n v="6"/>
    <n v="92"/>
    <n v="1"/>
    <s v="High"/>
    <x v="4"/>
  </r>
  <r>
    <n v="3897"/>
    <s v="David Arroyo"/>
    <x v="4"/>
    <x v="4"/>
    <d v="2018-05-16T00:00:00"/>
    <d v="2021-04-01T00:00:00"/>
    <s v="Terminated"/>
    <x v="2"/>
    <n v="50"/>
    <s v="Master"/>
    <s v="West Ashley"/>
    <n v="75813"/>
    <n v="3"/>
    <n v="1"/>
    <n v="9"/>
    <n v="1"/>
    <s v="Medium"/>
    <x v="3"/>
  </r>
  <r>
    <n v="1477"/>
    <s v="Amy Summers"/>
    <x v="2"/>
    <x v="2"/>
    <d v="2016-09-19T00:00:00"/>
    <d v="2020-01-12T00:00:00"/>
    <s v="Terminated"/>
    <x v="1"/>
    <n v="34"/>
    <s v="PhD"/>
    <s v="South David"/>
    <n v="32313"/>
    <n v="4"/>
    <n v="15"/>
    <n v="62"/>
    <n v="1"/>
    <s v="Medium"/>
    <x v="4"/>
  </r>
  <r>
    <n v="7051"/>
    <s v="Shannon Rubio"/>
    <x v="1"/>
    <x v="1"/>
    <d v="2023-05-30T00:00:00"/>
    <m/>
    <s v="Active"/>
    <x v="2"/>
    <n v="51"/>
    <s v="Associate"/>
    <s v="Glassberg"/>
    <n v="79626"/>
    <n v="3"/>
    <n v="4"/>
    <n v="27"/>
    <n v="0"/>
    <s v="Medium"/>
    <x v="3"/>
  </r>
  <r>
    <n v="9637"/>
    <s v="Heather Greer"/>
    <x v="2"/>
    <x v="5"/>
    <d v="2016-03-11T00:00:00"/>
    <m/>
    <s v="Active"/>
    <x v="0"/>
    <n v="40"/>
    <s v="High School"/>
    <s v="West Kevin"/>
    <n v="79583"/>
    <n v="4"/>
    <n v="4"/>
    <n v="30"/>
    <n v="0"/>
    <s v="Medium"/>
    <x v="0"/>
  </r>
  <r>
    <n v="9110"/>
    <s v="Victoria Baker"/>
    <x v="0"/>
    <x v="6"/>
    <d v="2018-01-27T00:00:00"/>
    <m/>
    <s v="Active"/>
    <x v="1"/>
    <n v="40"/>
    <s v="Associate"/>
    <s v="Mendezfort"/>
    <n v="87991"/>
    <n v="5"/>
    <n v="3"/>
    <n v="52"/>
    <n v="0"/>
    <s v="High"/>
    <x v="0"/>
  </r>
  <r>
    <n v="8200"/>
    <s v="Derek Miller"/>
    <x v="4"/>
    <x v="4"/>
    <d v="2017-07-04T00:00:00"/>
    <d v="2018-04-27T00:00:00"/>
    <s v="Terminated"/>
    <x v="1"/>
    <n v="58"/>
    <s v="High School"/>
    <s v="Port Mariashire"/>
    <n v="90023"/>
    <n v="4"/>
    <n v="3"/>
    <n v="42"/>
    <n v="1"/>
    <s v="Medium"/>
    <x v="1"/>
  </r>
  <r>
    <n v="1778"/>
    <s v="Paul Joseph"/>
    <x v="5"/>
    <x v="7"/>
    <d v="2016-07-09T00:00:00"/>
    <m/>
    <s v="Active"/>
    <x v="2"/>
    <n v="32"/>
    <s v="Associate"/>
    <s v="East Christinemouth"/>
    <n v="95371"/>
    <n v="5"/>
    <n v="13"/>
    <n v="91"/>
    <n v="0"/>
    <s v="High"/>
    <x v="4"/>
  </r>
  <r>
    <n v="1182"/>
    <s v="David Jones"/>
    <x v="4"/>
    <x v="4"/>
    <d v="2020-01-13T00:00:00"/>
    <m/>
    <s v="Active"/>
    <x v="1"/>
    <n v="49"/>
    <s v="Associate"/>
    <s v="North Rebeccahaven"/>
    <n v="54240"/>
    <n v="5"/>
    <n v="1"/>
    <n v="49"/>
    <n v="0"/>
    <s v="High"/>
    <x v="3"/>
  </r>
  <r>
    <n v="4254"/>
    <s v="Yolanda Gonzalez"/>
    <x v="0"/>
    <x v="6"/>
    <d v="2016-09-14T00:00:00"/>
    <m/>
    <s v="Active"/>
    <x v="2"/>
    <n v="35"/>
    <s v="Associate"/>
    <s v="Tanyaberg"/>
    <n v="105074"/>
    <n v="1"/>
    <n v="7"/>
    <n v="9"/>
    <n v="0"/>
    <s v="Low"/>
    <x v="4"/>
  </r>
  <r>
    <n v="4235"/>
    <s v="Veronica Pearson"/>
    <x v="1"/>
    <x v="1"/>
    <d v="2019-07-28T00:00:00"/>
    <d v="2023-06-14T00:00:00"/>
    <s v="Terminated"/>
    <x v="2"/>
    <n v="33"/>
    <s v="Bachelor"/>
    <s v="Deborahhaven"/>
    <n v="34603"/>
    <n v="5"/>
    <n v="15"/>
    <n v="11"/>
    <n v="1"/>
    <s v="High"/>
    <x v="4"/>
  </r>
  <r>
    <n v="4528"/>
    <s v="Tabitha Chapman"/>
    <x v="0"/>
    <x v="0"/>
    <d v="2020-01-24T00:00:00"/>
    <d v="2025-02-05T00:00:00"/>
    <s v="Terminated"/>
    <x v="1"/>
    <n v="59"/>
    <s v="PhD"/>
    <s v="South Davidfurt"/>
    <n v="76940"/>
    <n v="3"/>
    <n v="6"/>
    <n v="90"/>
    <n v="1"/>
    <s v="Medium"/>
    <x v="1"/>
  </r>
  <r>
    <n v="3157"/>
    <s v="Jill Dalton"/>
    <x v="3"/>
    <x v="8"/>
    <d v="2021-11-25T00:00:00"/>
    <m/>
    <s v="Active"/>
    <x v="0"/>
    <n v="30"/>
    <s v="Master"/>
    <s v="Nicholasport"/>
    <n v="78941"/>
    <n v="4"/>
    <n v="15"/>
    <n v="45"/>
    <n v="0"/>
    <s v="Medium"/>
    <x v="4"/>
  </r>
  <r>
    <n v="4362"/>
    <s v="Rachel Wagner MD"/>
    <x v="4"/>
    <x v="9"/>
    <d v="2017-09-12T00:00:00"/>
    <m/>
    <s v="Active"/>
    <x v="1"/>
    <n v="52"/>
    <s v="PhD"/>
    <s v="South Daniellechester"/>
    <n v="69098"/>
    <n v="1"/>
    <n v="14"/>
    <n v="70"/>
    <n v="0"/>
    <s v="Low"/>
    <x v="3"/>
  </r>
  <r>
    <n v="3081"/>
    <s v="James Patrick"/>
    <x v="4"/>
    <x v="4"/>
    <d v="2016-05-24T00:00:00"/>
    <d v="2021-02-16T00:00:00"/>
    <s v="Terminated"/>
    <x v="0"/>
    <n v="61"/>
    <s v="Bachelor"/>
    <s v="Johnland"/>
    <n v="91852"/>
    <n v="3"/>
    <n v="5"/>
    <n v="55"/>
    <n v="1"/>
    <s v="Medium"/>
    <x v="1"/>
  </r>
  <r>
    <n v="1136"/>
    <s v="Maria Watson"/>
    <x v="1"/>
    <x v="10"/>
    <d v="2019-02-03T00:00:00"/>
    <d v="2021-03-13T00:00:00"/>
    <s v="Terminated"/>
    <x v="2"/>
    <n v="60"/>
    <s v="Bachelor"/>
    <s v="South Aaron"/>
    <n v="52930"/>
    <n v="5"/>
    <n v="1"/>
    <n v="28"/>
    <n v="1"/>
    <s v="High"/>
    <x v="1"/>
  </r>
  <r>
    <n v="3308"/>
    <s v="Nathan Green"/>
    <x v="0"/>
    <x v="0"/>
    <d v="2022-02-24T00:00:00"/>
    <d v="2023-04-12T00:00:00"/>
    <s v="Terminated"/>
    <x v="2"/>
    <n v="55"/>
    <s v="Bachelor"/>
    <s v="South Felicia"/>
    <n v="79715"/>
    <n v="3"/>
    <n v="5"/>
    <n v="14"/>
    <n v="1"/>
    <s v="Medium"/>
    <x v="3"/>
  </r>
  <r>
    <n v="1482"/>
    <s v="Edward Reyes"/>
    <x v="4"/>
    <x v="9"/>
    <d v="2019-01-02T00:00:00"/>
    <m/>
    <s v="Active"/>
    <x v="0"/>
    <n v="45"/>
    <s v="Bachelor"/>
    <s v="West Joseph"/>
    <n v="72076"/>
    <n v="5"/>
    <n v="4"/>
    <n v="2"/>
    <n v="0"/>
    <s v="High"/>
    <x v="0"/>
  </r>
  <r>
    <n v="4592"/>
    <s v="Russell Fields"/>
    <x v="3"/>
    <x v="8"/>
    <d v="2018-01-10T00:00:00"/>
    <m/>
    <s v="Active"/>
    <x v="2"/>
    <n v="23"/>
    <s v="Master"/>
    <s v="New Nicoleview"/>
    <n v="42397"/>
    <n v="3"/>
    <n v="9"/>
    <n v="71"/>
    <n v="0"/>
    <s v="Medium"/>
    <x v="2"/>
  </r>
  <r>
    <n v="7479"/>
    <s v="Eric King"/>
    <x v="0"/>
    <x v="6"/>
    <d v="2020-12-02T00:00:00"/>
    <d v="2022-07-26T00:00:00"/>
    <s v="Terminated"/>
    <x v="1"/>
    <n v="44"/>
    <s v="Bachelor"/>
    <s v="New Jeanne"/>
    <n v="67028"/>
    <n v="1"/>
    <n v="3"/>
    <n v="45"/>
    <n v="1"/>
    <s v="Low"/>
    <x v="0"/>
  </r>
  <r>
    <n v="7732"/>
    <s v="Anne Mercado"/>
    <x v="1"/>
    <x v="1"/>
    <d v="2017-04-08T00:00:00"/>
    <m/>
    <s v="Active"/>
    <x v="1"/>
    <n v="48"/>
    <s v="Associate"/>
    <s v="Lake Marie"/>
    <n v="47478"/>
    <n v="1"/>
    <n v="3"/>
    <n v="63"/>
    <n v="0"/>
    <s v="Low"/>
    <x v="3"/>
  </r>
  <r>
    <n v="1283"/>
    <s v="Brandon Browning"/>
    <x v="5"/>
    <x v="7"/>
    <d v="2024-01-07T00:00:00"/>
    <d v="2024-12-22T00:00:00"/>
    <s v="Terminated"/>
    <x v="1"/>
    <n v="48"/>
    <s v="Associate"/>
    <s v="Nicholeburgh"/>
    <n v="42504"/>
    <n v="3"/>
    <n v="2"/>
    <n v="96"/>
    <n v="1"/>
    <s v="Medium"/>
    <x v="3"/>
  </r>
  <r>
    <n v="8580"/>
    <s v="Erin Martin"/>
    <x v="5"/>
    <x v="11"/>
    <d v="2015-10-23T00:00:00"/>
    <m/>
    <s v="Active"/>
    <x v="2"/>
    <n v="33"/>
    <s v="High School"/>
    <s v="Christophermouth"/>
    <n v="55814"/>
    <n v="2"/>
    <n v="15"/>
    <n v="8"/>
    <n v="0"/>
    <s v="Low"/>
    <x v="4"/>
  </r>
  <r>
    <n v="2568"/>
    <s v="Mr. Seth Shields"/>
    <x v="2"/>
    <x v="2"/>
    <d v="2015-11-04T00:00:00"/>
    <d v="2018-01-23T00:00:00"/>
    <s v="Terminated"/>
    <x v="2"/>
    <n v="35"/>
    <s v="Associate"/>
    <s v="South Rickyshire"/>
    <n v="86857"/>
    <n v="2"/>
    <n v="1"/>
    <n v="98"/>
    <n v="1"/>
    <s v="Low"/>
    <x v="4"/>
  </r>
  <r>
    <n v="3962"/>
    <s v="Henry Wright"/>
    <x v="3"/>
    <x v="3"/>
    <d v="2016-01-15T00:00:00"/>
    <d v="2024-09-14T00:00:00"/>
    <s v="Terminated"/>
    <x v="1"/>
    <n v="55"/>
    <s v="High School"/>
    <s v="New Kylestad"/>
    <n v="45506"/>
    <n v="1"/>
    <n v="13"/>
    <n v="63"/>
    <n v="1"/>
    <s v="Low"/>
    <x v="3"/>
  </r>
  <r>
    <n v="3178"/>
    <s v="Wesley Moran"/>
    <x v="4"/>
    <x v="9"/>
    <d v="2016-06-22T00:00:00"/>
    <d v="2022-07-26T00:00:00"/>
    <s v="Terminated"/>
    <x v="2"/>
    <n v="26"/>
    <s v="PhD"/>
    <s v="Martinstad"/>
    <n v="49807"/>
    <n v="5"/>
    <n v="4"/>
    <n v="12"/>
    <n v="1"/>
    <s v="High"/>
    <x v="4"/>
  </r>
  <r>
    <n v="4141"/>
    <s v="Henry Sanders"/>
    <x v="2"/>
    <x v="5"/>
    <d v="2020-06-03T00:00:00"/>
    <m/>
    <s v="Active"/>
    <x v="0"/>
    <n v="55"/>
    <s v="Associate"/>
    <s v="Lewismouth"/>
    <n v="88542"/>
    <n v="5"/>
    <n v="10"/>
    <n v="82"/>
    <n v="0"/>
    <s v="High"/>
    <x v="3"/>
  </r>
  <r>
    <n v="3599"/>
    <s v="Timothy Lindsey"/>
    <x v="4"/>
    <x v="9"/>
    <d v="2019-07-24T00:00:00"/>
    <m/>
    <s v="Active"/>
    <x v="0"/>
    <n v="51"/>
    <s v="Master"/>
    <s v="Foleyfurt"/>
    <n v="111654"/>
    <n v="1"/>
    <n v="11"/>
    <n v="0"/>
    <n v="0"/>
    <s v="Low"/>
    <x v="3"/>
  </r>
  <r>
    <n v="2514"/>
    <s v="Mary Ross"/>
    <x v="4"/>
    <x v="4"/>
    <d v="2021-01-09T00:00:00"/>
    <d v="2021-10-03T00:00:00"/>
    <s v="Terminated"/>
    <x v="1"/>
    <n v="38"/>
    <s v="High School"/>
    <s v="East Josephbury"/>
    <n v="86120"/>
    <n v="2"/>
    <n v="13"/>
    <n v="15"/>
    <n v="1"/>
    <s v="Low"/>
    <x v="0"/>
  </r>
  <r>
    <n v="8563"/>
    <s v="Richard Lee"/>
    <x v="1"/>
    <x v="10"/>
    <d v="2018-01-06T00:00:00"/>
    <m/>
    <s v="Active"/>
    <x v="0"/>
    <n v="50"/>
    <s v="Master"/>
    <s v="Port Christophermouth"/>
    <n v="94810"/>
    <n v="1"/>
    <n v="1"/>
    <n v="62"/>
    <n v="0"/>
    <s v="Low"/>
    <x v="3"/>
  </r>
  <r>
    <n v="7364"/>
    <s v="Daniel Wilson"/>
    <x v="0"/>
    <x v="6"/>
    <d v="2022-02-21T00:00:00"/>
    <m/>
    <s v="Active"/>
    <x v="1"/>
    <n v="23"/>
    <s v="High School"/>
    <s v="Lake Rebeccafort"/>
    <n v="94333"/>
    <n v="1"/>
    <n v="3"/>
    <n v="28"/>
    <n v="0"/>
    <s v="Low"/>
    <x v="2"/>
  </r>
  <r>
    <n v="8855"/>
    <s v="Amy Clark"/>
    <x v="2"/>
    <x v="5"/>
    <d v="2018-09-23T00:00:00"/>
    <d v="2021-09-07T00:00:00"/>
    <s v="Terminated"/>
    <x v="2"/>
    <n v="25"/>
    <s v="Associate"/>
    <s v="Williamshire"/>
    <n v="50792"/>
    <n v="3"/>
    <n v="15"/>
    <n v="70"/>
    <n v="1"/>
    <s v="Medium"/>
    <x v="2"/>
  </r>
  <r>
    <n v="6895"/>
    <s v="Cynthia Evans"/>
    <x v="3"/>
    <x v="8"/>
    <d v="2017-05-03T00:00:00"/>
    <d v="2021-05-22T00:00:00"/>
    <s v="Terminated"/>
    <x v="0"/>
    <n v="56"/>
    <s v="Associate"/>
    <s v="Robertport"/>
    <n v="72062"/>
    <n v="1"/>
    <n v="10"/>
    <n v="83"/>
    <n v="1"/>
    <s v="Low"/>
    <x v="1"/>
  </r>
  <r>
    <n v="2287"/>
    <s v="Brian Delgado"/>
    <x v="2"/>
    <x v="5"/>
    <d v="2019-08-10T00:00:00"/>
    <d v="2024-11-14T00:00:00"/>
    <s v="Terminated"/>
    <x v="0"/>
    <n v="57"/>
    <s v="Bachelor"/>
    <s v="Margaretport"/>
    <n v="32508"/>
    <n v="5"/>
    <n v="0"/>
    <n v="63"/>
    <n v="1"/>
    <s v="High"/>
    <x v="1"/>
  </r>
  <r>
    <n v="5762"/>
    <s v="Elizabeth Garrison"/>
    <x v="3"/>
    <x v="8"/>
    <d v="2023-07-19T00:00:00"/>
    <m/>
    <s v="Active"/>
    <x v="2"/>
    <n v="46"/>
    <s v="Master"/>
    <s v="East Sharon"/>
    <n v="89304"/>
    <n v="2"/>
    <n v="11"/>
    <n v="67"/>
    <n v="0"/>
    <s v="Low"/>
    <x v="3"/>
  </r>
  <r>
    <n v="8230"/>
    <s v="James Turner"/>
    <x v="4"/>
    <x v="4"/>
    <d v="2019-06-08T00:00:00"/>
    <m/>
    <s v="Active"/>
    <x v="0"/>
    <n v="28"/>
    <s v="Master"/>
    <s v="West Rebeccaborough"/>
    <n v="69923"/>
    <n v="2"/>
    <n v="0"/>
    <n v="18"/>
    <n v="0"/>
    <s v="Low"/>
    <x v="4"/>
  </r>
  <r>
    <n v="1149"/>
    <s v="Dean Romero"/>
    <x v="0"/>
    <x v="0"/>
    <d v="2015-07-18T00:00:00"/>
    <d v="2023-06-23T00:00:00"/>
    <s v="Terminated"/>
    <x v="2"/>
    <n v="43"/>
    <s v="Bachelor"/>
    <s v="Adamland"/>
    <n v="50915"/>
    <n v="1"/>
    <n v="7"/>
    <n v="78"/>
    <n v="1"/>
    <s v="Low"/>
    <x v="0"/>
  </r>
  <r>
    <n v="7251"/>
    <s v="Courtney Bell"/>
    <x v="5"/>
    <x v="11"/>
    <d v="2016-07-18T00:00:00"/>
    <d v="2025-02-19T00:00:00"/>
    <s v="Terminated"/>
    <x v="0"/>
    <n v="30"/>
    <s v="Bachelor"/>
    <s v="Hawkinsburgh"/>
    <n v="40203"/>
    <n v="2"/>
    <n v="11"/>
    <n v="92"/>
    <n v="1"/>
    <s v="Low"/>
    <x v="4"/>
  </r>
  <r>
    <n v="6688"/>
    <s v="Russell Becker"/>
    <x v="0"/>
    <x v="6"/>
    <d v="2024-03-11T00:00:00"/>
    <d v="2025-04-11T00:00:00"/>
    <s v="Terminated"/>
    <x v="2"/>
    <n v="41"/>
    <s v="Master"/>
    <s v="Shannonfort"/>
    <n v="48144"/>
    <n v="4"/>
    <n v="10"/>
    <n v="41"/>
    <n v="1"/>
    <s v="Medium"/>
    <x v="0"/>
  </r>
  <r>
    <n v="1416"/>
    <s v="Calvin Hodges"/>
    <x v="4"/>
    <x v="9"/>
    <d v="2020-07-05T00:00:00"/>
    <m/>
    <s v="Active"/>
    <x v="2"/>
    <n v="23"/>
    <s v="Associate"/>
    <s v="South Lisatown"/>
    <n v="39751"/>
    <n v="3"/>
    <n v="4"/>
    <n v="14"/>
    <n v="0"/>
    <s v="Medium"/>
    <x v="2"/>
  </r>
  <r>
    <n v="5884"/>
    <s v="Vickie Villarreal"/>
    <x v="0"/>
    <x v="0"/>
    <d v="2023-01-24T00:00:00"/>
    <m/>
    <s v="Active"/>
    <x v="2"/>
    <n v="51"/>
    <s v="High School"/>
    <s v="North Eddie"/>
    <n v="86639"/>
    <n v="1"/>
    <n v="11"/>
    <n v="86"/>
    <n v="0"/>
    <s v="Low"/>
    <x v="3"/>
  </r>
  <r>
    <n v="4207"/>
    <s v="Mary Brown"/>
    <x v="0"/>
    <x v="0"/>
    <d v="2016-08-09T00:00:00"/>
    <d v="2023-05-15T00:00:00"/>
    <s v="Terminated"/>
    <x v="0"/>
    <n v="50"/>
    <s v="Associate"/>
    <s v="Samanthastad"/>
    <n v="54958"/>
    <n v="3"/>
    <n v="0"/>
    <n v="93"/>
    <n v="1"/>
    <s v="Medium"/>
    <x v="3"/>
  </r>
  <r>
    <n v="8564"/>
    <s v="Maurice Cole"/>
    <x v="3"/>
    <x v="12"/>
    <d v="2021-10-23T00:00:00"/>
    <m/>
    <s v="Active"/>
    <x v="2"/>
    <n v="46"/>
    <s v="Associate"/>
    <s v="North Garyland"/>
    <n v="68275"/>
    <n v="1"/>
    <n v="8"/>
    <n v="94"/>
    <n v="0"/>
    <s v="Low"/>
    <x v="3"/>
  </r>
  <r>
    <n v="2841"/>
    <s v="Carlos Curtis"/>
    <x v="4"/>
    <x v="4"/>
    <d v="2024-03-11T00:00:00"/>
    <m/>
    <s v="Active"/>
    <x v="0"/>
    <n v="46"/>
    <s v="High School"/>
    <s v="Burchmouth"/>
    <n v="114995"/>
    <n v="3"/>
    <n v="12"/>
    <n v="61"/>
    <n v="0"/>
    <s v="Medium"/>
    <x v="3"/>
  </r>
  <r>
    <n v="6768"/>
    <s v="Peter Ruiz"/>
    <x v="5"/>
    <x v="7"/>
    <d v="2018-12-15T00:00:00"/>
    <d v="2023-01-04T00:00:00"/>
    <s v="Terminated"/>
    <x v="2"/>
    <n v="26"/>
    <s v="Associate"/>
    <s v="Robertsonchester"/>
    <n v="77544"/>
    <n v="1"/>
    <n v="14"/>
    <n v="51"/>
    <n v="1"/>
    <s v="Low"/>
    <x v="4"/>
  </r>
  <r>
    <n v="3597"/>
    <s v="David Hicks"/>
    <x v="0"/>
    <x v="0"/>
    <d v="2021-07-15T00:00:00"/>
    <d v="2023-03-17T00:00:00"/>
    <s v="Terminated"/>
    <x v="2"/>
    <n v="50"/>
    <s v="Associate"/>
    <s v="Jasminechester"/>
    <n v="105628"/>
    <n v="1"/>
    <n v="9"/>
    <n v="0"/>
    <n v="1"/>
    <s v="Low"/>
    <x v="3"/>
  </r>
  <r>
    <n v="2123"/>
    <s v="Stephanie Tanner DVM"/>
    <x v="2"/>
    <x v="2"/>
    <d v="2018-04-12T00:00:00"/>
    <d v="2024-07-22T00:00:00"/>
    <s v="Terminated"/>
    <x v="1"/>
    <n v="56"/>
    <s v="Associate"/>
    <s v="Cookeberg"/>
    <n v="75632"/>
    <n v="5"/>
    <n v="3"/>
    <n v="8"/>
    <n v="1"/>
    <s v="High"/>
    <x v="1"/>
  </r>
  <r>
    <n v="3003"/>
    <s v="Michael Miller"/>
    <x v="3"/>
    <x v="12"/>
    <d v="2020-11-23T00:00:00"/>
    <d v="2021-05-04T00:00:00"/>
    <s v="Terminated"/>
    <x v="1"/>
    <n v="32"/>
    <s v="Associate"/>
    <s v="North Tammy"/>
    <n v="77541"/>
    <n v="5"/>
    <n v="12"/>
    <n v="80"/>
    <n v="1"/>
    <s v="High"/>
    <x v="4"/>
  </r>
  <r>
    <n v="2366"/>
    <s v="Taylor Martin"/>
    <x v="4"/>
    <x v="9"/>
    <d v="2021-07-12T00:00:00"/>
    <m/>
    <s v="Active"/>
    <x v="1"/>
    <n v="42"/>
    <s v="Bachelor"/>
    <s v="East Kim"/>
    <n v="95682"/>
    <n v="3"/>
    <n v="4"/>
    <n v="83"/>
    <n v="0"/>
    <s v="Medium"/>
    <x v="0"/>
  </r>
  <r>
    <n v="1058"/>
    <s v="Matthew Kelly"/>
    <x v="4"/>
    <x v="4"/>
    <d v="2023-11-11T00:00:00"/>
    <d v="2024-10-01T00:00:00"/>
    <s v="Terminated"/>
    <x v="1"/>
    <n v="36"/>
    <s v="Associate"/>
    <s v="Nicoleport"/>
    <n v="89157"/>
    <n v="1"/>
    <n v="10"/>
    <n v="89"/>
    <n v="1"/>
    <s v="Low"/>
    <x v="0"/>
  </r>
  <r>
    <n v="3618"/>
    <s v="Thomas Todd"/>
    <x v="1"/>
    <x v="1"/>
    <d v="2020-09-16T00:00:00"/>
    <m/>
    <s v="Active"/>
    <x v="2"/>
    <n v="35"/>
    <s v="Associate"/>
    <s v="Ashleychester"/>
    <n v="71201"/>
    <n v="2"/>
    <n v="0"/>
    <n v="70"/>
    <n v="0"/>
    <s v="Low"/>
    <x v="4"/>
  </r>
  <r>
    <n v="8934"/>
    <s v="Julia Carter"/>
    <x v="0"/>
    <x v="6"/>
    <d v="2022-12-24T00:00:00"/>
    <d v="2024-06-11T00:00:00"/>
    <s v="Terminated"/>
    <x v="1"/>
    <n v="37"/>
    <s v="Master"/>
    <s v="Thomasberg"/>
    <n v="89415"/>
    <n v="2"/>
    <n v="4"/>
    <n v="9"/>
    <n v="1"/>
    <s v="Low"/>
    <x v="0"/>
  </r>
  <r>
    <n v="9903"/>
    <s v="Jacqueline Thompson"/>
    <x v="0"/>
    <x v="0"/>
    <d v="2016-09-23T00:00:00"/>
    <d v="2022-05-25T00:00:00"/>
    <s v="Terminated"/>
    <x v="2"/>
    <n v="45"/>
    <s v="Associate"/>
    <s v="Colebury"/>
    <n v="111547"/>
    <n v="2"/>
    <n v="2"/>
    <n v="88"/>
    <n v="1"/>
    <s v="Low"/>
    <x v="0"/>
  </r>
  <r>
    <n v="2597"/>
    <s v="Jennifer Martin"/>
    <x v="2"/>
    <x v="5"/>
    <d v="2017-07-13T00:00:00"/>
    <m/>
    <s v="Active"/>
    <x v="1"/>
    <n v="48"/>
    <s v="PhD"/>
    <s v="South Victoriafort"/>
    <n v="65766"/>
    <n v="1"/>
    <n v="10"/>
    <n v="52"/>
    <n v="0"/>
    <s v="Low"/>
    <x v="3"/>
  </r>
  <r>
    <n v="6155"/>
    <s v="Christina Dillon"/>
    <x v="1"/>
    <x v="10"/>
    <d v="2020-07-07T00:00:00"/>
    <m/>
    <s v="Active"/>
    <x v="1"/>
    <n v="52"/>
    <s v="Bachelor"/>
    <s v="Port Kylebury"/>
    <n v="50937"/>
    <n v="3"/>
    <n v="14"/>
    <n v="38"/>
    <n v="0"/>
    <s v="Medium"/>
    <x v="3"/>
  </r>
  <r>
    <n v="6831"/>
    <s v="Susan Long"/>
    <x v="5"/>
    <x v="7"/>
    <d v="2023-02-05T00:00:00"/>
    <m/>
    <s v="Active"/>
    <x v="1"/>
    <n v="25"/>
    <s v="Master"/>
    <s v="New Caroline"/>
    <n v="100776"/>
    <n v="4"/>
    <n v="15"/>
    <n v="17"/>
    <n v="0"/>
    <s v="Medium"/>
    <x v="2"/>
  </r>
  <r>
    <n v="1849"/>
    <s v="Julie Buchanan"/>
    <x v="2"/>
    <x v="5"/>
    <d v="2023-11-30T00:00:00"/>
    <m/>
    <s v="Active"/>
    <x v="2"/>
    <n v="37"/>
    <s v="Master"/>
    <s v="Robertsonland"/>
    <n v="82514"/>
    <n v="5"/>
    <n v="9"/>
    <n v="74"/>
    <n v="0"/>
    <s v="High"/>
    <x v="0"/>
  </r>
  <r>
    <n v="2091"/>
    <s v="Willie Flynn"/>
    <x v="4"/>
    <x v="4"/>
    <d v="2022-06-09T00:00:00"/>
    <d v="2023-03-05T00:00:00"/>
    <s v="Terminated"/>
    <x v="0"/>
    <n v="40"/>
    <s v="Bachelor"/>
    <s v="West Troy"/>
    <n v="118137"/>
    <n v="4"/>
    <n v="4"/>
    <n v="4"/>
    <n v="1"/>
    <s v="Medium"/>
    <x v="0"/>
  </r>
  <r>
    <n v="3783"/>
    <s v="Lisa Young"/>
    <x v="2"/>
    <x v="5"/>
    <d v="2019-06-01T00:00:00"/>
    <m/>
    <s v="Active"/>
    <x v="0"/>
    <n v="40"/>
    <s v="Master"/>
    <s v="North Bruce"/>
    <n v="87170"/>
    <n v="5"/>
    <n v="1"/>
    <n v="68"/>
    <n v="0"/>
    <s v="High"/>
    <x v="0"/>
  </r>
  <r>
    <n v="9921"/>
    <s v="Michelle Long"/>
    <x v="5"/>
    <x v="7"/>
    <d v="2019-06-08T00:00:00"/>
    <m/>
    <s v="Active"/>
    <x v="1"/>
    <n v="60"/>
    <s v="Bachelor"/>
    <s v="Lake William"/>
    <n v="89211"/>
    <n v="1"/>
    <n v="6"/>
    <n v="53"/>
    <n v="0"/>
    <s v="Low"/>
    <x v="1"/>
  </r>
  <r>
    <n v="3620"/>
    <s v="Trevor Winters"/>
    <x v="1"/>
    <x v="1"/>
    <d v="2023-03-21T00:00:00"/>
    <d v="2024-11-22T00:00:00"/>
    <s v="Terminated"/>
    <x v="2"/>
    <n v="44"/>
    <s v="Associate"/>
    <s v="Johnbury"/>
    <n v="41460"/>
    <n v="4"/>
    <n v="1"/>
    <n v="95"/>
    <n v="1"/>
    <s v="Medium"/>
    <x v="0"/>
  </r>
  <r>
    <n v="3843"/>
    <s v="Timothy Mcintyre"/>
    <x v="1"/>
    <x v="10"/>
    <d v="2022-06-28T00:00:00"/>
    <d v="2022-08-30T00:00:00"/>
    <s v="Terminated"/>
    <x v="0"/>
    <n v="41"/>
    <s v="PhD"/>
    <s v="Diazhaven"/>
    <n v="99989"/>
    <n v="4"/>
    <n v="14"/>
    <n v="61"/>
    <n v="1"/>
    <s v="Medium"/>
    <x v="0"/>
  </r>
  <r>
    <n v="9533"/>
    <s v="Chelsea Figueroa"/>
    <x v="0"/>
    <x v="0"/>
    <d v="2016-03-07T00:00:00"/>
    <d v="2019-10-12T00:00:00"/>
    <s v="Terminated"/>
    <x v="2"/>
    <n v="41"/>
    <s v="Bachelor"/>
    <s v="East Russelltown"/>
    <n v="60621"/>
    <n v="3"/>
    <n v="7"/>
    <n v="75"/>
    <n v="1"/>
    <s v="Medium"/>
    <x v="0"/>
  </r>
  <r>
    <n v="1298"/>
    <s v="Gabriel Morales"/>
    <x v="3"/>
    <x v="12"/>
    <d v="2017-07-04T00:00:00"/>
    <m/>
    <s v="Active"/>
    <x v="2"/>
    <n v="22"/>
    <s v="Associate"/>
    <s v="Hannafurt"/>
    <n v="91035"/>
    <n v="2"/>
    <n v="1"/>
    <n v="82"/>
    <n v="0"/>
    <s v="Low"/>
    <x v="2"/>
  </r>
  <r>
    <n v="5229"/>
    <s v="Kevin Turner"/>
    <x v="4"/>
    <x v="9"/>
    <d v="2016-02-10T00:00:00"/>
    <m/>
    <s v="Active"/>
    <x v="2"/>
    <n v="51"/>
    <s v="High School"/>
    <s v="Schmidtshire"/>
    <n v="63991"/>
    <n v="4"/>
    <n v="13"/>
    <n v="20"/>
    <n v="0"/>
    <s v="Medium"/>
    <x v="3"/>
  </r>
  <r>
    <n v="8146"/>
    <s v="Anthony Hood"/>
    <x v="5"/>
    <x v="7"/>
    <d v="2020-10-25T00:00:00"/>
    <d v="2023-05-01T00:00:00"/>
    <s v="Terminated"/>
    <x v="1"/>
    <n v="24"/>
    <s v="Master"/>
    <s v="Port Tamaraville"/>
    <n v="32478"/>
    <n v="4"/>
    <n v="5"/>
    <n v="74"/>
    <n v="1"/>
    <s v="Medium"/>
    <x v="2"/>
  </r>
  <r>
    <n v="5382"/>
    <s v="Derek Diaz"/>
    <x v="1"/>
    <x v="10"/>
    <d v="2018-05-29T00:00:00"/>
    <m/>
    <s v="Active"/>
    <x v="1"/>
    <n v="53"/>
    <s v="Associate"/>
    <s v="Robertberg"/>
    <n v="61670"/>
    <n v="5"/>
    <n v="10"/>
    <n v="98"/>
    <n v="0"/>
    <s v="High"/>
    <x v="3"/>
  </r>
  <r>
    <n v="1433"/>
    <s v="Daniel Wallace"/>
    <x v="3"/>
    <x v="8"/>
    <d v="2022-11-25T00:00:00"/>
    <m/>
    <s v="Active"/>
    <x v="2"/>
    <n v="40"/>
    <s v="Bachelor"/>
    <s v="South Amy"/>
    <n v="30561"/>
    <n v="2"/>
    <n v="13"/>
    <n v="41"/>
    <n v="0"/>
    <s v="Low"/>
    <x v="0"/>
  </r>
  <r>
    <n v="8795"/>
    <s v="Pamela Delacruz"/>
    <x v="5"/>
    <x v="7"/>
    <d v="2023-09-29T00:00:00"/>
    <d v="2024-06-10T00:00:00"/>
    <s v="Terminated"/>
    <x v="0"/>
    <n v="29"/>
    <s v="Associate"/>
    <s v="Port Mitchell"/>
    <n v="118239"/>
    <n v="2"/>
    <n v="12"/>
    <n v="59"/>
    <n v="1"/>
    <s v="Low"/>
    <x v="4"/>
  </r>
  <r>
    <n v="8327"/>
    <s v="Nicole Long"/>
    <x v="4"/>
    <x v="4"/>
    <d v="2015-09-10T00:00:00"/>
    <m/>
    <s v="Active"/>
    <x v="1"/>
    <n v="34"/>
    <s v="High School"/>
    <s v="Hoffmanburgh"/>
    <n v="55289"/>
    <n v="3"/>
    <n v="14"/>
    <n v="45"/>
    <n v="0"/>
    <s v="Medium"/>
    <x v="4"/>
  </r>
  <r>
    <n v="2213"/>
    <s v="Jessica Powell"/>
    <x v="4"/>
    <x v="4"/>
    <d v="2016-11-08T00:00:00"/>
    <m/>
    <s v="Active"/>
    <x v="1"/>
    <n v="30"/>
    <s v="Associate"/>
    <s v="East Carla"/>
    <n v="31843"/>
    <n v="2"/>
    <n v="9"/>
    <n v="74"/>
    <n v="0"/>
    <s v="Low"/>
    <x v="4"/>
  </r>
  <r>
    <n v="9111"/>
    <s v="Susan Gonzalez"/>
    <x v="2"/>
    <x v="5"/>
    <d v="2016-06-05T00:00:00"/>
    <m/>
    <s v="Active"/>
    <x v="2"/>
    <n v="33"/>
    <s v="PhD"/>
    <s v="Jamesburgh"/>
    <n v="37502"/>
    <n v="2"/>
    <n v="4"/>
    <n v="19"/>
    <n v="0"/>
    <s v="Low"/>
    <x v="4"/>
  </r>
  <r>
    <n v="8719"/>
    <s v="Steven Reynolds"/>
    <x v="1"/>
    <x v="1"/>
    <d v="2016-06-04T00:00:00"/>
    <m/>
    <s v="Active"/>
    <x v="1"/>
    <n v="24"/>
    <s v="Master"/>
    <s v="South Cory"/>
    <n v="109241"/>
    <n v="5"/>
    <n v="6"/>
    <n v="93"/>
    <n v="0"/>
    <s v="High"/>
    <x v="2"/>
  </r>
  <r>
    <n v="7494"/>
    <s v="Michelle Hernandez"/>
    <x v="0"/>
    <x v="6"/>
    <d v="2020-02-01T00:00:00"/>
    <d v="2025-02-05T00:00:00"/>
    <s v="Terminated"/>
    <x v="1"/>
    <n v="33"/>
    <s v="Master"/>
    <s v="Griffinton"/>
    <n v="90557"/>
    <n v="1"/>
    <n v="11"/>
    <n v="87"/>
    <n v="1"/>
    <s v="Low"/>
    <x v="4"/>
  </r>
  <r>
    <n v="7771"/>
    <s v="Jennifer Roberts"/>
    <x v="2"/>
    <x v="5"/>
    <d v="2022-05-06T00:00:00"/>
    <m/>
    <s v="Active"/>
    <x v="0"/>
    <n v="60"/>
    <s v="Associate"/>
    <s v="Port Sean"/>
    <n v="102116"/>
    <n v="2"/>
    <n v="6"/>
    <n v="63"/>
    <n v="0"/>
    <s v="Low"/>
    <x v="1"/>
  </r>
  <r>
    <n v="4350"/>
    <s v="Rachael Allen"/>
    <x v="5"/>
    <x v="11"/>
    <d v="2023-02-08T00:00:00"/>
    <d v="2025-02-22T00:00:00"/>
    <s v="Terminated"/>
    <x v="1"/>
    <n v="37"/>
    <s v="High School"/>
    <s v="South Kelseyton"/>
    <n v="81896"/>
    <n v="1"/>
    <n v="6"/>
    <n v="12"/>
    <n v="1"/>
    <s v="Low"/>
    <x v="0"/>
  </r>
  <r>
    <n v="3165"/>
    <s v="Charles Stewart"/>
    <x v="1"/>
    <x v="10"/>
    <d v="2018-06-15T00:00:00"/>
    <m/>
    <s v="Active"/>
    <x v="2"/>
    <n v="46"/>
    <s v="Associate"/>
    <s v="East Michelehaven"/>
    <n v="113859"/>
    <n v="4"/>
    <n v="14"/>
    <n v="80"/>
    <n v="0"/>
    <s v="Medium"/>
    <x v="3"/>
  </r>
  <r>
    <n v="2997"/>
    <s v="Barbara Turner"/>
    <x v="3"/>
    <x v="8"/>
    <d v="2015-11-26T00:00:00"/>
    <m/>
    <s v="Active"/>
    <x v="2"/>
    <n v="56"/>
    <s v="High School"/>
    <s v="Mooreberg"/>
    <n v="49050"/>
    <n v="5"/>
    <n v="4"/>
    <n v="6"/>
    <n v="0"/>
    <s v="High"/>
    <x v="1"/>
  </r>
  <r>
    <n v="1854"/>
    <s v="Christina Guzman"/>
    <x v="0"/>
    <x v="0"/>
    <d v="2021-08-12T00:00:00"/>
    <m/>
    <s v="Active"/>
    <x v="2"/>
    <n v="40"/>
    <s v="Bachelor"/>
    <s v="East Nicolefurt"/>
    <n v="113337"/>
    <n v="2"/>
    <n v="5"/>
    <n v="35"/>
    <n v="0"/>
    <s v="Low"/>
    <x v="0"/>
  </r>
  <r>
    <n v="3581"/>
    <s v="Brian Deleon"/>
    <x v="5"/>
    <x v="11"/>
    <d v="2022-06-02T00:00:00"/>
    <m/>
    <s v="Active"/>
    <x v="1"/>
    <n v="49"/>
    <s v="PhD"/>
    <s v="Jasonhaven"/>
    <n v="80945"/>
    <n v="3"/>
    <n v="7"/>
    <n v="84"/>
    <n v="0"/>
    <s v="Medium"/>
    <x v="3"/>
  </r>
  <r>
    <n v="9915"/>
    <s v="Jill Bennett"/>
    <x v="2"/>
    <x v="2"/>
    <d v="2019-05-11T00:00:00"/>
    <d v="2020-10-08T00:00:00"/>
    <s v="Terminated"/>
    <x v="0"/>
    <n v="27"/>
    <s v="Bachelor"/>
    <s v="Ashleystad"/>
    <n v="101730"/>
    <n v="3"/>
    <n v="6"/>
    <n v="30"/>
    <n v="1"/>
    <s v="Medium"/>
    <x v="4"/>
  </r>
  <r>
    <n v="1161"/>
    <s v="Brittany Crosby"/>
    <x v="0"/>
    <x v="0"/>
    <d v="2022-02-04T00:00:00"/>
    <m/>
    <s v="Active"/>
    <x v="0"/>
    <n v="40"/>
    <s v="PhD"/>
    <s v="Alexanderfurt"/>
    <n v="31258"/>
    <n v="2"/>
    <n v="14"/>
    <n v="100"/>
    <n v="0"/>
    <s v="Low"/>
    <x v="0"/>
  </r>
  <r>
    <n v="4475"/>
    <s v="Thomas Frye"/>
    <x v="1"/>
    <x v="10"/>
    <d v="2018-07-17T00:00:00"/>
    <m/>
    <s v="Active"/>
    <x v="2"/>
    <n v="24"/>
    <s v="Master"/>
    <s v="Pattonfort"/>
    <n v="97480"/>
    <n v="2"/>
    <n v="8"/>
    <n v="54"/>
    <n v="0"/>
    <s v="Low"/>
    <x v="2"/>
  </r>
  <r>
    <n v="7857"/>
    <s v="Kerry Berger"/>
    <x v="1"/>
    <x v="10"/>
    <d v="2018-05-21T00:00:00"/>
    <m/>
    <s v="Active"/>
    <x v="1"/>
    <n v="27"/>
    <s v="PhD"/>
    <s v="North Maryton"/>
    <n v="93094"/>
    <n v="1"/>
    <n v="7"/>
    <n v="34"/>
    <n v="0"/>
    <s v="Low"/>
    <x v="4"/>
  </r>
  <r>
    <n v="9988"/>
    <s v="Mary Greer"/>
    <x v="3"/>
    <x v="3"/>
    <d v="2019-01-30T00:00:00"/>
    <d v="2025-04-09T00:00:00"/>
    <s v="Terminated"/>
    <x v="0"/>
    <n v="50"/>
    <s v="Master"/>
    <s v="East Andreafurt"/>
    <n v="75761"/>
    <n v="1"/>
    <n v="1"/>
    <n v="97"/>
    <n v="1"/>
    <s v="Low"/>
    <x v="3"/>
  </r>
  <r>
    <n v="7047"/>
    <s v="James Fisher"/>
    <x v="1"/>
    <x v="1"/>
    <d v="2017-11-20T00:00:00"/>
    <m/>
    <s v="Active"/>
    <x v="2"/>
    <n v="29"/>
    <s v="PhD"/>
    <s v="Port Whitneychester"/>
    <n v="87806"/>
    <n v="4"/>
    <n v="1"/>
    <n v="19"/>
    <n v="0"/>
    <s v="Medium"/>
    <x v="4"/>
  </r>
  <r>
    <n v="2453"/>
    <s v="Emma Price"/>
    <x v="3"/>
    <x v="3"/>
    <d v="2022-01-10T00:00:00"/>
    <m/>
    <s v="Active"/>
    <x v="2"/>
    <n v="47"/>
    <s v="High School"/>
    <s v="North Destiny"/>
    <n v="105346"/>
    <n v="3"/>
    <n v="12"/>
    <n v="62"/>
    <n v="0"/>
    <s v="Medium"/>
    <x v="3"/>
  </r>
  <r>
    <n v="1752"/>
    <s v="Hannah Carlson"/>
    <x v="5"/>
    <x v="11"/>
    <d v="2018-07-15T00:00:00"/>
    <d v="2022-08-31T00:00:00"/>
    <s v="Terminated"/>
    <x v="2"/>
    <n v="35"/>
    <s v="Master"/>
    <s v="Loriview"/>
    <n v="69033"/>
    <n v="1"/>
    <n v="7"/>
    <n v="85"/>
    <n v="1"/>
    <s v="Low"/>
    <x v="4"/>
  </r>
  <r>
    <n v="7646"/>
    <s v="Bryan Walsh"/>
    <x v="5"/>
    <x v="11"/>
    <d v="2019-05-04T00:00:00"/>
    <m/>
    <s v="Active"/>
    <x v="2"/>
    <n v="58"/>
    <s v="Bachelor"/>
    <s v="Lake Ericmouth"/>
    <n v="100506"/>
    <n v="5"/>
    <n v="5"/>
    <n v="75"/>
    <n v="0"/>
    <s v="High"/>
    <x v="1"/>
  </r>
  <r>
    <n v="7271"/>
    <s v="Dawn Duffy"/>
    <x v="2"/>
    <x v="5"/>
    <d v="2021-07-09T00:00:00"/>
    <m/>
    <s v="Active"/>
    <x v="1"/>
    <n v="23"/>
    <s v="PhD"/>
    <s v="Mooreburgh"/>
    <n v="72490"/>
    <n v="3"/>
    <n v="5"/>
    <n v="51"/>
    <n v="0"/>
    <s v="Medium"/>
    <x v="2"/>
  </r>
  <r>
    <n v="6795"/>
    <s v="Kelly Hardin"/>
    <x v="4"/>
    <x v="4"/>
    <d v="2022-12-17T00:00:00"/>
    <m/>
    <s v="Active"/>
    <x v="0"/>
    <n v="46"/>
    <s v="Master"/>
    <s v="Mortonland"/>
    <n v="118871"/>
    <n v="2"/>
    <n v="11"/>
    <n v="25"/>
    <n v="0"/>
    <s v="Low"/>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9121"/>
    <s v="Michael King"/>
    <x v="0"/>
    <x v="0"/>
    <x v="0"/>
    <d v="2020-08-15T00:00:00"/>
    <x v="0"/>
    <x v="0"/>
    <n v="38"/>
    <n v="44456"/>
    <n v="3"/>
    <n v="7"/>
    <n v="21"/>
    <n v="1"/>
    <s v="Medium"/>
    <s v="36–45"/>
    <n v="2"/>
    <x v="0"/>
    <s v="Theresaberg"/>
  </r>
  <r>
    <n v="5105"/>
    <s v="Alexandra Todd"/>
    <x v="1"/>
    <x v="1"/>
    <x v="1"/>
    <m/>
    <x v="1"/>
    <x v="1"/>
    <n v="36"/>
    <n v="95380"/>
    <n v="4"/>
    <n v="10"/>
    <n v="52"/>
    <n v="0"/>
    <s v="Medium"/>
    <s v="36–45"/>
    <s v=""/>
    <x v="0"/>
    <s v="Dicksonburgh"/>
  </r>
  <r>
    <n v="2934"/>
    <s v="Amanda Chambers"/>
    <x v="2"/>
    <x v="2"/>
    <x v="2"/>
    <m/>
    <x v="1"/>
    <x v="0"/>
    <n v="60"/>
    <n v="50090"/>
    <n v="2"/>
    <n v="5"/>
    <n v="53"/>
    <n v="0"/>
    <s v="Low"/>
    <s v="56–65"/>
    <s v=""/>
    <x v="0"/>
    <s v="Lake Jasonborough"/>
  </r>
  <r>
    <n v="4601"/>
    <s v="Ashley Watkins"/>
    <x v="1"/>
    <x v="1"/>
    <x v="3"/>
    <m/>
    <x v="1"/>
    <x v="0"/>
    <n v="25"/>
    <n v="53855"/>
    <n v="3"/>
    <n v="15"/>
    <n v="51"/>
    <n v="0"/>
    <s v="Medium"/>
    <s v="18–25"/>
    <s v=""/>
    <x v="1"/>
    <s v="Michaelshire"/>
  </r>
  <r>
    <n v="2805"/>
    <s v="Sherri Dawson"/>
    <x v="0"/>
    <x v="0"/>
    <x v="4"/>
    <m/>
    <x v="1"/>
    <x v="1"/>
    <n v="60"/>
    <n v="119492"/>
    <n v="2"/>
    <n v="11"/>
    <n v="72"/>
    <n v="0"/>
    <s v="Low"/>
    <s v="56–65"/>
    <s v=""/>
    <x v="0"/>
    <s v="Oconnorberg"/>
  </r>
  <r>
    <n v="4264"/>
    <s v="Kevin Thomas"/>
    <x v="0"/>
    <x v="0"/>
    <x v="5"/>
    <m/>
    <x v="1"/>
    <x v="1"/>
    <n v="51"/>
    <n v="41008"/>
    <n v="1"/>
    <n v="14"/>
    <n v="82"/>
    <n v="0"/>
    <s v="Low"/>
    <s v="46–55"/>
    <s v=""/>
    <x v="2"/>
    <s v="East James"/>
  </r>
  <r>
    <n v="1593"/>
    <s v="Jamie Clarke"/>
    <x v="3"/>
    <x v="3"/>
    <x v="6"/>
    <m/>
    <x v="1"/>
    <x v="0"/>
    <n v="46"/>
    <n v="102970"/>
    <n v="3"/>
    <n v="1"/>
    <n v="64"/>
    <n v="0"/>
    <s v="Medium"/>
    <s v="46–55"/>
    <s v=""/>
    <x v="2"/>
    <s v="South Daniel"/>
  </r>
  <r>
    <n v="2498"/>
    <s v="Jessica Rivera"/>
    <x v="2"/>
    <x v="2"/>
    <x v="7"/>
    <m/>
    <x v="1"/>
    <x v="1"/>
    <n v="40"/>
    <n v="75001"/>
    <n v="4"/>
    <n v="5"/>
    <n v="46"/>
    <n v="0"/>
    <s v="Medium"/>
    <s v="36–45"/>
    <s v=""/>
    <x v="3"/>
    <s v="Steventown"/>
  </r>
  <r>
    <n v="2560"/>
    <s v="Meghan Brooks"/>
    <x v="0"/>
    <x v="0"/>
    <x v="8"/>
    <m/>
    <x v="1"/>
    <x v="1"/>
    <n v="52"/>
    <n v="111260"/>
    <n v="1"/>
    <n v="8"/>
    <n v="39"/>
    <n v="0"/>
    <s v="Low"/>
    <s v="46–55"/>
    <s v=""/>
    <x v="1"/>
    <s v="Colemanberg"/>
  </r>
  <r>
    <n v="8584"/>
    <s v="Katie Black"/>
    <x v="1"/>
    <x v="1"/>
    <x v="9"/>
    <d v="2018-11-19T00:00:00"/>
    <x v="0"/>
    <x v="1"/>
    <n v="26"/>
    <n v="78806"/>
    <n v="5"/>
    <n v="6"/>
    <n v="92"/>
    <n v="1"/>
    <s v="High"/>
    <s v="26–35"/>
    <n v="3"/>
    <x v="3"/>
    <s v="Rebeccabury"/>
  </r>
  <r>
    <n v="3897"/>
    <s v="David Arroyo"/>
    <x v="4"/>
    <x v="4"/>
    <x v="10"/>
    <d v="2021-04-01T00:00:00"/>
    <x v="0"/>
    <x v="2"/>
    <n v="50"/>
    <n v="75813"/>
    <n v="3"/>
    <n v="1"/>
    <n v="9"/>
    <n v="1"/>
    <s v="Medium"/>
    <s v="46–55"/>
    <n v="2"/>
    <x v="0"/>
    <s v="West Ashley"/>
  </r>
  <r>
    <n v="1477"/>
    <s v="Amy Summers"/>
    <x v="2"/>
    <x v="2"/>
    <x v="11"/>
    <d v="2020-01-12T00:00:00"/>
    <x v="0"/>
    <x v="1"/>
    <n v="34"/>
    <n v="32313"/>
    <n v="4"/>
    <n v="15"/>
    <n v="62"/>
    <n v="1"/>
    <s v="Medium"/>
    <s v="26–35"/>
    <n v="3"/>
    <x v="1"/>
    <s v="South David"/>
  </r>
  <r>
    <n v="7051"/>
    <s v="Shannon Rubio"/>
    <x v="1"/>
    <x v="1"/>
    <x v="12"/>
    <m/>
    <x v="1"/>
    <x v="2"/>
    <n v="51"/>
    <n v="79626"/>
    <n v="3"/>
    <n v="4"/>
    <n v="27"/>
    <n v="0"/>
    <s v="Medium"/>
    <s v="46–55"/>
    <s v=""/>
    <x v="2"/>
    <s v="Glassberg"/>
  </r>
  <r>
    <n v="9637"/>
    <s v="Heather Greer"/>
    <x v="2"/>
    <x v="5"/>
    <x v="13"/>
    <m/>
    <x v="1"/>
    <x v="0"/>
    <n v="40"/>
    <n v="79583"/>
    <n v="4"/>
    <n v="4"/>
    <n v="30"/>
    <n v="0"/>
    <s v="Medium"/>
    <s v="36–45"/>
    <s v=""/>
    <x v="4"/>
    <s v="West Kevin"/>
  </r>
  <r>
    <n v="9110"/>
    <s v="Victoria Baker"/>
    <x v="0"/>
    <x v="6"/>
    <x v="14"/>
    <m/>
    <x v="1"/>
    <x v="1"/>
    <n v="40"/>
    <n v="87991"/>
    <n v="5"/>
    <n v="3"/>
    <n v="52"/>
    <n v="0"/>
    <s v="High"/>
    <s v="36–45"/>
    <s v=""/>
    <x v="2"/>
    <s v="Mendezfort"/>
  </r>
  <r>
    <n v="8200"/>
    <s v="Derek Miller"/>
    <x v="4"/>
    <x v="4"/>
    <x v="15"/>
    <d v="2018-04-27T00:00:00"/>
    <x v="0"/>
    <x v="1"/>
    <n v="58"/>
    <n v="90023"/>
    <n v="4"/>
    <n v="3"/>
    <n v="42"/>
    <n v="1"/>
    <s v="Medium"/>
    <s v="56–65"/>
    <n v="0"/>
    <x v="4"/>
    <s v="Port Mariashire"/>
  </r>
  <r>
    <n v="1778"/>
    <s v="Paul Joseph"/>
    <x v="5"/>
    <x v="7"/>
    <x v="16"/>
    <m/>
    <x v="1"/>
    <x v="2"/>
    <n v="32"/>
    <n v="95371"/>
    <n v="5"/>
    <n v="13"/>
    <n v="91"/>
    <n v="0"/>
    <s v="High"/>
    <s v="26–35"/>
    <s v=""/>
    <x v="2"/>
    <s v="East Christinemouth"/>
  </r>
  <r>
    <n v="1182"/>
    <s v="David Jones"/>
    <x v="4"/>
    <x v="4"/>
    <x v="17"/>
    <m/>
    <x v="1"/>
    <x v="1"/>
    <n v="49"/>
    <n v="54240"/>
    <n v="5"/>
    <n v="1"/>
    <n v="49"/>
    <n v="0"/>
    <s v="High"/>
    <s v="46–55"/>
    <s v=""/>
    <x v="2"/>
    <s v="North Rebeccahaven"/>
  </r>
  <r>
    <n v="4254"/>
    <s v="Yolanda Gonzalez"/>
    <x v="0"/>
    <x v="6"/>
    <x v="18"/>
    <m/>
    <x v="1"/>
    <x v="2"/>
    <n v="35"/>
    <n v="105074"/>
    <n v="1"/>
    <n v="7"/>
    <n v="9"/>
    <n v="0"/>
    <s v="Low"/>
    <s v="26–35"/>
    <s v=""/>
    <x v="2"/>
    <s v="Tanyaberg"/>
  </r>
  <r>
    <n v="4235"/>
    <s v="Veronica Pearson"/>
    <x v="1"/>
    <x v="1"/>
    <x v="19"/>
    <d v="2023-06-14T00:00:00"/>
    <x v="0"/>
    <x v="2"/>
    <n v="33"/>
    <n v="34603"/>
    <n v="5"/>
    <n v="15"/>
    <n v="11"/>
    <n v="1"/>
    <s v="High"/>
    <s v="26–35"/>
    <n v="3"/>
    <x v="3"/>
    <s v="Deborahhaven"/>
  </r>
  <r>
    <n v="4528"/>
    <s v="Tabitha Chapman"/>
    <x v="0"/>
    <x v="0"/>
    <x v="20"/>
    <d v="2025-02-05T00:00:00"/>
    <x v="0"/>
    <x v="1"/>
    <n v="59"/>
    <n v="76940"/>
    <n v="3"/>
    <n v="6"/>
    <n v="90"/>
    <n v="1"/>
    <s v="Medium"/>
    <s v="56–65"/>
    <n v="5"/>
    <x v="1"/>
    <s v="South Davidfurt"/>
  </r>
  <r>
    <n v="3157"/>
    <s v="Jill Dalton"/>
    <x v="3"/>
    <x v="8"/>
    <x v="21"/>
    <m/>
    <x v="1"/>
    <x v="0"/>
    <n v="30"/>
    <n v="78941"/>
    <n v="4"/>
    <n v="15"/>
    <n v="45"/>
    <n v="0"/>
    <s v="Medium"/>
    <s v="26–35"/>
    <s v=""/>
    <x v="0"/>
    <s v="Nicholasport"/>
  </r>
  <r>
    <n v="4362"/>
    <s v="Rachel Wagner MD"/>
    <x v="4"/>
    <x v="9"/>
    <x v="22"/>
    <m/>
    <x v="1"/>
    <x v="1"/>
    <n v="52"/>
    <n v="69098"/>
    <n v="1"/>
    <n v="14"/>
    <n v="70"/>
    <n v="0"/>
    <s v="Low"/>
    <s v="46–55"/>
    <s v=""/>
    <x v="1"/>
    <s v="South Daniellechester"/>
  </r>
  <r>
    <n v="3081"/>
    <s v="James Patrick"/>
    <x v="4"/>
    <x v="4"/>
    <x v="23"/>
    <d v="2021-02-16T00:00:00"/>
    <x v="0"/>
    <x v="0"/>
    <n v="61"/>
    <n v="91852"/>
    <n v="3"/>
    <n v="5"/>
    <n v="55"/>
    <n v="1"/>
    <s v="Medium"/>
    <s v="56–65"/>
    <n v="4"/>
    <x v="3"/>
    <s v="Johnland"/>
  </r>
  <r>
    <n v="1136"/>
    <s v="Maria Watson"/>
    <x v="1"/>
    <x v="10"/>
    <x v="24"/>
    <d v="2021-03-13T00:00:00"/>
    <x v="0"/>
    <x v="2"/>
    <n v="60"/>
    <n v="52930"/>
    <n v="5"/>
    <n v="1"/>
    <n v="28"/>
    <n v="1"/>
    <s v="High"/>
    <s v="56–65"/>
    <n v="2"/>
    <x v="3"/>
    <s v="South Aaron"/>
  </r>
  <r>
    <n v="3308"/>
    <s v="Nathan Green"/>
    <x v="0"/>
    <x v="0"/>
    <x v="25"/>
    <d v="2023-04-12T00:00:00"/>
    <x v="0"/>
    <x v="2"/>
    <n v="55"/>
    <n v="79715"/>
    <n v="3"/>
    <n v="5"/>
    <n v="14"/>
    <n v="1"/>
    <s v="Medium"/>
    <s v="46–55"/>
    <n v="1"/>
    <x v="3"/>
    <s v="South Felicia"/>
  </r>
  <r>
    <n v="1482"/>
    <s v="Edward Reyes"/>
    <x v="4"/>
    <x v="9"/>
    <x v="26"/>
    <m/>
    <x v="1"/>
    <x v="0"/>
    <n v="45"/>
    <n v="72076"/>
    <n v="5"/>
    <n v="4"/>
    <n v="2"/>
    <n v="0"/>
    <s v="High"/>
    <s v="36–45"/>
    <s v=""/>
    <x v="3"/>
    <s v="West Joseph"/>
  </r>
  <r>
    <n v="4592"/>
    <s v="Russell Fields"/>
    <x v="3"/>
    <x v="8"/>
    <x v="27"/>
    <m/>
    <x v="1"/>
    <x v="2"/>
    <n v="23"/>
    <n v="42397"/>
    <n v="3"/>
    <n v="9"/>
    <n v="71"/>
    <n v="0"/>
    <s v="Medium"/>
    <s v="18–25"/>
    <s v=""/>
    <x v="0"/>
    <s v="New Nicoleview"/>
  </r>
  <r>
    <n v="7479"/>
    <s v="Eric King"/>
    <x v="0"/>
    <x v="6"/>
    <x v="28"/>
    <d v="2022-07-26T00:00:00"/>
    <x v="0"/>
    <x v="1"/>
    <n v="44"/>
    <n v="67028"/>
    <n v="1"/>
    <n v="3"/>
    <n v="45"/>
    <n v="1"/>
    <s v="Low"/>
    <s v="36–45"/>
    <n v="1"/>
    <x v="3"/>
    <s v="New Jeanne"/>
  </r>
  <r>
    <n v="7732"/>
    <s v="Anne Mercado"/>
    <x v="1"/>
    <x v="1"/>
    <x v="29"/>
    <m/>
    <x v="1"/>
    <x v="1"/>
    <n v="48"/>
    <n v="47478"/>
    <n v="1"/>
    <n v="3"/>
    <n v="63"/>
    <n v="0"/>
    <s v="Low"/>
    <s v="46–55"/>
    <s v=""/>
    <x v="2"/>
    <s v="Lake Marie"/>
  </r>
  <r>
    <n v="1283"/>
    <s v="Brandon Browning"/>
    <x v="5"/>
    <x v="7"/>
    <x v="30"/>
    <d v="2024-12-22T00:00:00"/>
    <x v="0"/>
    <x v="1"/>
    <n v="48"/>
    <n v="42504"/>
    <n v="3"/>
    <n v="2"/>
    <n v="96"/>
    <n v="1"/>
    <s v="Medium"/>
    <s v="46–55"/>
    <n v="0"/>
    <x v="2"/>
    <s v="Nicholeburgh"/>
  </r>
  <r>
    <n v="8580"/>
    <s v="Erin Martin"/>
    <x v="5"/>
    <x v="11"/>
    <x v="31"/>
    <m/>
    <x v="1"/>
    <x v="2"/>
    <n v="33"/>
    <n v="55814"/>
    <n v="2"/>
    <n v="15"/>
    <n v="8"/>
    <n v="0"/>
    <s v="Low"/>
    <s v="26–35"/>
    <s v=""/>
    <x v="4"/>
    <s v="Christophermouth"/>
  </r>
  <r>
    <n v="2568"/>
    <s v="Mr. Seth Shields"/>
    <x v="2"/>
    <x v="2"/>
    <x v="32"/>
    <d v="2018-01-23T00:00:00"/>
    <x v="0"/>
    <x v="2"/>
    <n v="35"/>
    <n v="86857"/>
    <n v="2"/>
    <n v="1"/>
    <n v="98"/>
    <n v="1"/>
    <s v="Low"/>
    <s v="26–35"/>
    <n v="2"/>
    <x v="2"/>
    <s v="South Rickyshire"/>
  </r>
  <r>
    <n v="3962"/>
    <s v="Henry Wright"/>
    <x v="3"/>
    <x v="3"/>
    <x v="33"/>
    <d v="2024-09-14T00:00:00"/>
    <x v="0"/>
    <x v="1"/>
    <n v="55"/>
    <n v="45506"/>
    <n v="1"/>
    <n v="13"/>
    <n v="63"/>
    <n v="1"/>
    <s v="Low"/>
    <s v="46–55"/>
    <n v="8"/>
    <x v="4"/>
    <s v="New Kylestad"/>
  </r>
  <r>
    <n v="3178"/>
    <s v="Wesley Moran"/>
    <x v="4"/>
    <x v="9"/>
    <x v="34"/>
    <d v="2022-07-26T00:00:00"/>
    <x v="0"/>
    <x v="2"/>
    <n v="26"/>
    <n v="49807"/>
    <n v="5"/>
    <n v="4"/>
    <n v="12"/>
    <n v="1"/>
    <s v="High"/>
    <s v="26–35"/>
    <n v="6"/>
    <x v="1"/>
    <s v="Martinstad"/>
  </r>
  <r>
    <n v="4141"/>
    <s v="Henry Sanders"/>
    <x v="2"/>
    <x v="5"/>
    <x v="35"/>
    <m/>
    <x v="1"/>
    <x v="0"/>
    <n v="55"/>
    <n v="88542"/>
    <n v="5"/>
    <n v="10"/>
    <n v="82"/>
    <n v="0"/>
    <s v="High"/>
    <s v="46–55"/>
    <s v=""/>
    <x v="2"/>
    <s v="Lewismouth"/>
  </r>
  <r>
    <n v="3599"/>
    <s v="Timothy Lindsey"/>
    <x v="4"/>
    <x v="9"/>
    <x v="36"/>
    <m/>
    <x v="1"/>
    <x v="0"/>
    <n v="51"/>
    <n v="111654"/>
    <n v="1"/>
    <n v="11"/>
    <n v="0"/>
    <n v="0"/>
    <s v="Low"/>
    <s v="46–55"/>
    <s v=""/>
    <x v="0"/>
    <s v="Foleyfurt"/>
  </r>
  <r>
    <n v="2514"/>
    <s v="Mary Ross"/>
    <x v="4"/>
    <x v="4"/>
    <x v="37"/>
    <d v="2021-10-03T00:00:00"/>
    <x v="0"/>
    <x v="1"/>
    <n v="38"/>
    <n v="86120"/>
    <n v="2"/>
    <n v="13"/>
    <n v="15"/>
    <n v="1"/>
    <s v="Low"/>
    <s v="36–45"/>
    <n v="0"/>
    <x v="4"/>
    <s v="East Josephbury"/>
  </r>
  <r>
    <n v="8563"/>
    <s v="Richard Lee"/>
    <x v="1"/>
    <x v="10"/>
    <x v="38"/>
    <m/>
    <x v="1"/>
    <x v="0"/>
    <n v="50"/>
    <n v="94810"/>
    <n v="1"/>
    <n v="1"/>
    <n v="62"/>
    <n v="0"/>
    <s v="Low"/>
    <s v="46–55"/>
    <s v=""/>
    <x v="0"/>
    <s v="Port Christophermouth"/>
  </r>
  <r>
    <n v="7364"/>
    <s v="Daniel Wilson"/>
    <x v="0"/>
    <x v="6"/>
    <x v="39"/>
    <m/>
    <x v="1"/>
    <x v="1"/>
    <n v="23"/>
    <n v="94333"/>
    <n v="1"/>
    <n v="3"/>
    <n v="28"/>
    <n v="0"/>
    <s v="Low"/>
    <s v="18–25"/>
    <s v=""/>
    <x v="4"/>
    <s v="Lake Rebeccafort"/>
  </r>
  <r>
    <n v="8855"/>
    <s v="Amy Clark"/>
    <x v="2"/>
    <x v="5"/>
    <x v="40"/>
    <d v="2021-09-07T00:00:00"/>
    <x v="0"/>
    <x v="2"/>
    <n v="25"/>
    <n v="50792"/>
    <n v="3"/>
    <n v="15"/>
    <n v="70"/>
    <n v="1"/>
    <s v="Medium"/>
    <s v="18–25"/>
    <n v="2"/>
    <x v="2"/>
    <s v="Williamshire"/>
  </r>
  <r>
    <n v="6895"/>
    <s v="Cynthia Evans"/>
    <x v="3"/>
    <x v="8"/>
    <x v="41"/>
    <d v="2021-05-22T00:00:00"/>
    <x v="0"/>
    <x v="0"/>
    <n v="56"/>
    <n v="72062"/>
    <n v="1"/>
    <n v="10"/>
    <n v="83"/>
    <n v="1"/>
    <s v="Low"/>
    <s v="56–65"/>
    <n v="4"/>
    <x v="2"/>
    <s v="Robertport"/>
  </r>
  <r>
    <n v="2287"/>
    <s v="Brian Delgado"/>
    <x v="2"/>
    <x v="5"/>
    <x v="42"/>
    <d v="2024-11-14T00:00:00"/>
    <x v="0"/>
    <x v="0"/>
    <n v="57"/>
    <n v="32508"/>
    <n v="5"/>
    <n v="0"/>
    <n v="63"/>
    <n v="1"/>
    <s v="High"/>
    <s v="56–65"/>
    <n v="5"/>
    <x v="3"/>
    <s v="Margaretport"/>
  </r>
  <r>
    <n v="5762"/>
    <s v="Elizabeth Garrison"/>
    <x v="3"/>
    <x v="8"/>
    <x v="43"/>
    <m/>
    <x v="1"/>
    <x v="2"/>
    <n v="46"/>
    <n v="89304"/>
    <n v="2"/>
    <n v="11"/>
    <n v="67"/>
    <n v="0"/>
    <s v="Low"/>
    <s v="46–55"/>
    <s v=""/>
    <x v="0"/>
    <s v="East Sharon"/>
  </r>
  <r>
    <n v="8230"/>
    <s v="James Turner"/>
    <x v="4"/>
    <x v="4"/>
    <x v="44"/>
    <m/>
    <x v="1"/>
    <x v="0"/>
    <n v="28"/>
    <n v="69923"/>
    <n v="2"/>
    <n v="0"/>
    <n v="18"/>
    <n v="0"/>
    <s v="Low"/>
    <s v="26–35"/>
    <s v=""/>
    <x v="0"/>
    <s v="West Rebeccaborough"/>
  </r>
  <r>
    <n v="1149"/>
    <s v="Dean Romero"/>
    <x v="0"/>
    <x v="0"/>
    <x v="45"/>
    <d v="2023-06-23T00:00:00"/>
    <x v="0"/>
    <x v="2"/>
    <n v="43"/>
    <n v="50915"/>
    <n v="1"/>
    <n v="7"/>
    <n v="78"/>
    <n v="1"/>
    <s v="Low"/>
    <s v="36–45"/>
    <n v="7"/>
    <x v="3"/>
    <s v="Adamland"/>
  </r>
  <r>
    <n v="7251"/>
    <s v="Courtney Bell"/>
    <x v="5"/>
    <x v="11"/>
    <x v="46"/>
    <d v="2025-02-19T00:00:00"/>
    <x v="0"/>
    <x v="0"/>
    <n v="30"/>
    <n v="40203"/>
    <n v="2"/>
    <n v="11"/>
    <n v="92"/>
    <n v="1"/>
    <s v="Low"/>
    <s v="26–35"/>
    <n v="8"/>
    <x v="3"/>
    <s v="Hawkinsburgh"/>
  </r>
  <r>
    <n v="6688"/>
    <s v="Russell Becker"/>
    <x v="0"/>
    <x v="6"/>
    <x v="47"/>
    <d v="2025-04-11T00:00:00"/>
    <x v="0"/>
    <x v="2"/>
    <n v="41"/>
    <n v="48144"/>
    <n v="4"/>
    <n v="10"/>
    <n v="41"/>
    <n v="1"/>
    <s v="Medium"/>
    <s v="36–45"/>
    <n v="1"/>
    <x v="0"/>
    <s v="Shannonfort"/>
  </r>
  <r>
    <n v="1416"/>
    <s v="Calvin Hodges"/>
    <x v="4"/>
    <x v="9"/>
    <x v="48"/>
    <m/>
    <x v="1"/>
    <x v="2"/>
    <n v="23"/>
    <n v="39751"/>
    <n v="3"/>
    <n v="4"/>
    <n v="14"/>
    <n v="0"/>
    <s v="Medium"/>
    <s v="18–25"/>
    <s v=""/>
    <x v="2"/>
    <s v="South Lisatown"/>
  </r>
  <r>
    <n v="5884"/>
    <s v="Vickie Villarreal"/>
    <x v="0"/>
    <x v="0"/>
    <x v="49"/>
    <m/>
    <x v="1"/>
    <x v="2"/>
    <n v="51"/>
    <n v="86639"/>
    <n v="1"/>
    <n v="11"/>
    <n v="86"/>
    <n v="0"/>
    <s v="Low"/>
    <s v="46–55"/>
    <s v=""/>
    <x v="4"/>
    <s v="North Eddie"/>
  </r>
  <r>
    <n v="4207"/>
    <s v="Mary Brown"/>
    <x v="0"/>
    <x v="0"/>
    <x v="50"/>
    <d v="2023-05-15T00:00:00"/>
    <x v="0"/>
    <x v="0"/>
    <n v="50"/>
    <n v="54958"/>
    <n v="3"/>
    <n v="0"/>
    <n v="93"/>
    <n v="1"/>
    <s v="Medium"/>
    <s v="46–55"/>
    <n v="6"/>
    <x v="2"/>
    <s v="Samanthastad"/>
  </r>
  <r>
    <n v="8564"/>
    <s v="Maurice Cole"/>
    <x v="3"/>
    <x v="12"/>
    <x v="51"/>
    <m/>
    <x v="1"/>
    <x v="2"/>
    <n v="46"/>
    <n v="68275"/>
    <n v="1"/>
    <n v="8"/>
    <n v="94"/>
    <n v="0"/>
    <s v="Low"/>
    <s v="46–55"/>
    <s v=""/>
    <x v="2"/>
    <s v="North Garyland"/>
  </r>
  <r>
    <n v="2841"/>
    <s v="Carlos Curtis"/>
    <x v="4"/>
    <x v="4"/>
    <x v="47"/>
    <m/>
    <x v="1"/>
    <x v="0"/>
    <n v="46"/>
    <n v="114995"/>
    <n v="3"/>
    <n v="12"/>
    <n v="61"/>
    <n v="0"/>
    <s v="Medium"/>
    <s v="46–55"/>
    <s v=""/>
    <x v="4"/>
    <s v="Burchmouth"/>
  </r>
  <r>
    <n v="6768"/>
    <s v="Peter Ruiz"/>
    <x v="5"/>
    <x v="7"/>
    <x v="52"/>
    <d v="2023-01-04T00:00:00"/>
    <x v="0"/>
    <x v="2"/>
    <n v="26"/>
    <n v="77544"/>
    <n v="1"/>
    <n v="14"/>
    <n v="51"/>
    <n v="1"/>
    <s v="Low"/>
    <s v="26–35"/>
    <n v="4"/>
    <x v="2"/>
    <s v="Robertsonchester"/>
  </r>
  <r>
    <n v="3597"/>
    <s v="David Hicks"/>
    <x v="0"/>
    <x v="0"/>
    <x v="53"/>
    <d v="2023-03-17T00:00:00"/>
    <x v="0"/>
    <x v="2"/>
    <n v="50"/>
    <n v="105628"/>
    <n v="1"/>
    <n v="9"/>
    <n v="0"/>
    <n v="1"/>
    <s v="Low"/>
    <s v="46–55"/>
    <n v="1"/>
    <x v="2"/>
    <s v="Jasminechester"/>
  </r>
  <r>
    <n v="2123"/>
    <s v="Stephanie Tanner DVM"/>
    <x v="2"/>
    <x v="2"/>
    <x v="54"/>
    <d v="2024-07-22T00:00:00"/>
    <x v="0"/>
    <x v="1"/>
    <n v="56"/>
    <n v="75632"/>
    <n v="5"/>
    <n v="3"/>
    <n v="8"/>
    <n v="1"/>
    <s v="High"/>
    <s v="56–65"/>
    <n v="6"/>
    <x v="2"/>
    <s v="Cookeberg"/>
  </r>
  <r>
    <n v="3003"/>
    <s v="Michael Miller"/>
    <x v="3"/>
    <x v="12"/>
    <x v="55"/>
    <d v="2021-05-04T00:00:00"/>
    <x v="0"/>
    <x v="1"/>
    <n v="32"/>
    <n v="77541"/>
    <n v="5"/>
    <n v="12"/>
    <n v="80"/>
    <n v="1"/>
    <s v="High"/>
    <s v="26–35"/>
    <n v="0"/>
    <x v="2"/>
    <s v="North Tammy"/>
  </r>
  <r>
    <n v="2366"/>
    <s v="Taylor Martin"/>
    <x v="4"/>
    <x v="9"/>
    <x v="56"/>
    <m/>
    <x v="1"/>
    <x v="1"/>
    <n v="42"/>
    <n v="95682"/>
    <n v="3"/>
    <n v="4"/>
    <n v="83"/>
    <n v="0"/>
    <s v="Medium"/>
    <s v="36–45"/>
    <s v=""/>
    <x v="3"/>
    <s v="East Kim"/>
  </r>
  <r>
    <n v="1058"/>
    <s v="Matthew Kelly"/>
    <x v="4"/>
    <x v="4"/>
    <x v="57"/>
    <d v="2024-10-01T00:00:00"/>
    <x v="0"/>
    <x v="1"/>
    <n v="36"/>
    <n v="89157"/>
    <n v="1"/>
    <n v="10"/>
    <n v="89"/>
    <n v="1"/>
    <s v="Low"/>
    <s v="36–45"/>
    <n v="0"/>
    <x v="2"/>
    <s v="Nicoleport"/>
  </r>
  <r>
    <n v="3618"/>
    <s v="Thomas Todd"/>
    <x v="1"/>
    <x v="1"/>
    <x v="58"/>
    <m/>
    <x v="1"/>
    <x v="2"/>
    <n v="35"/>
    <n v="71201"/>
    <n v="2"/>
    <n v="0"/>
    <n v="70"/>
    <n v="0"/>
    <s v="Low"/>
    <s v="26–35"/>
    <s v=""/>
    <x v="2"/>
    <s v="Ashleychester"/>
  </r>
  <r>
    <n v="8934"/>
    <s v="Julia Carter"/>
    <x v="0"/>
    <x v="6"/>
    <x v="59"/>
    <d v="2024-06-11T00:00:00"/>
    <x v="0"/>
    <x v="1"/>
    <n v="37"/>
    <n v="89415"/>
    <n v="2"/>
    <n v="4"/>
    <n v="9"/>
    <n v="1"/>
    <s v="Low"/>
    <s v="36–45"/>
    <n v="1"/>
    <x v="0"/>
    <s v="Thomasberg"/>
  </r>
  <r>
    <n v="9903"/>
    <s v="Jacqueline Thompson"/>
    <x v="0"/>
    <x v="0"/>
    <x v="60"/>
    <d v="2022-05-25T00:00:00"/>
    <x v="0"/>
    <x v="2"/>
    <n v="45"/>
    <n v="111547"/>
    <n v="2"/>
    <n v="2"/>
    <n v="88"/>
    <n v="1"/>
    <s v="Low"/>
    <s v="36–45"/>
    <n v="5"/>
    <x v="2"/>
    <s v="Colebury"/>
  </r>
  <r>
    <n v="2597"/>
    <s v="Jennifer Martin"/>
    <x v="2"/>
    <x v="5"/>
    <x v="61"/>
    <m/>
    <x v="1"/>
    <x v="1"/>
    <n v="48"/>
    <n v="65766"/>
    <n v="1"/>
    <n v="10"/>
    <n v="52"/>
    <n v="0"/>
    <s v="Low"/>
    <s v="46–55"/>
    <s v=""/>
    <x v="1"/>
    <s v="South Victoriafort"/>
  </r>
  <r>
    <n v="6155"/>
    <s v="Christina Dillon"/>
    <x v="1"/>
    <x v="10"/>
    <x v="62"/>
    <m/>
    <x v="1"/>
    <x v="1"/>
    <n v="52"/>
    <n v="50937"/>
    <n v="3"/>
    <n v="14"/>
    <n v="38"/>
    <n v="0"/>
    <s v="Medium"/>
    <s v="46–55"/>
    <s v=""/>
    <x v="3"/>
    <s v="Port Kylebury"/>
  </r>
  <r>
    <n v="6831"/>
    <s v="Susan Long"/>
    <x v="5"/>
    <x v="7"/>
    <x v="63"/>
    <m/>
    <x v="1"/>
    <x v="1"/>
    <n v="25"/>
    <n v="100776"/>
    <n v="4"/>
    <n v="15"/>
    <n v="17"/>
    <n v="0"/>
    <s v="Medium"/>
    <s v="18–25"/>
    <s v=""/>
    <x v="0"/>
    <s v="New Caroline"/>
  </r>
  <r>
    <n v="1849"/>
    <s v="Julie Buchanan"/>
    <x v="2"/>
    <x v="5"/>
    <x v="64"/>
    <m/>
    <x v="1"/>
    <x v="2"/>
    <n v="37"/>
    <n v="82514"/>
    <n v="5"/>
    <n v="9"/>
    <n v="74"/>
    <n v="0"/>
    <s v="High"/>
    <s v="36–45"/>
    <s v=""/>
    <x v="0"/>
    <s v="Robertsonland"/>
  </r>
  <r>
    <n v="2091"/>
    <s v="Willie Flynn"/>
    <x v="4"/>
    <x v="4"/>
    <x v="65"/>
    <d v="2023-03-05T00:00:00"/>
    <x v="0"/>
    <x v="0"/>
    <n v="40"/>
    <n v="118137"/>
    <n v="4"/>
    <n v="4"/>
    <n v="4"/>
    <n v="1"/>
    <s v="Medium"/>
    <s v="36–45"/>
    <n v="0"/>
    <x v="3"/>
    <s v="West Troy"/>
  </r>
  <r>
    <n v="3783"/>
    <s v="Lisa Young"/>
    <x v="2"/>
    <x v="5"/>
    <x v="66"/>
    <m/>
    <x v="1"/>
    <x v="0"/>
    <n v="40"/>
    <n v="87170"/>
    <n v="5"/>
    <n v="1"/>
    <n v="68"/>
    <n v="0"/>
    <s v="High"/>
    <s v="36–45"/>
    <s v=""/>
    <x v="0"/>
    <s v="North Bruce"/>
  </r>
  <r>
    <n v="9921"/>
    <s v="Michelle Long"/>
    <x v="5"/>
    <x v="7"/>
    <x v="44"/>
    <m/>
    <x v="1"/>
    <x v="1"/>
    <n v="60"/>
    <n v="89211"/>
    <n v="1"/>
    <n v="6"/>
    <n v="53"/>
    <n v="0"/>
    <s v="Low"/>
    <s v="56–65"/>
    <s v=""/>
    <x v="3"/>
    <s v="Lake William"/>
  </r>
  <r>
    <n v="3620"/>
    <s v="Trevor Winters"/>
    <x v="1"/>
    <x v="1"/>
    <x v="67"/>
    <d v="2024-11-22T00:00:00"/>
    <x v="0"/>
    <x v="2"/>
    <n v="44"/>
    <n v="41460"/>
    <n v="4"/>
    <n v="1"/>
    <n v="95"/>
    <n v="1"/>
    <s v="Medium"/>
    <s v="36–45"/>
    <n v="1"/>
    <x v="2"/>
    <s v="Johnbury"/>
  </r>
  <r>
    <n v="3843"/>
    <s v="Timothy Mcintyre"/>
    <x v="1"/>
    <x v="10"/>
    <x v="68"/>
    <d v="2022-08-30T00:00:00"/>
    <x v="0"/>
    <x v="0"/>
    <n v="41"/>
    <n v="99989"/>
    <n v="4"/>
    <n v="14"/>
    <n v="61"/>
    <n v="1"/>
    <s v="Medium"/>
    <s v="36–45"/>
    <n v="0"/>
    <x v="1"/>
    <s v="Diazhaven"/>
  </r>
  <r>
    <n v="9533"/>
    <s v="Chelsea Figueroa"/>
    <x v="0"/>
    <x v="0"/>
    <x v="69"/>
    <d v="2019-10-12T00:00:00"/>
    <x v="0"/>
    <x v="2"/>
    <n v="41"/>
    <n v="60621"/>
    <n v="3"/>
    <n v="7"/>
    <n v="75"/>
    <n v="1"/>
    <s v="Medium"/>
    <s v="36–45"/>
    <n v="3"/>
    <x v="3"/>
    <s v="East Russelltown"/>
  </r>
  <r>
    <n v="1298"/>
    <s v="Gabriel Morales"/>
    <x v="3"/>
    <x v="12"/>
    <x v="15"/>
    <m/>
    <x v="1"/>
    <x v="2"/>
    <n v="22"/>
    <n v="91035"/>
    <n v="2"/>
    <n v="1"/>
    <n v="82"/>
    <n v="0"/>
    <s v="Low"/>
    <s v="18–25"/>
    <s v=""/>
    <x v="2"/>
    <s v="Hannafurt"/>
  </r>
  <r>
    <n v="5229"/>
    <s v="Kevin Turner"/>
    <x v="4"/>
    <x v="9"/>
    <x v="70"/>
    <m/>
    <x v="1"/>
    <x v="2"/>
    <n v="51"/>
    <n v="63991"/>
    <n v="4"/>
    <n v="13"/>
    <n v="20"/>
    <n v="0"/>
    <s v="Medium"/>
    <s v="46–55"/>
    <s v=""/>
    <x v="4"/>
    <s v="Schmidtshire"/>
  </r>
  <r>
    <n v="8146"/>
    <s v="Anthony Hood"/>
    <x v="5"/>
    <x v="7"/>
    <x v="71"/>
    <d v="2023-05-01T00:00:00"/>
    <x v="0"/>
    <x v="1"/>
    <n v="24"/>
    <n v="32478"/>
    <n v="4"/>
    <n v="5"/>
    <n v="74"/>
    <n v="1"/>
    <s v="Medium"/>
    <s v="18–25"/>
    <n v="2"/>
    <x v="0"/>
    <s v="Port Tamaraville"/>
  </r>
  <r>
    <n v="5382"/>
    <s v="Derek Diaz"/>
    <x v="1"/>
    <x v="10"/>
    <x v="72"/>
    <m/>
    <x v="1"/>
    <x v="1"/>
    <n v="53"/>
    <n v="61670"/>
    <n v="5"/>
    <n v="10"/>
    <n v="98"/>
    <n v="0"/>
    <s v="High"/>
    <s v="46–55"/>
    <s v=""/>
    <x v="2"/>
    <s v="Robertberg"/>
  </r>
  <r>
    <n v="1433"/>
    <s v="Daniel Wallace"/>
    <x v="3"/>
    <x v="8"/>
    <x v="73"/>
    <m/>
    <x v="1"/>
    <x v="2"/>
    <n v="40"/>
    <n v="30561"/>
    <n v="2"/>
    <n v="13"/>
    <n v="41"/>
    <n v="0"/>
    <s v="Low"/>
    <s v="36–45"/>
    <s v=""/>
    <x v="3"/>
    <s v="South Amy"/>
  </r>
  <r>
    <n v="8795"/>
    <s v="Pamela Delacruz"/>
    <x v="5"/>
    <x v="7"/>
    <x v="74"/>
    <d v="2024-06-10T00:00:00"/>
    <x v="0"/>
    <x v="0"/>
    <n v="29"/>
    <n v="118239"/>
    <n v="2"/>
    <n v="12"/>
    <n v="59"/>
    <n v="1"/>
    <s v="Low"/>
    <s v="26–35"/>
    <n v="0"/>
    <x v="2"/>
    <s v="Port Mitchell"/>
  </r>
  <r>
    <n v="8327"/>
    <s v="Nicole Long"/>
    <x v="4"/>
    <x v="4"/>
    <x v="9"/>
    <m/>
    <x v="1"/>
    <x v="1"/>
    <n v="34"/>
    <n v="55289"/>
    <n v="3"/>
    <n v="14"/>
    <n v="45"/>
    <n v="0"/>
    <s v="Medium"/>
    <s v="26–35"/>
    <s v=""/>
    <x v="4"/>
    <s v="Hoffmanburgh"/>
  </r>
  <r>
    <n v="2213"/>
    <s v="Jessica Powell"/>
    <x v="4"/>
    <x v="4"/>
    <x v="75"/>
    <m/>
    <x v="1"/>
    <x v="1"/>
    <n v="30"/>
    <n v="31843"/>
    <n v="2"/>
    <n v="9"/>
    <n v="74"/>
    <n v="0"/>
    <s v="Low"/>
    <s v="26–35"/>
    <s v=""/>
    <x v="2"/>
    <s v="East Carla"/>
  </r>
  <r>
    <n v="9111"/>
    <s v="Susan Gonzalez"/>
    <x v="2"/>
    <x v="5"/>
    <x v="76"/>
    <m/>
    <x v="1"/>
    <x v="2"/>
    <n v="33"/>
    <n v="37502"/>
    <n v="2"/>
    <n v="4"/>
    <n v="19"/>
    <n v="0"/>
    <s v="Low"/>
    <s v="26–35"/>
    <s v=""/>
    <x v="1"/>
    <s v="Jamesburgh"/>
  </r>
  <r>
    <n v="8719"/>
    <s v="Steven Reynolds"/>
    <x v="1"/>
    <x v="1"/>
    <x v="77"/>
    <m/>
    <x v="1"/>
    <x v="1"/>
    <n v="24"/>
    <n v="109241"/>
    <n v="5"/>
    <n v="6"/>
    <n v="93"/>
    <n v="0"/>
    <s v="High"/>
    <s v="18–25"/>
    <s v=""/>
    <x v="0"/>
    <s v="South Cory"/>
  </r>
  <r>
    <n v="7494"/>
    <s v="Michelle Hernandez"/>
    <x v="0"/>
    <x v="6"/>
    <x v="78"/>
    <d v="2025-02-05T00:00:00"/>
    <x v="0"/>
    <x v="1"/>
    <n v="33"/>
    <n v="90557"/>
    <n v="1"/>
    <n v="11"/>
    <n v="87"/>
    <n v="1"/>
    <s v="Low"/>
    <s v="26–35"/>
    <n v="5"/>
    <x v="0"/>
    <s v="Griffinton"/>
  </r>
  <r>
    <n v="7771"/>
    <s v="Jennifer Roberts"/>
    <x v="2"/>
    <x v="5"/>
    <x v="79"/>
    <m/>
    <x v="1"/>
    <x v="0"/>
    <n v="60"/>
    <n v="102116"/>
    <n v="2"/>
    <n v="6"/>
    <n v="63"/>
    <n v="0"/>
    <s v="Low"/>
    <s v="56–65"/>
    <s v=""/>
    <x v="2"/>
    <s v="Port Sean"/>
  </r>
  <r>
    <n v="4350"/>
    <s v="Rachael Allen"/>
    <x v="5"/>
    <x v="11"/>
    <x v="80"/>
    <d v="2025-02-22T00:00:00"/>
    <x v="0"/>
    <x v="1"/>
    <n v="37"/>
    <n v="81896"/>
    <n v="1"/>
    <n v="6"/>
    <n v="12"/>
    <n v="1"/>
    <s v="Low"/>
    <s v="36–45"/>
    <n v="2"/>
    <x v="4"/>
    <s v="South Kelseyton"/>
  </r>
  <r>
    <n v="3165"/>
    <s v="Charles Stewart"/>
    <x v="1"/>
    <x v="10"/>
    <x v="81"/>
    <m/>
    <x v="1"/>
    <x v="2"/>
    <n v="46"/>
    <n v="113859"/>
    <n v="4"/>
    <n v="14"/>
    <n v="80"/>
    <n v="0"/>
    <s v="Medium"/>
    <s v="46–55"/>
    <s v=""/>
    <x v="2"/>
    <s v="East Michelehaven"/>
  </r>
  <r>
    <n v="2997"/>
    <s v="Barbara Turner"/>
    <x v="3"/>
    <x v="8"/>
    <x v="82"/>
    <m/>
    <x v="1"/>
    <x v="2"/>
    <n v="56"/>
    <n v="49050"/>
    <n v="5"/>
    <n v="4"/>
    <n v="6"/>
    <n v="0"/>
    <s v="High"/>
    <s v="56–65"/>
    <s v=""/>
    <x v="4"/>
    <s v="Mooreberg"/>
  </r>
  <r>
    <n v="1854"/>
    <s v="Christina Guzman"/>
    <x v="0"/>
    <x v="0"/>
    <x v="83"/>
    <m/>
    <x v="1"/>
    <x v="2"/>
    <n v="40"/>
    <n v="113337"/>
    <n v="2"/>
    <n v="5"/>
    <n v="35"/>
    <n v="0"/>
    <s v="Low"/>
    <s v="36–45"/>
    <s v=""/>
    <x v="3"/>
    <s v="East Nicolefurt"/>
  </r>
  <r>
    <n v="3581"/>
    <s v="Brian Deleon"/>
    <x v="5"/>
    <x v="11"/>
    <x v="84"/>
    <m/>
    <x v="1"/>
    <x v="1"/>
    <n v="49"/>
    <n v="80945"/>
    <n v="3"/>
    <n v="7"/>
    <n v="84"/>
    <n v="0"/>
    <s v="Medium"/>
    <s v="46–55"/>
    <s v=""/>
    <x v="1"/>
    <s v="Jasonhaven"/>
  </r>
  <r>
    <n v="9915"/>
    <s v="Jill Bennett"/>
    <x v="2"/>
    <x v="2"/>
    <x v="85"/>
    <d v="2020-10-08T00:00:00"/>
    <x v="0"/>
    <x v="0"/>
    <n v="27"/>
    <n v="101730"/>
    <n v="3"/>
    <n v="6"/>
    <n v="30"/>
    <n v="1"/>
    <s v="Medium"/>
    <s v="26–35"/>
    <n v="1"/>
    <x v="3"/>
    <s v="Ashleystad"/>
  </r>
  <r>
    <n v="1161"/>
    <s v="Brittany Crosby"/>
    <x v="0"/>
    <x v="0"/>
    <x v="86"/>
    <m/>
    <x v="1"/>
    <x v="0"/>
    <n v="40"/>
    <n v="31258"/>
    <n v="2"/>
    <n v="14"/>
    <n v="100"/>
    <n v="0"/>
    <s v="Low"/>
    <s v="36–45"/>
    <s v=""/>
    <x v="1"/>
    <s v="Alexanderfurt"/>
  </r>
  <r>
    <n v="4475"/>
    <s v="Thomas Frye"/>
    <x v="1"/>
    <x v="10"/>
    <x v="87"/>
    <m/>
    <x v="1"/>
    <x v="2"/>
    <n v="24"/>
    <n v="97480"/>
    <n v="2"/>
    <n v="8"/>
    <n v="54"/>
    <n v="0"/>
    <s v="Low"/>
    <s v="18–25"/>
    <s v=""/>
    <x v="0"/>
    <s v="Pattonfort"/>
  </r>
  <r>
    <n v="7857"/>
    <s v="Kerry Berger"/>
    <x v="1"/>
    <x v="10"/>
    <x v="88"/>
    <m/>
    <x v="1"/>
    <x v="1"/>
    <n v="27"/>
    <n v="93094"/>
    <n v="1"/>
    <n v="7"/>
    <n v="34"/>
    <n v="0"/>
    <s v="Low"/>
    <s v="26–35"/>
    <s v=""/>
    <x v="1"/>
    <s v="North Maryton"/>
  </r>
  <r>
    <n v="9988"/>
    <s v="Mary Greer"/>
    <x v="3"/>
    <x v="3"/>
    <x v="89"/>
    <d v="2025-04-09T00:00:00"/>
    <x v="0"/>
    <x v="0"/>
    <n v="50"/>
    <n v="75761"/>
    <n v="1"/>
    <n v="1"/>
    <n v="97"/>
    <n v="1"/>
    <s v="Low"/>
    <s v="46–55"/>
    <n v="6"/>
    <x v="0"/>
    <s v="East Andreafurt"/>
  </r>
  <r>
    <n v="7047"/>
    <s v="James Fisher"/>
    <x v="1"/>
    <x v="1"/>
    <x v="90"/>
    <m/>
    <x v="1"/>
    <x v="2"/>
    <n v="29"/>
    <n v="87806"/>
    <n v="4"/>
    <n v="1"/>
    <n v="19"/>
    <n v="0"/>
    <s v="Medium"/>
    <s v="26–35"/>
    <s v=""/>
    <x v="1"/>
    <s v="Port Whitneychester"/>
  </r>
  <r>
    <n v="2453"/>
    <s v="Emma Price"/>
    <x v="3"/>
    <x v="3"/>
    <x v="91"/>
    <m/>
    <x v="1"/>
    <x v="2"/>
    <n v="47"/>
    <n v="105346"/>
    <n v="3"/>
    <n v="12"/>
    <n v="62"/>
    <n v="0"/>
    <s v="Medium"/>
    <s v="46–55"/>
    <s v=""/>
    <x v="4"/>
    <s v="North Destiny"/>
  </r>
  <r>
    <n v="1752"/>
    <s v="Hannah Carlson"/>
    <x v="5"/>
    <x v="11"/>
    <x v="92"/>
    <d v="2022-08-31T00:00:00"/>
    <x v="0"/>
    <x v="2"/>
    <n v="35"/>
    <n v="69033"/>
    <n v="1"/>
    <n v="7"/>
    <n v="85"/>
    <n v="1"/>
    <s v="Low"/>
    <s v="26–35"/>
    <n v="4"/>
    <x v="0"/>
    <s v="Loriview"/>
  </r>
  <r>
    <n v="7646"/>
    <s v="Bryan Walsh"/>
    <x v="5"/>
    <x v="11"/>
    <x v="93"/>
    <m/>
    <x v="1"/>
    <x v="2"/>
    <n v="58"/>
    <n v="100506"/>
    <n v="5"/>
    <n v="5"/>
    <n v="75"/>
    <n v="0"/>
    <s v="High"/>
    <s v="56–65"/>
    <s v=""/>
    <x v="3"/>
    <s v="Lake Ericmouth"/>
  </r>
  <r>
    <n v="7271"/>
    <s v="Dawn Duffy"/>
    <x v="2"/>
    <x v="5"/>
    <x v="94"/>
    <m/>
    <x v="1"/>
    <x v="1"/>
    <n v="23"/>
    <n v="72490"/>
    <n v="3"/>
    <n v="5"/>
    <n v="51"/>
    <n v="0"/>
    <s v="Medium"/>
    <s v="18–25"/>
    <s v=""/>
    <x v="1"/>
    <s v="Mooreburgh"/>
  </r>
  <r>
    <n v="6795"/>
    <s v="Kelly Hardin"/>
    <x v="4"/>
    <x v="4"/>
    <x v="95"/>
    <m/>
    <x v="1"/>
    <x v="0"/>
    <n v="46"/>
    <n v="118871"/>
    <n v="2"/>
    <n v="11"/>
    <n v="25"/>
    <n v="0"/>
    <s v="Low"/>
    <s v="46–55"/>
    <s v=""/>
    <x v="0"/>
    <s v="Mortonlan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FCB020-5686-4442-AC5D-85D990B63F13}" name="PivotTable7"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I183:O191" firstHeaderRow="1" firstDataRow="2" firstDataCol="1"/>
  <pivotFields count="22">
    <pivotField dataField="1" showAll="0"/>
    <pivotField showAll="0"/>
    <pivotField axis="axisRow" showAll="0">
      <items count="7">
        <item sd="0" x="1"/>
        <item sd="0" x="4"/>
        <item sd="0" x="3"/>
        <item sd="0" x="0"/>
        <item sd="0" x="5"/>
        <item sd="0" x="2"/>
        <item t="default" sd="0"/>
      </items>
    </pivotField>
    <pivotField showAll="0">
      <items count="14">
        <item x="5"/>
        <item x="10"/>
        <item x="0"/>
        <item x="8"/>
        <item x="1"/>
        <item x="4"/>
        <item x="9"/>
        <item x="12"/>
        <item x="11"/>
        <item x="7"/>
        <item x="2"/>
        <item x="6"/>
        <item x="3"/>
        <item t="default"/>
      </items>
    </pivotField>
    <pivotField numFmtId="164" showAll="0">
      <items count="97">
        <item x="45"/>
        <item x="9"/>
        <item x="31"/>
        <item x="32"/>
        <item x="82"/>
        <item x="33"/>
        <item x="70"/>
        <item x="69"/>
        <item x="13"/>
        <item x="23"/>
        <item x="77"/>
        <item x="76"/>
        <item x="34"/>
        <item x="16"/>
        <item x="46"/>
        <item x="50"/>
        <item x="18"/>
        <item x="11"/>
        <item x="60"/>
        <item x="75"/>
        <item x="29"/>
        <item x="6"/>
        <item x="41"/>
        <item x="15"/>
        <item x="61"/>
        <item x="22"/>
        <item x="0"/>
        <item x="90"/>
        <item x="38"/>
        <item x="27"/>
        <item x="14"/>
        <item x="3"/>
        <item x="54"/>
        <item x="10"/>
        <item x="88"/>
        <item x="72"/>
        <item x="81"/>
        <item x="1"/>
        <item x="92"/>
        <item x="87"/>
        <item x="4"/>
        <item x="40"/>
        <item x="5"/>
        <item x="2"/>
        <item x="52"/>
        <item x="26"/>
        <item x="89"/>
        <item x="24"/>
        <item x="93"/>
        <item x="85"/>
        <item x="66"/>
        <item x="44"/>
        <item x="36"/>
        <item x="19"/>
        <item x="42"/>
        <item x="17"/>
        <item x="20"/>
        <item x="78"/>
        <item x="35"/>
        <item x="48"/>
        <item x="62"/>
        <item x="58"/>
        <item x="71"/>
        <item x="55"/>
        <item x="28"/>
        <item x="37"/>
        <item x="94"/>
        <item x="56"/>
        <item x="53"/>
        <item x="83"/>
        <item x="51"/>
        <item x="21"/>
        <item x="91"/>
        <item x="86"/>
        <item x="39"/>
        <item x="25"/>
        <item x="79"/>
        <item x="84"/>
        <item x="65"/>
        <item x="68"/>
        <item x="7"/>
        <item x="73"/>
        <item x="95"/>
        <item x="59"/>
        <item x="49"/>
        <item x="63"/>
        <item x="80"/>
        <item x="67"/>
        <item x="12"/>
        <item x="43"/>
        <item x="74"/>
        <item x="57"/>
        <item x="64"/>
        <item x="30"/>
        <item x="8"/>
        <item x="47"/>
        <item t="default"/>
      </items>
    </pivotField>
    <pivotField showAll="0"/>
    <pivotField multipleItemSelectionAllowed="1" showAll="0">
      <items count="3">
        <item x="1"/>
        <item h="1" x="0"/>
        <item t="default"/>
      </items>
    </pivotField>
    <pivotField showAll="0">
      <items count="4">
        <item x="2"/>
        <item x="1"/>
        <item x="0"/>
        <item t="default"/>
      </items>
    </pivotField>
    <pivotField showAll="0"/>
    <pivotField numFmtId="165" showAll="0"/>
    <pivotField showAll="0"/>
    <pivotField showAll="0"/>
    <pivotField showAll="0"/>
    <pivotField showAll="0"/>
    <pivotField showAll="0"/>
    <pivotField showAll="0"/>
    <pivotField showAll="0"/>
    <pivotField axis="axisCol" showAll="0">
      <items count="6">
        <item x="2"/>
        <item x="3"/>
        <item x="4"/>
        <item x="0"/>
        <item x="1"/>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3">
        <item sd="0" x="0"/>
        <item sd="0" x="1"/>
        <item sd="0" x="2"/>
        <item sd="0" x="3"/>
        <item sd="0" x="4"/>
        <item sd="0" x="5"/>
        <item sd="0" x="6"/>
        <item sd="0" x="7"/>
        <item sd="0" x="8"/>
        <item sd="0" x="9"/>
        <item sd="0" x="10"/>
        <item sd="0" x="11"/>
        <item t="default" sd="0"/>
      </items>
    </pivotField>
  </pivotFields>
  <rowFields count="1">
    <field x="2"/>
  </rowFields>
  <rowItems count="7">
    <i>
      <x/>
    </i>
    <i>
      <x v="1"/>
    </i>
    <i>
      <x v="2"/>
    </i>
    <i>
      <x v="3"/>
    </i>
    <i>
      <x v="4"/>
    </i>
    <i>
      <x v="5"/>
    </i>
    <i t="grand">
      <x/>
    </i>
  </rowItems>
  <colFields count="1">
    <field x="17"/>
  </colFields>
  <colItems count="6">
    <i>
      <x/>
    </i>
    <i>
      <x v="1"/>
    </i>
    <i>
      <x v="2"/>
    </i>
    <i>
      <x v="3"/>
    </i>
    <i>
      <x v="4"/>
    </i>
    <i t="grand">
      <x/>
    </i>
  </colItems>
  <dataFields count="1">
    <dataField name="Count of Employee ID" fld="0" subtotal="count" baseField="2" baseItem="4"/>
  </dataFields>
  <formats count="17">
    <format dxfId="12">
      <pivotArea outline="0" collapsedLevelsAreSubtotals="1" fieldPosition="0"/>
    </format>
    <format dxfId="13">
      <pivotArea outline="0" collapsedLevelsAreSubtotals="1" fieldPosition="0"/>
    </format>
    <format dxfId="14">
      <pivotArea outline="0" collapsedLevelsAreSubtotals="1" fieldPosition="0"/>
    </format>
    <format dxfId="15">
      <pivotArea type="all" dataOnly="0" outline="0" fieldPosition="0"/>
    </format>
    <format dxfId="16">
      <pivotArea outline="0" collapsedLevelsAreSubtotals="1" fieldPosition="0"/>
    </format>
    <format dxfId="17">
      <pivotArea grandRow="1" outline="0" collapsedLevelsAreSubtotals="1" fieldPosition="0"/>
    </format>
    <format dxfId="18">
      <pivotArea outline="0" collapsedLevelsAreSubtotals="1" fieldPosition="0"/>
    </format>
    <format dxfId="11">
      <pivotArea type="all" dataOnly="0" outline="0" fieldPosition="0"/>
    </format>
    <format dxfId="10">
      <pivotArea outline="0" collapsedLevelsAreSubtotals="1" fieldPosition="0"/>
    </format>
    <format dxfId="9">
      <pivotArea type="origin" dataOnly="0" labelOnly="1" outline="0" fieldPosition="0"/>
    </format>
    <format dxfId="8">
      <pivotArea field="17" type="button" dataOnly="0" labelOnly="1" outline="0" axis="axisCol" fieldPosition="0"/>
    </format>
    <format dxfId="7">
      <pivotArea type="topRight" dataOnly="0" labelOnly="1" outline="0" fieldPosition="0"/>
    </format>
    <format dxfId="6">
      <pivotArea field="2" type="button" dataOnly="0" labelOnly="1" outline="0" axis="axisRow" fieldPosition="0"/>
    </format>
    <format dxfId="5">
      <pivotArea dataOnly="0" labelOnly="1" fieldPosition="0">
        <references count="1">
          <reference field="2" count="0"/>
        </references>
      </pivotArea>
    </format>
    <format dxfId="4">
      <pivotArea dataOnly="0" labelOnly="1" grandRow="1" outline="0" fieldPosition="0"/>
    </format>
    <format dxfId="3">
      <pivotArea dataOnly="0" labelOnly="1" fieldPosition="0">
        <references count="1">
          <reference field="17" count="0"/>
        </references>
      </pivotArea>
    </format>
    <format dxfId="2">
      <pivotArea dataOnly="0" labelOnly="1" grandCol="1" outline="0" fieldPosition="0"/>
    </format>
  </formats>
  <chartFormats count="5">
    <chartFormat chart="37" format="10" series="1">
      <pivotArea type="data" outline="0" fieldPosition="0">
        <references count="2">
          <reference field="4294967294" count="1" selected="0">
            <x v="0"/>
          </reference>
          <reference field="17" count="1" selected="0">
            <x v="0"/>
          </reference>
        </references>
      </pivotArea>
    </chartFormat>
    <chartFormat chart="37" format="11" series="1">
      <pivotArea type="data" outline="0" fieldPosition="0">
        <references count="2">
          <reference field="4294967294" count="1" selected="0">
            <x v="0"/>
          </reference>
          <reference field="17" count="1" selected="0">
            <x v="1"/>
          </reference>
        </references>
      </pivotArea>
    </chartFormat>
    <chartFormat chart="37" format="12" series="1">
      <pivotArea type="data" outline="0" fieldPosition="0">
        <references count="2">
          <reference field="4294967294" count="1" selected="0">
            <x v="0"/>
          </reference>
          <reference field="17" count="1" selected="0">
            <x v="2"/>
          </reference>
        </references>
      </pivotArea>
    </chartFormat>
    <chartFormat chart="37" format="13" series="1">
      <pivotArea type="data" outline="0" fieldPosition="0">
        <references count="2">
          <reference field="4294967294" count="1" selected="0">
            <x v="0"/>
          </reference>
          <reference field="17" count="1" selected="0">
            <x v="3"/>
          </reference>
        </references>
      </pivotArea>
    </chartFormat>
    <chartFormat chart="37" format="14" series="1">
      <pivotArea type="data" outline="0" fieldPosition="0">
        <references count="2">
          <reference field="4294967294" count="1" selected="0">
            <x v="0"/>
          </reference>
          <reference field="1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AE03921-D066-4570-82A7-AC0DB1BD837B}" name="PivotTable6"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Department" colHeaderCaption="Educational Level">
  <location ref="C152:I160" firstHeaderRow="1" firstDataRow="2" firstDataCol="1"/>
  <pivotFields count="22">
    <pivotField showAll="0"/>
    <pivotField dataField="1" showAll="0"/>
    <pivotField axis="axisRow" showAll="0">
      <items count="7">
        <item sd="0" x="1"/>
        <item sd="0" x="4"/>
        <item sd="0" x="3"/>
        <item sd="0" x="0"/>
        <item sd="0" x="5"/>
        <item sd="0" x="2"/>
        <item t="default" sd="0"/>
      </items>
    </pivotField>
    <pivotField axis="axisRow" showAll="0">
      <items count="14">
        <item x="5"/>
        <item x="10"/>
        <item x="0"/>
        <item x="8"/>
        <item x="1"/>
        <item x="4"/>
        <item x="9"/>
        <item x="12"/>
        <item x="11"/>
        <item x="7"/>
        <item x="2"/>
        <item x="6"/>
        <item x="3"/>
        <item t="default"/>
      </items>
    </pivotField>
    <pivotField numFmtId="164" showAll="0">
      <items count="97">
        <item x="45"/>
        <item x="9"/>
        <item x="31"/>
        <item x="32"/>
        <item x="82"/>
        <item x="33"/>
        <item x="70"/>
        <item x="69"/>
        <item x="13"/>
        <item x="23"/>
        <item x="77"/>
        <item x="76"/>
        <item x="34"/>
        <item x="16"/>
        <item x="46"/>
        <item x="50"/>
        <item x="18"/>
        <item x="11"/>
        <item x="60"/>
        <item x="75"/>
        <item x="29"/>
        <item x="6"/>
        <item x="41"/>
        <item x="15"/>
        <item x="61"/>
        <item x="22"/>
        <item x="0"/>
        <item x="90"/>
        <item x="38"/>
        <item x="27"/>
        <item x="14"/>
        <item x="3"/>
        <item x="54"/>
        <item x="10"/>
        <item x="88"/>
        <item x="72"/>
        <item x="81"/>
        <item x="1"/>
        <item x="92"/>
        <item x="87"/>
        <item x="4"/>
        <item x="40"/>
        <item x="5"/>
        <item x="2"/>
        <item x="52"/>
        <item x="26"/>
        <item x="89"/>
        <item x="24"/>
        <item x="93"/>
        <item x="85"/>
        <item x="66"/>
        <item x="44"/>
        <item x="36"/>
        <item x="19"/>
        <item x="42"/>
        <item x="17"/>
        <item x="20"/>
        <item x="78"/>
        <item x="35"/>
        <item x="48"/>
        <item x="62"/>
        <item x="58"/>
        <item x="71"/>
        <item x="55"/>
        <item x="28"/>
        <item x="37"/>
        <item x="94"/>
        <item x="56"/>
        <item x="53"/>
        <item x="83"/>
        <item x="51"/>
        <item x="21"/>
        <item x="91"/>
        <item x="86"/>
        <item x="39"/>
        <item x="25"/>
        <item x="79"/>
        <item x="84"/>
        <item x="65"/>
        <item x="68"/>
        <item x="7"/>
        <item x="73"/>
        <item x="95"/>
        <item x="59"/>
        <item x="49"/>
        <item x="63"/>
        <item x="80"/>
        <item x="67"/>
        <item x="12"/>
        <item x="43"/>
        <item x="74"/>
        <item x="57"/>
        <item x="64"/>
        <item x="30"/>
        <item x="8"/>
        <item x="47"/>
        <item t="default"/>
      </items>
    </pivotField>
    <pivotField showAll="0"/>
    <pivotField showAll="0"/>
    <pivotField showAll="0">
      <items count="4">
        <item x="2"/>
        <item x="1"/>
        <item x="0"/>
        <item t="default"/>
      </items>
    </pivotField>
    <pivotField showAll="0"/>
    <pivotField numFmtId="165" showAll="0"/>
    <pivotField showAll="0"/>
    <pivotField showAll="0"/>
    <pivotField showAll="0"/>
    <pivotField showAll="0"/>
    <pivotField showAll="0"/>
    <pivotField showAll="0"/>
    <pivotField showAll="0"/>
    <pivotField axis="axisCol" showAll="0">
      <items count="6">
        <item x="2"/>
        <item x="3"/>
        <item x="4"/>
        <item x="0"/>
        <item x="1"/>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3">
        <item x="0"/>
        <item x="1"/>
        <item x="2"/>
        <item x="3"/>
        <item x="4"/>
        <item x="5"/>
        <item x="6"/>
        <item x="7"/>
        <item x="8"/>
        <item x="9"/>
        <item x="10"/>
        <item x="11"/>
        <item t="default"/>
      </items>
    </pivotField>
  </pivotFields>
  <rowFields count="2">
    <field x="2"/>
    <field x="3"/>
  </rowFields>
  <rowItems count="7">
    <i>
      <x/>
    </i>
    <i>
      <x v="1"/>
    </i>
    <i>
      <x v="2"/>
    </i>
    <i>
      <x v="3"/>
    </i>
    <i>
      <x v="4"/>
    </i>
    <i>
      <x v="5"/>
    </i>
    <i t="grand">
      <x/>
    </i>
  </rowItems>
  <colFields count="1">
    <field x="17"/>
  </colFields>
  <colItems count="6">
    <i>
      <x/>
    </i>
    <i>
      <x v="1"/>
    </i>
    <i>
      <x v="2"/>
    </i>
    <i>
      <x v="3"/>
    </i>
    <i>
      <x v="4"/>
    </i>
    <i t="grand">
      <x/>
    </i>
  </colItems>
  <dataFields count="1">
    <dataField name="Educational per Departments" fld="1" subtotal="count" baseField="0" baseItem="0" numFmtId="1"/>
  </dataFields>
  <formats count="13">
    <format dxfId="21">
      <pivotArea outline="0" collapsedLevelsAreSubtotals="1" fieldPosition="0"/>
    </format>
    <format dxfId="22">
      <pivotArea outline="0" collapsedLevelsAreSubtotals="1" fieldPosition="0"/>
    </format>
    <format dxfId="23">
      <pivotArea outline="0" collapsedLevelsAreSubtotals="1" fieldPosition="0"/>
    </format>
    <format dxfId="24">
      <pivotArea type="all" dataOnly="0" outline="0" fieldPosition="0"/>
    </format>
    <format dxfId="25">
      <pivotArea dataOnly="0" outline="0" axis="axisValues" fieldPosition="0"/>
    </format>
    <format dxfId="26">
      <pivotArea type="all" dataOnly="0" outline="0" fieldPosition="0"/>
    </format>
    <format dxfId="27">
      <pivotArea outline="0" collapsedLevelsAreSubtotals="1" fieldPosition="0"/>
    </format>
    <format dxfId="28">
      <pivotArea field="2" type="button" dataOnly="0" labelOnly="1" outline="0" axis="axisRow" fieldPosition="0"/>
    </format>
    <format dxfId="29">
      <pivotArea dataOnly="0" labelOnly="1" fieldPosition="0">
        <references count="1">
          <reference field="2" count="0"/>
        </references>
      </pivotArea>
    </format>
    <format dxfId="30">
      <pivotArea dataOnly="0" labelOnly="1" grandRow="1" outline="0" fieldPosition="0"/>
    </format>
    <format dxfId="31">
      <pivotArea dataOnly="0" labelOnly="1" outline="0" axis="axisValues" fieldPosition="0"/>
    </format>
    <format dxfId="20">
      <pivotArea outline="0" collapsedLevelsAreSubtotals="1" fieldPosition="0"/>
    </format>
    <format dxfId="19">
      <pivotArea type="origin" dataOnly="0" labelOnly="1" outline="0" fieldPosition="0"/>
    </format>
  </formats>
  <chartFormats count="5">
    <chartFormat chart="3" format="0" series="1">
      <pivotArea type="data" outline="0" fieldPosition="0">
        <references count="2">
          <reference field="4294967294" count="1" selected="0">
            <x v="0"/>
          </reference>
          <reference field="17" count="1" selected="0">
            <x v="0"/>
          </reference>
        </references>
      </pivotArea>
    </chartFormat>
    <chartFormat chart="3" format="1" series="1">
      <pivotArea type="data" outline="0" fieldPosition="0">
        <references count="2">
          <reference field="4294967294" count="1" selected="0">
            <x v="0"/>
          </reference>
          <reference field="17" count="1" selected="0">
            <x v="1"/>
          </reference>
        </references>
      </pivotArea>
    </chartFormat>
    <chartFormat chart="3" format="2" series="1">
      <pivotArea type="data" outline="0" fieldPosition="0">
        <references count="2">
          <reference field="4294967294" count="1" selected="0">
            <x v="0"/>
          </reference>
          <reference field="17" count="1" selected="0">
            <x v="2"/>
          </reference>
        </references>
      </pivotArea>
    </chartFormat>
    <chartFormat chart="3" format="3" series="1">
      <pivotArea type="data" outline="0" fieldPosition="0">
        <references count="2">
          <reference field="4294967294" count="1" selected="0">
            <x v="0"/>
          </reference>
          <reference field="17" count="1" selected="0">
            <x v="3"/>
          </reference>
        </references>
      </pivotArea>
    </chartFormat>
    <chartFormat chart="3" format="4" series="1">
      <pivotArea type="data" outline="0" fieldPosition="0">
        <references count="2">
          <reference field="4294967294" count="1" selected="0">
            <x v="0"/>
          </reference>
          <reference field="1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BA3F4C4-69EF-4B34-955A-FC73A0A27530}" name="PivotTable5"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5">
  <location ref="B183:F195" firstHeaderRow="1" firstDataRow="2" firstDataCol="1" rowPageCount="1" colPageCount="1"/>
  <pivotFields count="22">
    <pivotField dataField="1" showAll="0"/>
    <pivotField showAll="0"/>
    <pivotField axis="axisRow" showAll="0">
      <items count="7">
        <item sd="0" x="1"/>
        <item sd="0" x="4"/>
        <item sd="0" x="3"/>
        <item sd="0" x="0"/>
        <item sd="0" x="5"/>
        <item sd="0" x="2"/>
        <item t="default" sd="0"/>
      </items>
    </pivotField>
    <pivotField showAll="0">
      <items count="14">
        <item x="5"/>
        <item x="10"/>
        <item x="0"/>
        <item x="8"/>
        <item x="1"/>
        <item x="4"/>
        <item x="9"/>
        <item x="12"/>
        <item x="11"/>
        <item x="7"/>
        <item x="2"/>
        <item x="6"/>
        <item x="3"/>
        <item t="default"/>
      </items>
    </pivotField>
    <pivotField numFmtId="164" showAll="0">
      <items count="97">
        <item x="45"/>
        <item x="9"/>
        <item x="31"/>
        <item x="32"/>
        <item x="82"/>
        <item x="33"/>
        <item x="70"/>
        <item x="69"/>
        <item x="13"/>
        <item x="23"/>
        <item x="77"/>
        <item x="76"/>
        <item x="34"/>
        <item x="16"/>
        <item x="46"/>
        <item x="50"/>
        <item x="18"/>
        <item x="11"/>
        <item x="60"/>
        <item x="75"/>
        <item x="29"/>
        <item x="6"/>
        <item x="41"/>
        <item x="15"/>
        <item x="61"/>
        <item x="22"/>
        <item x="0"/>
        <item x="90"/>
        <item x="38"/>
        <item x="27"/>
        <item x="14"/>
        <item x="3"/>
        <item x="54"/>
        <item x="10"/>
        <item x="88"/>
        <item x="72"/>
        <item x="81"/>
        <item x="1"/>
        <item x="92"/>
        <item x="87"/>
        <item x="4"/>
        <item x="40"/>
        <item x="5"/>
        <item x="2"/>
        <item x="52"/>
        <item x="26"/>
        <item x="89"/>
        <item x="24"/>
        <item x="93"/>
        <item x="85"/>
        <item x="66"/>
        <item x="44"/>
        <item x="36"/>
        <item x="19"/>
        <item x="42"/>
        <item x="17"/>
        <item x="20"/>
        <item x="78"/>
        <item x="35"/>
        <item x="48"/>
        <item x="62"/>
        <item x="58"/>
        <item x="71"/>
        <item x="55"/>
        <item x="28"/>
        <item x="37"/>
        <item x="94"/>
        <item x="56"/>
        <item x="53"/>
        <item x="83"/>
        <item x="51"/>
        <item x="21"/>
        <item x="91"/>
        <item x="86"/>
        <item x="39"/>
        <item x="25"/>
        <item x="79"/>
        <item x="84"/>
        <item x="65"/>
        <item x="68"/>
        <item x="7"/>
        <item x="73"/>
        <item x="95"/>
        <item x="59"/>
        <item x="49"/>
        <item x="63"/>
        <item x="80"/>
        <item x="67"/>
        <item x="12"/>
        <item x="43"/>
        <item x="74"/>
        <item x="57"/>
        <item x="64"/>
        <item x="30"/>
        <item x="8"/>
        <item x="47"/>
        <item t="default"/>
      </items>
    </pivotField>
    <pivotField showAll="0"/>
    <pivotField axis="axisPage" multipleItemSelectionAllowed="1" showAll="0">
      <items count="3">
        <item x="1"/>
        <item h="1" x="0"/>
        <item t="default"/>
      </items>
    </pivotField>
    <pivotField axis="axisCol" showAll="0">
      <items count="4">
        <item x="2"/>
        <item x="1"/>
        <item x="0"/>
        <item t="default"/>
      </items>
    </pivotField>
    <pivotField showAll="0"/>
    <pivotField numFmtId="165"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axis="axisRow" showAll="0">
      <items count="13">
        <item sd="0" x="0"/>
        <item sd="0" x="1"/>
        <item sd="0" x="2"/>
        <item sd="0" x="3"/>
        <item sd="0" x="4"/>
        <item sd="0" x="5"/>
        <item sd="0" x="6"/>
        <item sd="0" x="7"/>
        <item sd="0" x="8"/>
        <item sd="0" x="9"/>
        <item sd="0" x="10"/>
        <item sd="0" x="11"/>
        <item t="default" sd="0"/>
      </items>
    </pivotField>
  </pivotFields>
  <rowFields count="2">
    <field x="21"/>
    <field x="2"/>
  </rowFields>
  <rowItems count="11">
    <i>
      <x v="1"/>
    </i>
    <i>
      <x v="2"/>
    </i>
    <i>
      <x v="3"/>
    </i>
    <i>
      <x v="4"/>
    </i>
    <i>
      <x v="5"/>
    </i>
    <i>
      <x v="6"/>
    </i>
    <i>
      <x v="7"/>
    </i>
    <i>
      <x v="8"/>
    </i>
    <i>
      <x v="9"/>
    </i>
    <i>
      <x v="10"/>
    </i>
    <i t="grand">
      <x/>
    </i>
  </rowItems>
  <colFields count="1">
    <field x="7"/>
  </colFields>
  <colItems count="4">
    <i>
      <x/>
    </i>
    <i>
      <x v="1"/>
    </i>
    <i>
      <x v="2"/>
    </i>
    <i t="grand">
      <x/>
    </i>
  </colItems>
  <pageFields count="1">
    <pageField fld="6" hier="-1"/>
  </pageFields>
  <dataFields count="1">
    <dataField name="Count of Employee ID" fld="0" subtotal="count" baseField="2" baseItem="2" numFmtId="1"/>
  </dataFields>
  <formats count="19">
    <format dxfId="112">
      <pivotArea outline="0" collapsedLevelsAreSubtotals="1" fieldPosition="0"/>
    </format>
    <format dxfId="113">
      <pivotArea outline="0" collapsedLevelsAreSubtotals="1" fieldPosition="0"/>
    </format>
    <format dxfId="114">
      <pivotArea outline="0" collapsedLevelsAreSubtotals="1" fieldPosition="0"/>
    </format>
    <format dxfId="115">
      <pivotArea type="all" dataOnly="0" outline="0" fieldPosition="0"/>
    </format>
    <format dxfId="116">
      <pivotArea outline="0" collapsedLevelsAreSubtotals="1" fieldPosition="0"/>
    </format>
    <format dxfId="117">
      <pivotArea field="2" type="button" dataOnly="0" labelOnly="1" outline="0" axis="axisRow" fieldPosition="1"/>
    </format>
    <format dxfId="118">
      <pivotArea grandRow="1" outline="0" collapsedLevelsAreSubtotals="1" fieldPosition="0"/>
    </format>
    <format dxfId="119">
      <pivotArea outline="0" collapsedLevelsAreSubtotals="1" fieldPosition="0"/>
    </format>
    <format dxfId="120">
      <pivotArea collapsedLevelsAreSubtotals="1" fieldPosition="0">
        <references count="1">
          <reference field="7" count="1">
            <x v="0"/>
          </reference>
        </references>
      </pivotArea>
    </format>
    <format dxfId="111">
      <pivotArea type="all" dataOnly="0" outline="0" fieldPosition="0"/>
    </format>
    <format dxfId="110">
      <pivotArea outline="0" collapsedLevelsAreSubtotals="1" fieldPosition="0"/>
    </format>
    <format dxfId="109">
      <pivotArea type="origin" dataOnly="0" labelOnly="1" outline="0" fieldPosition="0"/>
    </format>
    <format dxfId="108">
      <pivotArea field="7" type="button" dataOnly="0" labelOnly="1" outline="0" axis="axisCol" fieldPosition="0"/>
    </format>
    <format dxfId="107">
      <pivotArea type="topRight" dataOnly="0" labelOnly="1" outline="0" fieldPosition="0"/>
    </format>
    <format dxfId="106">
      <pivotArea field="21" type="button" dataOnly="0" labelOnly="1" outline="0" axis="axisRow" fieldPosition="0"/>
    </format>
    <format dxfId="105">
      <pivotArea dataOnly="0" labelOnly="1" fieldPosition="0">
        <references count="1">
          <reference field="21" count="10">
            <x v="1"/>
            <x v="2"/>
            <x v="3"/>
            <x v="4"/>
            <x v="5"/>
            <x v="6"/>
            <x v="7"/>
            <x v="8"/>
            <x v="9"/>
            <x v="10"/>
          </reference>
        </references>
      </pivotArea>
    </format>
    <format dxfId="104">
      <pivotArea dataOnly="0" labelOnly="1" grandRow="1" outline="0" fieldPosition="0"/>
    </format>
    <format dxfId="103">
      <pivotArea dataOnly="0" labelOnly="1" fieldPosition="0">
        <references count="1">
          <reference field="7" count="0"/>
        </references>
      </pivotArea>
    </format>
    <format dxfId="102">
      <pivotArea dataOnly="0" labelOnly="1" grandCol="1" outline="0" fieldPosition="0"/>
    </format>
  </formats>
  <chartFormats count="9">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29" format="5" series="1">
      <pivotArea type="data" outline="0" fieldPosition="0">
        <references count="1">
          <reference field="4294967294" count="1" selected="0">
            <x v="0"/>
          </reference>
        </references>
      </pivotArea>
    </chartFormat>
    <chartFormat chart="29" format="6">
      <pivotArea type="data" outline="0" fieldPosition="0">
        <references count="2">
          <reference field="4294967294" count="1" selected="0">
            <x v="0"/>
          </reference>
          <reference field="7" count="1" selected="0">
            <x v="0"/>
          </reference>
        </references>
      </pivotArea>
    </chartFormat>
    <chartFormat chart="29" format="7">
      <pivotArea type="data" outline="0" fieldPosition="0">
        <references count="2">
          <reference field="4294967294" count="1" selected="0">
            <x v="0"/>
          </reference>
          <reference field="7" count="1" selected="0">
            <x v="1"/>
          </reference>
        </references>
      </pivotArea>
    </chartFormat>
    <chartFormat chart="29" format="8">
      <pivotArea type="data" outline="0" fieldPosition="0">
        <references count="2">
          <reference field="4294967294" count="1" selected="0">
            <x v="0"/>
          </reference>
          <reference field="7" count="1" selected="0">
            <x v="2"/>
          </reference>
        </references>
      </pivotArea>
    </chartFormat>
    <chartFormat chart="33" format="6" series="1">
      <pivotArea type="data" outline="0" fieldPosition="0">
        <references count="2">
          <reference field="4294967294" count="1" selected="0">
            <x v="0"/>
          </reference>
          <reference field="7" count="1" selected="0">
            <x v="0"/>
          </reference>
        </references>
      </pivotArea>
    </chartFormat>
    <chartFormat chart="33" format="7" series="1">
      <pivotArea type="data" outline="0" fieldPosition="0">
        <references count="2">
          <reference field="4294967294" count="1" selected="0">
            <x v="0"/>
          </reference>
          <reference field="7" count="1" selected="0">
            <x v="1"/>
          </reference>
        </references>
      </pivotArea>
    </chartFormat>
    <chartFormat chart="33" format="8" series="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706F3A7-E591-42EB-90AD-ECA05DDC8A15}"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B171:C178" firstHeaderRow="1" firstDataRow="1" firstDataCol="1" rowPageCount="1" colPageCount="1"/>
  <pivotFields count="22">
    <pivotField dataField="1" showAll="0"/>
    <pivotField showAll="0"/>
    <pivotField axis="axisRow" showAll="0">
      <items count="7">
        <item sd="0" x="1"/>
        <item sd="0" x="4"/>
        <item sd="0" x="3"/>
        <item sd="0" x="0"/>
        <item sd="0" x="5"/>
        <item sd="0" x="2"/>
        <item t="default" sd="0"/>
      </items>
    </pivotField>
    <pivotField showAll="0">
      <items count="14">
        <item x="5"/>
        <item x="10"/>
        <item x="0"/>
        <item x="8"/>
        <item x="1"/>
        <item x="4"/>
        <item x="9"/>
        <item x="12"/>
        <item x="11"/>
        <item x="7"/>
        <item x="2"/>
        <item x="6"/>
        <item x="3"/>
        <item t="default"/>
      </items>
    </pivotField>
    <pivotField numFmtId="164" showAll="0">
      <items count="97">
        <item x="45"/>
        <item x="9"/>
        <item x="31"/>
        <item x="32"/>
        <item x="82"/>
        <item x="33"/>
        <item x="70"/>
        <item x="69"/>
        <item x="13"/>
        <item x="23"/>
        <item x="77"/>
        <item x="76"/>
        <item x="34"/>
        <item x="16"/>
        <item x="46"/>
        <item x="50"/>
        <item x="18"/>
        <item x="11"/>
        <item x="60"/>
        <item x="75"/>
        <item x="29"/>
        <item x="6"/>
        <item x="41"/>
        <item x="15"/>
        <item x="61"/>
        <item x="22"/>
        <item x="0"/>
        <item x="90"/>
        <item x="38"/>
        <item x="27"/>
        <item x="14"/>
        <item x="3"/>
        <item x="54"/>
        <item x="10"/>
        <item x="88"/>
        <item x="72"/>
        <item x="81"/>
        <item x="1"/>
        <item x="92"/>
        <item x="87"/>
        <item x="4"/>
        <item x="40"/>
        <item x="5"/>
        <item x="2"/>
        <item x="52"/>
        <item x="26"/>
        <item x="89"/>
        <item x="24"/>
        <item x="93"/>
        <item x="85"/>
        <item x="66"/>
        <item x="44"/>
        <item x="36"/>
        <item x="19"/>
        <item x="42"/>
        <item x="17"/>
        <item x="20"/>
        <item x="78"/>
        <item x="35"/>
        <item x="48"/>
        <item x="62"/>
        <item x="58"/>
        <item x="71"/>
        <item x="55"/>
        <item x="28"/>
        <item x="37"/>
        <item x="94"/>
        <item x="56"/>
        <item x="53"/>
        <item x="83"/>
        <item x="51"/>
        <item x="21"/>
        <item x="91"/>
        <item x="86"/>
        <item x="39"/>
        <item x="25"/>
        <item x="79"/>
        <item x="84"/>
        <item x="65"/>
        <item x="68"/>
        <item x="7"/>
        <item x="73"/>
        <item x="95"/>
        <item x="59"/>
        <item x="49"/>
        <item x="63"/>
        <item x="80"/>
        <item x="67"/>
        <item x="12"/>
        <item x="43"/>
        <item x="74"/>
        <item x="57"/>
        <item x="64"/>
        <item x="30"/>
        <item x="8"/>
        <item x="47"/>
        <item t="default"/>
      </items>
    </pivotField>
    <pivotField showAll="0"/>
    <pivotField axis="axisPage" multipleItemSelectionAllowed="1" showAll="0">
      <items count="3">
        <item x="1"/>
        <item h="1" x="0"/>
        <item t="default"/>
      </items>
    </pivotField>
    <pivotField showAll="0">
      <items count="4">
        <item x="2"/>
        <item x="1"/>
        <item x="0"/>
        <item t="default"/>
      </items>
    </pivotField>
    <pivotField showAll="0"/>
    <pivotField numFmtId="165" showAll="0"/>
    <pivotField showAll="0"/>
    <pivotField showAll="0"/>
    <pivotField showAll="0"/>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13">
        <item sd="0" x="0"/>
        <item sd="0" x="1"/>
        <item sd="0" x="2"/>
        <item sd="0" x="3"/>
        <item sd="0" x="4"/>
        <item sd="0" x="5"/>
        <item sd="0" x="6"/>
        <item sd="0" x="7"/>
        <item sd="0" x="8"/>
        <item sd="0" x="9"/>
        <item sd="0" x="10"/>
        <item sd="0" x="11"/>
        <item t="default"/>
      </items>
    </pivotField>
  </pivotFields>
  <rowFields count="2">
    <field x="2"/>
    <field x="21"/>
  </rowFields>
  <rowItems count="7">
    <i>
      <x/>
    </i>
    <i>
      <x v="1"/>
    </i>
    <i>
      <x v="2"/>
    </i>
    <i>
      <x v="3"/>
    </i>
    <i>
      <x v="4"/>
    </i>
    <i>
      <x v="5"/>
    </i>
    <i t="grand">
      <x/>
    </i>
  </rowItems>
  <colItems count="1">
    <i/>
  </colItems>
  <pageFields count="1">
    <pageField fld="6" hier="-1"/>
  </pageFields>
  <dataFields count="1">
    <dataField name="Count of Employee ID" fld="0" subtotal="count" baseField="2" baseItem="2"/>
  </dataFields>
  <formats count="12">
    <format dxfId="121">
      <pivotArea outline="0" collapsedLevelsAreSubtotals="1" fieldPosition="0"/>
    </format>
    <format dxfId="122">
      <pivotArea outline="0" collapsedLevelsAreSubtotals="1" fieldPosition="0"/>
    </format>
    <format dxfId="123">
      <pivotArea outline="0" collapsedLevelsAreSubtotals="1" fieldPosition="0"/>
    </format>
    <format dxfId="124">
      <pivotArea type="all" dataOnly="0" outline="0" fieldPosition="0"/>
    </format>
    <format dxfId="125">
      <pivotArea collapsedLevelsAreSubtotals="1" fieldPosition="0">
        <references count="1">
          <reference field="2" count="0"/>
        </references>
      </pivotArea>
    </format>
    <format dxfId="126">
      <pivotArea grandRow="1" outline="0" collapsedLevelsAreSubtotals="1" fieldPosition="0"/>
    </format>
    <format dxfId="101">
      <pivotArea type="all" dataOnly="0" outline="0" fieldPosition="0"/>
    </format>
    <format dxfId="100">
      <pivotArea outline="0" collapsedLevelsAreSubtotals="1" fieldPosition="0"/>
    </format>
    <format dxfId="99">
      <pivotArea field="2" type="button" dataOnly="0" labelOnly="1" outline="0" axis="axisRow" fieldPosition="0"/>
    </format>
    <format dxfId="98">
      <pivotArea dataOnly="0" labelOnly="1" fieldPosition="0">
        <references count="1">
          <reference field="2" count="0"/>
        </references>
      </pivotArea>
    </format>
    <format dxfId="97">
      <pivotArea dataOnly="0" labelOnly="1" grandRow="1" outline="0" fieldPosition="0"/>
    </format>
    <format dxfId="96">
      <pivotArea dataOnly="0" labelOnly="1" outline="0" axis="axisValues"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C138926-36A8-41DB-A411-EBC2A192E65C}" name="PivotTable39"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Department">
  <location ref="C135:D142" firstHeaderRow="1" firstDataRow="1" firstDataCol="1"/>
  <pivotFields count="22">
    <pivotField showAll="0"/>
    <pivotField showAll="0"/>
    <pivotField axis="axisRow" showAll="0">
      <items count="7">
        <item sd="0" x="1"/>
        <item sd="0" x="4"/>
        <item sd="0" x="3"/>
        <item sd="0" x="0"/>
        <item sd="0" x="5"/>
        <item sd="0" x="2"/>
        <item t="default" sd="0"/>
      </items>
    </pivotField>
    <pivotField axis="axisRow" showAll="0">
      <items count="14">
        <item x="5"/>
        <item x="10"/>
        <item x="0"/>
        <item x="8"/>
        <item x="1"/>
        <item x="4"/>
        <item x="9"/>
        <item x="12"/>
        <item x="11"/>
        <item x="7"/>
        <item x="2"/>
        <item x="6"/>
        <item x="3"/>
        <item t="default"/>
      </items>
    </pivotField>
    <pivotField numFmtId="164" showAll="0">
      <items count="97">
        <item x="45"/>
        <item x="9"/>
        <item x="31"/>
        <item x="32"/>
        <item x="82"/>
        <item x="33"/>
        <item x="70"/>
        <item x="69"/>
        <item x="13"/>
        <item x="23"/>
        <item x="77"/>
        <item x="76"/>
        <item x="34"/>
        <item x="16"/>
        <item x="46"/>
        <item x="50"/>
        <item x="18"/>
        <item x="11"/>
        <item x="60"/>
        <item x="75"/>
        <item x="29"/>
        <item x="6"/>
        <item x="41"/>
        <item x="15"/>
        <item x="61"/>
        <item x="22"/>
        <item x="0"/>
        <item x="90"/>
        <item x="38"/>
        <item x="27"/>
        <item x="14"/>
        <item x="3"/>
        <item x="54"/>
        <item x="10"/>
        <item x="88"/>
        <item x="72"/>
        <item x="81"/>
        <item x="1"/>
        <item x="92"/>
        <item x="87"/>
        <item x="4"/>
        <item x="40"/>
        <item x="5"/>
        <item x="2"/>
        <item x="52"/>
        <item x="26"/>
        <item x="89"/>
        <item x="24"/>
        <item x="93"/>
        <item x="85"/>
        <item x="66"/>
        <item x="44"/>
        <item x="36"/>
        <item x="19"/>
        <item x="42"/>
        <item x="17"/>
        <item x="20"/>
        <item x="78"/>
        <item x="35"/>
        <item x="48"/>
        <item x="62"/>
        <item x="58"/>
        <item x="71"/>
        <item x="55"/>
        <item x="28"/>
        <item x="37"/>
        <item x="94"/>
        <item x="56"/>
        <item x="53"/>
        <item x="83"/>
        <item x="51"/>
        <item x="21"/>
        <item x="91"/>
        <item x="86"/>
        <item x="39"/>
        <item x="25"/>
        <item x="79"/>
        <item x="84"/>
        <item x="65"/>
        <item x="68"/>
        <item x="7"/>
        <item x="73"/>
        <item x="95"/>
        <item x="59"/>
        <item x="49"/>
        <item x="63"/>
        <item x="80"/>
        <item x="67"/>
        <item x="12"/>
        <item x="43"/>
        <item x="74"/>
        <item x="57"/>
        <item x="64"/>
        <item x="30"/>
        <item x="8"/>
        <item x="47"/>
        <item t="default"/>
      </items>
    </pivotField>
    <pivotField showAll="0"/>
    <pivotField showAll="0"/>
    <pivotField showAll="0">
      <items count="4">
        <item x="2"/>
        <item x="1"/>
        <item x="0"/>
        <item t="default"/>
      </items>
    </pivotField>
    <pivotField showAll="0"/>
    <pivotField numFmtId="165" showAll="0"/>
    <pivotField showAll="0"/>
    <pivotField showAll="0"/>
    <pivotField showAll="0"/>
    <pivotField showAll="0"/>
    <pivotField showAll="0"/>
    <pivotField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3">
        <item x="0"/>
        <item x="1"/>
        <item x="2"/>
        <item x="3"/>
        <item x="4"/>
        <item x="5"/>
        <item x="6"/>
        <item x="7"/>
        <item x="8"/>
        <item x="9"/>
        <item x="10"/>
        <item x="11"/>
        <item t="default"/>
      </items>
    </pivotField>
  </pivotFields>
  <rowFields count="2">
    <field x="2"/>
    <field x="3"/>
  </rowFields>
  <rowItems count="7">
    <i>
      <x/>
    </i>
    <i>
      <x v="1"/>
    </i>
    <i>
      <x v="2"/>
    </i>
    <i>
      <x v="3"/>
    </i>
    <i>
      <x v="4"/>
    </i>
    <i>
      <x v="5"/>
    </i>
    <i t="grand">
      <x/>
    </i>
  </rowItems>
  <colItems count="1">
    <i/>
  </colItems>
  <dataFields count="1">
    <dataField name="Average of Years spent at the company" fld="16" subtotal="average" baseField="2" baseItem="0" numFmtId="167"/>
  </dataFields>
  <formats count="11">
    <format dxfId="127">
      <pivotArea outline="0" collapsedLevelsAreSubtotals="1" fieldPosition="0"/>
    </format>
    <format dxfId="128">
      <pivotArea outline="0" collapsedLevelsAreSubtotals="1" fieldPosition="0"/>
    </format>
    <format dxfId="129">
      <pivotArea outline="0" collapsedLevelsAreSubtotals="1" fieldPosition="0"/>
    </format>
    <format dxfId="130">
      <pivotArea type="all" dataOnly="0" outline="0" fieldPosition="0"/>
    </format>
    <format dxfId="131">
      <pivotArea dataOnly="0" outline="0" axis="axisValues" fieldPosition="0"/>
    </format>
    <format dxfId="95">
      <pivotArea type="all" dataOnly="0" outline="0" fieldPosition="0"/>
    </format>
    <format dxfId="94">
      <pivotArea outline="0" collapsedLevelsAreSubtotals="1" fieldPosition="0"/>
    </format>
    <format dxfId="93">
      <pivotArea field="2" type="button" dataOnly="0" labelOnly="1" outline="0" axis="axisRow" fieldPosition="0"/>
    </format>
    <format dxfId="92">
      <pivotArea dataOnly="0" labelOnly="1" fieldPosition="0">
        <references count="1">
          <reference field="2" count="0"/>
        </references>
      </pivotArea>
    </format>
    <format dxfId="91">
      <pivotArea dataOnly="0" labelOnly="1" grandRow="1" outline="0" fieldPosition="0"/>
    </format>
    <format dxfId="90">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24A568C-C4F1-4D21-AE54-FD4BC539CD79}" name="PivotTable3"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location ref="J171:K175" firstHeaderRow="1" firstDataRow="1" firstDataCol="1" rowPageCount="1" colPageCount="1"/>
  <pivotFields count="22">
    <pivotField dataField="1" showAll="0"/>
    <pivotField showAll="0"/>
    <pivotField showAll="0">
      <items count="7">
        <item sd="0" x="1"/>
        <item sd="0" x="4"/>
        <item sd="0" x="3"/>
        <item sd="0" x="0"/>
        <item sd="0" x="5"/>
        <item sd="0" x="2"/>
        <item t="default" sd="0"/>
      </items>
    </pivotField>
    <pivotField showAll="0">
      <items count="14">
        <item x="5"/>
        <item x="10"/>
        <item x="0"/>
        <item x="8"/>
        <item x="1"/>
        <item x="4"/>
        <item x="9"/>
        <item x="12"/>
        <item x="11"/>
        <item x="7"/>
        <item x="2"/>
        <item x="6"/>
        <item x="3"/>
        <item t="default"/>
      </items>
    </pivotField>
    <pivotField numFmtId="164" showAll="0">
      <items count="97">
        <item x="45"/>
        <item x="9"/>
        <item x="31"/>
        <item x="32"/>
        <item x="82"/>
        <item x="33"/>
        <item x="70"/>
        <item x="69"/>
        <item x="13"/>
        <item x="23"/>
        <item x="77"/>
        <item x="76"/>
        <item x="34"/>
        <item x="16"/>
        <item x="46"/>
        <item x="50"/>
        <item x="18"/>
        <item x="11"/>
        <item x="60"/>
        <item x="75"/>
        <item x="29"/>
        <item x="6"/>
        <item x="41"/>
        <item x="15"/>
        <item x="61"/>
        <item x="22"/>
        <item x="0"/>
        <item x="90"/>
        <item x="38"/>
        <item x="27"/>
        <item x="14"/>
        <item x="3"/>
        <item x="54"/>
        <item x="10"/>
        <item x="88"/>
        <item x="72"/>
        <item x="81"/>
        <item x="1"/>
        <item x="92"/>
        <item x="87"/>
        <item x="4"/>
        <item x="40"/>
        <item x="5"/>
        <item x="2"/>
        <item x="52"/>
        <item x="26"/>
        <item x="89"/>
        <item x="24"/>
        <item x="93"/>
        <item x="85"/>
        <item x="66"/>
        <item x="44"/>
        <item x="36"/>
        <item x="19"/>
        <item x="42"/>
        <item x="17"/>
        <item x="20"/>
        <item x="78"/>
        <item x="35"/>
        <item x="48"/>
        <item x="62"/>
        <item x="58"/>
        <item x="71"/>
        <item x="55"/>
        <item x="28"/>
        <item x="37"/>
        <item x="94"/>
        <item x="56"/>
        <item x="53"/>
        <item x="83"/>
        <item x="51"/>
        <item x="21"/>
        <item x="91"/>
        <item x="86"/>
        <item x="39"/>
        <item x="25"/>
        <item x="79"/>
        <item x="84"/>
        <item x="65"/>
        <item x="68"/>
        <item x="7"/>
        <item x="73"/>
        <item x="95"/>
        <item x="59"/>
        <item x="49"/>
        <item x="63"/>
        <item x="80"/>
        <item x="67"/>
        <item x="12"/>
        <item x="43"/>
        <item x="74"/>
        <item x="57"/>
        <item x="64"/>
        <item x="30"/>
        <item x="8"/>
        <item x="47"/>
        <item t="default"/>
      </items>
    </pivotField>
    <pivotField showAll="0"/>
    <pivotField axis="axisPage" multipleItemSelectionAllowed="1" showAll="0">
      <items count="3">
        <item x="1"/>
        <item h="1" x="0"/>
        <item t="default"/>
      </items>
    </pivotField>
    <pivotField axis="axisRow" showAll="0">
      <items count="4">
        <item x="2"/>
        <item x="1"/>
        <item x="0"/>
        <item t="default"/>
      </items>
    </pivotField>
    <pivotField showAll="0"/>
    <pivotField numFmtId="165"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3">
        <item x="0"/>
        <item x="1"/>
        <item x="2"/>
        <item x="3"/>
        <item x="4"/>
        <item x="5"/>
        <item x="6"/>
        <item x="7"/>
        <item x="8"/>
        <item x="9"/>
        <item x="10"/>
        <item x="11"/>
        <item t="default"/>
      </items>
    </pivotField>
  </pivotFields>
  <rowFields count="1">
    <field x="7"/>
  </rowFields>
  <rowItems count="4">
    <i>
      <x/>
    </i>
    <i>
      <x v="1"/>
    </i>
    <i>
      <x v="2"/>
    </i>
    <i t="grand">
      <x/>
    </i>
  </rowItems>
  <colItems count="1">
    <i/>
  </colItems>
  <pageFields count="1">
    <pageField fld="6" hier="-1"/>
  </pageFields>
  <dataFields count="1">
    <dataField name="Count of Employee ID" fld="0" subtotal="count" baseField="2" baseItem="2" numFmtId="1"/>
  </dataFields>
  <formats count="15">
    <format dxfId="134">
      <pivotArea outline="0" collapsedLevelsAreSubtotals="1" fieldPosition="0"/>
    </format>
    <format dxfId="135">
      <pivotArea outline="0" collapsedLevelsAreSubtotals="1" fieldPosition="0"/>
    </format>
    <format dxfId="136">
      <pivotArea outline="0" collapsedLevelsAreSubtotals="1" fieldPosition="0"/>
    </format>
    <format dxfId="137">
      <pivotArea type="all" dataOnly="0" outline="0" fieldPosition="0"/>
    </format>
    <format dxfId="138">
      <pivotArea outline="0" collapsedLevelsAreSubtotals="1" fieldPosition="0"/>
    </format>
    <format dxfId="139">
      <pivotArea field="2" type="button" dataOnly="0" labelOnly="1" outline="0"/>
    </format>
    <format dxfId="140">
      <pivotArea grandRow="1" outline="0" collapsedLevelsAreSubtotals="1" fieldPosition="0"/>
    </format>
    <format dxfId="133">
      <pivotArea outline="0" collapsedLevelsAreSubtotals="1" fieldPosition="0"/>
    </format>
    <format dxfId="132">
      <pivotArea collapsedLevelsAreSubtotals="1" fieldPosition="0">
        <references count="1">
          <reference field="7" count="1">
            <x v="0"/>
          </reference>
        </references>
      </pivotArea>
    </format>
    <format dxfId="89">
      <pivotArea type="all" dataOnly="0" outline="0" fieldPosition="0"/>
    </format>
    <format dxfId="88">
      <pivotArea outline="0" collapsedLevelsAreSubtotals="1" fieldPosition="0"/>
    </format>
    <format dxfId="87">
      <pivotArea field="7" type="button" dataOnly="0" labelOnly="1" outline="0" axis="axisRow" fieldPosition="0"/>
    </format>
    <format dxfId="86">
      <pivotArea dataOnly="0" labelOnly="1" fieldPosition="0">
        <references count="1">
          <reference field="7" count="0"/>
        </references>
      </pivotArea>
    </format>
    <format dxfId="85">
      <pivotArea dataOnly="0" labelOnly="1" grandRow="1" outline="0" fieldPosition="0"/>
    </format>
    <format dxfId="84">
      <pivotArea dataOnly="0" labelOnly="1" outline="0" axis="axisValues" fieldPosition="0"/>
    </format>
  </formats>
  <chartFormats count="6">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29" format="5" series="1">
      <pivotArea type="data" outline="0" fieldPosition="0">
        <references count="1">
          <reference field="4294967294" count="1" selected="0">
            <x v="0"/>
          </reference>
        </references>
      </pivotArea>
    </chartFormat>
    <chartFormat chart="29" format="6">
      <pivotArea type="data" outline="0" fieldPosition="0">
        <references count="2">
          <reference field="4294967294" count="1" selected="0">
            <x v="0"/>
          </reference>
          <reference field="7" count="1" selected="0">
            <x v="0"/>
          </reference>
        </references>
      </pivotArea>
    </chartFormat>
    <chartFormat chart="29" format="7">
      <pivotArea type="data" outline="0" fieldPosition="0">
        <references count="2">
          <reference field="4294967294" count="1" selected="0">
            <x v="0"/>
          </reference>
          <reference field="7" count="1" selected="0">
            <x v="1"/>
          </reference>
        </references>
      </pivotArea>
    </chartFormat>
    <chartFormat chart="29" format="8">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EC7D0E3-8E10-46E6-8816-3605CD814260}"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Performance level">
  <location ref="H39:J43" firstHeaderRow="0" firstDataRow="1" firstDataCol="1"/>
  <pivotFields count="18">
    <pivotField showAll="0"/>
    <pivotField showAll="0"/>
    <pivotField showAll="0"/>
    <pivotField showAll="0"/>
    <pivotField numFmtId="164" showAll="0"/>
    <pivotField showAll="0"/>
    <pivotField showAll="0"/>
    <pivotField showAll="0"/>
    <pivotField showAll="0"/>
    <pivotField showAll="0"/>
    <pivotField showAll="0"/>
    <pivotField numFmtId="165" showAll="0"/>
    <pivotField showAll="0"/>
    <pivotField showAll="0"/>
    <pivotField dataField="1" showAll="0"/>
    <pivotField showAll="0"/>
    <pivotField showAll="0"/>
    <pivotField axis="axisRow" showAll="0" sortType="ascending">
      <items count="4">
        <item x="2"/>
        <item x="1"/>
        <item x="0"/>
        <item t="default"/>
      </items>
    </pivotField>
  </pivotFields>
  <rowFields count="1">
    <field x="17"/>
  </rowFields>
  <rowItems count="4">
    <i>
      <x/>
    </i>
    <i>
      <x v="1"/>
    </i>
    <i>
      <x v="2"/>
    </i>
    <i t="grand">
      <x/>
    </i>
  </rowItems>
  <colFields count="1">
    <field x="-2"/>
  </colFields>
  <colItems count="2">
    <i>
      <x/>
    </i>
    <i i="1">
      <x v="1"/>
    </i>
  </colItems>
  <dataFields count="2">
    <dataField name="Average of Training Hours YTD" fld="14" subtotal="average" baseField="17" baseItem="2"/>
    <dataField name="StdDev of Training Hours YTD" fld="14" subtotal="stdDev" baseField="17" baseItem="0"/>
  </dataFields>
  <formats count="20">
    <format dxfId="152">
      <pivotArea collapsedLevelsAreSubtotals="1" fieldPosition="0">
        <references count="1">
          <reference field="17" count="0"/>
        </references>
      </pivotArea>
    </format>
    <format dxfId="151">
      <pivotArea field="17" grandRow="1" outline="0" collapsedLevelsAreSubtotals="1" axis="axisRow" fieldPosition="0">
        <references count="1">
          <reference field="4294967294" count="1" selected="0">
            <x v="1"/>
          </reference>
        </references>
      </pivotArea>
    </format>
    <format dxfId="150">
      <pivotArea outline="0" collapsedLevelsAreSubtotals="1" fieldPosition="0"/>
    </format>
    <format dxfId="149">
      <pivotArea outline="0" collapsedLevelsAreSubtotals="1" fieldPosition="0"/>
    </format>
    <format dxfId="148">
      <pivotArea type="all" dataOnly="0" outline="0" fieldPosition="0"/>
    </format>
    <format dxfId="147">
      <pivotArea dataOnly="0" labelOnly="1" fieldPosition="0">
        <references count="1">
          <reference field="17" count="0"/>
        </references>
      </pivotArea>
    </format>
    <format dxfId="146">
      <pivotArea dataOnly="0" labelOnly="1" grandRow="1" outline="0" fieldPosition="0"/>
    </format>
    <format dxfId="145">
      <pivotArea outline="0" collapsedLevelsAreSubtotals="1" fieldPosition="0"/>
    </format>
    <format dxfId="144">
      <pivotArea outline="0" collapsedLevelsAreSubtotals="1" fieldPosition="0"/>
    </format>
    <format dxfId="143">
      <pivotArea dataOnly="0" labelOnly="1" fieldPosition="0">
        <references count="1">
          <reference field="17" count="0"/>
        </references>
      </pivotArea>
    </format>
    <format dxfId="142">
      <pivotArea dataOnly="0" labelOnly="1" grandRow="1" outline="0" fieldPosition="0"/>
    </format>
    <format dxfId="141">
      <pivotArea dataOnly="0" labelOnly="1" fieldPosition="0">
        <references count="1">
          <reference field="17" count="0"/>
        </references>
      </pivotArea>
    </format>
    <format dxfId="83">
      <pivotArea type="all" dataOnly="0" outline="0" fieldPosition="0"/>
    </format>
    <format dxfId="82">
      <pivotArea outline="0" collapsedLevelsAreSubtotals="1" fieldPosition="0"/>
    </format>
    <format dxfId="81">
      <pivotArea field="17" type="button" dataOnly="0" labelOnly="1" outline="0" axis="axisRow" fieldPosition="0"/>
    </format>
    <format dxfId="80">
      <pivotArea dataOnly="0" labelOnly="1" fieldPosition="0">
        <references count="1">
          <reference field="17" count="0"/>
        </references>
      </pivotArea>
    </format>
    <format dxfId="79">
      <pivotArea dataOnly="0" labelOnly="1" grandRow="1" outline="0" fieldPosition="0"/>
    </format>
    <format dxfId="78">
      <pivotArea dataOnly="0" labelOnly="1" outline="0" fieldPosition="0">
        <references count="1">
          <reference field="4294967294" count="2">
            <x v="0"/>
            <x v="1"/>
          </reference>
        </references>
      </pivotArea>
    </format>
    <format dxfId="1">
      <pivotArea dataOnly="0" labelOnly="1" fieldPosition="0">
        <references count="1">
          <reference field="17" count="0"/>
        </references>
      </pivotArea>
    </format>
    <format dxfId="0">
      <pivotArea dataOnly="0" labelOnly="1" fieldPosition="0">
        <references count="1">
          <reference field="1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28370F0-BAAE-4254-9B04-FDE652094E02}" name="PivotTable1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Hire Year">
  <location ref="C67:D78" firstHeaderRow="1" firstDataRow="1" firstDataCol="1"/>
  <pivotFields count="18">
    <pivotField showAll="0"/>
    <pivotField dataField="1" showAll="0"/>
    <pivotField showAll="0">
      <items count="7">
        <item x="1"/>
        <item x="4"/>
        <item x="3"/>
        <item x="0"/>
        <item x="5"/>
        <item x="2"/>
        <item t="default"/>
      </items>
    </pivotField>
    <pivotField showAll="0"/>
    <pivotField numFmtId="164" showAll="0">
      <items count="97">
        <item x="45"/>
        <item x="9"/>
        <item x="31"/>
        <item x="32"/>
        <item x="82"/>
        <item x="33"/>
        <item x="70"/>
        <item x="69"/>
        <item x="13"/>
        <item x="23"/>
        <item x="77"/>
        <item x="76"/>
        <item x="34"/>
        <item x="16"/>
        <item x="46"/>
        <item x="50"/>
        <item x="18"/>
        <item x="11"/>
        <item x="60"/>
        <item x="75"/>
        <item x="29"/>
        <item x="6"/>
        <item x="41"/>
        <item x="15"/>
        <item x="61"/>
        <item x="22"/>
        <item x="0"/>
        <item x="90"/>
        <item x="38"/>
        <item x="27"/>
        <item x="14"/>
        <item x="3"/>
        <item x="54"/>
        <item x="10"/>
        <item x="88"/>
        <item x="72"/>
        <item x="81"/>
        <item x="1"/>
        <item x="92"/>
        <item x="87"/>
        <item x="4"/>
        <item x="40"/>
        <item x="5"/>
        <item x="2"/>
        <item x="52"/>
        <item x="26"/>
        <item x="89"/>
        <item x="24"/>
        <item x="93"/>
        <item x="85"/>
        <item x="66"/>
        <item x="44"/>
        <item x="36"/>
        <item x="19"/>
        <item x="42"/>
        <item x="17"/>
        <item x="20"/>
        <item x="78"/>
        <item x="35"/>
        <item x="48"/>
        <item x="62"/>
        <item x="58"/>
        <item x="71"/>
        <item x="55"/>
        <item x="28"/>
        <item x="37"/>
        <item x="94"/>
        <item x="56"/>
        <item x="53"/>
        <item x="83"/>
        <item x="51"/>
        <item x="21"/>
        <item x="91"/>
        <item x="86"/>
        <item x="39"/>
        <item x="25"/>
        <item x="79"/>
        <item x="84"/>
        <item x="65"/>
        <item x="68"/>
        <item x="7"/>
        <item x="73"/>
        <item x="95"/>
        <item x="59"/>
        <item x="49"/>
        <item x="63"/>
        <item x="80"/>
        <item x="67"/>
        <item x="12"/>
        <item x="43"/>
        <item x="74"/>
        <item x="57"/>
        <item x="64"/>
        <item x="30"/>
        <item x="8"/>
        <item x="47"/>
        <item t="default"/>
      </items>
    </pivotField>
    <pivotField showAll="0"/>
    <pivotField showAll="0"/>
    <pivotField showAll="0"/>
    <pivotField showAll="0"/>
    <pivotField showAll="0"/>
    <pivotField showAll="0"/>
    <pivotField numFmtId="165"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sortType="descending">
      <items count="13">
        <item sd="0" x="10"/>
        <item sd="0" x="9"/>
        <item sd="0" x="8"/>
        <item sd="0" x="7"/>
        <item sd="0" x="6"/>
        <item sd="0" x="5"/>
        <item sd="0" x="4"/>
        <item sd="0" x="3"/>
        <item sd="0" x="2"/>
        <item sd="0" x="1"/>
        <item sd="0" x="11"/>
        <item sd="0" x="0"/>
        <item t="default"/>
      </items>
    </pivotField>
  </pivotFields>
  <rowFields count="1">
    <field x="17"/>
  </rowFields>
  <rowItems count="11">
    <i>
      <x/>
    </i>
    <i>
      <x v="1"/>
    </i>
    <i>
      <x v="2"/>
    </i>
    <i>
      <x v="3"/>
    </i>
    <i>
      <x v="4"/>
    </i>
    <i>
      <x v="5"/>
    </i>
    <i>
      <x v="6"/>
    </i>
    <i>
      <x v="7"/>
    </i>
    <i>
      <x v="8"/>
    </i>
    <i>
      <x v="9"/>
    </i>
    <i t="grand">
      <x/>
    </i>
  </rowItems>
  <colItems count="1">
    <i/>
  </colItems>
  <dataFields count="1">
    <dataField name="# of employees" fld="1" subtotal="count" baseField="0" baseItem="0"/>
  </dataFields>
  <formats count="24">
    <format dxfId="170">
      <pivotArea type="all" dataOnly="0" outline="0" fieldPosition="0"/>
    </format>
    <format dxfId="169">
      <pivotArea outline="0" collapsedLevelsAreSubtotals="1" fieldPosition="0"/>
    </format>
    <format dxfId="168">
      <pivotArea field="2" type="button" dataOnly="0" labelOnly="1" outline="0"/>
    </format>
    <format dxfId="167">
      <pivotArea dataOnly="0" labelOnly="1" grandRow="1" outline="0" fieldPosition="0"/>
    </format>
    <format dxfId="166">
      <pivotArea dataOnly="0" labelOnly="1" outline="0" axis="axisValues" fieldPosition="0"/>
    </format>
    <format dxfId="165">
      <pivotArea type="all" dataOnly="0" outline="0" fieldPosition="0"/>
    </format>
    <format dxfId="164">
      <pivotArea outline="0" collapsedLevelsAreSubtotals="1" fieldPosition="0"/>
    </format>
    <format dxfId="163">
      <pivotArea field="2" type="button" dataOnly="0" labelOnly="1" outline="0"/>
    </format>
    <format dxfId="162">
      <pivotArea dataOnly="0" labelOnly="1" grandRow="1" outline="0" fieldPosition="0"/>
    </format>
    <format dxfId="161">
      <pivotArea dataOnly="0" labelOnly="1" outline="0" axis="axisValues" fieldPosition="0"/>
    </format>
    <format dxfId="160">
      <pivotArea outline="0" collapsedLevelsAreSubtotals="1" fieldPosition="0"/>
    </format>
    <format dxfId="159">
      <pivotArea outline="0" collapsedLevelsAreSubtotals="1" fieldPosition="0"/>
    </format>
    <format dxfId="158">
      <pivotArea dataOnly="0" labelOnly="1" fieldPosition="0">
        <references count="1">
          <reference field="17" count="10">
            <x v="0"/>
            <x v="1"/>
            <x v="2"/>
            <x v="3"/>
            <x v="4"/>
            <x v="5"/>
            <x v="6"/>
            <x v="7"/>
            <x v="8"/>
            <x v="9"/>
          </reference>
        </references>
      </pivotArea>
    </format>
    <format dxfId="157">
      <pivotArea dataOnly="0" labelOnly="1" fieldPosition="0">
        <references count="1">
          <reference field="17" count="10">
            <x v="0"/>
            <x v="1"/>
            <x v="2"/>
            <x v="3"/>
            <x v="4"/>
            <x v="5"/>
            <x v="6"/>
            <x v="7"/>
            <x v="8"/>
            <x v="9"/>
          </reference>
        </references>
      </pivotArea>
    </format>
    <format dxfId="156">
      <pivotArea field="17" type="button" dataOnly="0" labelOnly="1" outline="0" axis="axisRow" fieldPosition="0"/>
    </format>
    <format dxfId="155">
      <pivotArea dataOnly="0" labelOnly="1" outline="0" axis="axisValues" fieldPosition="0"/>
    </format>
    <format dxfId="154">
      <pivotArea field="17" type="button" dataOnly="0" labelOnly="1" outline="0" axis="axisRow" fieldPosition="0"/>
    </format>
    <format dxfId="153">
      <pivotArea dataOnly="0" labelOnly="1" outline="0" axis="axisValues" fieldPosition="0"/>
    </format>
    <format dxfId="77">
      <pivotArea type="all" dataOnly="0" outline="0" fieldPosition="0"/>
    </format>
    <format dxfId="76">
      <pivotArea outline="0" collapsedLevelsAreSubtotals="1" fieldPosition="0"/>
    </format>
    <format dxfId="75">
      <pivotArea field="17" type="button" dataOnly="0" labelOnly="1" outline="0" axis="axisRow" fieldPosition="0"/>
    </format>
    <format dxfId="74">
      <pivotArea dataOnly="0" labelOnly="1" fieldPosition="0">
        <references count="1">
          <reference field="17" count="10">
            <x v="0"/>
            <x v="1"/>
            <x v="2"/>
            <x v="3"/>
            <x v="4"/>
            <x v="5"/>
            <x v="6"/>
            <x v="7"/>
            <x v="8"/>
            <x v="9"/>
          </reference>
        </references>
      </pivotArea>
    </format>
    <format dxfId="73">
      <pivotArea dataOnly="0" labelOnly="1" grandRow="1" outline="0" fieldPosition="0"/>
    </format>
    <format dxfId="72">
      <pivotArea dataOnly="0" labelOnly="1" outline="0" axis="axisValues" fieldPosition="0"/>
    </format>
  </formats>
  <chartFormats count="1">
    <chartFormat chart="9"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B25F119-9E56-4DF7-976F-C2E516B9858D}" name="PivotTable1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Hire Month">
  <location ref="J66:K79" firstHeaderRow="1" firstDataRow="1" firstDataCol="1"/>
  <pivotFields count="18">
    <pivotField showAll="0"/>
    <pivotField dataField="1" showAll="0"/>
    <pivotField showAll="0">
      <items count="7">
        <item x="1"/>
        <item x="4"/>
        <item x="3"/>
        <item x="0"/>
        <item x="5"/>
        <item x="2"/>
        <item t="default"/>
      </items>
    </pivotField>
    <pivotField showAll="0"/>
    <pivotField numFmtId="164" showAll="0">
      <items count="97">
        <item x="45"/>
        <item x="9"/>
        <item x="31"/>
        <item x="32"/>
        <item x="82"/>
        <item x="33"/>
        <item x="70"/>
        <item x="69"/>
        <item x="13"/>
        <item x="23"/>
        <item x="77"/>
        <item x="76"/>
        <item x="34"/>
        <item x="16"/>
        <item x="46"/>
        <item x="50"/>
        <item x="18"/>
        <item x="11"/>
        <item x="60"/>
        <item x="75"/>
        <item x="29"/>
        <item x="6"/>
        <item x="41"/>
        <item x="15"/>
        <item x="61"/>
        <item x="22"/>
        <item x="0"/>
        <item x="90"/>
        <item x="38"/>
        <item x="27"/>
        <item x="14"/>
        <item x="3"/>
        <item x="54"/>
        <item x="10"/>
        <item x="88"/>
        <item x="72"/>
        <item x="81"/>
        <item x="1"/>
        <item x="92"/>
        <item x="87"/>
        <item x="4"/>
        <item x="40"/>
        <item x="5"/>
        <item x="2"/>
        <item x="52"/>
        <item x="26"/>
        <item x="89"/>
        <item x="24"/>
        <item x="93"/>
        <item x="85"/>
        <item x="66"/>
        <item x="44"/>
        <item x="36"/>
        <item x="19"/>
        <item x="42"/>
        <item x="17"/>
        <item x="20"/>
        <item x="78"/>
        <item x="35"/>
        <item x="48"/>
        <item x="62"/>
        <item x="58"/>
        <item x="71"/>
        <item x="55"/>
        <item x="28"/>
        <item x="37"/>
        <item x="94"/>
        <item x="56"/>
        <item x="53"/>
        <item x="83"/>
        <item x="51"/>
        <item x="21"/>
        <item x="91"/>
        <item x="86"/>
        <item x="39"/>
        <item x="25"/>
        <item x="79"/>
        <item x="84"/>
        <item x="65"/>
        <item x="68"/>
        <item x="7"/>
        <item x="73"/>
        <item x="95"/>
        <item x="59"/>
        <item x="49"/>
        <item x="63"/>
        <item x="80"/>
        <item x="67"/>
        <item x="12"/>
        <item x="43"/>
        <item x="74"/>
        <item x="57"/>
        <item x="64"/>
        <item x="30"/>
        <item x="8"/>
        <item x="47"/>
        <item t="default"/>
      </items>
    </pivotField>
    <pivotField showAll="0"/>
    <pivotField showAll="0"/>
    <pivotField showAll="0"/>
    <pivotField showAll="0"/>
    <pivotField showAll="0"/>
    <pivotField showAll="0"/>
    <pivotField numFmtId="165"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sortType="descending">
      <items count="13">
        <item sd="0" x="10"/>
        <item sd="0" x="9"/>
        <item sd="0" x="8"/>
        <item sd="0" x="7"/>
        <item sd="0" x="6"/>
        <item sd="0" x="5"/>
        <item sd="0" x="4"/>
        <item sd="0" x="3"/>
        <item sd="0" x="2"/>
        <item sd="0" x="1"/>
        <item sd="0" x="11"/>
        <item sd="0" x="0"/>
        <item t="default"/>
      </items>
    </pivotField>
  </pivotFields>
  <rowFields count="1">
    <field x="15"/>
  </rowFields>
  <rowItems count="13">
    <i>
      <x v="1"/>
    </i>
    <i>
      <x v="2"/>
    </i>
    <i>
      <x v="3"/>
    </i>
    <i>
      <x v="4"/>
    </i>
    <i>
      <x v="5"/>
    </i>
    <i>
      <x v="6"/>
    </i>
    <i>
      <x v="7"/>
    </i>
    <i>
      <x v="8"/>
    </i>
    <i>
      <x v="9"/>
    </i>
    <i>
      <x v="10"/>
    </i>
    <i>
      <x v="11"/>
    </i>
    <i>
      <x v="12"/>
    </i>
    <i t="grand">
      <x/>
    </i>
  </rowItems>
  <colItems count="1">
    <i/>
  </colItems>
  <dataFields count="1">
    <dataField name="# of employees" fld="1" subtotal="count" baseField="0" baseItem="0"/>
  </dataFields>
  <formats count="22">
    <format dxfId="186">
      <pivotArea type="all" dataOnly="0" outline="0" fieldPosition="0"/>
    </format>
    <format dxfId="185">
      <pivotArea outline="0" collapsedLevelsAreSubtotals="1" fieldPosition="0"/>
    </format>
    <format dxfId="184">
      <pivotArea field="2" type="button" dataOnly="0" labelOnly="1" outline="0"/>
    </format>
    <format dxfId="183">
      <pivotArea dataOnly="0" labelOnly="1" grandRow="1" outline="0" fieldPosition="0"/>
    </format>
    <format dxfId="182">
      <pivotArea dataOnly="0" labelOnly="1" outline="0" axis="axisValues" fieldPosition="0"/>
    </format>
    <format dxfId="181">
      <pivotArea type="all" dataOnly="0" outline="0" fieldPosition="0"/>
    </format>
    <format dxfId="180">
      <pivotArea outline="0" collapsedLevelsAreSubtotals="1" fieldPosition="0"/>
    </format>
    <format dxfId="179">
      <pivotArea field="2" type="button" dataOnly="0" labelOnly="1" outline="0"/>
    </format>
    <format dxfId="178">
      <pivotArea dataOnly="0" labelOnly="1" grandRow="1" outline="0" fieldPosition="0"/>
    </format>
    <format dxfId="177">
      <pivotArea dataOnly="0" labelOnly="1" outline="0" axis="axisValues" fieldPosition="0"/>
    </format>
    <format dxfId="176">
      <pivotArea outline="0" collapsedLevelsAreSubtotals="1" fieldPosition="0"/>
    </format>
    <format dxfId="175">
      <pivotArea outline="0" collapsedLevelsAreSubtotals="1" fieldPosition="0"/>
    </format>
    <format dxfId="174">
      <pivotArea field="17" type="button" dataOnly="0" labelOnly="1" outline="0"/>
    </format>
    <format dxfId="173">
      <pivotArea dataOnly="0" labelOnly="1" outline="0" axis="axisValues" fieldPosition="0"/>
    </format>
    <format dxfId="172">
      <pivotArea field="17" type="button" dataOnly="0" labelOnly="1" outline="0"/>
    </format>
    <format dxfId="171">
      <pivotArea dataOnly="0" labelOnly="1" outline="0" axis="axisValues" fieldPosition="0"/>
    </format>
    <format dxfId="71">
      <pivotArea type="all" dataOnly="0" outline="0" fieldPosition="0"/>
    </format>
    <format dxfId="70">
      <pivotArea outline="0" collapsedLevelsAreSubtotals="1" fieldPosition="0"/>
    </format>
    <format dxfId="69">
      <pivotArea field="15" type="button" dataOnly="0" labelOnly="1" outline="0" axis="axisRow" fieldPosition="0"/>
    </format>
    <format dxfId="68">
      <pivotArea dataOnly="0" labelOnly="1" fieldPosition="0">
        <references count="1">
          <reference field="15" count="12">
            <x v="1"/>
            <x v="2"/>
            <x v="3"/>
            <x v="4"/>
            <x v="5"/>
            <x v="6"/>
            <x v="7"/>
            <x v="8"/>
            <x v="9"/>
            <x v="10"/>
            <x v="11"/>
            <x v="12"/>
          </reference>
        </references>
      </pivotArea>
    </format>
    <format dxfId="67">
      <pivotArea dataOnly="0" labelOnly="1" grandRow="1" outline="0" fieldPosition="0"/>
    </format>
    <format dxfId="66">
      <pivotArea dataOnly="0" labelOnly="1" outline="0" axis="axisValues" fieldPosition="0"/>
    </format>
  </formats>
  <chartFormats count="1">
    <chartFormat chart="9"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6BCF326-0EEF-4FE6-9E9D-EF97628898D5}" name="PivotTable1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rowHeaderCaption="Department" colHeaderCaption="Gender">
  <location ref="C105:G126" firstHeaderRow="1" firstDataRow="2" firstDataCol="1"/>
  <pivotFields count="18">
    <pivotField showAll="0"/>
    <pivotField dataField="1" showAll="0"/>
    <pivotField axis="axisRow" showAll="0">
      <items count="7">
        <item x="1"/>
        <item x="4"/>
        <item x="3"/>
        <item x="0"/>
        <item x="5"/>
        <item x="2"/>
        <item t="default"/>
      </items>
    </pivotField>
    <pivotField axis="axisRow" showAll="0">
      <items count="14">
        <item x="5"/>
        <item x="10"/>
        <item x="0"/>
        <item x="8"/>
        <item x="1"/>
        <item x="4"/>
        <item x="9"/>
        <item x="12"/>
        <item x="11"/>
        <item x="7"/>
        <item x="2"/>
        <item x="6"/>
        <item x="3"/>
        <item t="default"/>
      </items>
    </pivotField>
    <pivotField numFmtId="164" showAll="0"/>
    <pivotField showAll="0"/>
    <pivotField showAll="0"/>
    <pivotField axis="axisCol" showAll="0">
      <items count="4">
        <item x="2"/>
        <item x="1"/>
        <item x="0"/>
        <item t="default"/>
      </items>
    </pivotField>
    <pivotField showAll="0"/>
    <pivotField showAll="0"/>
    <pivotField showAll="0"/>
    <pivotField numFmtId="165" showAll="0"/>
    <pivotField showAll="0"/>
    <pivotField showAll="0"/>
    <pivotField showAll="0"/>
    <pivotField showAll="0"/>
    <pivotField showAll="0"/>
    <pivotField showAll="0">
      <items count="6">
        <item x="2"/>
        <item x="4"/>
        <item x="0"/>
        <item x="3"/>
        <item x="1"/>
        <item t="default"/>
      </items>
    </pivotField>
  </pivotFields>
  <rowFields count="2">
    <field x="2"/>
    <field x="3"/>
  </rowFields>
  <rowItems count="20">
    <i>
      <x/>
    </i>
    <i r="1">
      <x v="1"/>
    </i>
    <i r="1">
      <x v="4"/>
    </i>
    <i>
      <x v="1"/>
    </i>
    <i r="1">
      <x v="5"/>
    </i>
    <i r="1">
      <x v="6"/>
    </i>
    <i>
      <x v="2"/>
    </i>
    <i r="1">
      <x v="3"/>
    </i>
    <i r="1">
      <x v="7"/>
    </i>
    <i r="1">
      <x v="12"/>
    </i>
    <i>
      <x v="3"/>
    </i>
    <i r="1">
      <x v="2"/>
    </i>
    <i r="1">
      <x v="11"/>
    </i>
    <i>
      <x v="4"/>
    </i>
    <i r="1">
      <x v="8"/>
    </i>
    <i r="1">
      <x v="9"/>
    </i>
    <i>
      <x v="5"/>
    </i>
    <i r="1">
      <x/>
    </i>
    <i r="1">
      <x v="10"/>
    </i>
    <i t="grand">
      <x/>
    </i>
  </rowItems>
  <colFields count="1">
    <field x="7"/>
  </colFields>
  <colItems count="4">
    <i>
      <x/>
    </i>
    <i>
      <x v="1"/>
    </i>
    <i>
      <x v="2"/>
    </i>
    <i t="grand">
      <x/>
    </i>
  </colItems>
  <dataFields count="1">
    <dataField name="Gender imbalance in departments" fld="1" subtotal="count" baseField="0" baseItem="0"/>
  </dataFields>
  <formats count="68">
    <format dxfId="238">
      <pivotArea type="all" dataOnly="0" outline="0" fieldPosition="0"/>
    </format>
    <format dxfId="237">
      <pivotArea outline="0" collapsedLevelsAreSubtotals="1" fieldPosition="0"/>
    </format>
    <format dxfId="236">
      <pivotArea field="17" type="button" dataOnly="0" labelOnly="1" outline="0"/>
    </format>
    <format dxfId="235">
      <pivotArea dataOnly="0" labelOnly="1" grandRow="1" outline="0" fieldPosition="0"/>
    </format>
    <format dxfId="234">
      <pivotArea dataOnly="0" labelOnly="1" outline="0" axis="axisValues" fieldPosition="0"/>
    </format>
    <format dxfId="233">
      <pivotArea type="all" dataOnly="0" outline="0" fieldPosition="0"/>
    </format>
    <format dxfId="232">
      <pivotArea outline="0" collapsedLevelsAreSubtotals="1" fieldPosition="0"/>
    </format>
    <format dxfId="231">
      <pivotArea field="17" type="button" dataOnly="0" labelOnly="1" outline="0"/>
    </format>
    <format dxfId="230">
      <pivotArea dataOnly="0" labelOnly="1" grandRow="1" outline="0" fieldPosition="0"/>
    </format>
    <format dxfId="229">
      <pivotArea dataOnly="0" labelOnly="1" outline="0" axis="axisValues" fieldPosition="0"/>
    </format>
    <format dxfId="228">
      <pivotArea grandRow="1" outline="0" collapsedLevelsAreSubtotals="1" fieldPosition="0"/>
    </format>
    <format dxfId="227">
      <pivotArea grandRow="1" outline="0" collapsedLevelsAreSubtotals="1" fieldPosition="0"/>
    </format>
    <format dxfId="226">
      <pivotArea type="all" dataOnly="0" outline="0" fieldPosition="0"/>
    </format>
    <format dxfId="225">
      <pivotArea field="17" type="button" dataOnly="0" labelOnly="1" outline="0"/>
    </format>
    <format dxfId="224">
      <pivotArea dataOnly="0" labelOnly="1" outline="0" axis="axisValues" fieldPosition="0"/>
    </format>
    <format dxfId="223">
      <pivotArea collapsedLevelsAreSubtotals="1" fieldPosition="0">
        <references count="1">
          <reference field="2" count="1">
            <x v="0"/>
          </reference>
        </references>
      </pivotArea>
    </format>
    <format dxfId="222">
      <pivotArea collapsedLevelsAreSubtotals="1" fieldPosition="0">
        <references count="1">
          <reference field="2" count="1">
            <x v="1"/>
          </reference>
        </references>
      </pivotArea>
    </format>
    <format dxfId="221">
      <pivotArea collapsedLevelsAreSubtotals="1" fieldPosition="0">
        <references count="1">
          <reference field="2" count="1">
            <x v="2"/>
          </reference>
        </references>
      </pivotArea>
    </format>
    <format dxfId="220">
      <pivotArea collapsedLevelsAreSubtotals="1" fieldPosition="0">
        <references count="1">
          <reference field="2" count="1">
            <x v="3"/>
          </reference>
        </references>
      </pivotArea>
    </format>
    <format dxfId="219">
      <pivotArea collapsedLevelsAreSubtotals="1" fieldPosition="0">
        <references count="1">
          <reference field="2" count="1">
            <x v="4"/>
          </reference>
        </references>
      </pivotArea>
    </format>
    <format dxfId="218">
      <pivotArea collapsedLevelsAreSubtotals="1" fieldPosition="0">
        <references count="1">
          <reference field="2" count="1">
            <x v="5"/>
          </reference>
        </references>
      </pivotArea>
    </format>
    <format dxfId="217">
      <pivotArea collapsedLevelsAreSubtotals="1" fieldPosition="0">
        <references count="1">
          <reference field="2" count="1">
            <x v="0"/>
          </reference>
        </references>
      </pivotArea>
    </format>
    <format dxfId="216">
      <pivotArea collapsedLevelsAreSubtotals="1" fieldPosition="0">
        <references count="1">
          <reference field="2" count="1">
            <x v="1"/>
          </reference>
        </references>
      </pivotArea>
    </format>
    <format dxfId="215">
      <pivotArea collapsedLevelsAreSubtotals="1" fieldPosition="0">
        <references count="1">
          <reference field="2" count="1">
            <x v="2"/>
          </reference>
        </references>
      </pivotArea>
    </format>
    <format dxfId="214">
      <pivotArea collapsedLevelsAreSubtotals="1" fieldPosition="0">
        <references count="1">
          <reference field="2" count="1">
            <x v="3"/>
          </reference>
        </references>
      </pivotArea>
    </format>
    <format dxfId="213">
      <pivotArea collapsedLevelsAreSubtotals="1" fieldPosition="0">
        <references count="1">
          <reference field="2" count="1">
            <x v="4"/>
          </reference>
        </references>
      </pivotArea>
    </format>
    <format dxfId="212">
      <pivotArea collapsedLevelsAreSubtotals="1" fieldPosition="0">
        <references count="1">
          <reference field="2" count="1">
            <x v="5"/>
          </reference>
        </references>
      </pivotArea>
    </format>
    <format dxfId="211">
      <pivotArea type="origin" dataOnly="0" labelOnly="1" outline="0" fieldPosition="0"/>
    </format>
    <format dxfId="210">
      <pivotArea type="origin" dataOnly="0" labelOnly="1" outline="0" fieldPosition="0"/>
    </format>
    <format dxfId="209">
      <pivotArea field="7" type="button" dataOnly="0" labelOnly="1" outline="0" axis="axisCol" fieldPosition="0"/>
    </format>
    <format dxfId="208">
      <pivotArea type="topRight" dataOnly="0" labelOnly="1" outline="0" fieldPosition="0"/>
    </format>
    <format dxfId="207">
      <pivotArea type="origin" dataOnly="0" labelOnly="1" outline="0" fieldPosition="0"/>
    </format>
    <format dxfId="206">
      <pivotArea field="7" type="button" dataOnly="0" labelOnly="1" outline="0" axis="axisCol" fieldPosition="0"/>
    </format>
    <format dxfId="205">
      <pivotArea type="topRight" dataOnly="0" labelOnly="1" outline="0" fieldPosition="0"/>
    </format>
    <format dxfId="204">
      <pivotArea collapsedLevelsAreSubtotals="1" fieldPosition="0">
        <references count="1">
          <reference field="2" count="1">
            <x v="0"/>
          </reference>
        </references>
      </pivotArea>
    </format>
    <format dxfId="203">
      <pivotArea dataOnly="0" labelOnly="1" fieldPosition="0">
        <references count="1">
          <reference field="2" count="1">
            <x v="0"/>
          </reference>
        </references>
      </pivotArea>
    </format>
    <format dxfId="202">
      <pivotArea collapsedLevelsAreSubtotals="1" fieldPosition="0">
        <references count="1">
          <reference field="2" count="1">
            <x v="1"/>
          </reference>
        </references>
      </pivotArea>
    </format>
    <format dxfId="201">
      <pivotArea dataOnly="0" labelOnly="1" fieldPosition="0">
        <references count="1">
          <reference field="2" count="1">
            <x v="1"/>
          </reference>
        </references>
      </pivotArea>
    </format>
    <format dxfId="200">
      <pivotArea collapsedLevelsAreSubtotals="1" fieldPosition="0">
        <references count="1">
          <reference field="2" count="1">
            <x v="2"/>
          </reference>
        </references>
      </pivotArea>
    </format>
    <format dxfId="199">
      <pivotArea dataOnly="0" labelOnly="1" fieldPosition="0">
        <references count="1">
          <reference field="2" count="1">
            <x v="2"/>
          </reference>
        </references>
      </pivotArea>
    </format>
    <format dxfId="198">
      <pivotArea collapsedLevelsAreSubtotals="1" fieldPosition="0">
        <references count="1">
          <reference field="2" count="1">
            <x v="3"/>
          </reference>
        </references>
      </pivotArea>
    </format>
    <format dxfId="197">
      <pivotArea dataOnly="0" labelOnly="1" fieldPosition="0">
        <references count="1">
          <reference field="2" count="1">
            <x v="3"/>
          </reference>
        </references>
      </pivotArea>
    </format>
    <format dxfId="196">
      <pivotArea collapsedLevelsAreSubtotals="1" fieldPosition="0">
        <references count="1">
          <reference field="2" count="1">
            <x v="4"/>
          </reference>
        </references>
      </pivotArea>
    </format>
    <format dxfId="195">
      <pivotArea dataOnly="0" labelOnly="1" fieldPosition="0">
        <references count="1">
          <reference field="2" count="1">
            <x v="4"/>
          </reference>
        </references>
      </pivotArea>
    </format>
    <format dxfId="194">
      <pivotArea collapsedLevelsAreSubtotals="1" fieldPosition="0">
        <references count="1">
          <reference field="2" count="1">
            <x v="5"/>
          </reference>
        </references>
      </pivotArea>
    </format>
    <format dxfId="193">
      <pivotArea dataOnly="0" labelOnly="1" fieldPosition="0">
        <references count="1">
          <reference field="2" count="1">
            <x v="5"/>
          </reference>
        </references>
      </pivotArea>
    </format>
    <format dxfId="192">
      <pivotArea grandRow="1" outline="0" collapsedLevelsAreSubtotals="1" fieldPosition="0"/>
    </format>
    <format dxfId="191">
      <pivotArea dataOnly="0" labelOnly="1" grandRow="1" outline="0" fieldPosition="0"/>
    </format>
    <format dxfId="190">
      <pivotArea type="all" dataOnly="0" outline="0" fieldPosition="0"/>
    </format>
    <format dxfId="189">
      <pivotArea outline="0" collapsedLevelsAreSubtotals="1" fieldPosition="0"/>
    </format>
    <format dxfId="188">
      <pivotArea outline="0" collapsedLevelsAreSubtotals="1" fieldPosition="0"/>
    </format>
    <format dxfId="187">
      <pivotArea outline="0" collapsedLevelsAreSubtotals="1" fieldPosition="0"/>
    </format>
    <format dxfId="65">
      <pivotArea type="all" dataOnly="0" outline="0" fieldPosition="0"/>
    </format>
    <format dxfId="64">
      <pivotArea outline="0" collapsedLevelsAreSubtotals="1" fieldPosition="0"/>
    </format>
    <format dxfId="63">
      <pivotArea type="origin" dataOnly="0" labelOnly="1" outline="0" fieldPosition="0"/>
    </format>
    <format dxfId="62">
      <pivotArea field="7" type="button" dataOnly="0" labelOnly="1" outline="0" axis="axisCol" fieldPosition="0"/>
    </format>
    <format dxfId="61">
      <pivotArea type="topRight" dataOnly="0" labelOnly="1" outline="0" fieldPosition="0"/>
    </format>
    <format dxfId="60">
      <pivotArea field="2" type="button" dataOnly="0" labelOnly="1" outline="0" axis="axisRow" fieldPosition="0"/>
    </format>
    <format dxfId="59">
      <pivotArea dataOnly="0" labelOnly="1" fieldPosition="0">
        <references count="1">
          <reference field="2" count="0"/>
        </references>
      </pivotArea>
    </format>
    <format dxfId="58">
      <pivotArea dataOnly="0" labelOnly="1" grandRow="1" outline="0" fieldPosition="0"/>
    </format>
    <format dxfId="57">
      <pivotArea dataOnly="0" labelOnly="1" fieldPosition="0">
        <references count="2">
          <reference field="2" count="1" selected="0">
            <x v="0"/>
          </reference>
          <reference field="3" count="2">
            <x v="1"/>
            <x v="4"/>
          </reference>
        </references>
      </pivotArea>
    </format>
    <format dxfId="56">
      <pivotArea dataOnly="0" labelOnly="1" fieldPosition="0">
        <references count="2">
          <reference field="2" count="1" selected="0">
            <x v="1"/>
          </reference>
          <reference field="3" count="2">
            <x v="5"/>
            <x v="6"/>
          </reference>
        </references>
      </pivotArea>
    </format>
    <format dxfId="55">
      <pivotArea dataOnly="0" labelOnly="1" fieldPosition="0">
        <references count="2">
          <reference field="2" count="1" selected="0">
            <x v="2"/>
          </reference>
          <reference field="3" count="3">
            <x v="3"/>
            <x v="7"/>
            <x v="12"/>
          </reference>
        </references>
      </pivotArea>
    </format>
    <format dxfId="54">
      <pivotArea dataOnly="0" labelOnly="1" fieldPosition="0">
        <references count="2">
          <reference field="2" count="1" selected="0">
            <x v="3"/>
          </reference>
          <reference field="3" count="2">
            <x v="2"/>
            <x v="11"/>
          </reference>
        </references>
      </pivotArea>
    </format>
    <format dxfId="53">
      <pivotArea dataOnly="0" labelOnly="1" fieldPosition="0">
        <references count="2">
          <reference field="2" count="1" selected="0">
            <x v="4"/>
          </reference>
          <reference field="3" count="2">
            <x v="8"/>
            <x v="9"/>
          </reference>
        </references>
      </pivotArea>
    </format>
    <format dxfId="52">
      <pivotArea dataOnly="0" labelOnly="1" fieldPosition="0">
        <references count="2">
          <reference field="2" count="1" selected="0">
            <x v="5"/>
          </reference>
          <reference field="3" count="2">
            <x v="0"/>
            <x v="10"/>
          </reference>
        </references>
      </pivotArea>
    </format>
    <format dxfId="51">
      <pivotArea dataOnly="0" labelOnly="1" fieldPosition="0">
        <references count="1">
          <reference field="7" count="0"/>
        </references>
      </pivotArea>
    </format>
    <format dxfId="50">
      <pivotArea dataOnly="0" labelOnly="1" grandCol="1" outline="0" fieldPosition="0"/>
    </format>
  </formats>
  <chartFormats count="6">
    <chartFormat chart="1" format="0" series="1">
      <pivotArea type="data" outline="0" fieldPosition="0">
        <references count="2">
          <reference field="4294967294" count="1" selected="0">
            <x v="0"/>
          </reference>
          <reference field="7" count="1" selected="0">
            <x v="0"/>
          </reference>
        </references>
      </pivotArea>
    </chartFormat>
    <chartFormat chart="1" format="1" series="1">
      <pivotArea type="data" outline="0" fieldPosition="0">
        <references count="2">
          <reference field="4294967294" count="1" selected="0">
            <x v="0"/>
          </reference>
          <reference field="7" count="1" selected="0">
            <x v="1"/>
          </reference>
        </references>
      </pivotArea>
    </chartFormat>
    <chartFormat chart="1" format="2" series="1">
      <pivotArea type="data" outline="0" fieldPosition="0">
        <references count="2">
          <reference field="4294967294" count="1" selected="0">
            <x v="0"/>
          </reference>
          <reference field="7" count="1" selected="0">
            <x v="2"/>
          </reference>
        </references>
      </pivotArea>
    </chartFormat>
    <chartFormat chart="4" format="0" series="1">
      <pivotArea type="data" outline="0" fieldPosition="0">
        <references count="2">
          <reference field="4294967294" count="1" selected="0">
            <x v="0"/>
          </reference>
          <reference field="7" count="1" selected="0">
            <x v="0"/>
          </reference>
        </references>
      </pivotArea>
    </chartFormat>
    <chartFormat chart="4" format="1" series="1">
      <pivotArea type="data" outline="0" fieldPosition="0">
        <references count="2">
          <reference field="4294967294" count="1" selected="0">
            <x v="0"/>
          </reference>
          <reference field="7" count="1" selected="0">
            <x v="1"/>
          </reference>
        </references>
      </pivotArea>
    </chartFormat>
    <chartFormat chart="4" format="2" series="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516B2E6-BFBC-4CCA-9A3D-AD9A5F5AF7CF}"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Department/Job title">
  <location ref="C3:D23" firstHeaderRow="1" firstDataRow="1" firstDataCol="1"/>
  <pivotFields count="18">
    <pivotField showAll="0"/>
    <pivotField showAll="0"/>
    <pivotField axis="axisRow" showAll="0">
      <items count="7">
        <item x="1"/>
        <item x="4"/>
        <item x="3"/>
        <item x="0"/>
        <item x="5"/>
        <item x="2"/>
        <item t="default"/>
      </items>
    </pivotField>
    <pivotField axis="axisRow" showAll="0">
      <items count="14">
        <item x="5"/>
        <item x="10"/>
        <item x="0"/>
        <item x="8"/>
        <item x="1"/>
        <item x="4"/>
        <item x="9"/>
        <item x="12"/>
        <item x="11"/>
        <item x="7"/>
        <item x="2"/>
        <item x="6"/>
        <item x="3"/>
        <item t="default"/>
      </items>
    </pivotField>
    <pivotField numFmtId="164" showAll="0">
      <items count="97">
        <item x="45"/>
        <item x="9"/>
        <item x="31"/>
        <item x="32"/>
        <item x="82"/>
        <item x="33"/>
        <item x="70"/>
        <item x="69"/>
        <item x="13"/>
        <item x="23"/>
        <item x="77"/>
        <item x="76"/>
        <item x="34"/>
        <item x="16"/>
        <item x="46"/>
        <item x="50"/>
        <item x="18"/>
        <item x="11"/>
        <item x="60"/>
        <item x="75"/>
        <item x="29"/>
        <item x="6"/>
        <item x="41"/>
        <item x="15"/>
        <item x="61"/>
        <item x="22"/>
        <item x="0"/>
        <item x="90"/>
        <item x="38"/>
        <item x="27"/>
        <item x="14"/>
        <item x="3"/>
        <item x="54"/>
        <item x="10"/>
        <item x="88"/>
        <item x="72"/>
        <item x="81"/>
        <item x="1"/>
        <item x="92"/>
        <item x="87"/>
        <item x="4"/>
        <item x="40"/>
        <item x="5"/>
        <item x="2"/>
        <item x="52"/>
        <item x="26"/>
        <item x="89"/>
        <item x="24"/>
        <item x="93"/>
        <item x="85"/>
        <item x="66"/>
        <item x="44"/>
        <item x="36"/>
        <item x="19"/>
        <item x="42"/>
        <item x="17"/>
        <item x="20"/>
        <item x="78"/>
        <item x="35"/>
        <item x="48"/>
        <item x="62"/>
        <item x="58"/>
        <item x="71"/>
        <item x="55"/>
        <item x="28"/>
        <item x="37"/>
        <item x="94"/>
        <item x="56"/>
        <item x="53"/>
        <item x="83"/>
        <item x="51"/>
        <item x="21"/>
        <item x="91"/>
        <item x="86"/>
        <item x="39"/>
        <item x="25"/>
        <item x="79"/>
        <item x="84"/>
        <item x="65"/>
        <item x="68"/>
        <item x="7"/>
        <item x="73"/>
        <item x="95"/>
        <item x="59"/>
        <item x="49"/>
        <item x="63"/>
        <item x="80"/>
        <item x="67"/>
        <item x="12"/>
        <item x="43"/>
        <item x="74"/>
        <item x="57"/>
        <item x="64"/>
        <item x="30"/>
        <item x="8"/>
        <item x="47"/>
        <item t="default"/>
      </items>
    </pivotField>
    <pivotField showAll="0"/>
    <pivotField showAll="0"/>
    <pivotField showAll="0"/>
    <pivotField showAll="0"/>
    <pivotField showAll="0"/>
    <pivotField showAll="0"/>
    <pivotField dataField="1" numFmtId="165"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3">
        <item x="0"/>
        <item x="1"/>
        <item x="2"/>
        <item x="3"/>
        <item x="4"/>
        <item x="5"/>
        <item x="6"/>
        <item x="7"/>
        <item x="8"/>
        <item x="9"/>
        <item x="10"/>
        <item x="11"/>
        <item t="default"/>
      </items>
    </pivotField>
  </pivotFields>
  <rowFields count="2">
    <field x="2"/>
    <field x="3"/>
  </rowFields>
  <rowItems count="20">
    <i>
      <x/>
    </i>
    <i r="1">
      <x v="1"/>
    </i>
    <i r="1">
      <x v="4"/>
    </i>
    <i>
      <x v="1"/>
    </i>
    <i r="1">
      <x v="5"/>
    </i>
    <i r="1">
      <x v="6"/>
    </i>
    <i>
      <x v="2"/>
    </i>
    <i r="1">
      <x v="3"/>
    </i>
    <i r="1">
      <x v="7"/>
    </i>
    <i r="1">
      <x v="12"/>
    </i>
    <i>
      <x v="3"/>
    </i>
    <i r="1">
      <x v="2"/>
    </i>
    <i r="1">
      <x v="11"/>
    </i>
    <i>
      <x v="4"/>
    </i>
    <i r="1">
      <x v="8"/>
    </i>
    <i r="1">
      <x v="9"/>
    </i>
    <i>
      <x v="5"/>
    </i>
    <i r="1">
      <x/>
    </i>
    <i r="1">
      <x v="10"/>
    </i>
    <i t="grand">
      <x/>
    </i>
  </rowItems>
  <colItems count="1">
    <i/>
  </colItems>
  <dataFields count="1">
    <dataField name="Average of Salary" fld="11" subtotal="average" baseField="2" baseItem="0" numFmtId="165"/>
  </dataFields>
  <formats count="36">
    <format dxfId="262">
      <pivotArea type="all" dataOnly="0" outline="0" fieldPosition="0"/>
    </format>
    <format dxfId="261">
      <pivotArea outline="0" collapsedLevelsAreSubtotals="1" fieldPosition="0"/>
    </format>
    <format dxfId="260">
      <pivotArea field="2" type="button" dataOnly="0" labelOnly="1" outline="0" axis="axisRow" fieldPosition="0"/>
    </format>
    <format dxfId="259">
      <pivotArea dataOnly="0" labelOnly="1" fieldPosition="0">
        <references count="1">
          <reference field="2" count="0"/>
        </references>
      </pivotArea>
    </format>
    <format dxfId="258">
      <pivotArea dataOnly="0" labelOnly="1" grandRow="1" outline="0" fieldPosition="0"/>
    </format>
    <format dxfId="257">
      <pivotArea dataOnly="0" labelOnly="1" fieldPosition="0">
        <references count="2">
          <reference field="2" count="1" selected="0">
            <x v="0"/>
          </reference>
          <reference field="3" count="2">
            <x v="1"/>
            <x v="4"/>
          </reference>
        </references>
      </pivotArea>
    </format>
    <format dxfId="256">
      <pivotArea dataOnly="0" labelOnly="1" fieldPosition="0">
        <references count="2">
          <reference field="2" count="1" selected="0">
            <x v="1"/>
          </reference>
          <reference field="3" count="2">
            <x v="5"/>
            <x v="6"/>
          </reference>
        </references>
      </pivotArea>
    </format>
    <format dxfId="255">
      <pivotArea dataOnly="0" labelOnly="1" fieldPosition="0">
        <references count="2">
          <reference field="2" count="1" selected="0">
            <x v="2"/>
          </reference>
          <reference field="3" count="3">
            <x v="3"/>
            <x v="7"/>
            <x v="12"/>
          </reference>
        </references>
      </pivotArea>
    </format>
    <format dxfId="254">
      <pivotArea dataOnly="0" labelOnly="1" fieldPosition="0">
        <references count="2">
          <reference field="2" count="1" selected="0">
            <x v="3"/>
          </reference>
          <reference field="3" count="2">
            <x v="2"/>
            <x v="11"/>
          </reference>
        </references>
      </pivotArea>
    </format>
    <format dxfId="253">
      <pivotArea dataOnly="0" labelOnly="1" fieldPosition="0">
        <references count="2">
          <reference field="2" count="1" selected="0">
            <x v="4"/>
          </reference>
          <reference field="3" count="2">
            <x v="8"/>
            <x v="9"/>
          </reference>
        </references>
      </pivotArea>
    </format>
    <format dxfId="252">
      <pivotArea dataOnly="0" labelOnly="1" fieldPosition="0">
        <references count="2">
          <reference field="2" count="1" selected="0">
            <x v="5"/>
          </reference>
          <reference field="3" count="2">
            <x v="0"/>
            <x v="10"/>
          </reference>
        </references>
      </pivotArea>
    </format>
    <format dxfId="251">
      <pivotArea dataOnly="0" labelOnly="1" outline="0" axis="axisValues" fieldPosition="0"/>
    </format>
    <format dxfId="250">
      <pivotArea type="all" dataOnly="0" outline="0" fieldPosition="0"/>
    </format>
    <format dxfId="249">
      <pivotArea outline="0" collapsedLevelsAreSubtotals="1" fieldPosition="0"/>
    </format>
    <format dxfId="248">
      <pivotArea field="2" type="button" dataOnly="0" labelOnly="1" outline="0" axis="axisRow" fieldPosition="0"/>
    </format>
    <format dxfId="247">
      <pivotArea dataOnly="0" labelOnly="1" fieldPosition="0">
        <references count="1">
          <reference field="2" count="0"/>
        </references>
      </pivotArea>
    </format>
    <format dxfId="246">
      <pivotArea dataOnly="0" labelOnly="1" grandRow="1" outline="0" fieldPosition="0"/>
    </format>
    <format dxfId="245">
      <pivotArea dataOnly="0" labelOnly="1" fieldPosition="0">
        <references count="2">
          <reference field="2" count="1" selected="0">
            <x v="0"/>
          </reference>
          <reference field="3" count="2">
            <x v="1"/>
            <x v="4"/>
          </reference>
        </references>
      </pivotArea>
    </format>
    <format dxfId="244">
      <pivotArea dataOnly="0" labelOnly="1" fieldPosition="0">
        <references count="2">
          <reference field="2" count="1" selected="0">
            <x v="1"/>
          </reference>
          <reference field="3" count="2">
            <x v="5"/>
            <x v="6"/>
          </reference>
        </references>
      </pivotArea>
    </format>
    <format dxfId="243">
      <pivotArea dataOnly="0" labelOnly="1" fieldPosition="0">
        <references count="2">
          <reference field="2" count="1" selected="0">
            <x v="2"/>
          </reference>
          <reference field="3" count="3">
            <x v="3"/>
            <x v="7"/>
            <x v="12"/>
          </reference>
        </references>
      </pivotArea>
    </format>
    <format dxfId="242">
      <pivotArea dataOnly="0" labelOnly="1" fieldPosition="0">
        <references count="2">
          <reference field="2" count="1" selected="0">
            <x v="3"/>
          </reference>
          <reference field="3" count="2">
            <x v="2"/>
            <x v="11"/>
          </reference>
        </references>
      </pivotArea>
    </format>
    <format dxfId="241">
      <pivotArea dataOnly="0" labelOnly="1" fieldPosition="0">
        <references count="2">
          <reference field="2" count="1" selected="0">
            <x v="4"/>
          </reference>
          <reference field="3" count="2">
            <x v="8"/>
            <x v="9"/>
          </reference>
        </references>
      </pivotArea>
    </format>
    <format dxfId="240">
      <pivotArea dataOnly="0" labelOnly="1" fieldPosition="0">
        <references count="2">
          <reference field="2" count="1" selected="0">
            <x v="5"/>
          </reference>
          <reference field="3" count="2">
            <x v="0"/>
            <x v="10"/>
          </reference>
        </references>
      </pivotArea>
    </format>
    <format dxfId="239">
      <pivotArea dataOnly="0" labelOnly="1" outline="0" axis="axisValues" fieldPosition="0"/>
    </format>
    <format dxfId="49">
      <pivotArea type="all" dataOnly="0" outline="0" fieldPosition="0"/>
    </format>
    <format dxfId="48">
      <pivotArea outline="0" collapsedLevelsAreSubtotals="1" fieldPosition="0"/>
    </format>
    <format dxfId="47">
      <pivotArea field="2" type="button" dataOnly="0" labelOnly="1" outline="0" axis="axisRow" fieldPosition="0"/>
    </format>
    <format dxfId="46">
      <pivotArea dataOnly="0" labelOnly="1" fieldPosition="0">
        <references count="1">
          <reference field="2" count="0"/>
        </references>
      </pivotArea>
    </format>
    <format dxfId="45">
      <pivotArea dataOnly="0" labelOnly="1" grandRow="1" outline="0" fieldPosition="0"/>
    </format>
    <format dxfId="44">
      <pivotArea dataOnly="0" labelOnly="1" fieldPosition="0">
        <references count="2">
          <reference field="2" count="1" selected="0">
            <x v="0"/>
          </reference>
          <reference field="3" count="2">
            <x v="1"/>
            <x v="4"/>
          </reference>
        </references>
      </pivotArea>
    </format>
    <format dxfId="43">
      <pivotArea dataOnly="0" labelOnly="1" fieldPosition="0">
        <references count="2">
          <reference field="2" count="1" selected="0">
            <x v="1"/>
          </reference>
          <reference field="3" count="2">
            <x v="5"/>
            <x v="6"/>
          </reference>
        </references>
      </pivotArea>
    </format>
    <format dxfId="42">
      <pivotArea dataOnly="0" labelOnly="1" fieldPosition="0">
        <references count="2">
          <reference field="2" count="1" selected="0">
            <x v="2"/>
          </reference>
          <reference field="3" count="3">
            <x v="3"/>
            <x v="7"/>
            <x v="12"/>
          </reference>
        </references>
      </pivotArea>
    </format>
    <format dxfId="41">
      <pivotArea dataOnly="0" labelOnly="1" fieldPosition="0">
        <references count="2">
          <reference field="2" count="1" selected="0">
            <x v="3"/>
          </reference>
          <reference field="3" count="2">
            <x v="2"/>
            <x v="11"/>
          </reference>
        </references>
      </pivotArea>
    </format>
    <format dxfId="40">
      <pivotArea dataOnly="0" labelOnly="1" fieldPosition="0">
        <references count="2">
          <reference field="2" count="1" selected="0">
            <x v="4"/>
          </reference>
          <reference field="3" count="2">
            <x v="8"/>
            <x v="9"/>
          </reference>
        </references>
      </pivotArea>
    </format>
    <format dxfId="39">
      <pivotArea dataOnly="0" labelOnly="1" fieldPosition="0">
        <references count="2">
          <reference field="2" count="1" selected="0">
            <x v="5"/>
          </reference>
          <reference field="3" count="2">
            <x v="0"/>
            <x v="10"/>
          </reference>
        </references>
      </pivotArea>
    </format>
    <format dxfId="38">
      <pivotArea dataOnly="0" labelOnly="1" outline="0" axis="axisValues" fieldPosition="0"/>
    </format>
  </formats>
  <conditionalFormats count="1">
    <conditionalFormat priority="10">
      <pivotAreas count="6">
        <pivotArea type="data" collapsedLevelsAreSubtotals="1" fieldPosition="0">
          <references count="3">
            <reference field="4294967294" count="1" selected="0">
              <x v="0"/>
            </reference>
            <reference field="2" count="1" selected="0">
              <x v="0"/>
            </reference>
            <reference field="3" count="2">
              <x v="1"/>
              <x v="4"/>
            </reference>
          </references>
        </pivotArea>
        <pivotArea type="data" collapsedLevelsAreSubtotals="1" fieldPosition="0">
          <references count="3">
            <reference field="4294967294" count="1" selected="0">
              <x v="0"/>
            </reference>
            <reference field="2" count="1" selected="0">
              <x v="1"/>
            </reference>
            <reference field="3" count="2">
              <x v="5"/>
              <x v="6"/>
            </reference>
          </references>
        </pivotArea>
        <pivotArea type="data" collapsedLevelsAreSubtotals="1" fieldPosition="0">
          <references count="3">
            <reference field="4294967294" count="1" selected="0">
              <x v="0"/>
            </reference>
            <reference field="2" count="1" selected="0">
              <x v="2"/>
            </reference>
            <reference field="3" count="3">
              <x v="3"/>
              <x v="7"/>
              <x v="12"/>
            </reference>
          </references>
        </pivotArea>
        <pivotArea type="data" collapsedLevelsAreSubtotals="1" fieldPosition="0">
          <references count="3">
            <reference field="4294967294" count="1" selected="0">
              <x v="0"/>
            </reference>
            <reference field="2" count="1" selected="0">
              <x v="3"/>
            </reference>
            <reference field="3" count="2">
              <x v="2"/>
              <x v="11"/>
            </reference>
          </references>
        </pivotArea>
        <pivotArea type="data" collapsedLevelsAreSubtotals="1" fieldPosition="0">
          <references count="3">
            <reference field="4294967294" count="1" selected="0">
              <x v="0"/>
            </reference>
            <reference field="2" count="1" selected="0">
              <x v="4"/>
            </reference>
            <reference field="3" count="2">
              <x v="8"/>
              <x v="9"/>
            </reference>
          </references>
        </pivotArea>
        <pivotArea type="data" collapsedLevelsAreSubtotals="1" fieldPosition="0">
          <references count="3">
            <reference field="4294967294" count="1" selected="0">
              <x v="0"/>
            </reference>
            <reference field="2" count="1" selected="0">
              <x v="5"/>
            </reference>
            <reference field="3" count="2">
              <x v="0"/>
              <x v="10"/>
            </reference>
          </references>
        </pivotArea>
      </pivotAreas>
    </conditionalFormat>
  </conditionalFormats>
  <chartFormats count="11">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2" count="1" selected="0">
            <x v="0"/>
          </reference>
          <reference field="3" count="1" selected="0">
            <x v="4"/>
          </reference>
        </references>
      </pivotArea>
    </chartFormat>
    <chartFormat chart="0" format="2">
      <pivotArea type="data" outline="0" fieldPosition="0">
        <references count="3">
          <reference field="4294967294" count="1" selected="0">
            <x v="0"/>
          </reference>
          <reference field="2" count="1" selected="0">
            <x v="0"/>
          </reference>
          <reference field="3" count="1" selected="0">
            <x v="1"/>
          </reference>
        </references>
      </pivotArea>
    </chartFormat>
    <chartFormat chart="0" format="3">
      <pivotArea type="data" outline="0" fieldPosition="0">
        <references count="3">
          <reference field="4294967294" count="1" selected="0">
            <x v="0"/>
          </reference>
          <reference field="2" count="1" selected="0">
            <x v="1"/>
          </reference>
          <reference field="3" count="1" selected="0">
            <x v="6"/>
          </reference>
        </references>
      </pivotArea>
    </chartFormat>
    <chartFormat chart="0" format="4">
      <pivotArea type="data" outline="0" fieldPosition="0">
        <references count="3">
          <reference field="4294967294" count="1" selected="0">
            <x v="0"/>
          </reference>
          <reference field="2" count="1" selected="0">
            <x v="1"/>
          </reference>
          <reference field="3" count="1" selected="0">
            <x v="5"/>
          </reference>
        </references>
      </pivotArea>
    </chartFormat>
    <chartFormat chart="0" format="5">
      <pivotArea type="data" outline="0" fieldPosition="0">
        <references count="3">
          <reference field="4294967294" count="1" selected="0">
            <x v="0"/>
          </reference>
          <reference field="2" count="1" selected="0">
            <x v="3"/>
          </reference>
          <reference field="3" count="1" selected="0">
            <x v="11"/>
          </reference>
        </references>
      </pivotArea>
    </chartFormat>
    <chartFormat chart="0" format="6">
      <pivotArea type="data" outline="0" fieldPosition="0">
        <references count="3">
          <reference field="4294967294" count="1" selected="0">
            <x v="0"/>
          </reference>
          <reference field="2" count="1" selected="0">
            <x v="3"/>
          </reference>
          <reference field="3" count="1" selected="0">
            <x v="2"/>
          </reference>
        </references>
      </pivotArea>
    </chartFormat>
    <chartFormat chart="0" format="7">
      <pivotArea type="data" outline="0" fieldPosition="0">
        <references count="3">
          <reference field="4294967294" count="1" selected="0">
            <x v="0"/>
          </reference>
          <reference field="2" count="1" selected="0">
            <x v="4"/>
          </reference>
          <reference field="3" count="1" selected="0">
            <x v="9"/>
          </reference>
        </references>
      </pivotArea>
    </chartFormat>
    <chartFormat chart="0" format="8">
      <pivotArea type="data" outline="0" fieldPosition="0">
        <references count="3">
          <reference field="4294967294" count="1" selected="0">
            <x v="0"/>
          </reference>
          <reference field="2" count="1" selected="0">
            <x v="4"/>
          </reference>
          <reference field="3" count="1" selected="0">
            <x v="8"/>
          </reference>
        </references>
      </pivotArea>
    </chartFormat>
    <chartFormat chart="0" format="9">
      <pivotArea type="data" outline="0" fieldPosition="0">
        <references count="3">
          <reference field="4294967294" count="1" selected="0">
            <x v="0"/>
          </reference>
          <reference field="2" count="1" selected="0">
            <x v="5"/>
          </reference>
          <reference field="3" count="1" selected="0">
            <x v="10"/>
          </reference>
        </references>
      </pivotArea>
    </chartFormat>
    <chartFormat chart="0" format="10">
      <pivotArea type="data" outline="0" fieldPosition="0">
        <references count="3">
          <reference field="4294967294" count="1" selected="0">
            <x v="0"/>
          </reference>
          <reference field="2" count="1" selected="0">
            <x v="5"/>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38951A-D853-4932-B65A-4BAC7A580F89}" name="PivotTable1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Age Group">
  <location ref="C88:D94" firstHeaderRow="1" firstDataRow="1" firstDataCol="1"/>
  <pivotFields count="18">
    <pivotField showAll="0"/>
    <pivotField showAll="0"/>
    <pivotField showAll="0"/>
    <pivotField showAll="0"/>
    <pivotField numFmtId="164" showAll="0"/>
    <pivotField showAll="0"/>
    <pivotField showAll="0"/>
    <pivotField showAll="0"/>
    <pivotField showAll="0"/>
    <pivotField showAll="0"/>
    <pivotField showAll="0"/>
    <pivotField numFmtId="165" showAll="0"/>
    <pivotField showAll="0"/>
    <pivotField dataField="1" showAll="0"/>
    <pivotField showAll="0"/>
    <pivotField showAll="0"/>
    <pivotField showAll="0"/>
    <pivotField axis="axisRow" showAll="0">
      <items count="6">
        <item x="2"/>
        <item x="4"/>
        <item x="0"/>
        <item x="3"/>
        <item x="1"/>
        <item t="default"/>
      </items>
    </pivotField>
  </pivotFields>
  <rowFields count="1">
    <field x="17"/>
  </rowFields>
  <rowItems count="6">
    <i>
      <x/>
    </i>
    <i>
      <x v="1"/>
    </i>
    <i>
      <x v="2"/>
    </i>
    <i>
      <x v="3"/>
    </i>
    <i>
      <x v="4"/>
    </i>
    <i t="grand">
      <x/>
    </i>
  </rowItems>
  <colItems count="1">
    <i/>
  </colItems>
  <dataFields count="1">
    <dataField name="Sum of Sick Days YTD" fld="13" baseField="17" baseItem="1"/>
  </dataFields>
  <formats count="25">
    <format dxfId="281">
      <pivotArea collapsedLevelsAreSubtotals="1" fieldPosition="0">
        <references count="1">
          <reference field="17" count="0"/>
        </references>
      </pivotArea>
    </format>
    <format dxfId="280">
      <pivotArea type="all" dataOnly="0" outline="0" fieldPosition="0"/>
    </format>
    <format dxfId="279">
      <pivotArea outline="0" collapsedLevelsAreSubtotals="1" fieldPosition="0"/>
    </format>
    <format dxfId="278">
      <pivotArea field="17" type="button" dataOnly="0" labelOnly="1" outline="0" axis="axisRow" fieldPosition="0"/>
    </format>
    <format dxfId="277">
      <pivotArea dataOnly="0" labelOnly="1" fieldPosition="0">
        <references count="1">
          <reference field="17" count="0"/>
        </references>
      </pivotArea>
    </format>
    <format dxfId="276">
      <pivotArea dataOnly="0" labelOnly="1" grandRow="1" outline="0" fieldPosition="0"/>
    </format>
    <format dxfId="275">
      <pivotArea dataOnly="0" labelOnly="1" outline="0" axis="axisValues" fieldPosition="0"/>
    </format>
    <format dxfId="274">
      <pivotArea type="all" dataOnly="0" outline="0" fieldPosition="0"/>
    </format>
    <format dxfId="273">
      <pivotArea outline="0" collapsedLevelsAreSubtotals="1" fieldPosition="0"/>
    </format>
    <format dxfId="272">
      <pivotArea field="17" type="button" dataOnly="0" labelOnly="1" outline="0" axis="axisRow" fieldPosition="0"/>
    </format>
    <format dxfId="271">
      <pivotArea dataOnly="0" labelOnly="1" fieldPosition="0">
        <references count="1">
          <reference field="17" count="0"/>
        </references>
      </pivotArea>
    </format>
    <format dxfId="270">
      <pivotArea dataOnly="0" labelOnly="1" grandRow="1" outline="0" fieldPosition="0"/>
    </format>
    <format dxfId="269">
      <pivotArea dataOnly="0" labelOnly="1" outline="0" axis="axisValues" fieldPosition="0"/>
    </format>
    <format dxfId="268">
      <pivotArea collapsedLevelsAreSubtotals="1" fieldPosition="0">
        <references count="1">
          <reference field="17" count="0"/>
        </references>
      </pivotArea>
    </format>
    <format dxfId="267">
      <pivotArea dataOnly="0" labelOnly="1" fieldPosition="0">
        <references count="1">
          <reference field="17" count="0"/>
        </references>
      </pivotArea>
    </format>
    <format dxfId="266">
      <pivotArea collapsedLevelsAreSubtotals="1" fieldPosition="0">
        <references count="1">
          <reference field="17" count="0"/>
        </references>
      </pivotArea>
    </format>
    <format dxfId="265">
      <pivotArea dataOnly="0" labelOnly="1" fieldPosition="0">
        <references count="1">
          <reference field="17" count="0"/>
        </references>
      </pivotArea>
    </format>
    <format dxfId="264">
      <pivotArea grandRow="1" outline="0" collapsedLevelsAreSubtotals="1" fieldPosition="0"/>
    </format>
    <format dxfId="263">
      <pivotArea grandRow="1" outline="0" collapsedLevelsAreSubtotals="1" fieldPosition="0"/>
    </format>
    <format dxfId="37">
      <pivotArea type="all" dataOnly="0" outline="0" fieldPosition="0"/>
    </format>
    <format dxfId="36">
      <pivotArea outline="0" collapsedLevelsAreSubtotals="1" fieldPosition="0"/>
    </format>
    <format dxfId="35">
      <pivotArea field="17" type="button" dataOnly="0" labelOnly="1" outline="0" axis="axisRow" fieldPosition="0"/>
    </format>
    <format dxfId="34">
      <pivotArea dataOnly="0" labelOnly="1" fieldPosition="0">
        <references count="1">
          <reference field="17" count="0"/>
        </references>
      </pivotArea>
    </format>
    <format dxfId="33">
      <pivotArea dataOnly="0" labelOnly="1" grandRow="1" outline="0" fieldPosition="0"/>
    </format>
    <format dxfId="32">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7" count="1" selected="0">
            <x v="3"/>
          </reference>
        </references>
      </pivotArea>
    </chartFormat>
    <chartFormat chart="0" format="1">
      <pivotArea type="data" outline="0" fieldPosition="0">
        <references count="2">
          <reference field="4294967294" count="1" selected="0">
            <x v="0"/>
          </reference>
          <reference field="17" count="1" selected="0">
            <x v="4"/>
          </reference>
        </references>
      </pivotArea>
    </chartFormat>
    <chartFormat chart="0" format="2">
      <pivotArea type="data" outline="0" fieldPosition="0">
        <references count="2">
          <reference field="4294967294" count="1" selected="0">
            <x v="0"/>
          </reference>
          <reference field="17" count="1" selected="0">
            <x v="2"/>
          </reference>
        </references>
      </pivotArea>
    </chartFormat>
    <chartFormat chart="0" format="3">
      <pivotArea type="data" outline="0" fieldPosition="0">
        <references count="2">
          <reference field="4294967294" count="1" selected="0">
            <x v="0"/>
          </reference>
          <reference field="17" count="1" selected="0">
            <x v="1"/>
          </reference>
        </references>
      </pivotArea>
    </chartFormat>
    <chartFormat chart="0" format="4">
      <pivotArea type="data" outline="0" fieldPosition="0">
        <references count="2">
          <reference field="4294967294" count="1" selected="0">
            <x v="0"/>
          </reference>
          <reference field="1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2967AAC-8CA3-488E-A3EE-5912FBF2CC7B}" sourceName="Department">
  <pivotTables>
    <pivotTable tabId="4" name="PivotTable1"/>
    <pivotTable tabId="4" name="PivotTable11"/>
    <pivotTable tabId="4" name="PivotTable12"/>
  </pivotTables>
  <data>
    <tabular pivotCacheId="868767260">
      <items count="6">
        <i x="1" s="1"/>
        <i x="4" s="1"/>
        <i x="3" s="1"/>
        <i x="0" s="1"/>
        <i x="5"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1E7C36CC-9F24-47F8-8755-B8E58690AD7D}" sourceName="Department">
  <pivotTables>
    <pivotTable tabId="4" name="PivotTable2"/>
    <pivotTable tabId="4" name="PivotTable3"/>
    <pivotTable tabId="4" name="PivotTable39"/>
    <pivotTable tabId="4" name="PivotTable5"/>
    <pivotTable tabId="4" name="PivotTable6"/>
    <pivotTable tabId="4" name="PivotTable7"/>
  </pivotTables>
  <data>
    <tabular pivotCacheId="1753881322">
      <items count="6">
        <i x="1" s="1"/>
        <i x="4" s="1"/>
        <i x="3" s="1"/>
        <i x="0" s="1"/>
        <i x="5"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Title" xr10:uid="{51CA424D-049F-43DD-B5A2-EAC49C944D11}" sourceName="Job Title">
  <pivotTables>
    <pivotTable tabId="4" name="PivotTable2"/>
    <pivotTable tabId="4" name="PivotTable3"/>
    <pivotTable tabId="4" name="PivotTable39"/>
    <pivotTable tabId="4" name="PivotTable5"/>
    <pivotTable tabId="4" name="PivotTable6"/>
    <pivotTable tabId="4" name="PivotTable7"/>
  </pivotTables>
  <data>
    <tabular pivotCacheId="1753881322">
      <items count="13">
        <i x="5" s="1"/>
        <i x="10" s="1"/>
        <i x="0" s="1"/>
        <i x="8" s="1"/>
        <i x="1" s="1"/>
        <i x="4" s="1"/>
        <i x="9" s="1"/>
        <i x="12" s="1"/>
        <i x="11" s="1"/>
        <i x="7" s="1"/>
        <i x="2" s="1"/>
        <i x="6"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B7863CF-BDCC-4F34-96BF-EA98B24BE5D1}" sourceName="Gender">
  <pivotTables>
    <pivotTable tabId="4" name="PivotTable2"/>
    <pivotTable tabId="4" name="PivotTable3"/>
    <pivotTable tabId="4" name="PivotTable39"/>
    <pivotTable tabId="4" name="PivotTable5"/>
    <pivotTable tabId="4" name="PivotTable6"/>
    <pivotTable tabId="4" name="PivotTable7"/>
  </pivotTables>
  <data>
    <tabular pivotCacheId="1753881322">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2" xr10:uid="{791D4301-CCB8-4827-916F-A5E8A9290760}" sourceName="Department">
  <pivotTables>
    <pivotTable tabId="4" name="PivotTable19"/>
  </pivotTables>
  <data>
    <tabular pivotCacheId="1324837251">
      <items count="6">
        <i x="1" s="1"/>
        <i x="4" s="1"/>
        <i x="3" s="1"/>
        <i x="0" s="1"/>
        <i x="5"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06C7BB84-BBE4-4106-A0FE-A99894B00053}" cache="Slicer_Department" caption="Department" rowHeight="257175"/>
  <slicer name="Department 2" xr10:uid="{A423ABAF-DF19-4F70-BDDC-2597185F794D}" cache="Slicer_Department2" caption="Department"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56C483F8-45D8-4A08-8E7B-00AD06F26845}" cache="Slicer_Department1" caption="Department" rowHeight="257175"/>
  <slicer name="Job Title" xr10:uid="{F593BF4D-C286-4807-88CE-88EEAB108218}" cache="Slicer_Job_Title" caption="Job Title" rowHeight="257175"/>
  <slicer name="Gender" xr10:uid="{A76870BD-2939-4024-A0AC-4551180C3923}" cache="Slicer_Gender" caption="Gender"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348EF-D4D5-470A-A876-EE3EB376784B}">
  <dimension ref="A1:B17"/>
  <sheetViews>
    <sheetView workbookViewId="0">
      <selection activeCell="E11" sqref="E11"/>
    </sheetView>
  </sheetViews>
  <sheetFormatPr defaultRowHeight="15" x14ac:dyDescent="0.25"/>
  <cols>
    <col min="1" max="1" width="75.28515625" customWidth="1"/>
    <col min="2" max="2" width="70.140625" bestFit="1" customWidth="1"/>
  </cols>
  <sheetData>
    <row r="1" spans="1:2" ht="72" customHeight="1" x14ac:dyDescent="0.25">
      <c r="A1" s="76" t="s">
        <v>320</v>
      </c>
      <c r="B1" s="77"/>
    </row>
    <row r="2" spans="1:2" x14ac:dyDescent="0.25">
      <c r="A2" s="95" t="s">
        <v>334</v>
      </c>
      <c r="B2" s="96"/>
    </row>
    <row r="3" spans="1:2" x14ac:dyDescent="0.25">
      <c r="A3" s="6" t="s">
        <v>318</v>
      </c>
      <c r="B3" s="6" t="s">
        <v>319</v>
      </c>
    </row>
    <row r="4" spans="1:2" ht="60" customHeight="1" x14ac:dyDescent="0.25">
      <c r="A4" s="78" t="s">
        <v>247</v>
      </c>
      <c r="B4" s="79" t="s">
        <v>322</v>
      </c>
    </row>
    <row r="5" spans="1:2" ht="60" customHeight="1" x14ac:dyDescent="0.25">
      <c r="A5" s="79" t="s">
        <v>250</v>
      </c>
      <c r="B5" s="79" t="s">
        <v>321</v>
      </c>
    </row>
    <row r="6" spans="1:2" ht="135" x14ac:dyDescent="0.25">
      <c r="A6" s="79" t="s">
        <v>254</v>
      </c>
      <c r="B6" s="79" t="s">
        <v>323</v>
      </c>
    </row>
    <row r="7" spans="1:2" ht="60" customHeight="1" x14ac:dyDescent="0.25">
      <c r="A7" s="79" t="s">
        <v>324</v>
      </c>
      <c r="B7" s="79" t="s">
        <v>331</v>
      </c>
    </row>
    <row r="8" spans="1:2" ht="60" customHeight="1" x14ac:dyDescent="0.25">
      <c r="A8" s="79" t="s">
        <v>325</v>
      </c>
      <c r="B8" s="79" t="s">
        <v>328</v>
      </c>
    </row>
    <row r="9" spans="1:2" ht="60" customHeight="1" x14ac:dyDescent="0.25">
      <c r="A9" s="79" t="s">
        <v>326</v>
      </c>
      <c r="B9" s="79" t="s">
        <v>330</v>
      </c>
    </row>
    <row r="10" spans="1:2" ht="90" x14ac:dyDescent="0.25">
      <c r="A10" s="79" t="s">
        <v>308</v>
      </c>
      <c r="B10" s="80" t="s">
        <v>333</v>
      </c>
    </row>
    <row r="11" spans="1:2" ht="90" x14ac:dyDescent="0.25">
      <c r="A11" s="79" t="s">
        <v>329</v>
      </c>
      <c r="B11" s="79" t="s">
        <v>344</v>
      </c>
    </row>
    <row r="12" spans="1:2" x14ac:dyDescent="0.25">
      <c r="A12" s="97" t="s">
        <v>335</v>
      </c>
      <c r="B12" s="98"/>
    </row>
    <row r="13" spans="1:2" x14ac:dyDescent="0.25">
      <c r="A13" s="100" t="s">
        <v>337</v>
      </c>
      <c r="B13" s="100"/>
    </row>
    <row r="14" spans="1:2" x14ac:dyDescent="0.25">
      <c r="A14" s="99" t="s">
        <v>336</v>
      </c>
      <c r="B14" s="99"/>
    </row>
    <row r="15" spans="1:2" x14ac:dyDescent="0.25">
      <c r="A15" s="99" t="s">
        <v>338</v>
      </c>
      <c r="B15" s="99"/>
    </row>
    <row r="16" spans="1:2" x14ac:dyDescent="0.25">
      <c r="A16" s="99" t="s">
        <v>339</v>
      </c>
      <c r="B16" s="99"/>
    </row>
    <row r="17" spans="1:2" x14ac:dyDescent="0.25">
      <c r="A17" s="59" t="s">
        <v>340</v>
      </c>
      <c r="B17" s="59"/>
    </row>
  </sheetData>
  <mergeCells count="8">
    <mergeCell ref="A16:B16"/>
    <mergeCell ref="A17:B17"/>
    <mergeCell ref="A1:B1"/>
    <mergeCell ref="A2:B2"/>
    <mergeCell ref="A12:B12"/>
    <mergeCell ref="A14:B14"/>
    <mergeCell ref="A13:B13"/>
    <mergeCell ref="A15:B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60AD0-6C60-4AF5-BEBF-FBF21178AA1C}">
  <dimension ref="A1:U195"/>
  <sheetViews>
    <sheetView tabSelected="1" zoomScale="80" zoomScaleNormal="80" workbookViewId="0">
      <selection activeCell="T109" sqref="T109"/>
    </sheetView>
  </sheetViews>
  <sheetFormatPr defaultRowHeight="15" x14ac:dyDescent="0.25"/>
  <cols>
    <col min="1" max="1" width="9.140625" style="7"/>
    <col min="2" max="2" width="21" style="7" bestFit="1" customWidth="1"/>
    <col min="3" max="3" width="15.140625" style="7" bestFit="1" customWidth="1"/>
    <col min="4" max="4" width="19.28515625" style="7" bestFit="1" customWidth="1"/>
    <col min="5" max="5" width="8.85546875" style="7" bestFit="1" customWidth="1"/>
    <col min="6" max="6" width="13.7109375" style="7" bestFit="1" customWidth="1"/>
    <col min="7" max="7" width="11.28515625" style="7" bestFit="1" customWidth="1"/>
    <col min="8" max="8" width="49.85546875" style="7" customWidth="1"/>
    <col min="9" max="9" width="21" style="7" bestFit="1" customWidth="1"/>
    <col min="10" max="10" width="16.85546875" style="7" bestFit="1" customWidth="1"/>
    <col min="11" max="11" width="45.85546875" style="7" customWidth="1"/>
    <col min="12" max="12" width="11.7109375" style="7" bestFit="1" customWidth="1"/>
    <col min="13" max="13" width="7.140625" style="7" bestFit="1" customWidth="1"/>
    <col min="14" max="14" width="4.7109375" style="7" bestFit="1" customWidth="1"/>
    <col min="15" max="15" width="11.28515625" style="7" bestFit="1" customWidth="1"/>
    <col min="16" max="16" width="14" style="7" bestFit="1" customWidth="1"/>
    <col min="17" max="17" width="11.28515625" style="7" bestFit="1" customWidth="1"/>
    <col min="18" max="16384" width="9.140625" style="7"/>
  </cols>
  <sheetData>
    <row r="1" spans="3:4" s="81" customFormat="1" x14ac:dyDescent="0.25"/>
    <row r="2" spans="3:4" ht="48.75" customHeight="1" x14ac:dyDescent="0.25">
      <c r="C2" s="84" t="s">
        <v>247</v>
      </c>
      <c r="D2" s="86"/>
    </row>
    <row r="3" spans="3:4" x14ac:dyDescent="0.25">
      <c r="C3" s="8" t="s">
        <v>248</v>
      </c>
      <c r="D3" s="8" t="s">
        <v>246</v>
      </c>
    </row>
    <row r="4" spans="3:4" x14ac:dyDescent="0.25">
      <c r="C4" s="9" t="s">
        <v>23</v>
      </c>
      <c r="D4" s="10">
        <v>75790.277777777781</v>
      </c>
    </row>
    <row r="5" spans="3:4" x14ac:dyDescent="0.25">
      <c r="C5" s="11" t="s">
        <v>90</v>
      </c>
      <c r="D5" s="10">
        <v>83096.125</v>
      </c>
    </row>
    <row r="6" spans="3:4" x14ac:dyDescent="0.25">
      <c r="C6" s="11" t="s">
        <v>24</v>
      </c>
      <c r="D6" s="10">
        <v>69945.600000000006</v>
      </c>
    </row>
    <row r="7" spans="3:4" x14ac:dyDescent="0.25">
      <c r="C7" s="9" t="s">
        <v>52</v>
      </c>
      <c r="D7" s="10">
        <v>78859.052631578947</v>
      </c>
    </row>
    <row r="8" spans="3:4" x14ac:dyDescent="0.25">
      <c r="C8" s="11" t="s">
        <v>53</v>
      </c>
      <c r="D8" s="10">
        <v>83021.916666666672</v>
      </c>
    </row>
    <row r="9" spans="3:4" x14ac:dyDescent="0.25">
      <c r="C9" s="11" t="s">
        <v>85</v>
      </c>
      <c r="D9" s="10">
        <v>71722.71428571429</v>
      </c>
    </row>
    <row r="10" spans="3:4" x14ac:dyDescent="0.25">
      <c r="C10" s="9" t="s">
        <v>41</v>
      </c>
      <c r="D10" s="10">
        <v>71442.230769230766</v>
      </c>
    </row>
    <row r="11" spans="3:4" x14ac:dyDescent="0.25">
      <c r="C11" s="11" t="s">
        <v>82</v>
      </c>
      <c r="D11" s="10">
        <v>60385.833333333336</v>
      </c>
    </row>
    <row r="12" spans="3:4" x14ac:dyDescent="0.25">
      <c r="C12" s="11" t="s">
        <v>146</v>
      </c>
      <c r="D12" s="10">
        <v>78950.333333333328</v>
      </c>
    </row>
    <row r="13" spans="3:4" x14ac:dyDescent="0.25">
      <c r="C13" s="11" t="s">
        <v>42</v>
      </c>
      <c r="D13" s="10">
        <v>82395.75</v>
      </c>
    </row>
    <row r="14" spans="3:4" x14ac:dyDescent="0.25">
      <c r="C14" s="9" t="s">
        <v>16</v>
      </c>
      <c r="D14" s="10">
        <v>79538.857142857145</v>
      </c>
    </row>
    <row r="15" spans="3:4" x14ac:dyDescent="0.25">
      <c r="C15" s="11" t="s">
        <v>17</v>
      </c>
      <c r="D15" s="10">
        <v>77698.142857142855</v>
      </c>
    </row>
    <row r="16" spans="3:4" x14ac:dyDescent="0.25">
      <c r="C16" s="11" t="s">
        <v>65</v>
      </c>
      <c r="D16" s="10">
        <v>83220.28571428571</v>
      </c>
    </row>
    <row r="17" spans="3:8" x14ac:dyDescent="0.25">
      <c r="C17" s="9" t="s">
        <v>70</v>
      </c>
      <c r="D17" s="10">
        <v>75732.307692307688</v>
      </c>
    </row>
    <row r="18" spans="3:8" x14ac:dyDescent="0.25">
      <c r="C18" s="11" t="s">
        <v>105</v>
      </c>
      <c r="D18" s="10">
        <v>71399.5</v>
      </c>
    </row>
    <row r="19" spans="3:8" x14ac:dyDescent="0.25">
      <c r="C19" s="11" t="s">
        <v>71</v>
      </c>
      <c r="D19" s="10">
        <v>79446.142857142855</v>
      </c>
    </row>
    <row r="20" spans="3:8" x14ac:dyDescent="0.25">
      <c r="C20" s="9" t="s">
        <v>29</v>
      </c>
      <c r="D20" s="10">
        <v>70037.875</v>
      </c>
    </row>
    <row r="21" spans="3:8" x14ac:dyDescent="0.25">
      <c r="C21" s="11" t="s">
        <v>61</v>
      </c>
      <c r="D21" s="10">
        <v>69898.3</v>
      </c>
    </row>
    <row r="22" spans="3:8" x14ac:dyDescent="0.25">
      <c r="C22" s="11" t="s">
        <v>30</v>
      </c>
      <c r="D22" s="10">
        <v>70270.5</v>
      </c>
    </row>
    <row r="23" spans="3:8" x14ac:dyDescent="0.25">
      <c r="C23" s="9" t="s">
        <v>245</v>
      </c>
      <c r="D23" s="10">
        <v>75667.38</v>
      </c>
    </row>
    <row r="25" spans="3:8" s="81" customFormat="1" x14ac:dyDescent="0.25"/>
    <row r="26" spans="3:8" ht="27" customHeight="1" x14ac:dyDescent="0.25">
      <c r="C26" s="84" t="s">
        <v>250</v>
      </c>
      <c r="D26" s="85"/>
      <c r="E26" s="85"/>
      <c r="F26" s="86"/>
      <c r="H26" s="22" t="s">
        <v>283</v>
      </c>
    </row>
    <row r="27" spans="3:8" x14ac:dyDescent="0.25">
      <c r="C27" s="17" t="s">
        <v>2</v>
      </c>
      <c r="D27" s="17" t="s">
        <v>251</v>
      </c>
      <c r="E27" s="17" t="s">
        <v>18</v>
      </c>
      <c r="F27" s="17" t="s">
        <v>252</v>
      </c>
    </row>
    <row r="28" spans="3:8" x14ac:dyDescent="0.25">
      <c r="C28" s="18" t="str" cm="1">
        <f t="array" ref="C28:C33">_xlfn.UNIQUE(Dataset1!$C$2:$C$101)</f>
        <v>Marketing</v>
      </c>
      <c r="D28" s="19">
        <f>COUNTIFS(Dataset1!$C$2:$C$101,Analysis!C28)</f>
        <v>21</v>
      </c>
      <c r="E28" s="19">
        <f>SUMIFS(Dataset1!$N$2:$N$101,Dataset1!$C$2:$C$101,Analysis!C28)</f>
        <v>12</v>
      </c>
      <c r="F28" s="20">
        <f>IF(D28=0,0,E28/D28)</f>
        <v>0.5714285714285714</v>
      </c>
    </row>
    <row r="29" spans="3:8" x14ac:dyDescent="0.25">
      <c r="C29" s="18" t="str">
        <v>Finance</v>
      </c>
      <c r="D29" s="19">
        <f>COUNTIFS(Dataset1!$C$2:$C$101,Analysis!C29)</f>
        <v>18</v>
      </c>
      <c r="E29" s="19">
        <f>SUMIFS(Dataset1!$N$2:$N$101,Dataset1!$C$2:$C$101,Analysis!C29)</f>
        <v>5</v>
      </c>
      <c r="F29" s="20">
        <f t="shared" ref="F29:F33" si="0">IF(D29=0,0,E29/D29)</f>
        <v>0.27777777777777779</v>
      </c>
    </row>
    <row r="30" spans="3:8" x14ac:dyDescent="0.25">
      <c r="C30" s="18" t="str">
        <v>Sales</v>
      </c>
      <c r="D30" s="19">
        <f>COUNTIFS(Dataset1!$C$2:$C$101,Analysis!C30)</f>
        <v>16</v>
      </c>
      <c r="E30" s="19">
        <f>SUMIFS(Dataset1!$N$2:$N$101,Dataset1!$C$2:$C$101,Analysis!C30)</f>
        <v>6</v>
      </c>
      <c r="F30" s="20">
        <f t="shared" si="0"/>
        <v>0.375</v>
      </c>
    </row>
    <row r="31" spans="3:8" x14ac:dyDescent="0.25">
      <c r="C31" s="18" t="str">
        <v>IT</v>
      </c>
      <c r="D31" s="19">
        <f>COUNTIFS(Dataset1!$C$2:$C$101,Analysis!C31)</f>
        <v>13</v>
      </c>
      <c r="E31" s="19">
        <f>SUMIFS(Dataset1!$N$2:$N$101,Dataset1!$C$2:$C$101,Analysis!C31)</f>
        <v>4</v>
      </c>
      <c r="F31" s="20">
        <f t="shared" si="0"/>
        <v>0.30769230769230771</v>
      </c>
    </row>
    <row r="32" spans="3:8" x14ac:dyDescent="0.25">
      <c r="C32" s="18" t="str">
        <v>HR</v>
      </c>
      <c r="D32" s="19">
        <f>COUNTIFS(Dataset1!$C$2:$C$101,Analysis!C32)</f>
        <v>19</v>
      </c>
      <c r="E32" s="19">
        <f>SUMIFS(Dataset1!$N$2:$N$101,Dataset1!$C$2:$C$101,Analysis!C32)</f>
        <v>7</v>
      </c>
      <c r="F32" s="20">
        <f t="shared" si="0"/>
        <v>0.36842105263157893</v>
      </c>
    </row>
    <row r="33" spans="2:11" x14ac:dyDescent="0.25">
      <c r="C33" s="18" t="str">
        <v>Operations</v>
      </c>
      <c r="D33" s="19">
        <f>COUNTIFS(Dataset1!$C$2:$C$101,Analysis!C33)</f>
        <v>13</v>
      </c>
      <c r="E33" s="19">
        <f>SUMIFS(Dataset1!$N$2:$N$101,Dataset1!$C$2:$C$101,Analysis!C33)</f>
        <v>7</v>
      </c>
      <c r="F33" s="20">
        <f t="shared" si="0"/>
        <v>0.53846153846153844</v>
      </c>
    </row>
    <row r="34" spans="2:11" x14ac:dyDescent="0.25">
      <c r="C34" s="18" t="s">
        <v>253</v>
      </c>
      <c r="D34" s="17">
        <f>SUM(D28:D33)</f>
        <v>100</v>
      </c>
      <c r="E34" s="17">
        <f>SUM(E28:E33)</f>
        <v>41</v>
      </c>
      <c r="F34" s="21">
        <f>E34/D34</f>
        <v>0.41</v>
      </c>
    </row>
    <row r="36" spans="2:11" s="81" customFormat="1" x14ac:dyDescent="0.25"/>
    <row r="37" spans="2:11" ht="15" customHeight="1" x14ac:dyDescent="0.25">
      <c r="B37" s="87" t="s">
        <v>254</v>
      </c>
      <c r="C37" s="88"/>
      <c r="D37" s="88"/>
      <c r="E37" s="88"/>
      <c r="F37" s="89"/>
      <c r="G37" s="93"/>
    </row>
    <row r="38" spans="2:11" x14ac:dyDescent="0.25">
      <c r="B38" s="90"/>
      <c r="C38" s="91"/>
      <c r="D38" s="91"/>
      <c r="E38" s="91"/>
      <c r="F38" s="92"/>
      <c r="G38" s="93"/>
      <c r="H38" s="22" t="s">
        <v>256</v>
      </c>
      <c r="J38" s="23"/>
    </row>
    <row r="39" spans="2:11" ht="44.25" customHeight="1" x14ac:dyDescent="0.25">
      <c r="H39" s="7" t="s">
        <v>290</v>
      </c>
      <c r="I39" s="7" t="s">
        <v>287</v>
      </c>
      <c r="J39" s="7" t="s">
        <v>288</v>
      </c>
      <c r="K39" s="24" t="s">
        <v>289</v>
      </c>
    </row>
    <row r="40" spans="2:11" ht="30" customHeight="1" x14ac:dyDescent="0.25">
      <c r="H40" s="107" t="s">
        <v>284</v>
      </c>
      <c r="I40" s="25">
        <v>54.666666666666664</v>
      </c>
      <c r="J40" s="25">
        <v>34.540683599625119</v>
      </c>
      <c r="K40" s="32" t="s">
        <v>291</v>
      </c>
    </row>
    <row r="41" spans="2:11" ht="45" x14ac:dyDescent="0.25">
      <c r="H41" s="107" t="s">
        <v>285</v>
      </c>
      <c r="I41" s="25">
        <v>55.644444444444446</v>
      </c>
      <c r="J41" s="25">
        <v>29.989509950492806</v>
      </c>
      <c r="K41" s="108" t="s">
        <v>293</v>
      </c>
    </row>
    <row r="42" spans="2:11" ht="30" x14ac:dyDescent="0.25">
      <c r="H42" s="107" t="s">
        <v>286</v>
      </c>
      <c r="I42" s="25">
        <v>51.135135135135137</v>
      </c>
      <c r="J42" s="25">
        <v>26.536308629417082</v>
      </c>
      <c r="K42" s="108" t="s">
        <v>292</v>
      </c>
    </row>
    <row r="43" spans="2:11" x14ac:dyDescent="0.25">
      <c r="H43" s="9" t="s">
        <v>245</v>
      </c>
      <c r="I43" s="14">
        <v>53.8</v>
      </c>
      <c r="J43" s="25">
        <v>29.410710616880696</v>
      </c>
      <c r="K43" s="8"/>
    </row>
    <row r="46" spans="2:11" ht="15" customHeight="1" x14ac:dyDescent="0.25">
      <c r="H46" s="7" t="s">
        <v>295</v>
      </c>
    </row>
    <row r="47" spans="2:11" x14ac:dyDescent="0.25">
      <c r="H47" s="7" t="s">
        <v>294</v>
      </c>
    </row>
    <row r="63" s="81" customFormat="1" x14ac:dyDescent="0.25"/>
    <row r="65" spans="3:21" ht="32.25" customHeight="1" x14ac:dyDescent="0.25">
      <c r="C65" s="84" t="s">
        <v>267</v>
      </c>
      <c r="D65" s="85"/>
      <c r="E65" s="85"/>
      <c r="F65" s="85"/>
      <c r="G65" s="85"/>
      <c r="H65" s="86"/>
      <c r="J65" s="84" t="s">
        <v>327</v>
      </c>
      <c r="K65" s="85"/>
      <c r="L65" s="85"/>
      <c r="M65" s="85"/>
      <c r="N65" s="85"/>
      <c r="O65" s="85"/>
      <c r="P65" s="85"/>
      <c r="Q65" s="85"/>
      <c r="R65" s="85"/>
      <c r="S65" s="85"/>
      <c r="T65" s="85"/>
      <c r="U65" s="86"/>
    </row>
    <row r="66" spans="3:21" x14ac:dyDescent="0.25">
      <c r="J66" s="82" t="s">
        <v>282</v>
      </c>
      <c r="K66" s="83" t="s">
        <v>269</v>
      </c>
    </row>
    <row r="67" spans="3:21" x14ac:dyDescent="0.25">
      <c r="C67" s="14" t="s">
        <v>268</v>
      </c>
      <c r="D67" s="14" t="s">
        <v>269</v>
      </c>
      <c r="J67" s="9" t="s">
        <v>270</v>
      </c>
      <c r="K67" s="56">
        <v>12</v>
      </c>
    </row>
    <row r="68" spans="3:21" x14ac:dyDescent="0.25">
      <c r="C68" s="14" t="s">
        <v>266</v>
      </c>
      <c r="D68" s="56">
        <v>4</v>
      </c>
      <c r="J68" s="9" t="s">
        <v>271</v>
      </c>
      <c r="K68" s="56">
        <v>9</v>
      </c>
    </row>
    <row r="69" spans="3:21" x14ac:dyDescent="0.25">
      <c r="C69" s="14" t="s">
        <v>265</v>
      </c>
      <c r="D69" s="56">
        <v>9</v>
      </c>
      <c r="J69" s="9" t="s">
        <v>272</v>
      </c>
      <c r="K69" s="56">
        <v>6</v>
      </c>
    </row>
    <row r="70" spans="3:21" x14ac:dyDescent="0.25">
      <c r="C70" s="14" t="s">
        <v>264</v>
      </c>
      <c r="D70" s="56">
        <v>12</v>
      </c>
      <c r="J70" s="9" t="s">
        <v>273</v>
      </c>
      <c r="K70" s="56">
        <v>3</v>
      </c>
    </row>
    <row r="71" spans="3:21" x14ac:dyDescent="0.25">
      <c r="C71" s="14" t="s">
        <v>263</v>
      </c>
      <c r="D71" s="56">
        <v>7</v>
      </c>
      <c r="J71" s="9" t="s">
        <v>274</v>
      </c>
      <c r="K71" s="56">
        <v>9</v>
      </c>
    </row>
    <row r="72" spans="3:21" x14ac:dyDescent="0.25">
      <c r="C72" s="14" t="s">
        <v>262</v>
      </c>
      <c r="D72" s="56">
        <v>10</v>
      </c>
      <c r="J72" s="9" t="s">
        <v>275</v>
      </c>
      <c r="K72" s="56">
        <v>12</v>
      </c>
    </row>
    <row r="73" spans="3:21" x14ac:dyDescent="0.25">
      <c r="C73" s="14" t="s">
        <v>261</v>
      </c>
      <c r="D73" s="56">
        <v>11</v>
      </c>
      <c r="J73" s="9" t="s">
        <v>276</v>
      </c>
      <c r="K73" s="56">
        <v>17</v>
      </c>
    </row>
    <row r="74" spans="3:21" x14ac:dyDescent="0.25">
      <c r="C74" s="14" t="s">
        <v>260</v>
      </c>
      <c r="D74" s="56">
        <v>17</v>
      </c>
      <c r="J74" s="9" t="s">
        <v>277</v>
      </c>
      <c r="K74" s="56">
        <v>3</v>
      </c>
    </row>
    <row r="75" spans="3:21" x14ac:dyDescent="0.25">
      <c r="C75" s="14" t="s">
        <v>259</v>
      </c>
      <c r="D75" s="56">
        <v>9</v>
      </c>
      <c r="J75" s="9" t="s">
        <v>278</v>
      </c>
      <c r="K75" s="56">
        <v>10</v>
      </c>
    </row>
    <row r="76" spans="3:21" x14ac:dyDescent="0.25">
      <c r="C76" s="14" t="s">
        <v>258</v>
      </c>
      <c r="D76" s="56">
        <v>15</v>
      </c>
      <c r="J76" s="9" t="s">
        <v>279</v>
      </c>
      <c r="K76" s="56">
        <v>4</v>
      </c>
    </row>
    <row r="77" spans="3:21" x14ac:dyDescent="0.25">
      <c r="C77" s="14" t="s">
        <v>257</v>
      </c>
      <c r="D77" s="56">
        <v>6</v>
      </c>
      <c r="J77" s="9" t="s">
        <v>280</v>
      </c>
      <c r="K77" s="56">
        <v>10</v>
      </c>
    </row>
    <row r="78" spans="3:21" x14ac:dyDescent="0.25">
      <c r="C78" s="9" t="s">
        <v>245</v>
      </c>
      <c r="D78" s="56">
        <v>100</v>
      </c>
      <c r="J78" s="9" t="s">
        <v>281</v>
      </c>
      <c r="K78" s="56">
        <v>5</v>
      </c>
    </row>
    <row r="79" spans="3:21" x14ac:dyDescent="0.25">
      <c r="J79" s="9" t="s">
        <v>245</v>
      </c>
      <c r="K79" s="56">
        <v>100</v>
      </c>
    </row>
    <row r="84" spans="3:5" s="81" customFormat="1" x14ac:dyDescent="0.25"/>
    <row r="86" spans="3:5" x14ac:dyDescent="0.25">
      <c r="C86" s="87" t="s">
        <v>325</v>
      </c>
      <c r="D86" s="89"/>
      <c r="E86" s="94"/>
    </row>
    <row r="87" spans="3:5" x14ac:dyDescent="0.25">
      <c r="C87" s="90"/>
      <c r="D87" s="92"/>
    </row>
    <row r="88" spans="3:5" x14ac:dyDescent="0.25">
      <c r="C88" s="8" t="s">
        <v>303</v>
      </c>
      <c r="D88" s="8" t="s">
        <v>302</v>
      </c>
    </row>
    <row r="89" spans="3:5" x14ac:dyDescent="0.25">
      <c r="C89" s="14" t="s">
        <v>297</v>
      </c>
      <c r="D89" s="28">
        <v>86</v>
      </c>
    </row>
    <row r="90" spans="3:5" x14ac:dyDescent="0.25">
      <c r="C90" s="14" t="s">
        <v>298</v>
      </c>
      <c r="D90" s="28">
        <v>199</v>
      </c>
    </row>
    <row r="91" spans="3:5" x14ac:dyDescent="0.25">
      <c r="C91" s="14" t="s">
        <v>299</v>
      </c>
      <c r="D91" s="28">
        <v>160</v>
      </c>
    </row>
    <row r="92" spans="3:5" x14ac:dyDescent="0.25">
      <c r="C92" s="14" t="s">
        <v>300</v>
      </c>
      <c r="D92" s="28">
        <v>231</v>
      </c>
    </row>
    <row r="93" spans="3:5" x14ac:dyDescent="0.25">
      <c r="C93" s="14" t="s">
        <v>301</v>
      </c>
      <c r="D93" s="28">
        <v>65</v>
      </c>
    </row>
    <row r="94" spans="3:5" x14ac:dyDescent="0.25">
      <c r="C94" s="9" t="s">
        <v>245</v>
      </c>
      <c r="D94" s="14">
        <v>741</v>
      </c>
    </row>
    <row r="102" spans="3:14" s="81" customFormat="1" x14ac:dyDescent="0.25"/>
    <row r="103" spans="3:14" ht="15" customHeight="1" x14ac:dyDescent="0.25">
      <c r="C103" s="87" t="s">
        <v>326</v>
      </c>
      <c r="D103" s="88"/>
      <c r="E103" s="88"/>
      <c r="F103" s="88"/>
      <c r="G103" s="89"/>
    </row>
    <row r="104" spans="3:14" x14ac:dyDescent="0.25">
      <c r="C104" s="90"/>
      <c r="D104" s="91"/>
      <c r="E104" s="91"/>
      <c r="F104" s="91"/>
      <c r="G104" s="92"/>
    </row>
    <row r="105" spans="3:14" ht="30" x14ac:dyDescent="0.25">
      <c r="C105" s="32" t="s">
        <v>304</v>
      </c>
      <c r="D105" s="14" t="s">
        <v>7</v>
      </c>
      <c r="E105" s="14"/>
      <c r="F105" s="14"/>
      <c r="G105" s="14"/>
      <c r="I105" s="34" t="s">
        <v>306</v>
      </c>
      <c r="J105" s="40" t="s">
        <v>7</v>
      </c>
      <c r="K105" s="40"/>
      <c r="L105" s="40"/>
      <c r="M105" s="17"/>
    </row>
    <row r="106" spans="3:14" x14ac:dyDescent="0.25">
      <c r="C106" s="8" t="s">
        <v>2</v>
      </c>
      <c r="D106" s="8" t="s">
        <v>54</v>
      </c>
      <c r="E106" s="8" t="s">
        <v>26</v>
      </c>
      <c r="F106" s="8" t="s">
        <v>19</v>
      </c>
      <c r="G106" s="8" t="s">
        <v>245</v>
      </c>
      <c r="I106" s="35" t="s">
        <v>2</v>
      </c>
      <c r="J106" s="35" t="s">
        <v>54</v>
      </c>
      <c r="K106" s="35" t="s">
        <v>26</v>
      </c>
      <c r="L106" s="35" t="s">
        <v>19</v>
      </c>
      <c r="M106" s="35" t="s">
        <v>305</v>
      </c>
    </row>
    <row r="107" spans="3:14" x14ac:dyDescent="0.25">
      <c r="C107" s="26" t="s">
        <v>23</v>
      </c>
      <c r="D107" s="57">
        <v>8</v>
      </c>
      <c r="E107" s="57">
        <v>7</v>
      </c>
      <c r="F107" s="57">
        <v>3</v>
      </c>
      <c r="G107" s="57">
        <v>18</v>
      </c>
      <c r="I107" s="18" t="s">
        <v>23</v>
      </c>
      <c r="J107" s="36">
        <f>GETPIVOTDATA("Name",$C$105,"Department","Finance","Gender","Female")/GETPIVOTDATA("Name",$C$105,"Department","Finance")</f>
        <v>0.44444444444444442</v>
      </c>
      <c r="K107" s="36">
        <f>GETPIVOTDATA("Name",$C$105,"Department","Finance","Gender","Male")/GETPIVOTDATA("Name",$C$105,"Department","Finance")</f>
        <v>0.3888888888888889</v>
      </c>
      <c r="L107" s="36">
        <f>GETPIVOTDATA("Name",$C$105,"Department","Finance","Gender","Other")/GETPIVOTDATA("Name",$C$105,"Department","Finance")</f>
        <v>0.16666666666666666</v>
      </c>
      <c r="M107" s="37">
        <f>GETPIVOTDATA("Name",$C$105,"Department","Finance","Gender","Male")/GETPIVOTDATA("Name",$C$105,"Department","Finance","Gender","Female")</f>
        <v>0.875</v>
      </c>
      <c r="N107" s="38"/>
    </row>
    <row r="108" spans="3:14" x14ac:dyDescent="0.25">
      <c r="C108" s="11" t="s">
        <v>90</v>
      </c>
      <c r="D108" s="56">
        <v>3</v>
      </c>
      <c r="E108" s="56">
        <v>3</v>
      </c>
      <c r="F108" s="56">
        <v>2</v>
      </c>
      <c r="G108" s="56">
        <v>8</v>
      </c>
      <c r="I108" s="18" t="s">
        <v>52</v>
      </c>
      <c r="J108" s="36">
        <f>GETPIVOTDATA("Name",$C$105,"Department","HR","Gender","Female")/GETPIVOTDATA("Name",$C$105,"Department","HR")</f>
        <v>0.21052631578947367</v>
      </c>
      <c r="K108" s="36">
        <f>GETPIVOTDATA("Name",$C$105,"Department","HR","Gender","Male")/GETPIVOTDATA("Name",$C$105,"Department","HR")</f>
        <v>0.42105263157894735</v>
      </c>
      <c r="L108" s="36">
        <f>GETPIVOTDATA("Name",$C$105,"Department","HR","Gender","Other")/GETPIVOTDATA("Name",$C$105,"Department","HR")</f>
        <v>0.36842105263157893</v>
      </c>
      <c r="M108" s="37">
        <f>GETPIVOTDATA("Name",$C$105,"Department","HR","Gender","Male")/GETPIVOTDATA("Name",$C$105,"Department","HR","Gender","Female")</f>
        <v>2</v>
      </c>
      <c r="N108" s="38"/>
    </row>
    <row r="109" spans="3:14" x14ac:dyDescent="0.25">
      <c r="C109" s="11" t="s">
        <v>24</v>
      </c>
      <c r="D109" s="56">
        <v>5</v>
      </c>
      <c r="E109" s="56">
        <v>4</v>
      </c>
      <c r="F109" s="56">
        <v>1</v>
      </c>
      <c r="G109" s="56">
        <v>10</v>
      </c>
      <c r="I109" s="18" t="s">
        <v>41</v>
      </c>
      <c r="J109" s="36">
        <f>GETPIVOTDATA("Name",$C$105,"Department","IT","Gender","Female")/GETPIVOTDATA("Name",$C$105,"Department","IT")</f>
        <v>0.53846153846153844</v>
      </c>
      <c r="K109" s="36">
        <f>GETPIVOTDATA("Name",$C$105,"Department","IT","Gender","Male")/GETPIVOTDATA("Name",$C$105,"Department","IT")</f>
        <v>0.15384615384615385</v>
      </c>
      <c r="L109" s="36">
        <f>GETPIVOTDATA("Name",$C$105,"Department","IT","Gender","Other")/GETPIVOTDATA("Name",$C$105,"Department","IT")</f>
        <v>0.30769230769230771</v>
      </c>
      <c r="M109" s="37">
        <f>GETPIVOTDATA("Name",$C$105,"Department","IT","Gender","Male")/GETPIVOTDATA("Name",$C$105,"Department","IT","Gender","Female")</f>
        <v>0.2857142857142857</v>
      </c>
      <c r="N109" s="38"/>
    </row>
    <row r="110" spans="3:14" x14ac:dyDescent="0.25">
      <c r="C110" s="26" t="s">
        <v>52</v>
      </c>
      <c r="D110" s="57">
        <v>4</v>
      </c>
      <c r="E110" s="57">
        <v>8</v>
      </c>
      <c r="F110" s="57">
        <v>7</v>
      </c>
      <c r="G110" s="57">
        <v>19</v>
      </c>
      <c r="I110" s="18" t="s">
        <v>16</v>
      </c>
      <c r="J110" s="36">
        <f>GETPIVOTDATA("Name",$C$105,"Department","Marketing","Gender","Female")/GETPIVOTDATA("Name",$C$105,"Department","Marketing")</f>
        <v>0.42857142857142855</v>
      </c>
      <c r="K110" s="36">
        <f>GETPIVOTDATA("Name",$C$105,"Department","Marketing","Gender","Male")/GETPIVOTDATA("Name",$C$105,"Department","Marketing")</f>
        <v>0.42857142857142855</v>
      </c>
      <c r="L110" s="36">
        <f>GETPIVOTDATA("Name",$C$105,"Department","Marketing","Gender","Other")/GETPIVOTDATA("Name",$C$105,"Department","Marketing")</f>
        <v>0.14285714285714285</v>
      </c>
      <c r="M110" s="37">
        <f>GETPIVOTDATA("Name",$C$105,"Department","Marketing","Gender","Male")/GETPIVOTDATA("Name",$C$105,"Department","Marketing","Gender","Female")</f>
        <v>1</v>
      </c>
      <c r="N110" s="38"/>
    </row>
    <row r="111" spans="3:14" x14ac:dyDescent="0.25">
      <c r="C111" s="11" t="s">
        <v>53</v>
      </c>
      <c r="D111" s="56">
        <v>1</v>
      </c>
      <c r="E111" s="56">
        <v>6</v>
      </c>
      <c r="F111" s="56">
        <v>5</v>
      </c>
      <c r="G111" s="56">
        <v>12</v>
      </c>
      <c r="I111" s="18" t="s">
        <v>70</v>
      </c>
      <c r="J111" s="36">
        <f>GETPIVOTDATA("Name",$C$105,"Department","Operations","Gender","Female")/GETPIVOTDATA("Name",$C$105,"Department","Operations")</f>
        <v>0.38461538461538464</v>
      </c>
      <c r="K111" s="36">
        <f>GETPIVOTDATA("Name",$C$105,"Department","Operations","Gender","Male")/GETPIVOTDATA("Name",$C$105,"Department","Operations")</f>
        <v>0.46153846153846156</v>
      </c>
      <c r="L111" s="36">
        <f>GETPIVOTDATA("Name",$C$105,"Department","Operations","Gender","Other")/GETPIVOTDATA("Name",$C$105,"Department","Operations")</f>
        <v>0.15384615384615385</v>
      </c>
      <c r="M111" s="37">
        <f>GETPIVOTDATA("Name",$C$105,"Department","Operations","Gender","Male")/GETPIVOTDATA("Name",$C$105,"Department","Operations","Gender","Female")</f>
        <v>1.2</v>
      </c>
      <c r="N111" s="38"/>
    </row>
    <row r="112" spans="3:14" x14ac:dyDescent="0.25">
      <c r="C112" s="11" t="s">
        <v>85</v>
      </c>
      <c r="D112" s="56">
        <v>3</v>
      </c>
      <c r="E112" s="56">
        <v>2</v>
      </c>
      <c r="F112" s="56">
        <v>2</v>
      </c>
      <c r="G112" s="56">
        <v>7</v>
      </c>
      <c r="I112" s="18" t="s">
        <v>29</v>
      </c>
      <c r="J112" s="36">
        <f>GETPIVOTDATA("Name",$C$105,"Department","Sales","Gender","Female")/GETPIVOTDATA("Name",$C$105,"Department","Sales")</f>
        <v>0.25</v>
      </c>
      <c r="K112" s="36">
        <f>GETPIVOTDATA("Name",$C$105,"Department","Sales","Gender","Male")/GETPIVOTDATA("Name",$C$105,"Department","Sales")</f>
        <v>0.3125</v>
      </c>
      <c r="L112" s="36">
        <f>GETPIVOTDATA("Name",$C$105,"Department","Sales","Gender","Other")/GETPIVOTDATA("Name",$C$105,"Department","Sales")</f>
        <v>0.4375</v>
      </c>
      <c r="M112" s="37">
        <f>GETPIVOTDATA("Name",$C$105,"Department","Sales","Gender","Male")/GETPIVOTDATA("Name",$C$105,"Department","Sales","Gender","Female")</f>
        <v>1.25</v>
      </c>
      <c r="N112" s="38"/>
    </row>
    <row r="113" spans="3:14" x14ac:dyDescent="0.25">
      <c r="C113" s="26" t="s">
        <v>41</v>
      </c>
      <c r="D113" s="57">
        <v>7</v>
      </c>
      <c r="E113" s="57">
        <v>2</v>
      </c>
      <c r="F113" s="57">
        <v>4</v>
      </c>
      <c r="G113" s="57">
        <v>13</v>
      </c>
      <c r="I113" s="18" t="s">
        <v>245</v>
      </c>
      <c r="J113" s="36">
        <f>GETPIVOTDATA("Name",$C$105,"Gender","Female")/GETPIVOTDATA("Name",$C$105)</f>
        <v>0.37</v>
      </c>
      <c r="K113" s="36">
        <f>GETPIVOTDATA("Name",$C$105,"Gender","Male")/GETPIVOTDATA("Name",$C$105)</f>
        <v>0.37</v>
      </c>
      <c r="L113" s="36">
        <f>GETPIVOTDATA("Name",$C$105,"Gender","Other")/GETPIVOTDATA("Name",$C$105)</f>
        <v>0.26</v>
      </c>
      <c r="M113" s="37">
        <f>GETPIVOTDATA("Name",$C$105,"Gender","Male")/GETPIVOTDATA("Name",$C$105,"Gender","Female")</f>
        <v>1</v>
      </c>
      <c r="N113" s="38"/>
    </row>
    <row r="114" spans="3:14" x14ac:dyDescent="0.25">
      <c r="C114" s="11" t="s">
        <v>82</v>
      </c>
      <c r="D114" s="56">
        <v>4</v>
      </c>
      <c r="E114" s="56"/>
      <c r="F114" s="56">
        <v>2</v>
      </c>
      <c r="G114" s="56">
        <v>6</v>
      </c>
      <c r="N114" s="38"/>
    </row>
    <row r="115" spans="3:14" x14ac:dyDescent="0.25">
      <c r="C115" s="11" t="s">
        <v>146</v>
      </c>
      <c r="D115" s="56">
        <v>2</v>
      </c>
      <c r="E115" s="56">
        <v>1</v>
      </c>
      <c r="F115" s="56"/>
      <c r="G115" s="56">
        <v>3</v>
      </c>
      <c r="N115" s="38"/>
    </row>
    <row r="116" spans="3:14" x14ac:dyDescent="0.25">
      <c r="C116" s="11" t="s">
        <v>42</v>
      </c>
      <c r="D116" s="56">
        <v>1</v>
      </c>
      <c r="E116" s="56">
        <v>1</v>
      </c>
      <c r="F116" s="56">
        <v>2</v>
      </c>
      <c r="G116" s="56">
        <v>4</v>
      </c>
      <c r="N116" s="38"/>
    </row>
    <row r="117" spans="3:14" x14ac:dyDescent="0.25">
      <c r="C117" s="26" t="s">
        <v>16</v>
      </c>
      <c r="D117" s="57">
        <v>9</v>
      </c>
      <c r="E117" s="57">
        <v>9</v>
      </c>
      <c r="F117" s="57">
        <v>3</v>
      </c>
      <c r="G117" s="57">
        <v>21</v>
      </c>
      <c r="N117" s="38"/>
    </row>
    <row r="118" spans="3:14" x14ac:dyDescent="0.25">
      <c r="C118" s="11" t="s">
        <v>17</v>
      </c>
      <c r="D118" s="56">
        <v>7</v>
      </c>
      <c r="E118" s="56">
        <v>4</v>
      </c>
      <c r="F118" s="56">
        <v>3</v>
      </c>
      <c r="G118" s="56">
        <v>14</v>
      </c>
      <c r="N118" s="38"/>
    </row>
    <row r="119" spans="3:14" x14ac:dyDescent="0.25">
      <c r="C119" s="11" t="s">
        <v>65</v>
      </c>
      <c r="D119" s="56">
        <v>2</v>
      </c>
      <c r="E119" s="56">
        <v>5</v>
      </c>
      <c r="F119" s="56"/>
      <c r="G119" s="56">
        <v>7</v>
      </c>
      <c r="N119" s="38"/>
    </row>
    <row r="120" spans="3:14" x14ac:dyDescent="0.25">
      <c r="C120" s="26" t="s">
        <v>70</v>
      </c>
      <c r="D120" s="57">
        <v>5</v>
      </c>
      <c r="E120" s="57">
        <v>6</v>
      </c>
      <c r="F120" s="57">
        <v>2</v>
      </c>
      <c r="G120" s="57">
        <v>13</v>
      </c>
      <c r="N120" s="38"/>
    </row>
    <row r="121" spans="3:14" x14ac:dyDescent="0.25">
      <c r="C121" s="11" t="s">
        <v>105</v>
      </c>
      <c r="D121" s="56">
        <v>3</v>
      </c>
      <c r="E121" s="56">
        <v>2</v>
      </c>
      <c r="F121" s="56">
        <v>1</v>
      </c>
      <c r="G121" s="56">
        <v>6</v>
      </c>
      <c r="N121" s="38"/>
    </row>
    <row r="122" spans="3:14" x14ac:dyDescent="0.25">
      <c r="C122" s="11" t="s">
        <v>71</v>
      </c>
      <c r="D122" s="56">
        <v>2</v>
      </c>
      <c r="E122" s="56">
        <v>4</v>
      </c>
      <c r="F122" s="56">
        <v>1</v>
      </c>
      <c r="G122" s="56">
        <v>7</v>
      </c>
      <c r="N122" s="38"/>
    </row>
    <row r="123" spans="3:14" x14ac:dyDescent="0.25">
      <c r="C123" s="26" t="s">
        <v>29</v>
      </c>
      <c r="D123" s="57">
        <v>4</v>
      </c>
      <c r="E123" s="57">
        <v>5</v>
      </c>
      <c r="F123" s="57">
        <v>7</v>
      </c>
      <c r="G123" s="57">
        <v>16</v>
      </c>
      <c r="N123" s="38"/>
    </row>
    <row r="124" spans="3:14" x14ac:dyDescent="0.25">
      <c r="C124" s="11" t="s">
        <v>61</v>
      </c>
      <c r="D124" s="56">
        <v>3</v>
      </c>
      <c r="E124" s="56">
        <v>2</v>
      </c>
      <c r="F124" s="56">
        <v>5</v>
      </c>
      <c r="G124" s="56">
        <v>10</v>
      </c>
      <c r="N124" s="38"/>
    </row>
    <row r="125" spans="3:14" x14ac:dyDescent="0.25">
      <c r="C125" s="11" t="s">
        <v>30</v>
      </c>
      <c r="D125" s="56">
        <v>1</v>
      </c>
      <c r="E125" s="56">
        <v>3</v>
      </c>
      <c r="F125" s="56">
        <v>2</v>
      </c>
      <c r="G125" s="56">
        <v>6</v>
      </c>
      <c r="N125" s="38"/>
    </row>
    <row r="126" spans="3:14" x14ac:dyDescent="0.25">
      <c r="C126" s="26" t="s">
        <v>245</v>
      </c>
      <c r="D126" s="57">
        <v>37</v>
      </c>
      <c r="E126" s="57">
        <v>37</v>
      </c>
      <c r="F126" s="57">
        <v>26</v>
      </c>
      <c r="G126" s="57">
        <v>100</v>
      </c>
      <c r="N126" s="38"/>
    </row>
    <row r="132" spans="3:4" s="81" customFormat="1" x14ac:dyDescent="0.25"/>
    <row r="133" spans="3:4" ht="36.75" customHeight="1" x14ac:dyDescent="0.25">
      <c r="C133" s="102" t="s">
        <v>308</v>
      </c>
      <c r="D133" s="103"/>
    </row>
    <row r="135" spans="3:4" ht="45" x14ac:dyDescent="0.25">
      <c r="C135" s="7" t="s">
        <v>2</v>
      </c>
      <c r="D135" s="65" t="s">
        <v>309</v>
      </c>
    </row>
    <row r="136" spans="3:4" x14ac:dyDescent="0.25">
      <c r="C136" s="12" t="s">
        <v>23</v>
      </c>
      <c r="D136" s="39">
        <v>1.8</v>
      </c>
    </row>
    <row r="137" spans="3:4" x14ac:dyDescent="0.25">
      <c r="C137" s="12" t="s">
        <v>52</v>
      </c>
      <c r="D137" s="39">
        <v>1.7142857142857142</v>
      </c>
    </row>
    <row r="138" spans="3:4" x14ac:dyDescent="0.25">
      <c r="C138" s="12" t="s">
        <v>41</v>
      </c>
      <c r="D138" s="39">
        <v>4.5</v>
      </c>
    </row>
    <row r="139" spans="3:4" x14ac:dyDescent="0.25">
      <c r="C139" s="12" t="s">
        <v>16</v>
      </c>
      <c r="D139" s="39">
        <v>3.1666666666666665</v>
      </c>
    </row>
    <row r="140" spans="3:4" x14ac:dyDescent="0.25">
      <c r="C140" s="12" t="s">
        <v>70</v>
      </c>
      <c r="D140" s="39">
        <v>2.8571428571428572</v>
      </c>
    </row>
    <row r="141" spans="3:4" x14ac:dyDescent="0.25">
      <c r="C141" s="12" t="s">
        <v>29</v>
      </c>
      <c r="D141" s="39">
        <v>3.1666666666666665</v>
      </c>
    </row>
    <row r="142" spans="3:4" x14ac:dyDescent="0.25">
      <c r="C142" s="12" t="s">
        <v>245</v>
      </c>
      <c r="D142" s="39">
        <v>2.8292682926829267</v>
      </c>
    </row>
    <row r="149" spans="3:9" s="81" customFormat="1" x14ac:dyDescent="0.25"/>
    <row r="151" spans="3:9" x14ac:dyDescent="0.25">
      <c r="C151" s="104" t="s">
        <v>329</v>
      </c>
      <c r="D151" s="105"/>
      <c r="E151" s="105"/>
      <c r="F151" s="105"/>
      <c r="G151" s="105"/>
      <c r="H151" s="105"/>
      <c r="I151" s="106"/>
    </row>
    <row r="152" spans="3:9" ht="30" x14ac:dyDescent="0.25">
      <c r="C152" s="65" t="s">
        <v>343</v>
      </c>
      <c r="D152" s="7" t="s">
        <v>341</v>
      </c>
    </row>
    <row r="153" spans="3:9" x14ac:dyDescent="0.25">
      <c r="C153" s="7" t="s">
        <v>2</v>
      </c>
      <c r="D153" s="7" t="s">
        <v>38</v>
      </c>
      <c r="E153" s="7" t="s">
        <v>45</v>
      </c>
      <c r="F153" s="7" t="s">
        <v>62</v>
      </c>
      <c r="G153" s="7" t="s">
        <v>20</v>
      </c>
      <c r="H153" s="7" t="s">
        <v>33</v>
      </c>
      <c r="I153" s="7" t="s">
        <v>245</v>
      </c>
    </row>
    <row r="154" spans="3:9" x14ac:dyDescent="0.25">
      <c r="C154" s="12" t="s">
        <v>23</v>
      </c>
      <c r="D154" s="101">
        <v>6</v>
      </c>
      <c r="E154" s="101">
        <v>4</v>
      </c>
      <c r="F154" s="101"/>
      <c r="G154" s="101">
        <v>4</v>
      </c>
      <c r="H154" s="101">
        <v>4</v>
      </c>
      <c r="I154" s="101">
        <v>18</v>
      </c>
    </row>
    <row r="155" spans="3:9" x14ac:dyDescent="0.25">
      <c r="C155" s="12" t="s">
        <v>52</v>
      </c>
      <c r="D155" s="101">
        <v>4</v>
      </c>
      <c r="E155" s="101">
        <v>4</v>
      </c>
      <c r="F155" s="101">
        <v>5</v>
      </c>
      <c r="G155" s="101">
        <v>4</v>
      </c>
      <c r="H155" s="101">
        <v>2</v>
      </c>
      <c r="I155" s="101">
        <v>19</v>
      </c>
    </row>
    <row r="156" spans="3:9" x14ac:dyDescent="0.25">
      <c r="C156" s="12" t="s">
        <v>41</v>
      </c>
      <c r="D156" s="101">
        <v>5</v>
      </c>
      <c r="E156" s="101">
        <v>1</v>
      </c>
      <c r="F156" s="101">
        <v>3</v>
      </c>
      <c r="G156" s="101">
        <v>4</v>
      </c>
      <c r="H156" s="101"/>
      <c r="I156" s="101">
        <v>13</v>
      </c>
    </row>
    <row r="157" spans="3:9" x14ac:dyDescent="0.25">
      <c r="C157" s="12" t="s">
        <v>16</v>
      </c>
      <c r="D157" s="101">
        <v>6</v>
      </c>
      <c r="E157" s="101">
        <v>5</v>
      </c>
      <c r="F157" s="101">
        <v>2</v>
      </c>
      <c r="G157" s="101">
        <v>5</v>
      </c>
      <c r="H157" s="101">
        <v>3</v>
      </c>
      <c r="I157" s="101">
        <v>21</v>
      </c>
    </row>
    <row r="158" spans="3:9" x14ac:dyDescent="0.25">
      <c r="C158" s="12" t="s">
        <v>70</v>
      </c>
      <c r="D158" s="101">
        <v>4</v>
      </c>
      <c r="E158" s="101">
        <v>3</v>
      </c>
      <c r="F158" s="101">
        <v>2</v>
      </c>
      <c r="G158" s="101">
        <v>3</v>
      </c>
      <c r="H158" s="101">
        <v>1</v>
      </c>
      <c r="I158" s="101">
        <v>13</v>
      </c>
    </row>
    <row r="159" spans="3:9" x14ac:dyDescent="0.25">
      <c r="C159" s="12" t="s">
        <v>29</v>
      </c>
      <c r="D159" s="101">
        <v>5</v>
      </c>
      <c r="E159" s="101">
        <v>3</v>
      </c>
      <c r="F159" s="101">
        <v>1</v>
      </c>
      <c r="G159" s="101">
        <v>3</v>
      </c>
      <c r="H159" s="101">
        <v>4</v>
      </c>
      <c r="I159" s="101">
        <v>16</v>
      </c>
    </row>
    <row r="160" spans="3:9" x14ac:dyDescent="0.25">
      <c r="C160" s="12" t="s">
        <v>245</v>
      </c>
      <c r="D160" s="101">
        <v>30</v>
      </c>
      <c r="E160" s="101">
        <v>20</v>
      </c>
      <c r="F160" s="101">
        <v>13</v>
      </c>
      <c r="G160" s="101">
        <v>23</v>
      </c>
      <c r="H160" s="101">
        <v>14</v>
      </c>
      <c r="I160" s="101">
        <v>100</v>
      </c>
    </row>
    <row r="168" spans="1:11" s="81" customFormat="1" x14ac:dyDescent="0.25"/>
    <row r="169" spans="1:11" x14ac:dyDescent="0.25">
      <c r="B169" s="7" t="s">
        <v>6</v>
      </c>
      <c r="C169" s="7" t="s">
        <v>25</v>
      </c>
      <c r="J169" s="7" t="s">
        <v>6</v>
      </c>
      <c r="K169" s="7" t="s">
        <v>25</v>
      </c>
    </row>
    <row r="170" spans="1:11" x14ac:dyDescent="0.25">
      <c r="A170" s="55" t="s">
        <v>332</v>
      </c>
      <c r="B170" s="55"/>
      <c r="C170" s="55"/>
      <c r="D170" s="55"/>
    </row>
    <row r="171" spans="1:11" x14ac:dyDescent="0.25">
      <c r="B171" s="7" t="s">
        <v>244</v>
      </c>
      <c r="C171" s="7" t="s">
        <v>313</v>
      </c>
      <c r="J171" s="7" t="s">
        <v>244</v>
      </c>
      <c r="K171" s="7" t="s">
        <v>313</v>
      </c>
    </row>
    <row r="172" spans="1:11" x14ac:dyDescent="0.25">
      <c r="B172" s="12" t="s">
        <v>23</v>
      </c>
      <c r="C172" s="54">
        <v>13</v>
      </c>
      <c r="J172" s="12" t="s">
        <v>54</v>
      </c>
      <c r="K172" s="58">
        <v>22</v>
      </c>
    </row>
    <row r="173" spans="1:11" x14ac:dyDescent="0.25">
      <c r="B173" s="12" t="s">
        <v>52</v>
      </c>
      <c r="C173" s="54">
        <v>12</v>
      </c>
      <c r="J173" s="12" t="s">
        <v>26</v>
      </c>
      <c r="K173" s="54">
        <v>22</v>
      </c>
    </row>
    <row r="174" spans="1:11" x14ac:dyDescent="0.25">
      <c r="B174" s="12" t="s">
        <v>41</v>
      </c>
      <c r="C174" s="54">
        <v>9</v>
      </c>
      <c r="J174" s="12" t="s">
        <v>19</v>
      </c>
      <c r="K174" s="54">
        <v>15</v>
      </c>
    </row>
    <row r="175" spans="1:11" x14ac:dyDescent="0.25">
      <c r="B175" s="12" t="s">
        <v>16</v>
      </c>
      <c r="C175" s="54">
        <v>9</v>
      </c>
      <c r="J175" s="12" t="s">
        <v>245</v>
      </c>
      <c r="K175" s="54">
        <v>59</v>
      </c>
    </row>
    <row r="176" spans="1:11" x14ac:dyDescent="0.25">
      <c r="B176" s="12" t="s">
        <v>70</v>
      </c>
      <c r="C176" s="54">
        <v>6</v>
      </c>
    </row>
    <row r="177" spans="2:15" x14ac:dyDescent="0.25">
      <c r="B177" s="12" t="s">
        <v>29</v>
      </c>
      <c r="C177" s="54">
        <v>10</v>
      </c>
    </row>
    <row r="178" spans="2:15" x14ac:dyDescent="0.25">
      <c r="B178" s="12" t="s">
        <v>245</v>
      </c>
      <c r="C178" s="54">
        <v>59</v>
      </c>
    </row>
    <row r="181" spans="2:15" x14ac:dyDescent="0.25">
      <c r="B181" s="7" t="s">
        <v>6</v>
      </c>
      <c r="C181" s="7" t="s">
        <v>25</v>
      </c>
      <c r="I181"/>
      <c r="J181"/>
    </row>
    <row r="183" spans="2:15" x14ac:dyDescent="0.25">
      <c r="B183" s="7" t="s">
        <v>313</v>
      </c>
      <c r="C183" s="7" t="s">
        <v>314</v>
      </c>
      <c r="I183" s="7" t="s">
        <v>313</v>
      </c>
      <c r="J183" s="7" t="s">
        <v>314</v>
      </c>
    </row>
    <row r="184" spans="2:15" x14ac:dyDescent="0.25">
      <c r="B184" s="7" t="s">
        <v>244</v>
      </c>
      <c r="C184" s="7" t="s">
        <v>54</v>
      </c>
      <c r="D184" s="7" t="s">
        <v>26</v>
      </c>
      <c r="E184" s="7" t="s">
        <v>19</v>
      </c>
      <c r="F184" s="7" t="s">
        <v>245</v>
      </c>
      <c r="I184" s="7" t="s">
        <v>244</v>
      </c>
      <c r="J184" s="7" t="s">
        <v>38</v>
      </c>
      <c r="K184" s="7" t="s">
        <v>45</v>
      </c>
      <c r="L184" s="7" t="s">
        <v>62</v>
      </c>
      <c r="M184" s="7" t="s">
        <v>20</v>
      </c>
      <c r="N184" s="7" t="s">
        <v>33</v>
      </c>
      <c r="O184" s="7" t="s">
        <v>245</v>
      </c>
    </row>
    <row r="185" spans="2:15" x14ac:dyDescent="0.25">
      <c r="B185" s="12" t="s">
        <v>257</v>
      </c>
      <c r="C185" s="58">
        <v>2</v>
      </c>
      <c r="D185" s="54">
        <v>1</v>
      </c>
      <c r="E185" s="54"/>
      <c r="F185" s="54">
        <v>3</v>
      </c>
      <c r="I185" s="12" t="s">
        <v>23</v>
      </c>
      <c r="J185" s="54">
        <v>6</v>
      </c>
      <c r="K185" s="54">
        <v>4</v>
      </c>
      <c r="L185" s="54"/>
      <c r="M185" s="54">
        <v>4</v>
      </c>
      <c r="N185" s="54">
        <v>4</v>
      </c>
      <c r="O185" s="54">
        <v>18</v>
      </c>
    </row>
    <row r="186" spans="2:15" x14ac:dyDescent="0.25">
      <c r="B186" s="12" t="s">
        <v>258</v>
      </c>
      <c r="C186" s="58">
        <v>4</v>
      </c>
      <c r="D186" s="54">
        <v>2</v>
      </c>
      <c r="E186" s="54">
        <v>1</v>
      </c>
      <c r="F186" s="54">
        <v>7</v>
      </c>
      <c r="I186" s="12" t="s">
        <v>52</v>
      </c>
      <c r="J186" s="54">
        <v>4</v>
      </c>
      <c r="K186" s="54">
        <v>4</v>
      </c>
      <c r="L186" s="54">
        <v>5</v>
      </c>
      <c r="M186" s="54">
        <v>4</v>
      </c>
      <c r="N186" s="54">
        <v>2</v>
      </c>
      <c r="O186" s="54">
        <v>19</v>
      </c>
    </row>
    <row r="187" spans="2:15" x14ac:dyDescent="0.25">
      <c r="B187" s="12" t="s">
        <v>259</v>
      </c>
      <c r="C187" s="58">
        <v>2</v>
      </c>
      <c r="D187" s="54">
        <v>3</v>
      </c>
      <c r="E187" s="54">
        <v>1</v>
      </c>
      <c r="F187" s="54">
        <v>6</v>
      </c>
      <c r="I187" s="12" t="s">
        <v>41</v>
      </c>
      <c r="J187" s="54">
        <v>5</v>
      </c>
      <c r="K187" s="54">
        <v>1</v>
      </c>
      <c r="L187" s="54">
        <v>3</v>
      </c>
      <c r="M187" s="54">
        <v>4</v>
      </c>
      <c r="N187" s="54"/>
      <c r="O187" s="54">
        <v>13</v>
      </c>
    </row>
    <row r="188" spans="2:15" x14ac:dyDescent="0.25">
      <c r="B188" s="12" t="s">
        <v>260</v>
      </c>
      <c r="C188" s="58">
        <v>3</v>
      </c>
      <c r="D188" s="54">
        <v>6</v>
      </c>
      <c r="E188" s="54">
        <v>3</v>
      </c>
      <c r="F188" s="54">
        <v>12</v>
      </c>
      <c r="I188" s="12" t="s">
        <v>16</v>
      </c>
      <c r="J188" s="54">
        <v>6</v>
      </c>
      <c r="K188" s="54">
        <v>5</v>
      </c>
      <c r="L188" s="54">
        <v>2</v>
      </c>
      <c r="M188" s="54">
        <v>5</v>
      </c>
      <c r="N188" s="54">
        <v>3</v>
      </c>
      <c r="O188" s="54">
        <v>21</v>
      </c>
    </row>
    <row r="189" spans="2:15" x14ac:dyDescent="0.25">
      <c r="B189" s="12" t="s">
        <v>261</v>
      </c>
      <c r="C189" s="58">
        <v>1</v>
      </c>
      <c r="D189" s="54">
        <v>1</v>
      </c>
      <c r="E189" s="54">
        <v>4</v>
      </c>
      <c r="F189" s="54">
        <v>6</v>
      </c>
      <c r="I189" s="12" t="s">
        <v>70</v>
      </c>
      <c r="J189" s="54">
        <v>4</v>
      </c>
      <c r="K189" s="54">
        <v>3</v>
      </c>
      <c r="L189" s="54">
        <v>2</v>
      </c>
      <c r="M189" s="54">
        <v>3</v>
      </c>
      <c r="N189" s="54">
        <v>1</v>
      </c>
      <c r="O189" s="54">
        <v>13</v>
      </c>
    </row>
    <row r="190" spans="2:15" x14ac:dyDescent="0.25">
      <c r="B190" s="12" t="s">
        <v>262</v>
      </c>
      <c r="C190" s="58">
        <v>2</v>
      </c>
      <c r="D190" s="54">
        <v>2</v>
      </c>
      <c r="E190" s="54">
        <v>1</v>
      </c>
      <c r="F190" s="54">
        <v>5</v>
      </c>
      <c r="I190" s="12" t="s">
        <v>29</v>
      </c>
      <c r="J190" s="54">
        <v>5</v>
      </c>
      <c r="K190" s="54">
        <v>3</v>
      </c>
      <c r="L190" s="54">
        <v>1</v>
      </c>
      <c r="M190" s="54">
        <v>3</v>
      </c>
      <c r="N190" s="54">
        <v>4</v>
      </c>
      <c r="O190" s="54">
        <v>16</v>
      </c>
    </row>
    <row r="191" spans="2:15" x14ac:dyDescent="0.25">
      <c r="B191" s="12" t="s">
        <v>263</v>
      </c>
      <c r="C191" s="58">
        <v>2</v>
      </c>
      <c r="D191" s="54">
        <v>2</v>
      </c>
      <c r="E191" s="54">
        <v>1</v>
      </c>
      <c r="F191" s="54">
        <v>5</v>
      </c>
      <c r="I191" s="12" t="s">
        <v>245</v>
      </c>
      <c r="J191" s="54">
        <v>30</v>
      </c>
      <c r="K191" s="54">
        <v>20</v>
      </c>
      <c r="L191" s="54">
        <v>13</v>
      </c>
      <c r="M191" s="54">
        <v>23</v>
      </c>
      <c r="N191" s="54">
        <v>14</v>
      </c>
      <c r="O191" s="54">
        <v>100</v>
      </c>
    </row>
    <row r="192" spans="2:15" x14ac:dyDescent="0.25">
      <c r="B192" s="12" t="s">
        <v>264</v>
      </c>
      <c r="C192" s="58">
        <v>2</v>
      </c>
      <c r="D192" s="54">
        <v>3</v>
      </c>
      <c r="E192" s="54">
        <v>3</v>
      </c>
      <c r="F192" s="54">
        <v>8</v>
      </c>
    </row>
    <row r="193" spans="2:6" x14ac:dyDescent="0.25">
      <c r="B193" s="12" t="s">
        <v>265</v>
      </c>
      <c r="C193" s="58">
        <v>4</v>
      </c>
      <c r="D193" s="54">
        <v>1</v>
      </c>
      <c r="E193" s="54"/>
      <c r="F193" s="54">
        <v>5</v>
      </c>
    </row>
    <row r="194" spans="2:6" x14ac:dyDescent="0.25">
      <c r="B194" s="12" t="s">
        <v>266</v>
      </c>
      <c r="C194" s="58"/>
      <c r="D194" s="54">
        <v>1</v>
      </c>
      <c r="E194" s="54">
        <v>1</v>
      </c>
      <c r="F194" s="54">
        <v>2</v>
      </c>
    </row>
    <row r="195" spans="2:6" x14ac:dyDescent="0.25">
      <c r="B195" s="12" t="s">
        <v>245</v>
      </c>
      <c r="C195" s="58">
        <v>22</v>
      </c>
      <c r="D195" s="54">
        <v>22</v>
      </c>
      <c r="E195" s="54">
        <v>15</v>
      </c>
      <c r="F195" s="54">
        <v>59</v>
      </c>
    </row>
  </sheetData>
  <mergeCells count="11">
    <mergeCell ref="A170:D170"/>
    <mergeCell ref="J65:U65"/>
    <mergeCell ref="C65:H65"/>
    <mergeCell ref="B37:F38"/>
    <mergeCell ref="C86:D87"/>
    <mergeCell ref="C103:G104"/>
    <mergeCell ref="C151:I151"/>
    <mergeCell ref="C133:D133"/>
    <mergeCell ref="J105:L105"/>
    <mergeCell ref="C2:D2"/>
    <mergeCell ref="C26:F26"/>
  </mergeCells>
  <conditionalFormatting pivot="1" sqref="D5:D6 D8:D9 D11:D13 D15:D16 D18:D19 D21:D22">
    <cfRule type="colorScale" priority="10">
      <colorScale>
        <cfvo type="min"/>
        <cfvo type="percent" val="50"/>
        <cfvo type="max"/>
        <color rgb="FFF8696B"/>
        <color rgb="FFFFEB84"/>
        <color rgb="FF63BE7B"/>
      </colorScale>
    </cfRule>
  </conditionalFormatting>
  <conditionalFormatting sqref="F28:F33">
    <cfRule type="colorScale" priority="6">
      <colorScale>
        <cfvo type="min"/>
        <cfvo type="max"/>
        <color rgb="FFFCFCFF"/>
        <color rgb="FFF8696B"/>
      </colorScale>
    </cfRule>
  </conditionalFormatting>
  <conditionalFormatting sqref="J67:J78">
    <cfRule type="colorScale" priority="4">
      <colorScale>
        <cfvo type="min"/>
        <cfvo type="max"/>
        <color rgb="FFFCFCFF"/>
        <color rgb="FF63BE7B"/>
      </colorScale>
    </cfRule>
  </conditionalFormatting>
  <conditionalFormatting sqref="J67:J78">
    <cfRule type="colorScale" priority="3">
      <colorScale>
        <cfvo type="min"/>
        <cfvo type="max"/>
        <color rgb="FFFCFCFF"/>
        <color rgb="FF63BE7B"/>
      </colorScale>
    </cfRule>
  </conditionalFormatting>
  <conditionalFormatting sqref="J107:L112">
    <cfRule type="colorScale" priority="1">
      <colorScale>
        <cfvo type="min"/>
        <cfvo type="max"/>
        <color rgb="FFFCFCFF"/>
        <color rgb="FF63BE7B"/>
      </colorScale>
    </cfRule>
  </conditionalFormatting>
  <pageMargins left="0.7" right="0.7" top="0.75" bottom="0.75" header="0.3" footer="0.3"/>
  <pageSetup paperSize="9" orientation="portrait" r:id="rId13"/>
  <drawing r:id="rId14"/>
  <extLst>
    <ext xmlns:x14="http://schemas.microsoft.com/office/spreadsheetml/2009/9/main" uri="{A8765BA9-456A-4dab-B4F3-ACF838C121DE}">
      <x14:slicerList>
        <x14:slicer r:id="rId1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B4A84-5E6A-46E6-B811-81FA0CD9C8E4}">
  <dimension ref="B2:W40"/>
  <sheetViews>
    <sheetView topLeftCell="B1" workbookViewId="0">
      <selection activeCell="X36" sqref="X36"/>
    </sheetView>
  </sheetViews>
  <sheetFormatPr defaultRowHeight="15" x14ac:dyDescent="0.25"/>
  <cols>
    <col min="1" max="16384" width="9.140625" style="7"/>
  </cols>
  <sheetData>
    <row r="2" spans="2:12" x14ac:dyDescent="0.25">
      <c r="B2" s="44" t="s">
        <v>310</v>
      </c>
      <c r="C2" s="45"/>
      <c r="D2" s="46"/>
      <c r="F2" s="44" t="s">
        <v>311</v>
      </c>
      <c r="G2" s="45"/>
      <c r="H2" s="46"/>
      <c r="J2" s="44" t="s">
        <v>312</v>
      </c>
      <c r="K2" s="45"/>
      <c r="L2" s="46"/>
    </row>
    <row r="3" spans="2:12" ht="21" x14ac:dyDescent="0.25">
      <c r="B3" s="41">
        <f>AVERAGEIFS(Dataset1!$J$2:$J$101,Dataset1!$G$2:$G$101,"Active")</f>
        <v>79076.576271186437</v>
      </c>
      <c r="C3" s="42"/>
      <c r="D3" s="43"/>
      <c r="F3" s="48" t="str">
        <f>ROUND(AVERAGEIFS(Dataset1!$Q$2:$Q$101,Dataset1!$G$2:$G$101,"Terminated"),1)&amp;" Years"</f>
        <v>2,8 Years</v>
      </c>
      <c r="G3" s="49"/>
      <c r="H3" s="50"/>
      <c r="J3" s="51">
        <f>COUNTIF(Dataset1!$F$2:$F$101,"")/(COUNTA(Dataset1!$B$2:$B$101))</f>
        <v>0.59</v>
      </c>
      <c r="K3" s="52"/>
      <c r="L3" s="53"/>
    </row>
    <row r="6" spans="2:12" ht="15" customHeight="1" x14ac:dyDescent="0.25">
      <c r="B6" s="62" t="s">
        <v>315</v>
      </c>
      <c r="C6" s="63"/>
      <c r="D6" s="63"/>
      <c r="E6" s="63"/>
      <c r="F6" s="63"/>
      <c r="G6" s="64"/>
      <c r="I6" s="62" t="s">
        <v>316</v>
      </c>
      <c r="J6" s="63"/>
      <c r="K6" s="63"/>
      <c r="L6" s="64"/>
    </row>
    <row r="7" spans="2:12" ht="15" customHeight="1" x14ac:dyDescent="0.25">
      <c r="B7" s="41"/>
      <c r="C7" s="42"/>
      <c r="D7" s="42"/>
      <c r="E7" s="42"/>
      <c r="F7" s="42"/>
      <c r="G7" s="43"/>
      <c r="I7" s="41"/>
      <c r="J7" s="42"/>
      <c r="K7" s="42"/>
      <c r="L7" s="43"/>
    </row>
    <row r="8" spans="2:12" x14ac:dyDescent="0.25">
      <c r="B8" s="66"/>
      <c r="C8" s="67"/>
      <c r="D8" s="67"/>
      <c r="E8" s="67"/>
      <c r="F8" s="67"/>
      <c r="G8" s="68"/>
      <c r="I8" s="72"/>
      <c r="J8" s="73"/>
      <c r="K8" s="73"/>
      <c r="L8" s="74"/>
    </row>
    <row r="9" spans="2:12" x14ac:dyDescent="0.25">
      <c r="B9" s="66"/>
      <c r="C9" s="67"/>
      <c r="D9" s="67"/>
      <c r="E9" s="67"/>
      <c r="F9" s="67"/>
      <c r="G9" s="68"/>
      <c r="I9" s="66"/>
      <c r="J9" s="67"/>
      <c r="K9" s="67"/>
      <c r="L9" s="68"/>
    </row>
    <row r="10" spans="2:12" x14ac:dyDescent="0.25">
      <c r="B10" s="66"/>
      <c r="C10" s="67"/>
      <c r="D10" s="67"/>
      <c r="E10" s="67"/>
      <c r="F10" s="67"/>
      <c r="G10" s="68"/>
      <c r="I10" s="66"/>
      <c r="J10" s="67"/>
      <c r="K10" s="67"/>
      <c r="L10" s="68"/>
    </row>
    <row r="11" spans="2:12" x14ac:dyDescent="0.25">
      <c r="B11" s="66"/>
      <c r="C11" s="67"/>
      <c r="D11" s="67"/>
      <c r="E11" s="67"/>
      <c r="F11" s="67"/>
      <c r="G11" s="68"/>
      <c r="I11" s="66"/>
      <c r="J11" s="67"/>
      <c r="K11" s="67"/>
      <c r="L11" s="68"/>
    </row>
    <row r="12" spans="2:12" x14ac:dyDescent="0.25">
      <c r="B12" s="66"/>
      <c r="C12" s="67"/>
      <c r="D12" s="67"/>
      <c r="E12" s="67"/>
      <c r="F12" s="67"/>
      <c r="G12" s="68"/>
      <c r="I12" s="66"/>
      <c r="J12" s="67"/>
      <c r="K12" s="67"/>
      <c r="L12" s="68"/>
    </row>
    <row r="13" spans="2:12" x14ac:dyDescent="0.25">
      <c r="B13" s="66"/>
      <c r="C13" s="67"/>
      <c r="D13" s="67"/>
      <c r="E13" s="67"/>
      <c r="F13" s="67"/>
      <c r="G13" s="68"/>
      <c r="I13" s="66"/>
      <c r="J13" s="67"/>
      <c r="K13" s="67"/>
      <c r="L13" s="68"/>
    </row>
    <row r="14" spans="2:12" x14ac:dyDescent="0.25">
      <c r="B14" s="66"/>
      <c r="C14" s="67"/>
      <c r="D14" s="67"/>
      <c r="E14" s="67"/>
      <c r="F14" s="67"/>
      <c r="G14" s="68"/>
      <c r="I14" s="66"/>
      <c r="J14" s="67"/>
      <c r="K14" s="67"/>
      <c r="L14" s="68"/>
    </row>
    <row r="15" spans="2:12" x14ac:dyDescent="0.25">
      <c r="B15" s="66"/>
      <c r="C15" s="67"/>
      <c r="D15" s="67"/>
      <c r="E15" s="67"/>
      <c r="F15" s="67"/>
      <c r="G15" s="68"/>
      <c r="I15" s="66"/>
      <c r="J15" s="67"/>
      <c r="K15" s="67"/>
      <c r="L15" s="68"/>
    </row>
    <row r="16" spans="2:12" x14ac:dyDescent="0.25">
      <c r="B16" s="66"/>
      <c r="C16" s="67"/>
      <c r="D16" s="67"/>
      <c r="E16" s="67"/>
      <c r="F16" s="67"/>
      <c r="G16" s="68"/>
      <c r="I16" s="66"/>
      <c r="J16" s="67"/>
      <c r="K16" s="67"/>
      <c r="L16" s="68"/>
    </row>
    <row r="17" spans="2:23" ht="15" customHeight="1" x14ac:dyDescent="0.25">
      <c r="B17" s="66"/>
      <c r="C17" s="67"/>
      <c r="D17" s="67"/>
      <c r="E17" s="67"/>
      <c r="F17" s="67"/>
      <c r="G17" s="68"/>
      <c r="I17" s="66"/>
      <c r="J17" s="67"/>
      <c r="K17" s="67"/>
      <c r="L17" s="68"/>
      <c r="N17" s="62" t="s">
        <v>342</v>
      </c>
      <c r="O17" s="63"/>
      <c r="P17" s="63"/>
      <c r="Q17" s="63"/>
      <c r="R17" s="63"/>
      <c r="S17" s="63"/>
      <c r="T17" s="63"/>
      <c r="U17" s="63"/>
      <c r="V17" s="63"/>
      <c r="W17" s="64"/>
    </row>
    <row r="18" spans="2:23" ht="15" customHeight="1" x14ac:dyDescent="0.25">
      <c r="B18" s="66"/>
      <c r="C18" s="67"/>
      <c r="D18" s="67"/>
      <c r="E18" s="67"/>
      <c r="F18" s="67"/>
      <c r="G18" s="68"/>
      <c r="I18" s="66"/>
      <c r="J18" s="67"/>
      <c r="K18" s="67"/>
      <c r="L18" s="68"/>
      <c r="N18" s="41"/>
      <c r="O18" s="42"/>
      <c r="P18" s="42"/>
      <c r="Q18" s="42"/>
      <c r="R18" s="42"/>
      <c r="S18" s="42"/>
      <c r="T18" s="42"/>
      <c r="U18" s="42"/>
      <c r="V18" s="42"/>
      <c r="W18" s="43"/>
    </row>
    <row r="19" spans="2:23" x14ac:dyDescent="0.25">
      <c r="B19" s="66"/>
      <c r="C19" s="67"/>
      <c r="D19" s="67"/>
      <c r="E19" s="67"/>
      <c r="F19" s="67"/>
      <c r="G19" s="68"/>
      <c r="I19" s="66"/>
      <c r="J19" s="67"/>
      <c r="K19" s="67"/>
      <c r="L19" s="68"/>
      <c r="N19" s="72"/>
      <c r="O19" s="73"/>
      <c r="P19" s="73"/>
      <c r="Q19" s="73"/>
      <c r="R19" s="73"/>
      <c r="S19" s="73"/>
      <c r="T19" s="73"/>
      <c r="U19" s="73"/>
      <c r="V19" s="73"/>
      <c r="W19" s="74"/>
    </row>
    <row r="20" spans="2:23" ht="15" customHeight="1" x14ac:dyDescent="0.25">
      <c r="B20" s="66"/>
      <c r="C20" s="67"/>
      <c r="D20" s="67"/>
      <c r="E20" s="67"/>
      <c r="F20" s="67"/>
      <c r="G20" s="68"/>
      <c r="I20" s="66"/>
      <c r="J20" s="67"/>
      <c r="K20" s="67"/>
      <c r="L20" s="68"/>
      <c r="N20" s="66"/>
      <c r="O20" s="67"/>
      <c r="P20" s="67"/>
      <c r="Q20" s="67"/>
      <c r="R20" s="67"/>
      <c r="S20" s="67"/>
      <c r="T20" s="67"/>
      <c r="U20" s="67"/>
      <c r="V20" s="67"/>
      <c r="W20" s="68"/>
    </row>
    <row r="21" spans="2:23" ht="15" customHeight="1" x14ac:dyDescent="0.25">
      <c r="B21" s="66"/>
      <c r="C21" s="67"/>
      <c r="D21" s="67"/>
      <c r="E21" s="67"/>
      <c r="F21" s="67"/>
      <c r="G21" s="68"/>
      <c r="I21" s="66"/>
      <c r="J21" s="67"/>
      <c r="K21" s="67"/>
      <c r="L21" s="68"/>
      <c r="N21" s="66"/>
      <c r="O21" s="67"/>
      <c r="P21" s="67"/>
      <c r="Q21" s="67"/>
      <c r="R21" s="67"/>
      <c r="S21" s="67"/>
      <c r="T21" s="67"/>
      <c r="U21" s="67"/>
      <c r="V21" s="67"/>
      <c r="W21" s="68"/>
    </row>
    <row r="22" spans="2:23" x14ac:dyDescent="0.25">
      <c r="B22" s="69"/>
      <c r="C22" s="70"/>
      <c r="D22" s="70"/>
      <c r="E22" s="70"/>
      <c r="F22" s="70"/>
      <c r="G22" s="71"/>
      <c r="I22" s="69"/>
      <c r="J22" s="70"/>
      <c r="K22" s="70"/>
      <c r="L22" s="71"/>
      <c r="N22" s="66"/>
      <c r="O22" s="67"/>
      <c r="P22" s="67"/>
      <c r="Q22" s="67"/>
      <c r="R22" s="67"/>
      <c r="S22" s="67"/>
      <c r="T22" s="67"/>
      <c r="U22" s="67"/>
      <c r="V22" s="67"/>
      <c r="W22" s="68"/>
    </row>
    <row r="23" spans="2:23" x14ac:dyDescent="0.25">
      <c r="N23" s="66"/>
      <c r="O23" s="67"/>
      <c r="P23" s="67"/>
      <c r="Q23" s="67"/>
      <c r="R23" s="67"/>
      <c r="S23" s="67"/>
      <c r="T23" s="67"/>
      <c r="U23" s="67"/>
      <c r="V23" s="67"/>
      <c r="W23" s="68"/>
    </row>
    <row r="24" spans="2:23" ht="15" customHeight="1" x14ac:dyDescent="0.25">
      <c r="B24" s="62" t="s">
        <v>317</v>
      </c>
      <c r="C24" s="63"/>
      <c r="D24" s="63"/>
      <c r="E24" s="63"/>
      <c r="F24" s="63"/>
      <c r="G24" s="63"/>
      <c r="H24" s="63"/>
      <c r="I24" s="63"/>
      <c r="J24" s="63"/>
      <c r="K24" s="63"/>
      <c r="L24" s="64"/>
      <c r="N24" s="66"/>
      <c r="O24" s="67"/>
      <c r="P24" s="67"/>
      <c r="Q24" s="67"/>
      <c r="R24" s="67"/>
      <c r="S24" s="67"/>
      <c r="T24" s="67"/>
      <c r="U24" s="67"/>
      <c r="V24" s="67"/>
      <c r="W24" s="68"/>
    </row>
    <row r="25" spans="2:23" ht="15" customHeight="1" x14ac:dyDescent="0.25">
      <c r="B25" s="61"/>
      <c r="C25" s="60"/>
      <c r="D25" s="60"/>
      <c r="E25" s="60"/>
      <c r="F25" s="60"/>
      <c r="G25" s="60"/>
      <c r="H25" s="60"/>
      <c r="I25" s="60"/>
      <c r="J25" s="60"/>
      <c r="K25" s="60"/>
      <c r="L25" s="75"/>
      <c r="N25" s="66"/>
      <c r="O25" s="67"/>
      <c r="P25" s="67"/>
      <c r="Q25" s="67"/>
      <c r="R25" s="67"/>
      <c r="S25" s="67"/>
      <c r="T25" s="67"/>
      <c r="U25" s="67"/>
      <c r="V25" s="67"/>
      <c r="W25" s="68"/>
    </row>
    <row r="26" spans="2:23" x14ac:dyDescent="0.25">
      <c r="B26" s="66"/>
      <c r="C26" s="67"/>
      <c r="D26" s="67"/>
      <c r="E26" s="67"/>
      <c r="F26" s="67"/>
      <c r="G26" s="67"/>
      <c r="H26" s="67"/>
      <c r="I26" s="67"/>
      <c r="J26" s="67"/>
      <c r="K26" s="67"/>
      <c r="L26" s="68"/>
      <c r="N26" s="66"/>
      <c r="O26" s="67"/>
      <c r="P26" s="67"/>
      <c r="Q26" s="67"/>
      <c r="R26" s="67"/>
      <c r="S26" s="67"/>
      <c r="T26" s="67"/>
      <c r="U26" s="67"/>
      <c r="V26" s="67"/>
      <c r="W26" s="68"/>
    </row>
    <row r="27" spans="2:23" x14ac:dyDescent="0.25">
      <c r="B27" s="66"/>
      <c r="C27" s="67"/>
      <c r="D27" s="67"/>
      <c r="E27" s="67"/>
      <c r="F27" s="67"/>
      <c r="G27" s="67"/>
      <c r="H27" s="67"/>
      <c r="I27" s="67"/>
      <c r="J27" s="67"/>
      <c r="K27" s="67"/>
      <c r="L27" s="68"/>
      <c r="N27" s="66"/>
      <c r="O27" s="67"/>
      <c r="P27" s="67"/>
      <c r="Q27" s="67"/>
      <c r="R27" s="67"/>
      <c r="S27" s="67"/>
      <c r="T27" s="67"/>
      <c r="U27" s="67"/>
      <c r="V27" s="67"/>
      <c r="W27" s="68"/>
    </row>
    <row r="28" spans="2:23" x14ac:dyDescent="0.25">
      <c r="B28" s="66"/>
      <c r="C28" s="67"/>
      <c r="D28" s="67"/>
      <c r="E28" s="67"/>
      <c r="F28" s="67"/>
      <c r="G28" s="67"/>
      <c r="H28" s="67"/>
      <c r="I28" s="67"/>
      <c r="J28" s="67"/>
      <c r="K28" s="67"/>
      <c r="L28" s="68"/>
      <c r="N28" s="66"/>
      <c r="O28" s="67"/>
      <c r="P28" s="67"/>
      <c r="Q28" s="67"/>
      <c r="R28" s="67"/>
      <c r="S28" s="67"/>
      <c r="T28" s="67"/>
      <c r="U28" s="67"/>
      <c r="V28" s="67"/>
      <c r="W28" s="68"/>
    </row>
    <row r="29" spans="2:23" x14ac:dyDescent="0.25">
      <c r="B29" s="66"/>
      <c r="C29" s="67"/>
      <c r="D29" s="67"/>
      <c r="E29" s="67"/>
      <c r="F29" s="67"/>
      <c r="G29" s="67"/>
      <c r="H29" s="67"/>
      <c r="I29" s="67"/>
      <c r="J29" s="67"/>
      <c r="K29" s="67"/>
      <c r="L29" s="68"/>
      <c r="N29" s="66"/>
      <c r="O29" s="67"/>
      <c r="P29" s="67"/>
      <c r="Q29" s="67"/>
      <c r="R29" s="67"/>
      <c r="S29" s="67"/>
      <c r="T29" s="67"/>
      <c r="U29" s="67"/>
      <c r="V29" s="67"/>
      <c r="W29" s="68"/>
    </row>
    <row r="30" spans="2:23" x14ac:dyDescent="0.25">
      <c r="B30" s="66"/>
      <c r="C30" s="67"/>
      <c r="D30" s="67"/>
      <c r="E30" s="67"/>
      <c r="F30" s="67"/>
      <c r="G30" s="67"/>
      <c r="H30" s="67"/>
      <c r="I30" s="67"/>
      <c r="J30" s="67"/>
      <c r="K30" s="67"/>
      <c r="L30" s="68"/>
      <c r="N30" s="66"/>
      <c r="O30" s="67"/>
      <c r="P30" s="67"/>
      <c r="Q30" s="67"/>
      <c r="R30" s="67"/>
      <c r="S30" s="67"/>
      <c r="T30" s="67"/>
      <c r="U30" s="67"/>
      <c r="V30" s="67"/>
      <c r="W30" s="68"/>
    </row>
    <row r="31" spans="2:23" x14ac:dyDescent="0.25">
      <c r="B31" s="66"/>
      <c r="C31" s="67"/>
      <c r="D31" s="67"/>
      <c r="E31" s="67"/>
      <c r="F31" s="67"/>
      <c r="G31" s="67"/>
      <c r="H31" s="67"/>
      <c r="I31" s="67"/>
      <c r="J31" s="67"/>
      <c r="K31" s="67"/>
      <c r="L31" s="68"/>
      <c r="N31" s="66"/>
      <c r="O31" s="67"/>
      <c r="P31" s="67"/>
      <c r="Q31" s="67"/>
      <c r="R31" s="67"/>
      <c r="S31" s="67"/>
      <c r="T31" s="67"/>
      <c r="U31" s="67"/>
      <c r="V31" s="67"/>
      <c r="W31" s="68"/>
    </row>
    <row r="32" spans="2:23" x14ac:dyDescent="0.25">
      <c r="B32" s="66"/>
      <c r="C32" s="67"/>
      <c r="D32" s="67"/>
      <c r="E32" s="67"/>
      <c r="F32" s="67"/>
      <c r="G32" s="67"/>
      <c r="H32" s="67"/>
      <c r="I32" s="67"/>
      <c r="J32" s="67"/>
      <c r="K32" s="67"/>
      <c r="L32" s="68"/>
      <c r="N32" s="66"/>
      <c r="O32" s="67"/>
      <c r="P32" s="67"/>
      <c r="Q32" s="67"/>
      <c r="R32" s="67"/>
      <c r="S32" s="67"/>
      <c r="T32" s="67"/>
      <c r="U32" s="67"/>
      <c r="V32" s="67"/>
      <c r="W32" s="68"/>
    </row>
    <row r="33" spans="2:23" x14ac:dyDescent="0.25">
      <c r="B33" s="66"/>
      <c r="C33" s="67"/>
      <c r="D33" s="67"/>
      <c r="E33" s="67"/>
      <c r="F33" s="67"/>
      <c r="G33" s="67"/>
      <c r="H33" s="67"/>
      <c r="I33" s="67"/>
      <c r="J33" s="67"/>
      <c r="K33" s="67"/>
      <c r="L33" s="68"/>
      <c r="N33" s="66"/>
      <c r="O33" s="67"/>
      <c r="P33" s="67"/>
      <c r="Q33" s="67"/>
      <c r="R33" s="67"/>
      <c r="S33" s="67"/>
      <c r="T33" s="67"/>
      <c r="U33" s="67"/>
      <c r="V33" s="67"/>
      <c r="W33" s="68"/>
    </row>
    <row r="34" spans="2:23" x14ac:dyDescent="0.25">
      <c r="B34" s="66"/>
      <c r="C34" s="67"/>
      <c r="D34" s="67"/>
      <c r="E34" s="67"/>
      <c r="F34" s="67"/>
      <c r="G34" s="67"/>
      <c r="H34" s="67"/>
      <c r="I34" s="67"/>
      <c r="J34" s="67"/>
      <c r="K34" s="67"/>
      <c r="L34" s="68"/>
      <c r="N34" s="66"/>
      <c r="O34" s="67"/>
      <c r="P34" s="67"/>
      <c r="Q34" s="67"/>
      <c r="R34" s="67"/>
      <c r="S34" s="67"/>
      <c r="T34" s="67"/>
      <c r="U34" s="67"/>
      <c r="V34" s="67"/>
      <c r="W34" s="68"/>
    </row>
    <row r="35" spans="2:23" x14ac:dyDescent="0.25">
      <c r="B35" s="66"/>
      <c r="C35" s="67"/>
      <c r="D35" s="67"/>
      <c r="E35" s="67"/>
      <c r="F35" s="67"/>
      <c r="G35" s="67"/>
      <c r="H35" s="67"/>
      <c r="I35" s="67"/>
      <c r="J35" s="67"/>
      <c r="K35" s="67"/>
      <c r="L35" s="68"/>
      <c r="N35" s="66"/>
      <c r="O35" s="67"/>
      <c r="P35" s="67"/>
      <c r="Q35" s="67"/>
      <c r="R35" s="67"/>
      <c r="S35" s="67"/>
      <c r="T35" s="67"/>
      <c r="U35" s="67"/>
      <c r="V35" s="67"/>
      <c r="W35" s="68"/>
    </row>
    <row r="36" spans="2:23" x14ac:dyDescent="0.25">
      <c r="B36" s="66"/>
      <c r="C36" s="67"/>
      <c r="D36" s="67"/>
      <c r="E36" s="67"/>
      <c r="F36" s="67"/>
      <c r="G36" s="67"/>
      <c r="H36" s="67"/>
      <c r="I36" s="67"/>
      <c r="J36" s="67"/>
      <c r="K36" s="67"/>
      <c r="L36" s="68"/>
      <c r="N36" s="66"/>
      <c r="O36" s="67"/>
      <c r="P36" s="67"/>
      <c r="Q36" s="67"/>
      <c r="R36" s="67"/>
      <c r="S36" s="67"/>
      <c r="T36" s="67"/>
      <c r="U36" s="67"/>
      <c r="V36" s="67"/>
      <c r="W36" s="68"/>
    </row>
    <row r="37" spans="2:23" x14ac:dyDescent="0.25">
      <c r="B37" s="66"/>
      <c r="C37" s="67"/>
      <c r="D37" s="67"/>
      <c r="E37" s="67"/>
      <c r="F37" s="67"/>
      <c r="G37" s="67"/>
      <c r="H37" s="67"/>
      <c r="I37" s="67"/>
      <c r="J37" s="67"/>
      <c r="K37" s="67"/>
      <c r="L37" s="68"/>
      <c r="N37" s="66"/>
      <c r="O37" s="67"/>
      <c r="P37" s="67"/>
      <c r="Q37" s="67"/>
      <c r="R37" s="67"/>
      <c r="S37" s="67"/>
      <c r="T37" s="67"/>
      <c r="U37" s="67"/>
      <c r="V37" s="67"/>
      <c r="W37" s="68"/>
    </row>
    <row r="38" spans="2:23" x14ac:dyDescent="0.25">
      <c r="B38" s="66"/>
      <c r="C38" s="67"/>
      <c r="D38" s="67"/>
      <c r="E38" s="67"/>
      <c r="F38" s="67"/>
      <c r="G38" s="67"/>
      <c r="H38" s="67"/>
      <c r="I38" s="67"/>
      <c r="J38" s="67"/>
      <c r="K38" s="67"/>
      <c r="L38" s="68"/>
      <c r="N38" s="66"/>
      <c r="O38" s="67"/>
      <c r="P38" s="67"/>
      <c r="Q38" s="67"/>
      <c r="R38" s="67"/>
      <c r="S38" s="67"/>
      <c r="T38" s="67"/>
      <c r="U38" s="67"/>
      <c r="V38" s="67"/>
      <c r="W38" s="68"/>
    </row>
    <row r="39" spans="2:23" x14ac:dyDescent="0.25">
      <c r="B39" s="66"/>
      <c r="C39" s="67"/>
      <c r="D39" s="67"/>
      <c r="E39" s="67"/>
      <c r="F39" s="67"/>
      <c r="G39" s="67"/>
      <c r="H39" s="67"/>
      <c r="I39" s="67"/>
      <c r="J39" s="67"/>
      <c r="K39" s="67"/>
      <c r="L39" s="68"/>
      <c r="N39" s="66"/>
      <c r="O39" s="67"/>
      <c r="P39" s="67"/>
      <c r="Q39" s="67"/>
      <c r="R39" s="67"/>
      <c r="S39" s="67"/>
      <c r="T39" s="67"/>
      <c r="U39" s="67"/>
      <c r="V39" s="67"/>
      <c r="W39" s="68"/>
    </row>
    <row r="40" spans="2:23" x14ac:dyDescent="0.25">
      <c r="B40" s="69"/>
      <c r="C40" s="70"/>
      <c r="D40" s="70"/>
      <c r="E40" s="70"/>
      <c r="F40" s="70"/>
      <c r="G40" s="70"/>
      <c r="H40" s="70"/>
      <c r="I40" s="70"/>
      <c r="J40" s="70"/>
      <c r="K40" s="70"/>
      <c r="L40" s="71"/>
      <c r="N40" s="69"/>
      <c r="O40" s="70"/>
      <c r="P40" s="70"/>
      <c r="Q40" s="70"/>
      <c r="R40" s="70"/>
      <c r="S40" s="70"/>
      <c r="T40" s="70"/>
      <c r="U40" s="70"/>
      <c r="V40" s="70"/>
      <c r="W40" s="71"/>
    </row>
  </sheetData>
  <mergeCells count="10">
    <mergeCell ref="B24:L25"/>
    <mergeCell ref="N17:W18"/>
    <mergeCell ref="I6:L7"/>
    <mergeCell ref="B6:G7"/>
    <mergeCell ref="B2:D2"/>
    <mergeCell ref="B3:D3"/>
    <mergeCell ref="F2:H2"/>
    <mergeCell ref="F3:H3"/>
    <mergeCell ref="J2:L2"/>
    <mergeCell ref="J3:L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7D558-384A-4001-B32C-3CFEE76FE8C6}">
  <dimension ref="A1:S101"/>
  <sheetViews>
    <sheetView zoomScale="90" zoomScaleNormal="90" workbookViewId="0">
      <selection activeCell="R2" sqref="R2"/>
    </sheetView>
  </sheetViews>
  <sheetFormatPr defaultRowHeight="15" x14ac:dyDescent="0.25"/>
  <cols>
    <col min="1" max="1" width="12.42578125" bestFit="1" customWidth="1"/>
    <col min="2" max="2" width="21" bestFit="1" customWidth="1"/>
    <col min="3" max="3" width="11.85546875" bestFit="1" customWidth="1"/>
    <col min="4" max="4" width="22.28515625" bestFit="1" customWidth="1"/>
    <col min="5" max="5" width="14.140625" bestFit="1" customWidth="1"/>
    <col min="6" max="6" width="16.7109375" bestFit="1" customWidth="1"/>
    <col min="7" max="7" width="18.85546875" bestFit="1" customWidth="1"/>
    <col min="8" max="8" width="7.7109375" bestFit="1" customWidth="1"/>
    <col min="9" max="9" width="4.28515625" bestFit="1" customWidth="1"/>
    <col min="10" max="10" width="14" style="1" bestFit="1" customWidth="1"/>
    <col min="11" max="11" width="18.42578125" bestFit="1" customWidth="1"/>
    <col min="12" max="12" width="13.7109375" bestFit="1" customWidth="1"/>
    <col min="13" max="13" width="18.28515625" bestFit="1" customWidth="1"/>
    <col min="14" max="14" width="15" bestFit="1" customWidth="1"/>
    <col min="15" max="15" width="18.140625" bestFit="1" customWidth="1"/>
    <col min="16" max="16" width="11.28515625" bestFit="1" customWidth="1"/>
    <col min="17" max="17" width="26.5703125" style="2" bestFit="1" customWidth="1"/>
    <col min="18" max="18" width="15.42578125" bestFit="1" customWidth="1"/>
    <col min="19" max="19" width="8.7109375" bestFit="1" customWidth="1"/>
  </cols>
  <sheetData>
    <row r="1" spans="1:19" s="13" customFormat="1" x14ac:dyDescent="0.25">
      <c r="A1" s="29" t="s">
        <v>0</v>
      </c>
      <c r="B1" s="29" t="s">
        <v>1</v>
      </c>
      <c r="C1" s="29" t="s">
        <v>2</v>
      </c>
      <c r="D1" s="29" t="s">
        <v>3</v>
      </c>
      <c r="E1" s="29" t="s">
        <v>4</v>
      </c>
      <c r="F1" s="29" t="s">
        <v>5</v>
      </c>
      <c r="G1" s="29" t="s">
        <v>6</v>
      </c>
      <c r="H1" s="29" t="s">
        <v>7</v>
      </c>
      <c r="I1" s="29" t="s">
        <v>8</v>
      </c>
      <c r="J1" s="30" t="s">
        <v>11</v>
      </c>
      <c r="K1" s="29" t="s">
        <v>12</v>
      </c>
      <c r="L1" s="29" t="s">
        <v>13</v>
      </c>
      <c r="M1" s="29" t="s">
        <v>14</v>
      </c>
      <c r="N1" s="31" t="s">
        <v>249</v>
      </c>
      <c r="O1" s="31" t="s">
        <v>255</v>
      </c>
      <c r="P1" s="31" t="s">
        <v>296</v>
      </c>
      <c r="Q1" s="31" t="s">
        <v>307</v>
      </c>
      <c r="R1" s="33" t="s">
        <v>9</v>
      </c>
      <c r="S1" s="33" t="s">
        <v>10</v>
      </c>
    </row>
    <row r="2" spans="1:19" x14ac:dyDescent="0.25">
      <c r="A2" s="3">
        <v>9121</v>
      </c>
      <c r="B2" s="3" t="s">
        <v>15</v>
      </c>
      <c r="C2" s="3" t="s">
        <v>16</v>
      </c>
      <c r="D2" s="3" t="s">
        <v>17</v>
      </c>
      <c r="E2" s="4">
        <v>43055</v>
      </c>
      <c r="F2" s="4">
        <v>44058</v>
      </c>
      <c r="G2" s="3" t="s">
        <v>18</v>
      </c>
      <c r="H2" s="3" t="s">
        <v>19</v>
      </c>
      <c r="I2" s="3">
        <v>38</v>
      </c>
      <c r="J2" s="5">
        <v>44456</v>
      </c>
      <c r="K2" s="3">
        <v>3</v>
      </c>
      <c r="L2" s="3">
        <v>7</v>
      </c>
      <c r="M2" s="3">
        <v>21</v>
      </c>
      <c r="N2" s="27">
        <f>IF(G2="Terminated",1,0)</f>
        <v>1</v>
      </c>
      <c r="O2" s="27" t="str">
        <f>IF(K2&lt;=2,"Low",IF(K2&lt;=4,"Medium","High"))</f>
        <v>Medium</v>
      </c>
      <c r="P2" s="27" t="str" cm="1">
        <f t="array" ref="P2">_xlfn.IFS( I2&lt;=25, "18–25",I2&lt;=35, "26–35",I2&lt;=45, "36–45",I2&lt;=55, "46–55",I2&lt;=65, "56–65",I2&gt;65, "65+")</f>
        <v>36–45</v>
      </c>
      <c r="Q2" s="16">
        <f>IF(G2="Terminated",DATEDIF(E2,F2,"Y"),"")</f>
        <v>2</v>
      </c>
      <c r="R2" s="27" t="str" cm="1">
        <f t="array" ref="R2:S2">INDEX(Dataset2!$C$2:$D$101,MATCH(Dataset1!A2,Dataset2!$A$2:$A$101,0),{1,2})</f>
        <v>Master</v>
      </c>
      <c r="S2" s="27" t="str">
        <v>Theresaberg</v>
      </c>
    </row>
    <row r="3" spans="1:19" x14ac:dyDescent="0.25">
      <c r="A3" s="3">
        <v>5105</v>
      </c>
      <c r="B3" s="3" t="s">
        <v>22</v>
      </c>
      <c r="C3" s="3" t="s">
        <v>23</v>
      </c>
      <c r="D3" s="3" t="s">
        <v>24</v>
      </c>
      <c r="E3" s="4">
        <v>43278</v>
      </c>
      <c r="F3" s="3"/>
      <c r="G3" s="3" t="s">
        <v>25</v>
      </c>
      <c r="H3" s="3" t="s">
        <v>26</v>
      </c>
      <c r="I3" s="3">
        <v>36</v>
      </c>
      <c r="J3" s="5">
        <v>95380</v>
      </c>
      <c r="K3" s="3">
        <v>4</v>
      </c>
      <c r="L3" s="3">
        <v>10</v>
      </c>
      <c r="M3" s="3">
        <v>52</v>
      </c>
      <c r="N3" s="27">
        <f t="shared" ref="N3:N66" si="0">IF(G3="Terminated",1,0)</f>
        <v>0</v>
      </c>
      <c r="O3" s="27" t="str">
        <f t="shared" ref="O3:O66" si="1">IF(K3&lt;=2,"Low",IF(K3&lt;=4,"Medium","High"))</f>
        <v>Medium</v>
      </c>
      <c r="P3" s="27" t="str" cm="1">
        <f t="array" ref="P3">_xlfn.IFS( I3&lt;=25, "18–25",I3&lt;=35, "26–35",I3&lt;=45, "36–45",I3&lt;=55, "46–55",I3&lt;=65, "56–65",I3&gt;65, "65+")</f>
        <v>36–45</v>
      </c>
      <c r="Q3" s="16" t="str">
        <f t="shared" ref="Q3:Q66" si="2">IF(G3="Terminated",DATEDIF(E3,F3,"Y"),"")</f>
        <v/>
      </c>
      <c r="R3" s="27" t="str" cm="1">
        <f t="array" ref="R3:S3">INDEX(Dataset2!$C$2:$D$101,MATCH(Dataset1!A3,Dataset2!$A$2:$A$101,0),{1,2})</f>
        <v>Master</v>
      </c>
      <c r="S3" s="27" t="str">
        <v>Dicksonburgh</v>
      </c>
    </row>
    <row r="4" spans="1:19" x14ac:dyDescent="0.25">
      <c r="A4" s="3">
        <v>2934</v>
      </c>
      <c r="B4" s="3" t="s">
        <v>28</v>
      </c>
      <c r="C4" s="3" t="s">
        <v>29</v>
      </c>
      <c r="D4" s="3" t="s">
        <v>30</v>
      </c>
      <c r="E4" s="4">
        <v>43444</v>
      </c>
      <c r="F4" s="3"/>
      <c r="G4" s="3" t="s">
        <v>25</v>
      </c>
      <c r="H4" s="3" t="s">
        <v>19</v>
      </c>
      <c r="I4" s="3">
        <v>60</v>
      </c>
      <c r="J4" s="5">
        <v>50090</v>
      </c>
      <c r="K4" s="3">
        <v>2</v>
      </c>
      <c r="L4" s="3">
        <v>5</v>
      </c>
      <c r="M4" s="3">
        <v>53</v>
      </c>
      <c r="N4" s="27">
        <f t="shared" si="0"/>
        <v>0</v>
      </c>
      <c r="O4" s="27" t="str">
        <f t="shared" si="1"/>
        <v>Low</v>
      </c>
      <c r="P4" s="27" t="str" cm="1">
        <f t="array" ref="P4">_xlfn.IFS( I4&lt;=25, "18–25",I4&lt;=35, "26–35",I4&lt;=45, "36–45",I4&lt;=55, "46–55",I4&lt;=65, "56–65",I4&gt;65, "65+")</f>
        <v>56–65</v>
      </c>
      <c r="Q4" s="16" t="str">
        <f t="shared" si="2"/>
        <v/>
      </c>
      <c r="R4" s="27" t="str" cm="1">
        <f t="array" ref="R4:S4">INDEX(Dataset2!$C$2:$D$101,MATCH(Dataset1!A4,Dataset2!$A$2:$A$101,0),{1,2})</f>
        <v>Master</v>
      </c>
      <c r="S4" s="27" t="str">
        <v>Lake Jasonborough</v>
      </c>
    </row>
    <row r="5" spans="1:19" x14ac:dyDescent="0.25">
      <c r="A5" s="3">
        <v>4601</v>
      </c>
      <c r="B5" s="3" t="s">
        <v>32</v>
      </c>
      <c r="C5" s="3" t="s">
        <v>23</v>
      </c>
      <c r="D5" s="3" t="s">
        <v>24</v>
      </c>
      <c r="E5" s="4">
        <v>43164</v>
      </c>
      <c r="F5" s="3"/>
      <c r="G5" s="3" t="s">
        <v>25</v>
      </c>
      <c r="H5" s="3" t="s">
        <v>19</v>
      </c>
      <c r="I5" s="3">
        <v>25</v>
      </c>
      <c r="J5" s="5">
        <v>53855</v>
      </c>
      <c r="K5" s="3">
        <v>3</v>
      </c>
      <c r="L5" s="3">
        <v>15</v>
      </c>
      <c r="M5" s="3">
        <v>51</v>
      </c>
      <c r="N5" s="27">
        <f t="shared" si="0"/>
        <v>0</v>
      </c>
      <c r="O5" s="27" t="str">
        <f t="shared" si="1"/>
        <v>Medium</v>
      </c>
      <c r="P5" s="27" t="str" cm="1">
        <f t="array" ref="P5">_xlfn.IFS( I5&lt;=25, "18–25",I5&lt;=35, "26–35",I5&lt;=45, "36–45",I5&lt;=55, "46–55",I5&lt;=65, "56–65",I5&gt;65, "65+")</f>
        <v>18–25</v>
      </c>
      <c r="Q5" s="16" t="str">
        <f t="shared" si="2"/>
        <v/>
      </c>
      <c r="R5" s="27" t="str" cm="1">
        <f t="array" ref="R5:S5">INDEX(Dataset2!$C$2:$D$101,MATCH(Dataset1!A5,Dataset2!$A$2:$A$101,0),{1,2})</f>
        <v>PhD</v>
      </c>
      <c r="S5" s="27" t="str">
        <v>Michaelshire</v>
      </c>
    </row>
    <row r="6" spans="1:19" x14ac:dyDescent="0.25">
      <c r="A6" s="3">
        <v>2805</v>
      </c>
      <c r="B6" s="3" t="s">
        <v>35</v>
      </c>
      <c r="C6" s="3" t="s">
        <v>16</v>
      </c>
      <c r="D6" s="3" t="s">
        <v>17</v>
      </c>
      <c r="E6" s="4">
        <v>43312</v>
      </c>
      <c r="F6" s="3"/>
      <c r="G6" s="3" t="s">
        <v>25</v>
      </c>
      <c r="H6" s="3" t="s">
        <v>26</v>
      </c>
      <c r="I6" s="3">
        <v>60</v>
      </c>
      <c r="J6" s="5">
        <v>119492</v>
      </c>
      <c r="K6" s="3">
        <v>2</v>
      </c>
      <c r="L6" s="3">
        <v>11</v>
      </c>
      <c r="M6" s="3">
        <v>72</v>
      </c>
      <c r="N6" s="27">
        <f t="shared" si="0"/>
        <v>0</v>
      </c>
      <c r="O6" s="27" t="str">
        <f t="shared" si="1"/>
        <v>Low</v>
      </c>
      <c r="P6" s="27" t="str" cm="1">
        <f t="array" ref="P6">_xlfn.IFS( I6&lt;=25, "18–25",I6&lt;=35, "26–35",I6&lt;=45, "36–45",I6&lt;=55, "46–55",I6&lt;=65, "56–65",I6&gt;65, "65+")</f>
        <v>56–65</v>
      </c>
      <c r="Q6" s="16" t="str">
        <f t="shared" si="2"/>
        <v/>
      </c>
      <c r="R6" s="27" t="str" cm="1">
        <f t="array" ref="R6:S6">INDEX(Dataset2!$C$2:$D$101,MATCH(Dataset1!A6,Dataset2!$A$2:$A$101,0),{1,2})</f>
        <v>Master</v>
      </c>
      <c r="S6" s="27" t="str">
        <v>Oconnorberg</v>
      </c>
    </row>
    <row r="7" spans="1:19" x14ac:dyDescent="0.25">
      <c r="A7" s="3">
        <v>4264</v>
      </c>
      <c r="B7" s="3" t="s">
        <v>37</v>
      </c>
      <c r="C7" s="3" t="s">
        <v>16</v>
      </c>
      <c r="D7" s="3" t="s">
        <v>17</v>
      </c>
      <c r="E7" s="4">
        <v>43396</v>
      </c>
      <c r="F7" s="3"/>
      <c r="G7" s="3" t="s">
        <v>25</v>
      </c>
      <c r="H7" s="3" t="s">
        <v>26</v>
      </c>
      <c r="I7" s="3">
        <v>51</v>
      </c>
      <c r="J7" s="5">
        <v>41008</v>
      </c>
      <c r="K7" s="3">
        <v>1</v>
      </c>
      <c r="L7" s="3">
        <v>14</v>
      </c>
      <c r="M7" s="3">
        <v>82</v>
      </c>
      <c r="N7" s="27">
        <f t="shared" si="0"/>
        <v>0</v>
      </c>
      <c r="O7" s="27" t="str">
        <f t="shared" si="1"/>
        <v>Low</v>
      </c>
      <c r="P7" s="27" t="str" cm="1">
        <f t="array" ref="P7">_xlfn.IFS( I7&lt;=25, "18–25",I7&lt;=35, "26–35",I7&lt;=45, "36–45",I7&lt;=55, "46–55",I7&lt;=65, "56–65",I7&gt;65, "65+")</f>
        <v>46–55</v>
      </c>
      <c r="Q7" s="16" t="str">
        <f t="shared" si="2"/>
        <v/>
      </c>
      <c r="R7" s="27" t="str" cm="1">
        <f t="array" ref="R7:S7">INDEX(Dataset2!$C$2:$D$101,MATCH(Dataset1!A7,Dataset2!$A$2:$A$101,0),{1,2})</f>
        <v>Associate</v>
      </c>
      <c r="S7" s="27" t="str">
        <v>East James</v>
      </c>
    </row>
    <row r="8" spans="1:19" x14ac:dyDescent="0.25">
      <c r="A8" s="3">
        <v>1593</v>
      </c>
      <c r="B8" s="3" t="s">
        <v>40</v>
      </c>
      <c r="C8" s="3" t="s">
        <v>41</v>
      </c>
      <c r="D8" s="3" t="s">
        <v>42</v>
      </c>
      <c r="E8" s="4">
        <v>42834</v>
      </c>
      <c r="F8" s="3"/>
      <c r="G8" s="3" t="s">
        <v>25</v>
      </c>
      <c r="H8" s="3" t="s">
        <v>19</v>
      </c>
      <c r="I8" s="3">
        <v>46</v>
      </c>
      <c r="J8" s="5">
        <v>102970</v>
      </c>
      <c r="K8" s="3">
        <v>3</v>
      </c>
      <c r="L8" s="3">
        <v>1</v>
      </c>
      <c r="M8" s="3">
        <v>64</v>
      </c>
      <c r="N8" s="27">
        <f t="shared" si="0"/>
        <v>0</v>
      </c>
      <c r="O8" s="27" t="str">
        <f t="shared" si="1"/>
        <v>Medium</v>
      </c>
      <c r="P8" s="27" t="str" cm="1">
        <f t="array" ref="P8">_xlfn.IFS( I8&lt;=25, "18–25",I8&lt;=35, "26–35",I8&lt;=45, "36–45",I8&lt;=55, "46–55",I8&lt;=65, "56–65",I8&gt;65, "65+")</f>
        <v>46–55</v>
      </c>
      <c r="Q8" s="16" t="str">
        <f t="shared" si="2"/>
        <v/>
      </c>
      <c r="R8" s="27" t="str" cm="1">
        <f t="array" ref="R8:S8">INDEX(Dataset2!$C$2:$D$101,MATCH(Dataset1!A8,Dataset2!$A$2:$A$101,0),{1,2})</f>
        <v>Associate</v>
      </c>
      <c r="S8" s="27" t="str">
        <v>South Daniel</v>
      </c>
    </row>
    <row r="9" spans="1:19" x14ac:dyDescent="0.25">
      <c r="A9" s="3">
        <v>2498</v>
      </c>
      <c r="B9" s="3" t="s">
        <v>44</v>
      </c>
      <c r="C9" s="3" t="s">
        <v>29</v>
      </c>
      <c r="D9" s="3" t="s">
        <v>30</v>
      </c>
      <c r="E9" s="4">
        <v>44825</v>
      </c>
      <c r="F9" s="3"/>
      <c r="G9" s="3" t="s">
        <v>25</v>
      </c>
      <c r="H9" s="3" t="s">
        <v>26</v>
      </c>
      <c r="I9" s="3">
        <v>40</v>
      </c>
      <c r="J9" s="5">
        <v>75001</v>
      </c>
      <c r="K9" s="3">
        <v>4</v>
      </c>
      <c r="L9" s="3">
        <v>5</v>
      </c>
      <c r="M9" s="3">
        <v>46</v>
      </c>
      <c r="N9" s="27">
        <f t="shared" si="0"/>
        <v>0</v>
      </c>
      <c r="O9" s="27" t="str">
        <f t="shared" si="1"/>
        <v>Medium</v>
      </c>
      <c r="P9" s="27" t="str" cm="1">
        <f t="array" ref="P9">_xlfn.IFS( I9&lt;=25, "18–25",I9&lt;=35, "26–35",I9&lt;=45, "36–45",I9&lt;=55, "46–55",I9&lt;=65, "56–65",I9&gt;65, "65+")</f>
        <v>36–45</v>
      </c>
      <c r="Q9" s="16" t="str">
        <f t="shared" si="2"/>
        <v/>
      </c>
      <c r="R9" s="27" t="str" cm="1">
        <f t="array" ref="R9:S9">INDEX(Dataset2!$C$2:$D$101,MATCH(Dataset1!A9,Dataset2!$A$2:$A$101,0),{1,2})</f>
        <v>Bachelor</v>
      </c>
      <c r="S9" s="27" t="str">
        <v>Steventown</v>
      </c>
    </row>
    <row r="10" spans="1:19" x14ac:dyDescent="0.25">
      <c r="A10" s="3">
        <v>2560</v>
      </c>
      <c r="B10" s="3" t="s">
        <v>47</v>
      </c>
      <c r="C10" s="3" t="s">
        <v>16</v>
      </c>
      <c r="D10" s="3" t="s">
        <v>17</v>
      </c>
      <c r="E10" s="4">
        <v>45338</v>
      </c>
      <c r="F10" s="3"/>
      <c r="G10" s="3" t="s">
        <v>25</v>
      </c>
      <c r="H10" s="3" t="s">
        <v>26</v>
      </c>
      <c r="I10" s="3">
        <v>52</v>
      </c>
      <c r="J10" s="5">
        <v>111260</v>
      </c>
      <c r="K10" s="3">
        <v>1</v>
      </c>
      <c r="L10" s="3">
        <v>8</v>
      </c>
      <c r="M10" s="3">
        <v>39</v>
      </c>
      <c r="N10" s="27">
        <f t="shared" si="0"/>
        <v>0</v>
      </c>
      <c r="O10" s="27" t="str">
        <f t="shared" si="1"/>
        <v>Low</v>
      </c>
      <c r="P10" s="27" t="str" cm="1">
        <f t="array" ref="P10">_xlfn.IFS( I10&lt;=25, "18–25",I10&lt;=35, "26–35",I10&lt;=45, "36–45",I10&lt;=55, "46–55",I10&lt;=65, "56–65",I10&gt;65, "65+")</f>
        <v>46–55</v>
      </c>
      <c r="Q10" s="16" t="str">
        <f t="shared" si="2"/>
        <v/>
      </c>
      <c r="R10" s="27" t="str" cm="1">
        <f t="array" ref="R10:S10">INDEX(Dataset2!$C$2:$D$101,MATCH(Dataset1!A10,Dataset2!$A$2:$A$101,0),{1,2})</f>
        <v>PhD</v>
      </c>
      <c r="S10" s="27" t="str">
        <v>Colemanberg</v>
      </c>
    </row>
    <row r="11" spans="1:19" x14ac:dyDescent="0.25">
      <c r="A11" s="3">
        <v>8584</v>
      </c>
      <c r="B11" s="3" t="s">
        <v>49</v>
      </c>
      <c r="C11" s="3" t="s">
        <v>23</v>
      </c>
      <c r="D11" s="3" t="s">
        <v>24</v>
      </c>
      <c r="E11" s="4">
        <v>42257</v>
      </c>
      <c r="F11" s="4">
        <v>43423</v>
      </c>
      <c r="G11" s="3" t="s">
        <v>18</v>
      </c>
      <c r="H11" s="3" t="s">
        <v>26</v>
      </c>
      <c r="I11" s="3">
        <v>26</v>
      </c>
      <c r="J11" s="5">
        <v>78806</v>
      </c>
      <c r="K11" s="3">
        <v>5</v>
      </c>
      <c r="L11" s="3">
        <v>6</v>
      </c>
      <c r="M11" s="3">
        <v>92</v>
      </c>
      <c r="N11" s="27">
        <f t="shared" si="0"/>
        <v>1</v>
      </c>
      <c r="O11" s="27" t="str">
        <f t="shared" si="1"/>
        <v>High</v>
      </c>
      <c r="P11" s="27" t="str" cm="1">
        <f t="array" ref="P11">_xlfn.IFS( I11&lt;=25, "18–25",I11&lt;=35, "26–35",I11&lt;=45, "36–45",I11&lt;=55, "46–55",I11&lt;=65, "56–65",I11&gt;65, "65+")</f>
        <v>26–35</v>
      </c>
      <c r="Q11" s="16">
        <f t="shared" si="2"/>
        <v>3</v>
      </c>
      <c r="R11" s="27" t="str" cm="1">
        <f t="array" ref="R11:S11">INDEX(Dataset2!$C$2:$D$101,MATCH(Dataset1!A11,Dataset2!$A$2:$A$101,0),{1,2})</f>
        <v>Bachelor</v>
      </c>
      <c r="S11" s="27" t="str">
        <v>Rebeccabury</v>
      </c>
    </row>
    <row r="12" spans="1:19" x14ac:dyDescent="0.25">
      <c r="A12" s="3">
        <v>3897</v>
      </c>
      <c r="B12" s="3" t="s">
        <v>51</v>
      </c>
      <c r="C12" s="3" t="s">
        <v>52</v>
      </c>
      <c r="D12" s="3" t="s">
        <v>53</v>
      </c>
      <c r="E12" s="4">
        <v>43236</v>
      </c>
      <c r="F12" s="4">
        <v>44287</v>
      </c>
      <c r="G12" s="3" t="s">
        <v>18</v>
      </c>
      <c r="H12" s="3" t="s">
        <v>54</v>
      </c>
      <c r="I12" s="3">
        <v>50</v>
      </c>
      <c r="J12" s="5">
        <v>75813</v>
      </c>
      <c r="K12" s="3">
        <v>3</v>
      </c>
      <c r="L12" s="3">
        <v>1</v>
      </c>
      <c r="M12" s="3">
        <v>9</v>
      </c>
      <c r="N12" s="27">
        <f t="shared" si="0"/>
        <v>1</v>
      </c>
      <c r="O12" s="27" t="str">
        <f t="shared" si="1"/>
        <v>Medium</v>
      </c>
      <c r="P12" s="27" t="str" cm="1">
        <f t="array" ref="P12">_xlfn.IFS( I12&lt;=25, "18–25",I12&lt;=35, "26–35",I12&lt;=45, "36–45",I12&lt;=55, "46–55",I12&lt;=65, "56–65",I12&gt;65, "65+")</f>
        <v>46–55</v>
      </c>
      <c r="Q12" s="16">
        <f t="shared" si="2"/>
        <v>2</v>
      </c>
      <c r="R12" s="27" t="str" cm="1">
        <f t="array" ref="R12:S12">INDEX(Dataset2!$C$2:$D$101,MATCH(Dataset1!A12,Dataset2!$A$2:$A$101,0),{1,2})</f>
        <v>Master</v>
      </c>
      <c r="S12" s="27" t="str">
        <v>West Ashley</v>
      </c>
    </row>
    <row r="13" spans="1:19" x14ac:dyDescent="0.25">
      <c r="A13" s="3">
        <v>1477</v>
      </c>
      <c r="B13" s="3" t="s">
        <v>56</v>
      </c>
      <c r="C13" s="3" t="s">
        <v>29</v>
      </c>
      <c r="D13" s="3" t="s">
        <v>30</v>
      </c>
      <c r="E13" s="4">
        <v>42632</v>
      </c>
      <c r="F13" s="4">
        <v>43842</v>
      </c>
      <c r="G13" s="3" t="s">
        <v>18</v>
      </c>
      <c r="H13" s="3" t="s">
        <v>26</v>
      </c>
      <c r="I13" s="3">
        <v>34</v>
      </c>
      <c r="J13" s="5">
        <v>32313</v>
      </c>
      <c r="K13" s="3">
        <v>4</v>
      </c>
      <c r="L13" s="3">
        <v>15</v>
      </c>
      <c r="M13" s="3">
        <v>62</v>
      </c>
      <c r="N13" s="27">
        <f t="shared" si="0"/>
        <v>1</v>
      </c>
      <c r="O13" s="27" t="str">
        <f t="shared" si="1"/>
        <v>Medium</v>
      </c>
      <c r="P13" s="27" t="str" cm="1">
        <f t="array" ref="P13">_xlfn.IFS( I13&lt;=25, "18–25",I13&lt;=35, "26–35",I13&lt;=45, "36–45",I13&lt;=55, "46–55",I13&lt;=65, "56–65",I13&gt;65, "65+")</f>
        <v>26–35</v>
      </c>
      <c r="Q13" s="16">
        <f t="shared" si="2"/>
        <v>3</v>
      </c>
      <c r="R13" s="27" t="str" cm="1">
        <f t="array" ref="R13:S13">INDEX(Dataset2!$C$2:$D$101,MATCH(Dataset1!A13,Dataset2!$A$2:$A$101,0),{1,2})</f>
        <v>PhD</v>
      </c>
      <c r="S13" s="27" t="str">
        <v>South David</v>
      </c>
    </row>
    <row r="14" spans="1:19" x14ac:dyDescent="0.25">
      <c r="A14" s="3">
        <v>7051</v>
      </c>
      <c r="B14" s="3" t="s">
        <v>58</v>
      </c>
      <c r="C14" s="3" t="s">
        <v>23</v>
      </c>
      <c r="D14" s="3" t="s">
        <v>24</v>
      </c>
      <c r="E14" s="4">
        <v>45076</v>
      </c>
      <c r="F14" s="3"/>
      <c r="G14" s="3" t="s">
        <v>25</v>
      </c>
      <c r="H14" s="3" t="s">
        <v>54</v>
      </c>
      <c r="I14" s="3">
        <v>51</v>
      </c>
      <c r="J14" s="5">
        <v>79626</v>
      </c>
      <c r="K14" s="3">
        <v>3</v>
      </c>
      <c r="L14" s="3">
        <v>4</v>
      </c>
      <c r="M14" s="3">
        <v>27</v>
      </c>
      <c r="N14" s="27">
        <f t="shared" si="0"/>
        <v>0</v>
      </c>
      <c r="O14" s="27" t="str">
        <f t="shared" si="1"/>
        <v>Medium</v>
      </c>
      <c r="P14" s="27" t="str" cm="1">
        <f t="array" ref="P14">_xlfn.IFS( I14&lt;=25, "18–25",I14&lt;=35, "26–35",I14&lt;=45, "36–45",I14&lt;=55, "46–55",I14&lt;=65, "56–65",I14&gt;65, "65+")</f>
        <v>46–55</v>
      </c>
      <c r="Q14" s="16" t="str">
        <f t="shared" si="2"/>
        <v/>
      </c>
      <c r="R14" s="27" t="str" cm="1">
        <f t="array" ref="R14:S14">INDEX(Dataset2!$C$2:$D$101,MATCH(Dataset1!A14,Dataset2!$A$2:$A$101,0),{1,2})</f>
        <v>Associate</v>
      </c>
      <c r="S14" s="27" t="str">
        <v>Glassberg</v>
      </c>
    </row>
    <row r="15" spans="1:19" x14ac:dyDescent="0.25">
      <c r="A15" s="3">
        <v>9637</v>
      </c>
      <c r="B15" s="3" t="s">
        <v>60</v>
      </c>
      <c r="C15" s="3" t="s">
        <v>29</v>
      </c>
      <c r="D15" s="3" t="s">
        <v>61</v>
      </c>
      <c r="E15" s="4">
        <v>42440</v>
      </c>
      <c r="F15" s="3"/>
      <c r="G15" s="3" t="s">
        <v>25</v>
      </c>
      <c r="H15" s="3" t="s">
        <v>19</v>
      </c>
      <c r="I15" s="3">
        <v>40</v>
      </c>
      <c r="J15" s="5">
        <v>79583</v>
      </c>
      <c r="K15" s="3">
        <v>4</v>
      </c>
      <c r="L15" s="3">
        <v>4</v>
      </c>
      <c r="M15" s="3">
        <v>30</v>
      </c>
      <c r="N15" s="27">
        <f t="shared" si="0"/>
        <v>0</v>
      </c>
      <c r="O15" s="27" t="str">
        <f t="shared" si="1"/>
        <v>Medium</v>
      </c>
      <c r="P15" s="27" t="str" cm="1">
        <f t="array" ref="P15">_xlfn.IFS( I15&lt;=25, "18–25",I15&lt;=35, "26–35",I15&lt;=45, "36–45",I15&lt;=55, "46–55",I15&lt;=65, "56–65",I15&gt;65, "65+")</f>
        <v>36–45</v>
      </c>
      <c r="Q15" s="16" t="str">
        <f t="shared" si="2"/>
        <v/>
      </c>
      <c r="R15" s="27" t="str" cm="1">
        <f t="array" ref="R15:S15">INDEX(Dataset2!$C$2:$D$101,MATCH(Dataset1!A15,Dataset2!$A$2:$A$101,0),{1,2})</f>
        <v>High School</v>
      </c>
      <c r="S15" s="27" t="str">
        <v>West Kevin</v>
      </c>
    </row>
    <row r="16" spans="1:19" x14ac:dyDescent="0.25">
      <c r="A16" s="3">
        <v>9110</v>
      </c>
      <c r="B16" s="3" t="s">
        <v>64</v>
      </c>
      <c r="C16" s="3" t="s">
        <v>16</v>
      </c>
      <c r="D16" s="3" t="s">
        <v>65</v>
      </c>
      <c r="E16" s="4">
        <v>43127</v>
      </c>
      <c r="F16" s="3"/>
      <c r="G16" s="3" t="s">
        <v>25</v>
      </c>
      <c r="H16" s="3" t="s">
        <v>26</v>
      </c>
      <c r="I16" s="3">
        <v>40</v>
      </c>
      <c r="J16" s="5">
        <v>87991</v>
      </c>
      <c r="K16" s="3">
        <v>5</v>
      </c>
      <c r="L16" s="3">
        <v>3</v>
      </c>
      <c r="M16" s="3">
        <v>52</v>
      </c>
      <c r="N16" s="27">
        <f t="shared" si="0"/>
        <v>0</v>
      </c>
      <c r="O16" s="27" t="str">
        <f t="shared" si="1"/>
        <v>High</v>
      </c>
      <c r="P16" s="27" t="str" cm="1">
        <f t="array" ref="P16">_xlfn.IFS( I16&lt;=25, "18–25",I16&lt;=35, "26–35",I16&lt;=45, "36–45",I16&lt;=55, "46–55",I16&lt;=65, "56–65",I16&gt;65, "65+")</f>
        <v>36–45</v>
      </c>
      <c r="Q16" s="16" t="str">
        <f t="shared" si="2"/>
        <v/>
      </c>
      <c r="R16" s="27" t="str" cm="1">
        <f t="array" ref="R16:S16">INDEX(Dataset2!$C$2:$D$101,MATCH(Dataset1!A16,Dataset2!$A$2:$A$101,0),{1,2})</f>
        <v>Associate</v>
      </c>
      <c r="S16" s="27" t="str">
        <v>Mendezfort</v>
      </c>
    </row>
    <row r="17" spans="1:19" x14ac:dyDescent="0.25">
      <c r="A17" s="3">
        <v>8200</v>
      </c>
      <c r="B17" s="3" t="s">
        <v>67</v>
      </c>
      <c r="C17" s="3" t="s">
        <v>52</v>
      </c>
      <c r="D17" s="3" t="s">
        <v>53</v>
      </c>
      <c r="E17" s="4">
        <v>42920</v>
      </c>
      <c r="F17" s="4">
        <v>43217</v>
      </c>
      <c r="G17" s="3" t="s">
        <v>18</v>
      </c>
      <c r="H17" s="3" t="s">
        <v>26</v>
      </c>
      <c r="I17" s="3">
        <v>58</v>
      </c>
      <c r="J17" s="5">
        <v>90023</v>
      </c>
      <c r="K17" s="3">
        <v>4</v>
      </c>
      <c r="L17" s="3">
        <v>3</v>
      </c>
      <c r="M17" s="3">
        <v>42</v>
      </c>
      <c r="N17" s="27">
        <f t="shared" si="0"/>
        <v>1</v>
      </c>
      <c r="O17" s="27" t="str">
        <f t="shared" si="1"/>
        <v>Medium</v>
      </c>
      <c r="P17" s="27" t="str" cm="1">
        <f t="array" ref="P17">_xlfn.IFS( I17&lt;=25, "18–25",I17&lt;=35, "26–35",I17&lt;=45, "36–45",I17&lt;=55, "46–55",I17&lt;=65, "56–65",I17&gt;65, "65+")</f>
        <v>56–65</v>
      </c>
      <c r="Q17" s="47">
        <f t="shared" si="2"/>
        <v>0</v>
      </c>
      <c r="R17" s="27" t="str" cm="1">
        <f t="array" ref="R17:S17">INDEX(Dataset2!$C$2:$D$101,MATCH(Dataset1!A17,Dataset2!$A$2:$A$101,0),{1,2})</f>
        <v>High School</v>
      </c>
      <c r="S17" s="27" t="str">
        <v>Port Mariashire</v>
      </c>
    </row>
    <row r="18" spans="1:19" x14ac:dyDescent="0.25">
      <c r="A18" s="3">
        <v>1778</v>
      </c>
      <c r="B18" s="3" t="s">
        <v>69</v>
      </c>
      <c r="C18" s="3" t="s">
        <v>70</v>
      </c>
      <c r="D18" s="3" t="s">
        <v>71</v>
      </c>
      <c r="E18" s="4">
        <v>42560</v>
      </c>
      <c r="F18" s="3"/>
      <c r="G18" s="3" t="s">
        <v>25</v>
      </c>
      <c r="H18" s="3" t="s">
        <v>54</v>
      </c>
      <c r="I18" s="3">
        <v>32</v>
      </c>
      <c r="J18" s="5">
        <v>95371</v>
      </c>
      <c r="K18" s="3">
        <v>5</v>
      </c>
      <c r="L18" s="3">
        <v>13</v>
      </c>
      <c r="M18" s="3">
        <v>91</v>
      </c>
      <c r="N18" s="27">
        <f t="shared" si="0"/>
        <v>0</v>
      </c>
      <c r="O18" s="27" t="str">
        <f t="shared" si="1"/>
        <v>High</v>
      </c>
      <c r="P18" s="27" t="str" cm="1">
        <f t="array" ref="P18">_xlfn.IFS( I18&lt;=25, "18–25",I18&lt;=35, "26–35",I18&lt;=45, "36–45",I18&lt;=55, "46–55",I18&lt;=65, "56–65",I18&gt;65, "65+")</f>
        <v>26–35</v>
      </c>
      <c r="Q18" s="16" t="str">
        <f t="shared" si="2"/>
        <v/>
      </c>
      <c r="R18" s="27" t="str" cm="1">
        <f t="array" ref="R18:S18">INDEX(Dataset2!$C$2:$D$101,MATCH(Dataset1!A18,Dataset2!$A$2:$A$101,0),{1,2})</f>
        <v>Associate</v>
      </c>
      <c r="S18" s="27" t="str">
        <v>East Christinemouth</v>
      </c>
    </row>
    <row r="19" spans="1:19" x14ac:dyDescent="0.25">
      <c r="A19" s="3">
        <v>1182</v>
      </c>
      <c r="B19" s="3" t="s">
        <v>73</v>
      </c>
      <c r="C19" s="3" t="s">
        <v>52</v>
      </c>
      <c r="D19" s="3" t="s">
        <v>53</v>
      </c>
      <c r="E19" s="4">
        <v>43843</v>
      </c>
      <c r="F19" s="3"/>
      <c r="G19" s="3" t="s">
        <v>25</v>
      </c>
      <c r="H19" s="3" t="s">
        <v>26</v>
      </c>
      <c r="I19" s="3">
        <v>49</v>
      </c>
      <c r="J19" s="5">
        <v>54240</v>
      </c>
      <c r="K19" s="3">
        <v>5</v>
      </c>
      <c r="L19" s="3">
        <v>1</v>
      </c>
      <c r="M19" s="3">
        <v>49</v>
      </c>
      <c r="N19" s="27">
        <f t="shared" si="0"/>
        <v>0</v>
      </c>
      <c r="O19" s="27" t="str">
        <f t="shared" si="1"/>
        <v>High</v>
      </c>
      <c r="P19" s="27" t="str" cm="1">
        <f t="array" ref="P19">_xlfn.IFS( I19&lt;=25, "18–25",I19&lt;=35, "26–35",I19&lt;=45, "36–45",I19&lt;=55, "46–55",I19&lt;=65, "56–65",I19&gt;65, "65+")</f>
        <v>46–55</v>
      </c>
      <c r="Q19" s="16" t="str">
        <f t="shared" si="2"/>
        <v/>
      </c>
      <c r="R19" s="27" t="str" cm="1">
        <f t="array" ref="R19:S19">INDEX(Dataset2!$C$2:$D$101,MATCH(Dataset1!A19,Dataset2!$A$2:$A$101,0),{1,2})</f>
        <v>Associate</v>
      </c>
      <c r="S19" s="27" t="str">
        <v>North Rebeccahaven</v>
      </c>
    </row>
    <row r="20" spans="1:19" x14ac:dyDescent="0.25">
      <c r="A20" s="3">
        <v>4254</v>
      </c>
      <c r="B20" s="3" t="s">
        <v>75</v>
      </c>
      <c r="C20" s="3" t="s">
        <v>16</v>
      </c>
      <c r="D20" s="3" t="s">
        <v>65</v>
      </c>
      <c r="E20" s="4">
        <v>42627</v>
      </c>
      <c r="F20" s="3"/>
      <c r="G20" s="3" t="s">
        <v>25</v>
      </c>
      <c r="H20" s="3" t="s">
        <v>54</v>
      </c>
      <c r="I20" s="3">
        <v>35</v>
      </c>
      <c r="J20" s="5">
        <v>105074</v>
      </c>
      <c r="K20" s="3">
        <v>1</v>
      </c>
      <c r="L20" s="3">
        <v>7</v>
      </c>
      <c r="M20" s="3">
        <v>9</v>
      </c>
      <c r="N20" s="27">
        <f t="shared" si="0"/>
        <v>0</v>
      </c>
      <c r="O20" s="27" t="str">
        <f t="shared" si="1"/>
        <v>Low</v>
      </c>
      <c r="P20" s="27" t="str" cm="1">
        <f t="array" ref="P20">_xlfn.IFS( I20&lt;=25, "18–25",I20&lt;=35, "26–35",I20&lt;=45, "36–45",I20&lt;=55, "46–55",I20&lt;=65, "56–65",I20&gt;65, "65+")</f>
        <v>26–35</v>
      </c>
      <c r="Q20" s="16" t="str">
        <f t="shared" si="2"/>
        <v/>
      </c>
      <c r="R20" s="27" t="str" cm="1">
        <f t="array" ref="R20:S20">INDEX(Dataset2!$C$2:$D$101,MATCH(Dataset1!A20,Dataset2!$A$2:$A$101,0),{1,2})</f>
        <v>Associate</v>
      </c>
      <c r="S20" s="27" t="str">
        <v>Tanyaberg</v>
      </c>
    </row>
    <row r="21" spans="1:19" x14ac:dyDescent="0.25">
      <c r="A21" s="3">
        <v>4235</v>
      </c>
      <c r="B21" s="3" t="s">
        <v>77</v>
      </c>
      <c r="C21" s="3" t="s">
        <v>23</v>
      </c>
      <c r="D21" s="3" t="s">
        <v>24</v>
      </c>
      <c r="E21" s="4">
        <v>43674</v>
      </c>
      <c r="F21" s="4">
        <v>45091</v>
      </c>
      <c r="G21" s="3" t="s">
        <v>18</v>
      </c>
      <c r="H21" s="3" t="s">
        <v>54</v>
      </c>
      <c r="I21" s="3">
        <v>33</v>
      </c>
      <c r="J21" s="5">
        <v>34603</v>
      </c>
      <c r="K21" s="3">
        <v>5</v>
      </c>
      <c r="L21" s="3">
        <v>15</v>
      </c>
      <c r="M21" s="3">
        <v>11</v>
      </c>
      <c r="N21" s="27">
        <f t="shared" si="0"/>
        <v>1</v>
      </c>
      <c r="O21" s="27" t="str">
        <f t="shared" si="1"/>
        <v>High</v>
      </c>
      <c r="P21" s="27" t="str" cm="1">
        <f t="array" ref="P21">_xlfn.IFS( I21&lt;=25, "18–25",I21&lt;=35, "26–35",I21&lt;=45, "36–45",I21&lt;=55, "46–55",I21&lt;=65, "56–65",I21&gt;65, "65+")</f>
        <v>26–35</v>
      </c>
      <c r="Q21" s="16">
        <f t="shared" si="2"/>
        <v>3</v>
      </c>
      <c r="R21" s="27" t="str" cm="1">
        <f t="array" ref="R21:S21">INDEX(Dataset2!$C$2:$D$101,MATCH(Dataset1!A21,Dataset2!$A$2:$A$101,0),{1,2})</f>
        <v>Bachelor</v>
      </c>
      <c r="S21" s="27" t="str">
        <v>Deborahhaven</v>
      </c>
    </row>
    <row r="22" spans="1:19" x14ac:dyDescent="0.25">
      <c r="A22" s="3">
        <v>4528</v>
      </c>
      <c r="B22" s="3" t="s">
        <v>79</v>
      </c>
      <c r="C22" s="3" t="s">
        <v>16</v>
      </c>
      <c r="D22" s="3" t="s">
        <v>17</v>
      </c>
      <c r="E22" s="4">
        <v>43854</v>
      </c>
      <c r="F22" s="4">
        <v>45693</v>
      </c>
      <c r="G22" s="3" t="s">
        <v>18</v>
      </c>
      <c r="H22" s="3" t="s">
        <v>26</v>
      </c>
      <c r="I22" s="3">
        <v>59</v>
      </c>
      <c r="J22" s="5">
        <v>76940</v>
      </c>
      <c r="K22" s="3">
        <v>3</v>
      </c>
      <c r="L22" s="3">
        <v>6</v>
      </c>
      <c r="M22" s="3">
        <v>90</v>
      </c>
      <c r="N22" s="27">
        <f t="shared" si="0"/>
        <v>1</v>
      </c>
      <c r="O22" s="27" t="str">
        <f t="shared" si="1"/>
        <v>Medium</v>
      </c>
      <c r="P22" s="27" t="str" cm="1">
        <f t="array" ref="P22">_xlfn.IFS( I22&lt;=25, "18–25",I22&lt;=35, "26–35",I22&lt;=45, "36–45",I22&lt;=55, "46–55",I22&lt;=65, "56–65",I22&gt;65, "65+")</f>
        <v>56–65</v>
      </c>
      <c r="Q22" s="16">
        <f t="shared" si="2"/>
        <v>5</v>
      </c>
      <c r="R22" s="27" t="str" cm="1">
        <f t="array" ref="R22:S22">INDEX(Dataset2!$C$2:$D$101,MATCH(Dataset1!A22,Dataset2!$A$2:$A$101,0),{1,2})</f>
        <v>PhD</v>
      </c>
      <c r="S22" s="27" t="str">
        <v>South Davidfurt</v>
      </c>
    </row>
    <row r="23" spans="1:19" x14ac:dyDescent="0.25">
      <c r="A23" s="3">
        <v>3157</v>
      </c>
      <c r="B23" s="3" t="s">
        <v>81</v>
      </c>
      <c r="C23" s="3" t="s">
        <v>41</v>
      </c>
      <c r="D23" s="3" t="s">
        <v>82</v>
      </c>
      <c r="E23" s="4">
        <v>44525</v>
      </c>
      <c r="F23" s="3"/>
      <c r="G23" s="3" t="s">
        <v>25</v>
      </c>
      <c r="H23" s="3" t="s">
        <v>19</v>
      </c>
      <c r="I23" s="3">
        <v>30</v>
      </c>
      <c r="J23" s="5">
        <v>78941</v>
      </c>
      <c r="K23" s="3">
        <v>4</v>
      </c>
      <c r="L23" s="3">
        <v>15</v>
      </c>
      <c r="M23" s="3">
        <v>45</v>
      </c>
      <c r="N23" s="27">
        <f t="shared" si="0"/>
        <v>0</v>
      </c>
      <c r="O23" s="27" t="str">
        <f t="shared" si="1"/>
        <v>Medium</v>
      </c>
      <c r="P23" s="27" t="str" cm="1">
        <f t="array" ref="P23">_xlfn.IFS( I23&lt;=25, "18–25",I23&lt;=35, "26–35",I23&lt;=45, "36–45",I23&lt;=55, "46–55",I23&lt;=65, "56–65",I23&gt;65, "65+")</f>
        <v>26–35</v>
      </c>
      <c r="Q23" s="16" t="str">
        <f t="shared" si="2"/>
        <v/>
      </c>
      <c r="R23" s="27" t="str" cm="1">
        <f t="array" ref="R23:S23">INDEX(Dataset2!$C$2:$D$101,MATCH(Dataset1!A23,Dataset2!$A$2:$A$101,0),{1,2})</f>
        <v>Master</v>
      </c>
      <c r="S23" s="27" t="str">
        <v>Nicholasport</v>
      </c>
    </row>
    <row r="24" spans="1:19" x14ac:dyDescent="0.25">
      <c r="A24" s="3">
        <v>4362</v>
      </c>
      <c r="B24" s="3" t="s">
        <v>84</v>
      </c>
      <c r="C24" s="3" t="s">
        <v>52</v>
      </c>
      <c r="D24" s="3" t="s">
        <v>85</v>
      </c>
      <c r="E24" s="4">
        <v>42990</v>
      </c>
      <c r="F24" s="3"/>
      <c r="G24" s="3" t="s">
        <v>25</v>
      </c>
      <c r="H24" s="3" t="s">
        <v>26</v>
      </c>
      <c r="I24" s="3">
        <v>52</v>
      </c>
      <c r="J24" s="5">
        <v>69098</v>
      </c>
      <c r="K24" s="3">
        <v>1</v>
      </c>
      <c r="L24" s="3">
        <v>14</v>
      </c>
      <c r="M24" s="3">
        <v>70</v>
      </c>
      <c r="N24" s="27">
        <f t="shared" si="0"/>
        <v>0</v>
      </c>
      <c r="O24" s="27" t="str">
        <f t="shared" si="1"/>
        <v>Low</v>
      </c>
      <c r="P24" s="27" t="str" cm="1">
        <f t="array" ref="P24">_xlfn.IFS( I24&lt;=25, "18–25",I24&lt;=35, "26–35",I24&lt;=45, "36–45",I24&lt;=55, "46–55",I24&lt;=65, "56–65",I24&gt;65, "65+")</f>
        <v>46–55</v>
      </c>
      <c r="Q24" s="16" t="str">
        <f t="shared" si="2"/>
        <v/>
      </c>
      <c r="R24" s="27" t="str" cm="1">
        <f t="array" ref="R24:S24">INDEX(Dataset2!$C$2:$D$101,MATCH(Dataset1!A24,Dataset2!$A$2:$A$101,0),{1,2})</f>
        <v>PhD</v>
      </c>
      <c r="S24" s="27" t="str">
        <v>South Daniellechester</v>
      </c>
    </row>
    <row r="25" spans="1:19" x14ac:dyDescent="0.25">
      <c r="A25" s="3">
        <v>3081</v>
      </c>
      <c r="B25" s="3" t="s">
        <v>87</v>
      </c>
      <c r="C25" s="3" t="s">
        <v>52</v>
      </c>
      <c r="D25" s="3" t="s">
        <v>53</v>
      </c>
      <c r="E25" s="4">
        <v>42514</v>
      </c>
      <c r="F25" s="4">
        <v>44243</v>
      </c>
      <c r="G25" s="3" t="s">
        <v>18</v>
      </c>
      <c r="H25" s="3" t="s">
        <v>19</v>
      </c>
      <c r="I25" s="3">
        <v>61</v>
      </c>
      <c r="J25" s="5">
        <v>91852</v>
      </c>
      <c r="K25" s="3">
        <v>3</v>
      </c>
      <c r="L25" s="3">
        <v>5</v>
      </c>
      <c r="M25" s="3">
        <v>55</v>
      </c>
      <c r="N25" s="27">
        <f t="shared" si="0"/>
        <v>1</v>
      </c>
      <c r="O25" s="27" t="str">
        <f t="shared" si="1"/>
        <v>Medium</v>
      </c>
      <c r="P25" s="27" t="str" cm="1">
        <f t="array" ref="P25">_xlfn.IFS( I25&lt;=25, "18–25",I25&lt;=35, "26–35",I25&lt;=45, "36–45",I25&lt;=55, "46–55",I25&lt;=65, "56–65",I25&gt;65, "65+")</f>
        <v>56–65</v>
      </c>
      <c r="Q25" s="16">
        <f t="shared" si="2"/>
        <v>4</v>
      </c>
      <c r="R25" s="27" t="str" cm="1">
        <f t="array" ref="R25:S25">INDEX(Dataset2!$C$2:$D$101,MATCH(Dataset1!A25,Dataset2!$A$2:$A$101,0),{1,2})</f>
        <v>Bachelor</v>
      </c>
      <c r="S25" s="27" t="str">
        <v>Johnland</v>
      </c>
    </row>
    <row r="26" spans="1:19" x14ac:dyDescent="0.25">
      <c r="A26" s="3">
        <v>1136</v>
      </c>
      <c r="B26" s="3" t="s">
        <v>89</v>
      </c>
      <c r="C26" s="3" t="s">
        <v>23</v>
      </c>
      <c r="D26" s="3" t="s">
        <v>90</v>
      </c>
      <c r="E26" s="4">
        <v>43499</v>
      </c>
      <c r="F26" s="4">
        <v>44268</v>
      </c>
      <c r="G26" s="3" t="s">
        <v>18</v>
      </c>
      <c r="H26" s="3" t="s">
        <v>54</v>
      </c>
      <c r="I26" s="3">
        <v>60</v>
      </c>
      <c r="J26" s="5">
        <v>52930</v>
      </c>
      <c r="K26" s="3">
        <v>5</v>
      </c>
      <c r="L26" s="3">
        <v>1</v>
      </c>
      <c r="M26" s="3">
        <v>28</v>
      </c>
      <c r="N26" s="27">
        <f t="shared" si="0"/>
        <v>1</v>
      </c>
      <c r="O26" s="27" t="str">
        <f t="shared" si="1"/>
        <v>High</v>
      </c>
      <c r="P26" s="27" t="str" cm="1">
        <f t="array" ref="P26">_xlfn.IFS( I26&lt;=25, "18–25",I26&lt;=35, "26–35",I26&lt;=45, "36–45",I26&lt;=55, "46–55",I26&lt;=65, "56–65",I26&gt;65, "65+")</f>
        <v>56–65</v>
      </c>
      <c r="Q26" s="16">
        <f t="shared" si="2"/>
        <v>2</v>
      </c>
      <c r="R26" s="27" t="str" cm="1">
        <f t="array" ref="R26:S26">INDEX(Dataset2!$C$2:$D$101,MATCH(Dataset1!A26,Dataset2!$A$2:$A$101,0),{1,2})</f>
        <v>Bachelor</v>
      </c>
      <c r="S26" s="27" t="str">
        <v>South Aaron</v>
      </c>
    </row>
    <row r="27" spans="1:19" x14ac:dyDescent="0.25">
      <c r="A27" s="3">
        <v>3308</v>
      </c>
      <c r="B27" s="3" t="s">
        <v>92</v>
      </c>
      <c r="C27" s="3" t="s">
        <v>16</v>
      </c>
      <c r="D27" s="3" t="s">
        <v>17</v>
      </c>
      <c r="E27" s="4">
        <v>44616</v>
      </c>
      <c r="F27" s="4">
        <v>45028</v>
      </c>
      <c r="G27" s="3" t="s">
        <v>18</v>
      </c>
      <c r="H27" s="3" t="s">
        <v>54</v>
      </c>
      <c r="I27" s="3">
        <v>55</v>
      </c>
      <c r="J27" s="5">
        <v>79715</v>
      </c>
      <c r="K27" s="3">
        <v>3</v>
      </c>
      <c r="L27" s="3">
        <v>5</v>
      </c>
      <c r="M27" s="3">
        <v>14</v>
      </c>
      <c r="N27" s="27">
        <f t="shared" si="0"/>
        <v>1</v>
      </c>
      <c r="O27" s="27" t="str">
        <f t="shared" si="1"/>
        <v>Medium</v>
      </c>
      <c r="P27" s="27" t="str" cm="1">
        <f t="array" ref="P27">_xlfn.IFS( I27&lt;=25, "18–25",I27&lt;=35, "26–35",I27&lt;=45, "36–45",I27&lt;=55, "46–55",I27&lt;=65, "56–65",I27&gt;65, "65+")</f>
        <v>46–55</v>
      </c>
      <c r="Q27" s="16">
        <f t="shared" si="2"/>
        <v>1</v>
      </c>
      <c r="R27" s="27" t="str" cm="1">
        <f t="array" ref="R27:S27">INDEX(Dataset2!$C$2:$D$101,MATCH(Dataset1!A27,Dataset2!$A$2:$A$101,0),{1,2})</f>
        <v>Bachelor</v>
      </c>
      <c r="S27" s="27" t="str">
        <v>South Felicia</v>
      </c>
    </row>
    <row r="28" spans="1:19" x14ac:dyDescent="0.25">
      <c r="A28" s="3">
        <v>1482</v>
      </c>
      <c r="B28" s="3" t="s">
        <v>94</v>
      </c>
      <c r="C28" s="3" t="s">
        <v>52</v>
      </c>
      <c r="D28" s="3" t="s">
        <v>85</v>
      </c>
      <c r="E28" s="4">
        <v>43467</v>
      </c>
      <c r="F28" s="3"/>
      <c r="G28" s="3" t="s">
        <v>25</v>
      </c>
      <c r="H28" s="3" t="s">
        <v>19</v>
      </c>
      <c r="I28" s="3">
        <v>45</v>
      </c>
      <c r="J28" s="5">
        <v>72076</v>
      </c>
      <c r="K28" s="3">
        <v>5</v>
      </c>
      <c r="L28" s="3">
        <v>4</v>
      </c>
      <c r="M28" s="3">
        <v>2</v>
      </c>
      <c r="N28" s="27">
        <f t="shared" si="0"/>
        <v>0</v>
      </c>
      <c r="O28" s="27" t="str">
        <f t="shared" si="1"/>
        <v>High</v>
      </c>
      <c r="P28" s="27" t="str" cm="1">
        <f t="array" ref="P28">_xlfn.IFS( I28&lt;=25, "18–25",I28&lt;=35, "26–35",I28&lt;=45, "36–45",I28&lt;=55, "46–55",I28&lt;=65, "56–65",I28&gt;65, "65+")</f>
        <v>36–45</v>
      </c>
      <c r="Q28" s="16" t="str">
        <f t="shared" si="2"/>
        <v/>
      </c>
      <c r="R28" s="27" t="str" cm="1">
        <f t="array" ref="R28:S28">INDEX(Dataset2!$C$2:$D$101,MATCH(Dataset1!A28,Dataset2!$A$2:$A$101,0),{1,2})</f>
        <v>Bachelor</v>
      </c>
      <c r="S28" s="27" t="str">
        <v>West Joseph</v>
      </c>
    </row>
    <row r="29" spans="1:19" x14ac:dyDescent="0.25">
      <c r="A29" s="3">
        <v>4592</v>
      </c>
      <c r="B29" s="3" t="s">
        <v>96</v>
      </c>
      <c r="C29" s="3" t="s">
        <v>41</v>
      </c>
      <c r="D29" s="3" t="s">
        <v>82</v>
      </c>
      <c r="E29" s="4">
        <v>43110</v>
      </c>
      <c r="F29" s="3"/>
      <c r="G29" s="3" t="s">
        <v>25</v>
      </c>
      <c r="H29" s="3" t="s">
        <v>54</v>
      </c>
      <c r="I29" s="3">
        <v>23</v>
      </c>
      <c r="J29" s="5">
        <v>42397</v>
      </c>
      <c r="K29" s="3">
        <v>3</v>
      </c>
      <c r="L29" s="3">
        <v>9</v>
      </c>
      <c r="M29" s="3">
        <v>71</v>
      </c>
      <c r="N29" s="27">
        <f t="shared" si="0"/>
        <v>0</v>
      </c>
      <c r="O29" s="27" t="str">
        <f t="shared" si="1"/>
        <v>Medium</v>
      </c>
      <c r="P29" s="27" t="str" cm="1">
        <f t="array" ref="P29">_xlfn.IFS( I29&lt;=25, "18–25",I29&lt;=35, "26–35",I29&lt;=45, "36–45",I29&lt;=55, "46–55",I29&lt;=65, "56–65",I29&gt;65, "65+")</f>
        <v>18–25</v>
      </c>
      <c r="Q29" s="16" t="str">
        <f t="shared" si="2"/>
        <v/>
      </c>
      <c r="R29" s="27" t="str" cm="1">
        <f t="array" ref="R29:S29">INDEX(Dataset2!$C$2:$D$101,MATCH(Dataset1!A29,Dataset2!$A$2:$A$101,0),{1,2})</f>
        <v>Master</v>
      </c>
      <c r="S29" s="27" t="str">
        <v>New Nicoleview</v>
      </c>
    </row>
    <row r="30" spans="1:19" x14ac:dyDescent="0.25">
      <c r="A30" s="3">
        <v>7479</v>
      </c>
      <c r="B30" s="3" t="s">
        <v>98</v>
      </c>
      <c r="C30" s="3" t="s">
        <v>16</v>
      </c>
      <c r="D30" s="3" t="s">
        <v>65</v>
      </c>
      <c r="E30" s="4">
        <v>44167</v>
      </c>
      <c r="F30" s="4">
        <v>44768</v>
      </c>
      <c r="G30" s="3" t="s">
        <v>18</v>
      </c>
      <c r="H30" s="3" t="s">
        <v>26</v>
      </c>
      <c r="I30" s="3">
        <v>44</v>
      </c>
      <c r="J30" s="5">
        <v>67028</v>
      </c>
      <c r="K30" s="3">
        <v>1</v>
      </c>
      <c r="L30" s="3">
        <v>3</v>
      </c>
      <c r="M30" s="3">
        <v>45</v>
      </c>
      <c r="N30" s="27">
        <f t="shared" si="0"/>
        <v>1</v>
      </c>
      <c r="O30" s="27" t="str">
        <f t="shared" si="1"/>
        <v>Low</v>
      </c>
      <c r="P30" s="27" t="str" cm="1">
        <f t="array" ref="P30">_xlfn.IFS( I30&lt;=25, "18–25",I30&lt;=35, "26–35",I30&lt;=45, "36–45",I30&lt;=55, "46–55",I30&lt;=65, "56–65",I30&gt;65, "65+")</f>
        <v>36–45</v>
      </c>
      <c r="Q30" s="16">
        <f t="shared" si="2"/>
        <v>1</v>
      </c>
      <c r="R30" s="27" t="str" cm="1">
        <f t="array" ref="R30:S30">INDEX(Dataset2!$C$2:$D$101,MATCH(Dataset1!A30,Dataset2!$A$2:$A$101,0),{1,2})</f>
        <v>Bachelor</v>
      </c>
      <c r="S30" s="27" t="str">
        <v>New Jeanne</v>
      </c>
    </row>
    <row r="31" spans="1:19" x14ac:dyDescent="0.25">
      <c r="A31" s="3">
        <v>7732</v>
      </c>
      <c r="B31" s="3" t="s">
        <v>100</v>
      </c>
      <c r="C31" s="3" t="s">
        <v>23</v>
      </c>
      <c r="D31" s="3" t="s">
        <v>24</v>
      </c>
      <c r="E31" s="4">
        <v>42833</v>
      </c>
      <c r="F31" s="3"/>
      <c r="G31" s="3" t="s">
        <v>25</v>
      </c>
      <c r="H31" s="3" t="s">
        <v>26</v>
      </c>
      <c r="I31" s="3">
        <v>48</v>
      </c>
      <c r="J31" s="5">
        <v>47478</v>
      </c>
      <c r="K31" s="3">
        <v>1</v>
      </c>
      <c r="L31" s="3">
        <v>3</v>
      </c>
      <c r="M31" s="3">
        <v>63</v>
      </c>
      <c r="N31" s="27">
        <f t="shared" si="0"/>
        <v>0</v>
      </c>
      <c r="O31" s="27" t="str">
        <f t="shared" si="1"/>
        <v>Low</v>
      </c>
      <c r="P31" s="27" t="str" cm="1">
        <f t="array" ref="P31">_xlfn.IFS( I31&lt;=25, "18–25",I31&lt;=35, "26–35",I31&lt;=45, "36–45",I31&lt;=55, "46–55",I31&lt;=65, "56–65",I31&gt;65, "65+")</f>
        <v>46–55</v>
      </c>
      <c r="Q31" s="16" t="str">
        <f t="shared" si="2"/>
        <v/>
      </c>
      <c r="R31" s="27" t="str" cm="1">
        <f t="array" ref="R31:S31">INDEX(Dataset2!$C$2:$D$101,MATCH(Dataset1!A31,Dataset2!$A$2:$A$101,0),{1,2})</f>
        <v>Associate</v>
      </c>
      <c r="S31" s="27" t="str">
        <v>Lake Marie</v>
      </c>
    </row>
    <row r="32" spans="1:19" x14ac:dyDescent="0.25">
      <c r="A32" s="3">
        <v>1283</v>
      </c>
      <c r="B32" s="3" t="s">
        <v>102</v>
      </c>
      <c r="C32" s="3" t="s">
        <v>70</v>
      </c>
      <c r="D32" s="3" t="s">
        <v>71</v>
      </c>
      <c r="E32" s="4">
        <v>45298</v>
      </c>
      <c r="F32" s="4">
        <v>45648</v>
      </c>
      <c r="G32" s="3" t="s">
        <v>18</v>
      </c>
      <c r="H32" s="3" t="s">
        <v>26</v>
      </c>
      <c r="I32" s="3">
        <v>48</v>
      </c>
      <c r="J32" s="5">
        <v>42504</v>
      </c>
      <c r="K32" s="3">
        <v>3</v>
      </c>
      <c r="L32" s="3">
        <v>2</v>
      </c>
      <c r="M32" s="3">
        <v>96</v>
      </c>
      <c r="N32" s="27">
        <f t="shared" si="0"/>
        <v>1</v>
      </c>
      <c r="O32" s="27" t="str">
        <f t="shared" si="1"/>
        <v>Medium</v>
      </c>
      <c r="P32" s="27" t="str" cm="1">
        <f t="array" ref="P32">_xlfn.IFS( I32&lt;=25, "18–25",I32&lt;=35, "26–35",I32&lt;=45, "36–45",I32&lt;=55, "46–55",I32&lt;=65, "56–65",I32&gt;65, "65+")</f>
        <v>46–55</v>
      </c>
      <c r="Q32" s="16">
        <f t="shared" si="2"/>
        <v>0</v>
      </c>
      <c r="R32" s="27" t="str" cm="1">
        <f t="array" ref="R32:S32">INDEX(Dataset2!$C$2:$D$101,MATCH(Dataset1!A32,Dataset2!$A$2:$A$101,0),{1,2})</f>
        <v>Associate</v>
      </c>
      <c r="S32" s="27" t="str">
        <v>Nicholeburgh</v>
      </c>
    </row>
    <row r="33" spans="1:19" x14ac:dyDescent="0.25">
      <c r="A33" s="3">
        <v>8580</v>
      </c>
      <c r="B33" s="3" t="s">
        <v>104</v>
      </c>
      <c r="C33" s="3" t="s">
        <v>70</v>
      </c>
      <c r="D33" s="3" t="s">
        <v>105</v>
      </c>
      <c r="E33" s="4">
        <v>42300</v>
      </c>
      <c r="F33" s="3"/>
      <c r="G33" s="3" t="s">
        <v>25</v>
      </c>
      <c r="H33" s="3" t="s">
        <v>54</v>
      </c>
      <c r="I33" s="3">
        <v>33</v>
      </c>
      <c r="J33" s="5">
        <v>55814</v>
      </c>
      <c r="K33" s="3">
        <v>2</v>
      </c>
      <c r="L33" s="3">
        <v>15</v>
      </c>
      <c r="M33" s="3">
        <v>8</v>
      </c>
      <c r="N33" s="27">
        <f t="shared" si="0"/>
        <v>0</v>
      </c>
      <c r="O33" s="27" t="str">
        <f t="shared" si="1"/>
        <v>Low</v>
      </c>
      <c r="P33" s="27" t="str" cm="1">
        <f t="array" ref="P33">_xlfn.IFS( I33&lt;=25, "18–25",I33&lt;=35, "26–35",I33&lt;=45, "36–45",I33&lt;=55, "46–55",I33&lt;=65, "56–65",I33&gt;65, "65+")</f>
        <v>26–35</v>
      </c>
      <c r="Q33" s="16" t="str">
        <f t="shared" si="2"/>
        <v/>
      </c>
      <c r="R33" s="27" t="str" cm="1">
        <f t="array" ref="R33:S33">INDEX(Dataset2!$C$2:$D$101,MATCH(Dataset1!A33,Dataset2!$A$2:$A$101,0),{1,2})</f>
        <v>High School</v>
      </c>
      <c r="S33" s="27" t="str">
        <v>Christophermouth</v>
      </c>
    </row>
    <row r="34" spans="1:19" x14ac:dyDescent="0.25">
      <c r="A34" s="3">
        <v>2568</v>
      </c>
      <c r="B34" s="3" t="s">
        <v>107</v>
      </c>
      <c r="C34" s="3" t="s">
        <v>29</v>
      </c>
      <c r="D34" s="3" t="s">
        <v>30</v>
      </c>
      <c r="E34" s="4">
        <v>42312</v>
      </c>
      <c r="F34" s="4">
        <v>43123</v>
      </c>
      <c r="G34" s="3" t="s">
        <v>18</v>
      </c>
      <c r="H34" s="3" t="s">
        <v>54</v>
      </c>
      <c r="I34" s="3">
        <v>35</v>
      </c>
      <c r="J34" s="5">
        <v>86857</v>
      </c>
      <c r="K34" s="3">
        <v>2</v>
      </c>
      <c r="L34" s="3">
        <v>1</v>
      </c>
      <c r="M34" s="3">
        <v>98</v>
      </c>
      <c r="N34" s="27">
        <f t="shared" si="0"/>
        <v>1</v>
      </c>
      <c r="O34" s="27" t="str">
        <f t="shared" si="1"/>
        <v>Low</v>
      </c>
      <c r="P34" s="27" t="str" cm="1">
        <f t="array" ref="P34">_xlfn.IFS( I34&lt;=25, "18–25",I34&lt;=35, "26–35",I34&lt;=45, "36–45",I34&lt;=55, "46–55",I34&lt;=65, "56–65",I34&gt;65, "65+")</f>
        <v>26–35</v>
      </c>
      <c r="Q34" s="16">
        <f t="shared" si="2"/>
        <v>2</v>
      </c>
      <c r="R34" s="27" t="str" cm="1">
        <f t="array" ref="R34:S34">INDEX(Dataset2!$C$2:$D$101,MATCH(Dataset1!A34,Dataset2!$A$2:$A$101,0),{1,2})</f>
        <v>Associate</v>
      </c>
      <c r="S34" s="27" t="str">
        <v>South Rickyshire</v>
      </c>
    </row>
    <row r="35" spans="1:19" x14ac:dyDescent="0.25">
      <c r="A35" s="3">
        <v>3962</v>
      </c>
      <c r="B35" s="3" t="s">
        <v>109</v>
      </c>
      <c r="C35" s="3" t="s">
        <v>41</v>
      </c>
      <c r="D35" s="3" t="s">
        <v>42</v>
      </c>
      <c r="E35" s="4">
        <v>42384</v>
      </c>
      <c r="F35" s="4">
        <v>45549</v>
      </c>
      <c r="G35" s="3" t="s">
        <v>18</v>
      </c>
      <c r="H35" s="3" t="s">
        <v>26</v>
      </c>
      <c r="I35" s="3">
        <v>55</v>
      </c>
      <c r="J35" s="5">
        <v>45506</v>
      </c>
      <c r="K35" s="3">
        <v>1</v>
      </c>
      <c r="L35" s="3">
        <v>13</v>
      </c>
      <c r="M35" s="3">
        <v>63</v>
      </c>
      <c r="N35" s="27">
        <f t="shared" si="0"/>
        <v>1</v>
      </c>
      <c r="O35" s="27" t="str">
        <f t="shared" si="1"/>
        <v>Low</v>
      </c>
      <c r="P35" s="27" t="str" cm="1">
        <f t="array" ref="P35">_xlfn.IFS( I35&lt;=25, "18–25",I35&lt;=35, "26–35",I35&lt;=45, "36–45",I35&lt;=55, "46–55",I35&lt;=65, "56–65",I35&gt;65, "65+")</f>
        <v>46–55</v>
      </c>
      <c r="Q35" s="16">
        <f t="shared" si="2"/>
        <v>8</v>
      </c>
      <c r="R35" s="27" t="str" cm="1">
        <f t="array" ref="R35:S35">INDEX(Dataset2!$C$2:$D$101,MATCH(Dataset1!A35,Dataset2!$A$2:$A$101,0),{1,2})</f>
        <v>High School</v>
      </c>
      <c r="S35" s="27" t="str">
        <v>New Kylestad</v>
      </c>
    </row>
    <row r="36" spans="1:19" x14ac:dyDescent="0.25">
      <c r="A36" s="3">
        <v>3178</v>
      </c>
      <c r="B36" s="3" t="s">
        <v>111</v>
      </c>
      <c r="C36" s="3" t="s">
        <v>52</v>
      </c>
      <c r="D36" s="3" t="s">
        <v>85</v>
      </c>
      <c r="E36" s="4">
        <v>42543</v>
      </c>
      <c r="F36" s="4">
        <v>44768</v>
      </c>
      <c r="G36" s="3" t="s">
        <v>18</v>
      </c>
      <c r="H36" s="3" t="s">
        <v>54</v>
      </c>
      <c r="I36" s="3">
        <v>26</v>
      </c>
      <c r="J36" s="5">
        <v>49807</v>
      </c>
      <c r="K36" s="3">
        <v>5</v>
      </c>
      <c r="L36" s="3">
        <v>4</v>
      </c>
      <c r="M36" s="3">
        <v>12</v>
      </c>
      <c r="N36" s="27">
        <f t="shared" si="0"/>
        <v>1</v>
      </c>
      <c r="O36" s="27" t="str">
        <f t="shared" si="1"/>
        <v>High</v>
      </c>
      <c r="P36" s="27" t="str" cm="1">
        <f t="array" ref="P36">_xlfn.IFS( I36&lt;=25, "18–25",I36&lt;=35, "26–35",I36&lt;=45, "36–45",I36&lt;=55, "46–55",I36&lt;=65, "56–65",I36&gt;65, "65+")</f>
        <v>26–35</v>
      </c>
      <c r="Q36" s="16">
        <f t="shared" si="2"/>
        <v>6</v>
      </c>
      <c r="R36" s="27" t="str" cm="1">
        <f t="array" ref="R36:S36">INDEX(Dataset2!$C$2:$D$101,MATCH(Dataset1!A36,Dataset2!$A$2:$A$101,0),{1,2})</f>
        <v>PhD</v>
      </c>
      <c r="S36" s="27" t="str">
        <v>Martinstad</v>
      </c>
    </row>
    <row r="37" spans="1:19" x14ac:dyDescent="0.25">
      <c r="A37" s="3">
        <v>4141</v>
      </c>
      <c r="B37" s="3" t="s">
        <v>113</v>
      </c>
      <c r="C37" s="3" t="s">
        <v>29</v>
      </c>
      <c r="D37" s="3" t="s">
        <v>61</v>
      </c>
      <c r="E37" s="4">
        <v>43985</v>
      </c>
      <c r="F37" s="3"/>
      <c r="G37" s="3" t="s">
        <v>25</v>
      </c>
      <c r="H37" s="3" t="s">
        <v>19</v>
      </c>
      <c r="I37" s="3">
        <v>55</v>
      </c>
      <c r="J37" s="5">
        <v>88542</v>
      </c>
      <c r="K37" s="3">
        <v>5</v>
      </c>
      <c r="L37" s="3">
        <v>10</v>
      </c>
      <c r="M37" s="3">
        <v>82</v>
      </c>
      <c r="N37" s="27">
        <f t="shared" si="0"/>
        <v>0</v>
      </c>
      <c r="O37" s="27" t="str">
        <f t="shared" si="1"/>
        <v>High</v>
      </c>
      <c r="P37" s="27" t="str" cm="1">
        <f t="array" ref="P37">_xlfn.IFS( I37&lt;=25, "18–25",I37&lt;=35, "26–35",I37&lt;=45, "36–45",I37&lt;=55, "46–55",I37&lt;=65, "56–65",I37&gt;65, "65+")</f>
        <v>46–55</v>
      </c>
      <c r="Q37" s="16" t="str">
        <f t="shared" si="2"/>
        <v/>
      </c>
      <c r="R37" s="27" t="str" cm="1">
        <f t="array" ref="R37:S37">INDEX(Dataset2!$C$2:$D$101,MATCH(Dataset1!A37,Dataset2!$A$2:$A$101,0),{1,2})</f>
        <v>Associate</v>
      </c>
      <c r="S37" s="27" t="str">
        <v>Lewismouth</v>
      </c>
    </row>
    <row r="38" spans="1:19" x14ac:dyDescent="0.25">
      <c r="A38" s="3">
        <v>3599</v>
      </c>
      <c r="B38" s="3" t="s">
        <v>115</v>
      </c>
      <c r="C38" s="3" t="s">
        <v>52</v>
      </c>
      <c r="D38" s="3" t="s">
        <v>85</v>
      </c>
      <c r="E38" s="4">
        <v>43670</v>
      </c>
      <c r="F38" s="3"/>
      <c r="G38" s="3" t="s">
        <v>25</v>
      </c>
      <c r="H38" s="3" t="s">
        <v>19</v>
      </c>
      <c r="I38" s="3">
        <v>51</v>
      </c>
      <c r="J38" s="5">
        <v>111654</v>
      </c>
      <c r="K38" s="3">
        <v>1</v>
      </c>
      <c r="L38" s="3">
        <v>11</v>
      </c>
      <c r="M38" s="3">
        <v>0</v>
      </c>
      <c r="N38" s="27">
        <f t="shared" si="0"/>
        <v>0</v>
      </c>
      <c r="O38" s="27" t="str">
        <f t="shared" si="1"/>
        <v>Low</v>
      </c>
      <c r="P38" s="27" t="str" cm="1">
        <f t="array" ref="P38">_xlfn.IFS( I38&lt;=25, "18–25",I38&lt;=35, "26–35",I38&lt;=45, "36–45",I38&lt;=55, "46–55",I38&lt;=65, "56–65",I38&gt;65, "65+")</f>
        <v>46–55</v>
      </c>
      <c r="Q38" s="16" t="str">
        <f t="shared" si="2"/>
        <v/>
      </c>
      <c r="R38" s="27" t="str" cm="1">
        <f t="array" ref="R38:S38">INDEX(Dataset2!$C$2:$D$101,MATCH(Dataset1!A38,Dataset2!$A$2:$A$101,0),{1,2})</f>
        <v>Master</v>
      </c>
      <c r="S38" s="27" t="str">
        <v>Foleyfurt</v>
      </c>
    </row>
    <row r="39" spans="1:19" x14ac:dyDescent="0.25">
      <c r="A39" s="3">
        <v>2514</v>
      </c>
      <c r="B39" s="3" t="s">
        <v>117</v>
      </c>
      <c r="C39" s="3" t="s">
        <v>52</v>
      </c>
      <c r="D39" s="3" t="s">
        <v>53</v>
      </c>
      <c r="E39" s="4">
        <v>44205</v>
      </c>
      <c r="F39" s="4">
        <v>44472</v>
      </c>
      <c r="G39" s="3" t="s">
        <v>18</v>
      </c>
      <c r="H39" s="3" t="s">
        <v>26</v>
      </c>
      <c r="I39" s="3">
        <v>38</v>
      </c>
      <c r="J39" s="5">
        <v>86120</v>
      </c>
      <c r="K39" s="3">
        <v>2</v>
      </c>
      <c r="L39" s="3">
        <v>13</v>
      </c>
      <c r="M39" s="3">
        <v>15</v>
      </c>
      <c r="N39" s="27">
        <f t="shared" si="0"/>
        <v>1</v>
      </c>
      <c r="O39" s="27" t="str">
        <f t="shared" si="1"/>
        <v>Low</v>
      </c>
      <c r="P39" s="27" t="str" cm="1">
        <f t="array" ref="P39">_xlfn.IFS( I39&lt;=25, "18–25",I39&lt;=35, "26–35",I39&lt;=45, "36–45",I39&lt;=55, "46–55",I39&lt;=65, "56–65",I39&gt;65, "65+")</f>
        <v>36–45</v>
      </c>
      <c r="Q39" s="16">
        <f t="shared" si="2"/>
        <v>0</v>
      </c>
      <c r="R39" s="27" t="str" cm="1">
        <f t="array" ref="R39:S39">INDEX(Dataset2!$C$2:$D$101,MATCH(Dataset1!A39,Dataset2!$A$2:$A$101,0),{1,2})</f>
        <v>High School</v>
      </c>
      <c r="S39" s="27" t="str">
        <v>East Josephbury</v>
      </c>
    </row>
    <row r="40" spans="1:19" x14ac:dyDescent="0.25">
      <c r="A40" s="3">
        <v>8563</v>
      </c>
      <c r="B40" s="3" t="s">
        <v>119</v>
      </c>
      <c r="C40" s="3" t="s">
        <v>23</v>
      </c>
      <c r="D40" s="3" t="s">
        <v>90</v>
      </c>
      <c r="E40" s="4">
        <v>43106</v>
      </c>
      <c r="F40" s="3"/>
      <c r="G40" s="3" t="s">
        <v>25</v>
      </c>
      <c r="H40" s="3" t="s">
        <v>19</v>
      </c>
      <c r="I40" s="3">
        <v>50</v>
      </c>
      <c r="J40" s="5">
        <v>94810</v>
      </c>
      <c r="K40" s="3">
        <v>1</v>
      </c>
      <c r="L40" s="3">
        <v>1</v>
      </c>
      <c r="M40" s="3">
        <v>62</v>
      </c>
      <c r="N40" s="27">
        <f t="shared" si="0"/>
        <v>0</v>
      </c>
      <c r="O40" s="27" t="str">
        <f t="shared" si="1"/>
        <v>Low</v>
      </c>
      <c r="P40" s="27" t="str" cm="1">
        <f t="array" ref="P40">_xlfn.IFS( I40&lt;=25, "18–25",I40&lt;=35, "26–35",I40&lt;=45, "36–45",I40&lt;=55, "46–55",I40&lt;=65, "56–65",I40&gt;65, "65+")</f>
        <v>46–55</v>
      </c>
      <c r="Q40" s="16" t="str">
        <f t="shared" si="2"/>
        <v/>
      </c>
      <c r="R40" s="27" t="str" cm="1">
        <f t="array" ref="R40:S40">INDEX(Dataset2!$C$2:$D$101,MATCH(Dataset1!A40,Dataset2!$A$2:$A$101,0),{1,2})</f>
        <v>Master</v>
      </c>
      <c r="S40" s="27" t="str">
        <v>Port Christophermouth</v>
      </c>
    </row>
    <row r="41" spans="1:19" x14ac:dyDescent="0.25">
      <c r="A41" s="3">
        <v>7364</v>
      </c>
      <c r="B41" s="3" t="s">
        <v>121</v>
      </c>
      <c r="C41" s="3" t="s">
        <v>16</v>
      </c>
      <c r="D41" s="3" t="s">
        <v>65</v>
      </c>
      <c r="E41" s="4">
        <v>44613</v>
      </c>
      <c r="F41" s="3"/>
      <c r="G41" s="3" t="s">
        <v>25</v>
      </c>
      <c r="H41" s="3" t="s">
        <v>26</v>
      </c>
      <c r="I41" s="3">
        <v>23</v>
      </c>
      <c r="J41" s="5">
        <v>94333</v>
      </c>
      <c r="K41" s="3">
        <v>1</v>
      </c>
      <c r="L41" s="3">
        <v>3</v>
      </c>
      <c r="M41" s="3">
        <v>28</v>
      </c>
      <c r="N41" s="27">
        <f t="shared" si="0"/>
        <v>0</v>
      </c>
      <c r="O41" s="27" t="str">
        <f t="shared" si="1"/>
        <v>Low</v>
      </c>
      <c r="P41" s="27" t="str" cm="1">
        <f t="array" ref="P41">_xlfn.IFS( I41&lt;=25, "18–25",I41&lt;=35, "26–35",I41&lt;=45, "36–45",I41&lt;=55, "46–55",I41&lt;=65, "56–65",I41&gt;65, "65+")</f>
        <v>18–25</v>
      </c>
      <c r="Q41" s="16" t="str">
        <f t="shared" si="2"/>
        <v/>
      </c>
      <c r="R41" s="27" t="str" cm="1">
        <f t="array" ref="R41:S41">INDEX(Dataset2!$C$2:$D$101,MATCH(Dataset1!A41,Dataset2!$A$2:$A$101,0),{1,2})</f>
        <v>High School</v>
      </c>
      <c r="S41" s="27" t="str">
        <v>Lake Rebeccafort</v>
      </c>
    </row>
    <row r="42" spans="1:19" x14ac:dyDescent="0.25">
      <c r="A42" s="3">
        <v>8855</v>
      </c>
      <c r="B42" s="3" t="s">
        <v>123</v>
      </c>
      <c r="C42" s="3" t="s">
        <v>29</v>
      </c>
      <c r="D42" s="3" t="s">
        <v>61</v>
      </c>
      <c r="E42" s="4">
        <v>43366</v>
      </c>
      <c r="F42" s="4">
        <v>44446</v>
      </c>
      <c r="G42" s="3" t="s">
        <v>18</v>
      </c>
      <c r="H42" s="3" t="s">
        <v>54</v>
      </c>
      <c r="I42" s="3">
        <v>25</v>
      </c>
      <c r="J42" s="5">
        <v>50792</v>
      </c>
      <c r="K42" s="3">
        <v>3</v>
      </c>
      <c r="L42" s="3">
        <v>15</v>
      </c>
      <c r="M42" s="3">
        <v>70</v>
      </c>
      <c r="N42" s="27">
        <f t="shared" si="0"/>
        <v>1</v>
      </c>
      <c r="O42" s="27" t="str">
        <f t="shared" si="1"/>
        <v>Medium</v>
      </c>
      <c r="P42" s="27" t="str" cm="1">
        <f t="array" ref="P42">_xlfn.IFS( I42&lt;=25, "18–25",I42&lt;=35, "26–35",I42&lt;=45, "36–45",I42&lt;=55, "46–55",I42&lt;=65, "56–65",I42&gt;65, "65+")</f>
        <v>18–25</v>
      </c>
      <c r="Q42" s="16">
        <f t="shared" si="2"/>
        <v>2</v>
      </c>
      <c r="R42" s="27" t="str" cm="1">
        <f t="array" ref="R42:S42">INDEX(Dataset2!$C$2:$D$101,MATCH(Dataset1!A42,Dataset2!$A$2:$A$101,0),{1,2})</f>
        <v>Associate</v>
      </c>
      <c r="S42" s="27" t="str">
        <v>Williamshire</v>
      </c>
    </row>
    <row r="43" spans="1:19" x14ac:dyDescent="0.25">
      <c r="A43" s="3">
        <v>6895</v>
      </c>
      <c r="B43" s="3" t="s">
        <v>125</v>
      </c>
      <c r="C43" s="3" t="s">
        <v>41</v>
      </c>
      <c r="D43" s="3" t="s">
        <v>82</v>
      </c>
      <c r="E43" s="4">
        <v>42858</v>
      </c>
      <c r="F43" s="4">
        <v>44338</v>
      </c>
      <c r="G43" s="3" t="s">
        <v>18</v>
      </c>
      <c r="H43" s="3" t="s">
        <v>19</v>
      </c>
      <c r="I43" s="3">
        <v>56</v>
      </c>
      <c r="J43" s="5">
        <v>72062</v>
      </c>
      <c r="K43" s="3">
        <v>1</v>
      </c>
      <c r="L43" s="3">
        <v>10</v>
      </c>
      <c r="M43" s="3">
        <v>83</v>
      </c>
      <c r="N43" s="27">
        <f t="shared" si="0"/>
        <v>1</v>
      </c>
      <c r="O43" s="27" t="str">
        <f t="shared" si="1"/>
        <v>Low</v>
      </c>
      <c r="P43" s="27" t="str" cm="1">
        <f t="array" ref="P43">_xlfn.IFS( I43&lt;=25, "18–25",I43&lt;=35, "26–35",I43&lt;=45, "36–45",I43&lt;=55, "46–55",I43&lt;=65, "56–65",I43&gt;65, "65+")</f>
        <v>56–65</v>
      </c>
      <c r="Q43" s="16">
        <f t="shared" si="2"/>
        <v>4</v>
      </c>
      <c r="R43" s="27" t="str" cm="1">
        <f t="array" ref="R43:S43">INDEX(Dataset2!$C$2:$D$101,MATCH(Dataset1!A43,Dataset2!$A$2:$A$101,0),{1,2})</f>
        <v>Associate</v>
      </c>
      <c r="S43" s="27" t="str">
        <v>Robertport</v>
      </c>
    </row>
    <row r="44" spans="1:19" x14ac:dyDescent="0.25">
      <c r="A44" s="3">
        <v>2287</v>
      </c>
      <c r="B44" s="3" t="s">
        <v>127</v>
      </c>
      <c r="C44" s="3" t="s">
        <v>29</v>
      </c>
      <c r="D44" s="3" t="s">
        <v>61</v>
      </c>
      <c r="E44" s="4">
        <v>43687</v>
      </c>
      <c r="F44" s="4">
        <v>45610</v>
      </c>
      <c r="G44" s="3" t="s">
        <v>18</v>
      </c>
      <c r="H44" s="3" t="s">
        <v>19</v>
      </c>
      <c r="I44" s="3">
        <v>57</v>
      </c>
      <c r="J44" s="5">
        <v>32508</v>
      </c>
      <c r="K44" s="3">
        <v>5</v>
      </c>
      <c r="L44" s="3">
        <v>0</v>
      </c>
      <c r="M44" s="3">
        <v>63</v>
      </c>
      <c r="N44" s="27">
        <f t="shared" si="0"/>
        <v>1</v>
      </c>
      <c r="O44" s="27" t="str">
        <f t="shared" si="1"/>
        <v>High</v>
      </c>
      <c r="P44" s="27" t="str" cm="1">
        <f t="array" ref="P44">_xlfn.IFS( I44&lt;=25, "18–25",I44&lt;=35, "26–35",I44&lt;=45, "36–45",I44&lt;=55, "46–55",I44&lt;=65, "56–65",I44&gt;65, "65+")</f>
        <v>56–65</v>
      </c>
      <c r="Q44" s="16">
        <f t="shared" si="2"/>
        <v>5</v>
      </c>
      <c r="R44" s="27" t="str" cm="1">
        <f t="array" ref="R44:S44">INDEX(Dataset2!$C$2:$D$101,MATCH(Dataset1!A44,Dataset2!$A$2:$A$101,0),{1,2})</f>
        <v>Bachelor</v>
      </c>
      <c r="S44" s="27" t="str">
        <v>Margaretport</v>
      </c>
    </row>
    <row r="45" spans="1:19" x14ac:dyDescent="0.25">
      <c r="A45" s="3">
        <v>5762</v>
      </c>
      <c r="B45" s="3" t="s">
        <v>129</v>
      </c>
      <c r="C45" s="3" t="s">
        <v>41</v>
      </c>
      <c r="D45" s="3" t="s">
        <v>82</v>
      </c>
      <c r="E45" s="4">
        <v>45126</v>
      </c>
      <c r="F45" s="3"/>
      <c r="G45" s="3" t="s">
        <v>25</v>
      </c>
      <c r="H45" s="3" t="s">
        <v>54</v>
      </c>
      <c r="I45" s="3">
        <v>46</v>
      </c>
      <c r="J45" s="5">
        <v>89304</v>
      </c>
      <c r="K45" s="3">
        <v>2</v>
      </c>
      <c r="L45" s="3">
        <v>11</v>
      </c>
      <c r="M45" s="3">
        <v>67</v>
      </c>
      <c r="N45" s="27">
        <f t="shared" si="0"/>
        <v>0</v>
      </c>
      <c r="O45" s="27" t="str">
        <f t="shared" si="1"/>
        <v>Low</v>
      </c>
      <c r="P45" s="27" t="str" cm="1">
        <f t="array" ref="P45">_xlfn.IFS( I45&lt;=25, "18–25",I45&lt;=35, "26–35",I45&lt;=45, "36–45",I45&lt;=55, "46–55",I45&lt;=65, "56–65",I45&gt;65, "65+")</f>
        <v>46–55</v>
      </c>
      <c r="Q45" s="16" t="str">
        <f t="shared" si="2"/>
        <v/>
      </c>
      <c r="R45" s="27" t="str" cm="1">
        <f t="array" ref="R45:S45">INDEX(Dataset2!$C$2:$D$101,MATCH(Dataset1!A45,Dataset2!$A$2:$A$101,0),{1,2})</f>
        <v>Master</v>
      </c>
      <c r="S45" s="27" t="str">
        <v>East Sharon</v>
      </c>
    </row>
    <row r="46" spans="1:19" x14ac:dyDescent="0.25">
      <c r="A46" s="3">
        <v>8230</v>
      </c>
      <c r="B46" s="3" t="s">
        <v>131</v>
      </c>
      <c r="C46" s="3" t="s">
        <v>52</v>
      </c>
      <c r="D46" s="3" t="s">
        <v>53</v>
      </c>
      <c r="E46" s="4">
        <v>43624</v>
      </c>
      <c r="F46" s="3"/>
      <c r="G46" s="3" t="s">
        <v>25</v>
      </c>
      <c r="H46" s="3" t="s">
        <v>19</v>
      </c>
      <c r="I46" s="3">
        <v>28</v>
      </c>
      <c r="J46" s="5">
        <v>69923</v>
      </c>
      <c r="K46" s="3">
        <v>2</v>
      </c>
      <c r="L46" s="3">
        <v>0</v>
      </c>
      <c r="M46" s="3">
        <v>18</v>
      </c>
      <c r="N46" s="27">
        <f t="shared" si="0"/>
        <v>0</v>
      </c>
      <c r="O46" s="27" t="str">
        <f t="shared" si="1"/>
        <v>Low</v>
      </c>
      <c r="P46" s="27" t="str" cm="1">
        <f t="array" ref="P46">_xlfn.IFS( I46&lt;=25, "18–25",I46&lt;=35, "26–35",I46&lt;=45, "36–45",I46&lt;=55, "46–55",I46&lt;=65, "56–65",I46&gt;65, "65+")</f>
        <v>26–35</v>
      </c>
      <c r="Q46" s="16" t="str">
        <f t="shared" si="2"/>
        <v/>
      </c>
      <c r="R46" s="27" t="str" cm="1">
        <f t="array" ref="R46:S46">INDEX(Dataset2!$C$2:$D$101,MATCH(Dataset1!A46,Dataset2!$A$2:$A$101,0),{1,2})</f>
        <v>Master</v>
      </c>
      <c r="S46" s="27" t="str">
        <v>West Rebeccaborough</v>
      </c>
    </row>
    <row r="47" spans="1:19" x14ac:dyDescent="0.25">
      <c r="A47" s="3">
        <v>1149</v>
      </c>
      <c r="B47" s="3" t="s">
        <v>133</v>
      </c>
      <c r="C47" s="3" t="s">
        <v>16</v>
      </c>
      <c r="D47" s="3" t="s">
        <v>17</v>
      </c>
      <c r="E47" s="4">
        <v>42203</v>
      </c>
      <c r="F47" s="4">
        <v>45100</v>
      </c>
      <c r="G47" s="3" t="s">
        <v>18</v>
      </c>
      <c r="H47" s="3" t="s">
        <v>54</v>
      </c>
      <c r="I47" s="3">
        <v>43</v>
      </c>
      <c r="J47" s="5">
        <v>50915</v>
      </c>
      <c r="K47" s="3">
        <v>1</v>
      </c>
      <c r="L47" s="3">
        <v>7</v>
      </c>
      <c r="M47" s="3">
        <v>78</v>
      </c>
      <c r="N47" s="27">
        <f t="shared" si="0"/>
        <v>1</v>
      </c>
      <c r="O47" s="27" t="str">
        <f t="shared" si="1"/>
        <v>Low</v>
      </c>
      <c r="P47" s="27" t="str" cm="1">
        <f t="array" ref="P47">_xlfn.IFS( I47&lt;=25, "18–25",I47&lt;=35, "26–35",I47&lt;=45, "36–45",I47&lt;=55, "46–55",I47&lt;=65, "56–65",I47&gt;65, "65+")</f>
        <v>36–45</v>
      </c>
      <c r="Q47" s="16">
        <f t="shared" si="2"/>
        <v>7</v>
      </c>
      <c r="R47" s="27" t="str" cm="1">
        <f t="array" ref="R47:S47">INDEX(Dataset2!$C$2:$D$101,MATCH(Dataset1!A47,Dataset2!$A$2:$A$101,0),{1,2})</f>
        <v>Bachelor</v>
      </c>
      <c r="S47" s="27" t="str">
        <v>Adamland</v>
      </c>
    </row>
    <row r="48" spans="1:19" x14ac:dyDescent="0.25">
      <c r="A48" s="3">
        <v>7251</v>
      </c>
      <c r="B48" s="3" t="s">
        <v>135</v>
      </c>
      <c r="C48" s="3" t="s">
        <v>70</v>
      </c>
      <c r="D48" s="3" t="s">
        <v>105</v>
      </c>
      <c r="E48" s="4">
        <v>42569</v>
      </c>
      <c r="F48" s="4">
        <v>45707</v>
      </c>
      <c r="G48" s="3" t="s">
        <v>18</v>
      </c>
      <c r="H48" s="3" t="s">
        <v>19</v>
      </c>
      <c r="I48" s="3">
        <v>30</v>
      </c>
      <c r="J48" s="5">
        <v>40203</v>
      </c>
      <c r="K48" s="3">
        <v>2</v>
      </c>
      <c r="L48" s="3">
        <v>11</v>
      </c>
      <c r="M48" s="3">
        <v>92</v>
      </c>
      <c r="N48" s="27">
        <f t="shared" si="0"/>
        <v>1</v>
      </c>
      <c r="O48" s="27" t="str">
        <f t="shared" si="1"/>
        <v>Low</v>
      </c>
      <c r="P48" s="27" t="str" cm="1">
        <f t="array" ref="P48">_xlfn.IFS( I48&lt;=25, "18–25",I48&lt;=35, "26–35",I48&lt;=45, "36–45",I48&lt;=55, "46–55",I48&lt;=65, "56–65",I48&gt;65, "65+")</f>
        <v>26–35</v>
      </c>
      <c r="Q48" s="16">
        <f t="shared" si="2"/>
        <v>8</v>
      </c>
      <c r="R48" s="27" t="str" cm="1">
        <f t="array" ref="R48:S48">INDEX(Dataset2!$C$2:$D$101,MATCH(Dataset1!A48,Dataset2!$A$2:$A$101,0),{1,2})</f>
        <v>Bachelor</v>
      </c>
      <c r="S48" s="27" t="str">
        <v>Hawkinsburgh</v>
      </c>
    </row>
    <row r="49" spans="1:19" x14ac:dyDescent="0.25">
      <c r="A49" s="3">
        <v>6688</v>
      </c>
      <c r="B49" s="3" t="s">
        <v>137</v>
      </c>
      <c r="C49" s="3" t="s">
        <v>16</v>
      </c>
      <c r="D49" s="3" t="s">
        <v>65</v>
      </c>
      <c r="E49" s="4">
        <v>45362</v>
      </c>
      <c r="F49" s="4">
        <v>45758</v>
      </c>
      <c r="G49" s="3" t="s">
        <v>18</v>
      </c>
      <c r="H49" s="3" t="s">
        <v>54</v>
      </c>
      <c r="I49" s="3">
        <v>41</v>
      </c>
      <c r="J49" s="5">
        <v>48144</v>
      </c>
      <c r="K49" s="3">
        <v>4</v>
      </c>
      <c r="L49" s="3">
        <v>10</v>
      </c>
      <c r="M49" s="3">
        <v>41</v>
      </c>
      <c r="N49" s="27">
        <f t="shared" si="0"/>
        <v>1</v>
      </c>
      <c r="O49" s="27" t="str">
        <f t="shared" si="1"/>
        <v>Medium</v>
      </c>
      <c r="P49" s="27" t="str" cm="1">
        <f t="array" ref="P49">_xlfn.IFS( I49&lt;=25, "18–25",I49&lt;=35, "26–35",I49&lt;=45, "36–45",I49&lt;=55, "46–55",I49&lt;=65, "56–65",I49&gt;65, "65+")</f>
        <v>36–45</v>
      </c>
      <c r="Q49" s="16">
        <f t="shared" si="2"/>
        <v>1</v>
      </c>
      <c r="R49" s="27" t="str" cm="1">
        <f t="array" ref="R49:S49">INDEX(Dataset2!$C$2:$D$101,MATCH(Dataset1!A49,Dataset2!$A$2:$A$101,0),{1,2})</f>
        <v>Master</v>
      </c>
      <c r="S49" s="27" t="str">
        <v>Shannonfort</v>
      </c>
    </row>
    <row r="50" spans="1:19" x14ac:dyDescent="0.25">
      <c r="A50" s="3">
        <v>1416</v>
      </c>
      <c r="B50" s="3" t="s">
        <v>139</v>
      </c>
      <c r="C50" s="3" t="s">
        <v>52</v>
      </c>
      <c r="D50" s="3" t="s">
        <v>85</v>
      </c>
      <c r="E50" s="4">
        <v>44017</v>
      </c>
      <c r="F50" s="3"/>
      <c r="G50" s="3" t="s">
        <v>25</v>
      </c>
      <c r="H50" s="3" t="s">
        <v>54</v>
      </c>
      <c r="I50" s="3">
        <v>23</v>
      </c>
      <c r="J50" s="5">
        <v>39751</v>
      </c>
      <c r="K50" s="3">
        <v>3</v>
      </c>
      <c r="L50" s="3">
        <v>4</v>
      </c>
      <c r="M50" s="3">
        <v>14</v>
      </c>
      <c r="N50" s="27">
        <f t="shared" si="0"/>
        <v>0</v>
      </c>
      <c r="O50" s="27" t="str">
        <f t="shared" si="1"/>
        <v>Medium</v>
      </c>
      <c r="P50" s="27" t="str" cm="1">
        <f t="array" ref="P50">_xlfn.IFS( I50&lt;=25, "18–25",I50&lt;=35, "26–35",I50&lt;=45, "36–45",I50&lt;=55, "46–55",I50&lt;=65, "56–65",I50&gt;65, "65+")</f>
        <v>18–25</v>
      </c>
      <c r="Q50" s="16" t="str">
        <f t="shared" si="2"/>
        <v/>
      </c>
      <c r="R50" s="27" t="str" cm="1">
        <f t="array" ref="R50:S50">INDEX(Dataset2!$C$2:$D$101,MATCH(Dataset1!A50,Dataset2!$A$2:$A$101,0),{1,2})</f>
        <v>Associate</v>
      </c>
      <c r="S50" s="27" t="str">
        <v>South Lisatown</v>
      </c>
    </row>
    <row r="51" spans="1:19" x14ac:dyDescent="0.25">
      <c r="A51" s="3">
        <v>5884</v>
      </c>
      <c r="B51" s="3" t="s">
        <v>141</v>
      </c>
      <c r="C51" s="3" t="s">
        <v>16</v>
      </c>
      <c r="D51" s="3" t="s">
        <v>17</v>
      </c>
      <c r="E51" s="4">
        <v>44950</v>
      </c>
      <c r="F51" s="3"/>
      <c r="G51" s="3" t="s">
        <v>25</v>
      </c>
      <c r="H51" s="3" t="s">
        <v>54</v>
      </c>
      <c r="I51" s="3">
        <v>51</v>
      </c>
      <c r="J51" s="5">
        <v>86639</v>
      </c>
      <c r="K51" s="3">
        <v>1</v>
      </c>
      <c r="L51" s="3">
        <v>11</v>
      </c>
      <c r="M51" s="3">
        <v>86</v>
      </c>
      <c r="N51" s="27">
        <f t="shared" si="0"/>
        <v>0</v>
      </c>
      <c r="O51" s="27" t="str">
        <f t="shared" si="1"/>
        <v>Low</v>
      </c>
      <c r="P51" s="27" t="str" cm="1">
        <f t="array" ref="P51">_xlfn.IFS( I51&lt;=25, "18–25",I51&lt;=35, "26–35",I51&lt;=45, "36–45",I51&lt;=55, "46–55",I51&lt;=65, "56–65",I51&gt;65, "65+")</f>
        <v>46–55</v>
      </c>
      <c r="Q51" s="16" t="str">
        <f t="shared" si="2"/>
        <v/>
      </c>
      <c r="R51" s="27" t="str" cm="1">
        <f t="array" ref="R51:S51">INDEX(Dataset2!$C$2:$D$101,MATCH(Dataset1!A51,Dataset2!$A$2:$A$101,0),{1,2})</f>
        <v>High School</v>
      </c>
      <c r="S51" s="27" t="str">
        <v>North Eddie</v>
      </c>
    </row>
    <row r="52" spans="1:19" x14ac:dyDescent="0.25">
      <c r="A52" s="3">
        <v>4207</v>
      </c>
      <c r="B52" s="3" t="s">
        <v>143</v>
      </c>
      <c r="C52" s="3" t="s">
        <v>16</v>
      </c>
      <c r="D52" s="3" t="s">
        <v>17</v>
      </c>
      <c r="E52" s="4">
        <v>42591</v>
      </c>
      <c r="F52" s="4">
        <v>45061</v>
      </c>
      <c r="G52" s="3" t="s">
        <v>18</v>
      </c>
      <c r="H52" s="3" t="s">
        <v>19</v>
      </c>
      <c r="I52" s="3">
        <v>50</v>
      </c>
      <c r="J52" s="5">
        <v>54958</v>
      </c>
      <c r="K52" s="3">
        <v>3</v>
      </c>
      <c r="L52" s="3">
        <v>0</v>
      </c>
      <c r="M52" s="3">
        <v>93</v>
      </c>
      <c r="N52" s="27">
        <f t="shared" si="0"/>
        <v>1</v>
      </c>
      <c r="O52" s="27" t="str">
        <f t="shared" si="1"/>
        <v>Medium</v>
      </c>
      <c r="P52" s="27" t="str" cm="1">
        <f t="array" ref="P52">_xlfn.IFS( I52&lt;=25, "18–25",I52&lt;=35, "26–35",I52&lt;=45, "36–45",I52&lt;=55, "46–55",I52&lt;=65, "56–65",I52&gt;65, "65+")</f>
        <v>46–55</v>
      </c>
      <c r="Q52" s="16">
        <f t="shared" si="2"/>
        <v>6</v>
      </c>
      <c r="R52" s="27" t="str" cm="1">
        <f t="array" ref="R52:S52">INDEX(Dataset2!$C$2:$D$101,MATCH(Dataset1!A52,Dataset2!$A$2:$A$101,0),{1,2})</f>
        <v>Associate</v>
      </c>
      <c r="S52" s="27" t="str">
        <v>Samanthastad</v>
      </c>
    </row>
    <row r="53" spans="1:19" x14ac:dyDescent="0.25">
      <c r="A53" s="3">
        <v>8564</v>
      </c>
      <c r="B53" s="3" t="s">
        <v>145</v>
      </c>
      <c r="C53" s="3" t="s">
        <v>41</v>
      </c>
      <c r="D53" s="3" t="s">
        <v>146</v>
      </c>
      <c r="E53" s="4">
        <v>44492</v>
      </c>
      <c r="F53" s="3"/>
      <c r="G53" s="3" t="s">
        <v>25</v>
      </c>
      <c r="H53" s="3" t="s">
        <v>54</v>
      </c>
      <c r="I53" s="3">
        <v>46</v>
      </c>
      <c r="J53" s="5">
        <v>68275</v>
      </c>
      <c r="K53" s="3">
        <v>1</v>
      </c>
      <c r="L53" s="3">
        <v>8</v>
      </c>
      <c r="M53" s="3">
        <v>94</v>
      </c>
      <c r="N53" s="27">
        <f t="shared" si="0"/>
        <v>0</v>
      </c>
      <c r="O53" s="27" t="str">
        <f t="shared" si="1"/>
        <v>Low</v>
      </c>
      <c r="P53" s="27" t="str" cm="1">
        <f t="array" ref="P53">_xlfn.IFS( I53&lt;=25, "18–25",I53&lt;=35, "26–35",I53&lt;=45, "36–45",I53&lt;=55, "46–55",I53&lt;=65, "56–65",I53&gt;65, "65+")</f>
        <v>46–55</v>
      </c>
      <c r="Q53" s="16" t="str">
        <f t="shared" si="2"/>
        <v/>
      </c>
      <c r="R53" s="27" t="str" cm="1">
        <f t="array" ref="R53:S53">INDEX(Dataset2!$C$2:$D$101,MATCH(Dataset1!A53,Dataset2!$A$2:$A$101,0),{1,2})</f>
        <v>Associate</v>
      </c>
      <c r="S53" s="27" t="str">
        <v>North Garyland</v>
      </c>
    </row>
    <row r="54" spans="1:19" x14ac:dyDescent="0.25">
      <c r="A54" s="3">
        <v>2841</v>
      </c>
      <c r="B54" s="3" t="s">
        <v>148</v>
      </c>
      <c r="C54" s="3" t="s">
        <v>52</v>
      </c>
      <c r="D54" s="3" t="s">
        <v>53</v>
      </c>
      <c r="E54" s="4">
        <v>45362</v>
      </c>
      <c r="F54" s="3"/>
      <c r="G54" s="3" t="s">
        <v>25</v>
      </c>
      <c r="H54" s="3" t="s">
        <v>19</v>
      </c>
      <c r="I54" s="3">
        <v>46</v>
      </c>
      <c r="J54" s="5">
        <v>114995</v>
      </c>
      <c r="K54" s="3">
        <v>3</v>
      </c>
      <c r="L54" s="3">
        <v>12</v>
      </c>
      <c r="M54" s="3">
        <v>61</v>
      </c>
      <c r="N54" s="27">
        <f t="shared" si="0"/>
        <v>0</v>
      </c>
      <c r="O54" s="27" t="str">
        <f t="shared" si="1"/>
        <v>Medium</v>
      </c>
      <c r="P54" s="27" t="str" cm="1">
        <f t="array" ref="P54">_xlfn.IFS( I54&lt;=25, "18–25",I54&lt;=35, "26–35",I54&lt;=45, "36–45",I54&lt;=55, "46–55",I54&lt;=65, "56–65",I54&gt;65, "65+")</f>
        <v>46–55</v>
      </c>
      <c r="Q54" s="16" t="str">
        <f t="shared" si="2"/>
        <v/>
      </c>
      <c r="R54" s="27" t="str" cm="1">
        <f t="array" ref="R54:S54">INDEX(Dataset2!$C$2:$D$101,MATCH(Dataset1!A54,Dataset2!$A$2:$A$101,0),{1,2})</f>
        <v>High School</v>
      </c>
      <c r="S54" s="27" t="str">
        <v>Burchmouth</v>
      </c>
    </row>
    <row r="55" spans="1:19" x14ac:dyDescent="0.25">
      <c r="A55" s="3">
        <v>6768</v>
      </c>
      <c r="B55" s="3" t="s">
        <v>150</v>
      </c>
      <c r="C55" s="3" t="s">
        <v>70</v>
      </c>
      <c r="D55" s="3" t="s">
        <v>71</v>
      </c>
      <c r="E55" s="4">
        <v>43449</v>
      </c>
      <c r="F55" s="4">
        <v>44930</v>
      </c>
      <c r="G55" s="3" t="s">
        <v>18</v>
      </c>
      <c r="H55" s="3" t="s">
        <v>54</v>
      </c>
      <c r="I55" s="3">
        <v>26</v>
      </c>
      <c r="J55" s="5">
        <v>77544</v>
      </c>
      <c r="K55" s="3">
        <v>1</v>
      </c>
      <c r="L55" s="3">
        <v>14</v>
      </c>
      <c r="M55" s="3">
        <v>51</v>
      </c>
      <c r="N55" s="27">
        <f t="shared" si="0"/>
        <v>1</v>
      </c>
      <c r="O55" s="27" t="str">
        <f t="shared" si="1"/>
        <v>Low</v>
      </c>
      <c r="P55" s="27" t="str" cm="1">
        <f t="array" ref="P55">_xlfn.IFS( I55&lt;=25, "18–25",I55&lt;=35, "26–35",I55&lt;=45, "36–45",I55&lt;=55, "46–55",I55&lt;=65, "56–65",I55&gt;65, "65+")</f>
        <v>26–35</v>
      </c>
      <c r="Q55" s="16">
        <f t="shared" si="2"/>
        <v>4</v>
      </c>
      <c r="R55" s="27" t="str" cm="1">
        <f t="array" ref="R55:S55">INDEX(Dataset2!$C$2:$D$101,MATCH(Dataset1!A55,Dataset2!$A$2:$A$101,0),{1,2})</f>
        <v>Associate</v>
      </c>
      <c r="S55" s="27" t="str">
        <v>Robertsonchester</v>
      </c>
    </row>
    <row r="56" spans="1:19" x14ac:dyDescent="0.25">
      <c r="A56" s="3">
        <v>3597</v>
      </c>
      <c r="B56" s="3" t="s">
        <v>152</v>
      </c>
      <c r="C56" s="3" t="s">
        <v>16</v>
      </c>
      <c r="D56" s="3" t="s">
        <v>17</v>
      </c>
      <c r="E56" s="4">
        <v>44392</v>
      </c>
      <c r="F56" s="4">
        <v>45002</v>
      </c>
      <c r="G56" s="3" t="s">
        <v>18</v>
      </c>
      <c r="H56" s="3" t="s">
        <v>54</v>
      </c>
      <c r="I56" s="3">
        <v>50</v>
      </c>
      <c r="J56" s="5">
        <v>105628</v>
      </c>
      <c r="K56" s="3">
        <v>1</v>
      </c>
      <c r="L56" s="3">
        <v>9</v>
      </c>
      <c r="M56" s="3">
        <v>0</v>
      </c>
      <c r="N56" s="27">
        <f t="shared" si="0"/>
        <v>1</v>
      </c>
      <c r="O56" s="27" t="str">
        <f t="shared" si="1"/>
        <v>Low</v>
      </c>
      <c r="P56" s="27" t="str" cm="1">
        <f t="array" ref="P56">_xlfn.IFS( I56&lt;=25, "18–25",I56&lt;=35, "26–35",I56&lt;=45, "36–45",I56&lt;=55, "46–55",I56&lt;=65, "56–65",I56&gt;65, "65+")</f>
        <v>46–55</v>
      </c>
      <c r="Q56" s="16">
        <f t="shared" si="2"/>
        <v>1</v>
      </c>
      <c r="R56" s="27" t="str" cm="1">
        <f t="array" ref="R56:S56">INDEX(Dataset2!$C$2:$D$101,MATCH(Dataset1!A56,Dataset2!$A$2:$A$101,0),{1,2})</f>
        <v>Associate</v>
      </c>
      <c r="S56" s="27" t="str">
        <v>Jasminechester</v>
      </c>
    </row>
    <row r="57" spans="1:19" x14ac:dyDescent="0.25">
      <c r="A57" s="3">
        <v>2123</v>
      </c>
      <c r="B57" s="3" t="s">
        <v>154</v>
      </c>
      <c r="C57" s="3" t="s">
        <v>29</v>
      </c>
      <c r="D57" s="3" t="s">
        <v>30</v>
      </c>
      <c r="E57" s="4">
        <v>43202</v>
      </c>
      <c r="F57" s="4">
        <v>45495</v>
      </c>
      <c r="G57" s="3" t="s">
        <v>18</v>
      </c>
      <c r="H57" s="3" t="s">
        <v>26</v>
      </c>
      <c r="I57" s="3">
        <v>56</v>
      </c>
      <c r="J57" s="5">
        <v>75632</v>
      </c>
      <c r="K57" s="3">
        <v>5</v>
      </c>
      <c r="L57" s="3">
        <v>3</v>
      </c>
      <c r="M57" s="3">
        <v>8</v>
      </c>
      <c r="N57" s="27">
        <f t="shared" si="0"/>
        <v>1</v>
      </c>
      <c r="O57" s="27" t="str">
        <f t="shared" si="1"/>
        <v>High</v>
      </c>
      <c r="P57" s="27" t="str" cm="1">
        <f t="array" ref="P57">_xlfn.IFS( I57&lt;=25, "18–25",I57&lt;=35, "26–35",I57&lt;=45, "36–45",I57&lt;=55, "46–55",I57&lt;=65, "56–65",I57&gt;65, "65+")</f>
        <v>56–65</v>
      </c>
      <c r="Q57" s="16">
        <f t="shared" si="2"/>
        <v>6</v>
      </c>
      <c r="R57" s="27" t="str" cm="1">
        <f t="array" ref="R57:S57">INDEX(Dataset2!$C$2:$D$101,MATCH(Dataset1!A57,Dataset2!$A$2:$A$101,0),{1,2})</f>
        <v>Associate</v>
      </c>
      <c r="S57" s="27" t="str">
        <v>Cookeberg</v>
      </c>
    </row>
    <row r="58" spans="1:19" x14ac:dyDescent="0.25">
      <c r="A58" s="3">
        <v>3003</v>
      </c>
      <c r="B58" s="3" t="s">
        <v>156</v>
      </c>
      <c r="C58" s="3" t="s">
        <v>41</v>
      </c>
      <c r="D58" s="3" t="s">
        <v>146</v>
      </c>
      <c r="E58" s="4">
        <v>44158</v>
      </c>
      <c r="F58" s="4">
        <v>44320</v>
      </c>
      <c r="G58" s="3" t="s">
        <v>18</v>
      </c>
      <c r="H58" s="3" t="s">
        <v>26</v>
      </c>
      <c r="I58" s="3">
        <v>32</v>
      </c>
      <c r="J58" s="5">
        <v>77541</v>
      </c>
      <c r="K58" s="3">
        <v>5</v>
      </c>
      <c r="L58" s="3">
        <v>12</v>
      </c>
      <c r="M58" s="3">
        <v>80</v>
      </c>
      <c r="N58" s="27">
        <f t="shared" si="0"/>
        <v>1</v>
      </c>
      <c r="O58" s="27" t="str">
        <f t="shared" si="1"/>
        <v>High</v>
      </c>
      <c r="P58" s="27" t="str" cm="1">
        <f t="array" ref="P58">_xlfn.IFS( I58&lt;=25, "18–25",I58&lt;=35, "26–35",I58&lt;=45, "36–45",I58&lt;=55, "46–55",I58&lt;=65, "56–65",I58&gt;65, "65+")</f>
        <v>26–35</v>
      </c>
      <c r="Q58" s="16">
        <f t="shared" si="2"/>
        <v>0</v>
      </c>
      <c r="R58" s="27" t="str" cm="1">
        <f t="array" ref="R58:S58">INDEX(Dataset2!$C$2:$D$101,MATCH(Dataset1!A58,Dataset2!$A$2:$A$101,0),{1,2})</f>
        <v>Associate</v>
      </c>
      <c r="S58" s="27" t="str">
        <v>North Tammy</v>
      </c>
    </row>
    <row r="59" spans="1:19" x14ac:dyDescent="0.25">
      <c r="A59" s="3">
        <v>2366</v>
      </c>
      <c r="B59" s="3" t="s">
        <v>158</v>
      </c>
      <c r="C59" s="3" t="s">
        <v>52</v>
      </c>
      <c r="D59" s="3" t="s">
        <v>85</v>
      </c>
      <c r="E59" s="4">
        <v>44389</v>
      </c>
      <c r="F59" s="3"/>
      <c r="G59" s="3" t="s">
        <v>25</v>
      </c>
      <c r="H59" s="3" t="s">
        <v>26</v>
      </c>
      <c r="I59" s="3">
        <v>42</v>
      </c>
      <c r="J59" s="5">
        <v>95682</v>
      </c>
      <c r="K59" s="3">
        <v>3</v>
      </c>
      <c r="L59" s="3">
        <v>4</v>
      </c>
      <c r="M59" s="3">
        <v>83</v>
      </c>
      <c r="N59" s="27">
        <f t="shared" si="0"/>
        <v>0</v>
      </c>
      <c r="O59" s="27" t="str">
        <f t="shared" si="1"/>
        <v>Medium</v>
      </c>
      <c r="P59" s="27" t="str" cm="1">
        <f t="array" ref="P59">_xlfn.IFS( I59&lt;=25, "18–25",I59&lt;=35, "26–35",I59&lt;=45, "36–45",I59&lt;=55, "46–55",I59&lt;=65, "56–65",I59&gt;65, "65+")</f>
        <v>36–45</v>
      </c>
      <c r="Q59" s="16" t="str">
        <f t="shared" si="2"/>
        <v/>
      </c>
      <c r="R59" s="27" t="str" cm="1">
        <f t="array" ref="R59:S59">INDEX(Dataset2!$C$2:$D$101,MATCH(Dataset1!A59,Dataset2!$A$2:$A$101,0),{1,2})</f>
        <v>Bachelor</v>
      </c>
      <c r="S59" s="27" t="str">
        <v>East Kim</v>
      </c>
    </row>
    <row r="60" spans="1:19" x14ac:dyDescent="0.25">
      <c r="A60" s="3">
        <v>1058</v>
      </c>
      <c r="B60" s="3" t="s">
        <v>160</v>
      </c>
      <c r="C60" s="3" t="s">
        <v>52</v>
      </c>
      <c r="D60" s="3" t="s">
        <v>53</v>
      </c>
      <c r="E60" s="4">
        <v>45241</v>
      </c>
      <c r="F60" s="4">
        <v>45566</v>
      </c>
      <c r="G60" s="3" t="s">
        <v>18</v>
      </c>
      <c r="H60" s="3" t="s">
        <v>26</v>
      </c>
      <c r="I60" s="3">
        <v>36</v>
      </c>
      <c r="J60" s="5">
        <v>89157</v>
      </c>
      <c r="K60" s="3">
        <v>1</v>
      </c>
      <c r="L60" s="3">
        <v>10</v>
      </c>
      <c r="M60" s="3">
        <v>89</v>
      </c>
      <c r="N60" s="27">
        <f t="shared" si="0"/>
        <v>1</v>
      </c>
      <c r="O60" s="27" t="str">
        <f t="shared" si="1"/>
        <v>Low</v>
      </c>
      <c r="P60" s="27" t="str" cm="1">
        <f t="array" ref="P60">_xlfn.IFS( I60&lt;=25, "18–25",I60&lt;=35, "26–35",I60&lt;=45, "36–45",I60&lt;=55, "46–55",I60&lt;=65, "56–65",I60&gt;65, "65+")</f>
        <v>36–45</v>
      </c>
      <c r="Q60" s="16">
        <f t="shared" si="2"/>
        <v>0</v>
      </c>
      <c r="R60" s="27" t="str" cm="1">
        <f t="array" ref="R60:S60">INDEX(Dataset2!$C$2:$D$101,MATCH(Dataset1!A60,Dataset2!$A$2:$A$101,0),{1,2})</f>
        <v>Associate</v>
      </c>
      <c r="S60" s="27" t="str">
        <v>Nicoleport</v>
      </c>
    </row>
    <row r="61" spans="1:19" x14ac:dyDescent="0.25">
      <c r="A61" s="3">
        <v>3618</v>
      </c>
      <c r="B61" s="3" t="s">
        <v>162</v>
      </c>
      <c r="C61" s="3" t="s">
        <v>23</v>
      </c>
      <c r="D61" s="3" t="s">
        <v>24</v>
      </c>
      <c r="E61" s="4">
        <v>44090</v>
      </c>
      <c r="F61" s="3"/>
      <c r="G61" s="3" t="s">
        <v>25</v>
      </c>
      <c r="H61" s="3" t="s">
        <v>54</v>
      </c>
      <c r="I61" s="3">
        <v>35</v>
      </c>
      <c r="J61" s="5">
        <v>71201</v>
      </c>
      <c r="K61" s="3">
        <v>2</v>
      </c>
      <c r="L61" s="3">
        <v>0</v>
      </c>
      <c r="M61" s="3">
        <v>70</v>
      </c>
      <c r="N61" s="27">
        <f t="shared" si="0"/>
        <v>0</v>
      </c>
      <c r="O61" s="27" t="str">
        <f t="shared" si="1"/>
        <v>Low</v>
      </c>
      <c r="P61" s="27" t="str" cm="1">
        <f t="array" ref="P61">_xlfn.IFS( I61&lt;=25, "18–25",I61&lt;=35, "26–35",I61&lt;=45, "36–45",I61&lt;=55, "46–55",I61&lt;=65, "56–65",I61&gt;65, "65+")</f>
        <v>26–35</v>
      </c>
      <c r="Q61" s="16" t="str">
        <f t="shared" si="2"/>
        <v/>
      </c>
      <c r="R61" s="27" t="str" cm="1">
        <f t="array" ref="R61:S61">INDEX(Dataset2!$C$2:$D$101,MATCH(Dataset1!A61,Dataset2!$A$2:$A$101,0),{1,2})</f>
        <v>Associate</v>
      </c>
      <c r="S61" s="27" t="str">
        <v>Ashleychester</v>
      </c>
    </row>
    <row r="62" spans="1:19" x14ac:dyDescent="0.25">
      <c r="A62" s="3">
        <v>8934</v>
      </c>
      <c r="B62" s="3" t="s">
        <v>164</v>
      </c>
      <c r="C62" s="3" t="s">
        <v>16</v>
      </c>
      <c r="D62" s="3" t="s">
        <v>65</v>
      </c>
      <c r="E62" s="4">
        <v>44919</v>
      </c>
      <c r="F62" s="4">
        <v>45454</v>
      </c>
      <c r="G62" s="3" t="s">
        <v>18</v>
      </c>
      <c r="H62" s="3" t="s">
        <v>26</v>
      </c>
      <c r="I62" s="3">
        <v>37</v>
      </c>
      <c r="J62" s="5">
        <v>89415</v>
      </c>
      <c r="K62" s="3">
        <v>2</v>
      </c>
      <c r="L62" s="3">
        <v>4</v>
      </c>
      <c r="M62" s="3">
        <v>9</v>
      </c>
      <c r="N62" s="27">
        <f t="shared" si="0"/>
        <v>1</v>
      </c>
      <c r="O62" s="27" t="str">
        <f t="shared" si="1"/>
        <v>Low</v>
      </c>
      <c r="P62" s="27" t="str" cm="1">
        <f t="array" ref="P62">_xlfn.IFS( I62&lt;=25, "18–25",I62&lt;=35, "26–35",I62&lt;=45, "36–45",I62&lt;=55, "46–55",I62&lt;=65, "56–65",I62&gt;65, "65+")</f>
        <v>36–45</v>
      </c>
      <c r="Q62" s="16">
        <f t="shared" si="2"/>
        <v>1</v>
      </c>
      <c r="R62" s="27" t="str" cm="1">
        <f t="array" ref="R62:S62">INDEX(Dataset2!$C$2:$D$101,MATCH(Dataset1!A62,Dataset2!$A$2:$A$101,0),{1,2})</f>
        <v>Master</v>
      </c>
      <c r="S62" s="27" t="str">
        <v>Thomasberg</v>
      </c>
    </row>
    <row r="63" spans="1:19" x14ac:dyDescent="0.25">
      <c r="A63" s="3">
        <v>9903</v>
      </c>
      <c r="B63" s="3" t="s">
        <v>166</v>
      </c>
      <c r="C63" s="3" t="s">
        <v>16</v>
      </c>
      <c r="D63" s="3" t="s">
        <v>17</v>
      </c>
      <c r="E63" s="4">
        <v>42636</v>
      </c>
      <c r="F63" s="4">
        <v>44706</v>
      </c>
      <c r="G63" s="3" t="s">
        <v>18</v>
      </c>
      <c r="H63" s="3" t="s">
        <v>54</v>
      </c>
      <c r="I63" s="3">
        <v>45</v>
      </c>
      <c r="J63" s="5">
        <v>111547</v>
      </c>
      <c r="K63" s="3">
        <v>2</v>
      </c>
      <c r="L63" s="3">
        <v>2</v>
      </c>
      <c r="M63" s="3">
        <v>88</v>
      </c>
      <c r="N63" s="27">
        <f t="shared" si="0"/>
        <v>1</v>
      </c>
      <c r="O63" s="27" t="str">
        <f t="shared" si="1"/>
        <v>Low</v>
      </c>
      <c r="P63" s="27" t="str" cm="1">
        <f t="array" ref="P63">_xlfn.IFS( I63&lt;=25, "18–25",I63&lt;=35, "26–35",I63&lt;=45, "36–45",I63&lt;=55, "46–55",I63&lt;=65, "56–65",I63&gt;65, "65+")</f>
        <v>36–45</v>
      </c>
      <c r="Q63" s="16">
        <f t="shared" si="2"/>
        <v>5</v>
      </c>
      <c r="R63" s="27" t="str" cm="1">
        <f t="array" ref="R63:S63">INDEX(Dataset2!$C$2:$D$101,MATCH(Dataset1!A63,Dataset2!$A$2:$A$101,0),{1,2})</f>
        <v>Associate</v>
      </c>
      <c r="S63" s="27" t="str">
        <v>Colebury</v>
      </c>
    </row>
    <row r="64" spans="1:19" x14ac:dyDescent="0.25">
      <c r="A64" s="3">
        <v>2597</v>
      </c>
      <c r="B64" s="3" t="s">
        <v>168</v>
      </c>
      <c r="C64" s="3" t="s">
        <v>29</v>
      </c>
      <c r="D64" s="3" t="s">
        <v>61</v>
      </c>
      <c r="E64" s="4">
        <v>42929</v>
      </c>
      <c r="F64" s="3"/>
      <c r="G64" s="3" t="s">
        <v>25</v>
      </c>
      <c r="H64" s="3" t="s">
        <v>26</v>
      </c>
      <c r="I64" s="3">
        <v>48</v>
      </c>
      <c r="J64" s="5">
        <v>65766</v>
      </c>
      <c r="K64" s="3">
        <v>1</v>
      </c>
      <c r="L64" s="3">
        <v>10</v>
      </c>
      <c r="M64" s="3">
        <v>52</v>
      </c>
      <c r="N64" s="27">
        <f t="shared" si="0"/>
        <v>0</v>
      </c>
      <c r="O64" s="27" t="str">
        <f t="shared" si="1"/>
        <v>Low</v>
      </c>
      <c r="P64" s="27" t="str" cm="1">
        <f t="array" ref="P64">_xlfn.IFS( I64&lt;=25, "18–25",I64&lt;=35, "26–35",I64&lt;=45, "36–45",I64&lt;=55, "46–55",I64&lt;=65, "56–65",I64&gt;65, "65+")</f>
        <v>46–55</v>
      </c>
      <c r="Q64" s="16" t="str">
        <f t="shared" si="2"/>
        <v/>
      </c>
      <c r="R64" s="27" t="str" cm="1">
        <f t="array" ref="R64:S64">INDEX(Dataset2!$C$2:$D$101,MATCH(Dataset1!A64,Dataset2!$A$2:$A$101,0),{1,2})</f>
        <v>PhD</v>
      </c>
      <c r="S64" s="27" t="str">
        <v>South Victoriafort</v>
      </c>
    </row>
    <row r="65" spans="1:19" x14ac:dyDescent="0.25">
      <c r="A65" s="3">
        <v>6155</v>
      </c>
      <c r="B65" s="3" t="s">
        <v>170</v>
      </c>
      <c r="C65" s="3" t="s">
        <v>23</v>
      </c>
      <c r="D65" s="3" t="s">
        <v>90</v>
      </c>
      <c r="E65" s="4">
        <v>44019</v>
      </c>
      <c r="F65" s="3"/>
      <c r="G65" s="3" t="s">
        <v>25</v>
      </c>
      <c r="H65" s="3" t="s">
        <v>26</v>
      </c>
      <c r="I65" s="3">
        <v>52</v>
      </c>
      <c r="J65" s="5">
        <v>50937</v>
      </c>
      <c r="K65" s="3">
        <v>3</v>
      </c>
      <c r="L65" s="3">
        <v>14</v>
      </c>
      <c r="M65" s="3">
        <v>38</v>
      </c>
      <c r="N65" s="27">
        <f t="shared" si="0"/>
        <v>0</v>
      </c>
      <c r="O65" s="27" t="str">
        <f t="shared" si="1"/>
        <v>Medium</v>
      </c>
      <c r="P65" s="27" t="str" cm="1">
        <f t="array" ref="P65">_xlfn.IFS( I65&lt;=25, "18–25",I65&lt;=35, "26–35",I65&lt;=45, "36–45",I65&lt;=55, "46–55",I65&lt;=65, "56–65",I65&gt;65, "65+")</f>
        <v>46–55</v>
      </c>
      <c r="Q65" s="16" t="str">
        <f t="shared" si="2"/>
        <v/>
      </c>
      <c r="R65" s="27" t="str" cm="1">
        <f t="array" ref="R65:S65">INDEX(Dataset2!$C$2:$D$101,MATCH(Dataset1!A65,Dataset2!$A$2:$A$101,0),{1,2})</f>
        <v>Bachelor</v>
      </c>
      <c r="S65" s="27" t="str">
        <v>Port Kylebury</v>
      </c>
    </row>
    <row r="66" spans="1:19" x14ac:dyDescent="0.25">
      <c r="A66" s="3">
        <v>6831</v>
      </c>
      <c r="B66" s="3" t="s">
        <v>172</v>
      </c>
      <c r="C66" s="3" t="s">
        <v>70</v>
      </c>
      <c r="D66" s="3" t="s">
        <v>71</v>
      </c>
      <c r="E66" s="4">
        <v>44962</v>
      </c>
      <c r="F66" s="3"/>
      <c r="G66" s="3" t="s">
        <v>25</v>
      </c>
      <c r="H66" s="3" t="s">
        <v>26</v>
      </c>
      <c r="I66" s="3">
        <v>25</v>
      </c>
      <c r="J66" s="5">
        <v>100776</v>
      </c>
      <c r="K66" s="3">
        <v>4</v>
      </c>
      <c r="L66" s="3">
        <v>15</v>
      </c>
      <c r="M66" s="3">
        <v>17</v>
      </c>
      <c r="N66" s="27">
        <f t="shared" si="0"/>
        <v>0</v>
      </c>
      <c r="O66" s="27" t="str">
        <f t="shared" si="1"/>
        <v>Medium</v>
      </c>
      <c r="P66" s="27" t="str" cm="1">
        <f t="array" ref="P66">_xlfn.IFS( I66&lt;=25, "18–25",I66&lt;=35, "26–35",I66&lt;=45, "36–45",I66&lt;=55, "46–55",I66&lt;=65, "56–65",I66&gt;65, "65+")</f>
        <v>18–25</v>
      </c>
      <c r="Q66" s="16" t="str">
        <f t="shared" si="2"/>
        <v/>
      </c>
      <c r="R66" s="27" t="str" cm="1">
        <f t="array" ref="R66:S66">INDEX(Dataset2!$C$2:$D$101,MATCH(Dataset1!A66,Dataset2!$A$2:$A$101,0),{1,2})</f>
        <v>Master</v>
      </c>
      <c r="S66" s="27" t="str">
        <v>New Caroline</v>
      </c>
    </row>
    <row r="67" spans="1:19" x14ac:dyDescent="0.25">
      <c r="A67" s="3">
        <v>1849</v>
      </c>
      <c r="B67" s="3" t="s">
        <v>174</v>
      </c>
      <c r="C67" s="3" t="s">
        <v>29</v>
      </c>
      <c r="D67" s="3" t="s">
        <v>61</v>
      </c>
      <c r="E67" s="4">
        <v>45260</v>
      </c>
      <c r="F67" s="3"/>
      <c r="G67" s="3" t="s">
        <v>25</v>
      </c>
      <c r="H67" s="3" t="s">
        <v>54</v>
      </c>
      <c r="I67" s="3">
        <v>37</v>
      </c>
      <c r="J67" s="5">
        <v>82514</v>
      </c>
      <c r="K67" s="3">
        <v>5</v>
      </c>
      <c r="L67" s="3">
        <v>9</v>
      </c>
      <c r="M67" s="3">
        <v>74</v>
      </c>
      <c r="N67" s="27">
        <f t="shared" ref="N67:N101" si="3">IF(G67="Terminated",1,0)</f>
        <v>0</v>
      </c>
      <c r="O67" s="27" t="str">
        <f t="shared" ref="O67:O101" si="4">IF(K67&lt;=2,"Low",IF(K67&lt;=4,"Medium","High"))</f>
        <v>High</v>
      </c>
      <c r="P67" s="27" t="str" cm="1">
        <f t="array" ref="P67">_xlfn.IFS( I67&lt;=25, "18–25",I67&lt;=35, "26–35",I67&lt;=45, "36–45",I67&lt;=55, "46–55",I67&lt;=65, "56–65",I67&gt;65, "65+")</f>
        <v>36–45</v>
      </c>
      <c r="Q67" s="16" t="str">
        <f t="shared" ref="Q67:Q101" si="5">IF(G67="Terminated",DATEDIF(E67,F67,"Y"),"")</f>
        <v/>
      </c>
      <c r="R67" s="27" t="str" cm="1">
        <f t="array" ref="R67:S67">INDEX(Dataset2!$C$2:$D$101,MATCH(Dataset1!A67,Dataset2!$A$2:$A$101,0),{1,2})</f>
        <v>Master</v>
      </c>
      <c r="S67" s="27" t="str">
        <v>Robertsonland</v>
      </c>
    </row>
    <row r="68" spans="1:19" x14ac:dyDescent="0.25">
      <c r="A68" s="3">
        <v>2091</v>
      </c>
      <c r="B68" s="3" t="s">
        <v>176</v>
      </c>
      <c r="C68" s="3" t="s">
        <v>52</v>
      </c>
      <c r="D68" s="3" t="s">
        <v>53</v>
      </c>
      <c r="E68" s="4">
        <v>44721</v>
      </c>
      <c r="F68" s="4">
        <v>44990</v>
      </c>
      <c r="G68" s="3" t="s">
        <v>18</v>
      </c>
      <c r="H68" s="3" t="s">
        <v>19</v>
      </c>
      <c r="I68" s="3">
        <v>40</v>
      </c>
      <c r="J68" s="5">
        <v>118137</v>
      </c>
      <c r="K68" s="3">
        <v>4</v>
      </c>
      <c r="L68" s="3">
        <v>4</v>
      </c>
      <c r="M68" s="3">
        <v>4</v>
      </c>
      <c r="N68" s="27">
        <f t="shared" si="3"/>
        <v>1</v>
      </c>
      <c r="O68" s="27" t="str">
        <f t="shared" si="4"/>
        <v>Medium</v>
      </c>
      <c r="P68" s="27" t="str" cm="1">
        <f t="array" ref="P68">_xlfn.IFS( I68&lt;=25, "18–25",I68&lt;=35, "26–35",I68&lt;=45, "36–45",I68&lt;=55, "46–55",I68&lt;=65, "56–65",I68&gt;65, "65+")</f>
        <v>36–45</v>
      </c>
      <c r="Q68" s="16">
        <f t="shared" si="5"/>
        <v>0</v>
      </c>
      <c r="R68" s="27" t="str" cm="1">
        <f t="array" ref="R68:S68">INDEX(Dataset2!$C$2:$D$101,MATCH(Dataset1!A68,Dataset2!$A$2:$A$101,0),{1,2})</f>
        <v>Bachelor</v>
      </c>
      <c r="S68" s="27" t="str">
        <v>West Troy</v>
      </c>
    </row>
    <row r="69" spans="1:19" x14ac:dyDescent="0.25">
      <c r="A69" s="3">
        <v>3783</v>
      </c>
      <c r="B69" s="3" t="s">
        <v>178</v>
      </c>
      <c r="C69" s="3" t="s">
        <v>29</v>
      </c>
      <c r="D69" s="3" t="s">
        <v>61</v>
      </c>
      <c r="E69" s="4">
        <v>43617</v>
      </c>
      <c r="F69" s="3"/>
      <c r="G69" s="3" t="s">
        <v>25</v>
      </c>
      <c r="H69" s="3" t="s">
        <v>19</v>
      </c>
      <c r="I69" s="3">
        <v>40</v>
      </c>
      <c r="J69" s="5">
        <v>87170</v>
      </c>
      <c r="K69" s="3">
        <v>5</v>
      </c>
      <c r="L69" s="3">
        <v>1</v>
      </c>
      <c r="M69" s="3">
        <v>68</v>
      </c>
      <c r="N69" s="27">
        <f t="shared" si="3"/>
        <v>0</v>
      </c>
      <c r="O69" s="27" t="str">
        <f t="shared" si="4"/>
        <v>High</v>
      </c>
      <c r="P69" s="27" t="str" cm="1">
        <f t="array" ref="P69">_xlfn.IFS( I69&lt;=25, "18–25",I69&lt;=35, "26–35",I69&lt;=45, "36–45",I69&lt;=55, "46–55",I69&lt;=65, "56–65",I69&gt;65, "65+")</f>
        <v>36–45</v>
      </c>
      <c r="Q69" s="16" t="str">
        <f t="shared" si="5"/>
        <v/>
      </c>
      <c r="R69" s="27" t="str" cm="1">
        <f t="array" ref="R69:S69">INDEX(Dataset2!$C$2:$D$101,MATCH(Dataset1!A69,Dataset2!$A$2:$A$101,0),{1,2})</f>
        <v>Master</v>
      </c>
      <c r="S69" s="27" t="str">
        <v>North Bruce</v>
      </c>
    </row>
    <row r="70" spans="1:19" x14ac:dyDescent="0.25">
      <c r="A70" s="3">
        <v>9921</v>
      </c>
      <c r="B70" s="3" t="s">
        <v>180</v>
      </c>
      <c r="C70" s="3" t="s">
        <v>70</v>
      </c>
      <c r="D70" s="3" t="s">
        <v>71</v>
      </c>
      <c r="E70" s="4">
        <v>43624</v>
      </c>
      <c r="F70" s="3"/>
      <c r="G70" s="3" t="s">
        <v>25</v>
      </c>
      <c r="H70" s="3" t="s">
        <v>26</v>
      </c>
      <c r="I70" s="3">
        <v>60</v>
      </c>
      <c r="J70" s="5">
        <v>89211</v>
      </c>
      <c r="K70" s="3">
        <v>1</v>
      </c>
      <c r="L70" s="3">
        <v>6</v>
      </c>
      <c r="M70" s="3">
        <v>53</v>
      </c>
      <c r="N70" s="27">
        <f t="shared" si="3"/>
        <v>0</v>
      </c>
      <c r="O70" s="27" t="str">
        <f t="shared" si="4"/>
        <v>Low</v>
      </c>
      <c r="P70" s="27" t="str" cm="1">
        <f t="array" ref="P70">_xlfn.IFS( I70&lt;=25, "18–25",I70&lt;=35, "26–35",I70&lt;=45, "36–45",I70&lt;=55, "46–55",I70&lt;=65, "56–65",I70&gt;65, "65+")</f>
        <v>56–65</v>
      </c>
      <c r="Q70" s="16" t="str">
        <f t="shared" si="5"/>
        <v/>
      </c>
      <c r="R70" s="27" t="str" cm="1">
        <f t="array" ref="R70:S70">INDEX(Dataset2!$C$2:$D$101,MATCH(Dataset1!A70,Dataset2!$A$2:$A$101,0),{1,2})</f>
        <v>Bachelor</v>
      </c>
      <c r="S70" s="27" t="str">
        <v>Lake William</v>
      </c>
    </row>
    <row r="71" spans="1:19" x14ac:dyDescent="0.25">
      <c r="A71" s="3">
        <v>3620</v>
      </c>
      <c r="B71" s="3" t="s">
        <v>182</v>
      </c>
      <c r="C71" s="3" t="s">
        <v>23</v>
      </c>
      <c r="D71" s="3" t="s">
        <v>24</v>
      </c>
      <c r="E71" s="4">
        <v>45006</v>
      </c>
      <c r="F71" s="4">
        <v>45618</v>
      </c>
      <c r="G71" s="3" t="s">
        <v>18</v>
      </c>
      <c r="H71" s="3" t="s">
        <v>54</v>
      </c>
      <c r="I71" s="3">
        <v>44</v>
      </c>
      <c r="J71" s="5">
        <v>41460</v>
      </c>
      <c r="K71" s="3">
        <v>4</v>
      </c>
      <c r="L71" s="3">
        <v>1</v>
      </c>
      <c r="M71" s="3">
        <v>95</v>
      </c>
      <c r="N71" s="27">
        <f t="shared" si="3"/>
        <v>1</v>
      </c>
      <c r="O71" s="27" t="str">
        <f t="shared" si="4"/>
        <v>Medium</v>
      </c>
      <c r="P71" s="27" t="str" cm="1">
        <f t="array" ref="P71">_xlfn.IFS( I71&lt;=25, "18–25",I71&lt;=35, "26–35",I71&lt;=45, "36–45",I71&lt;=55, "46–55",I71&lt;=65, "56–65",I71&gt;65, "65+")</f>
        <v>36–45</v>
      </c>
      <c r="Q71" s="16">
        <f t="shared" si="5"/>
        <v>1</v>
      </c>
      <c r="R71" s="27" t="str" cm="1">
        <f t="array" ref="R71:S71">INDEX(Dataset2!$C$2:$D$101,MATCH(Dataset1!A71,Dataset2!$A$2:$A$101,0),{1,2})</f>
        <v>Associate</v>
      </c>
      <c r="S71" s="27" t="str">
        <v>Johnbury</v>
      </c>
    </row>
    <row r="72" spans="1:19" x14ac:dyDescent="0.25">
      <c r="A72" s="3">
        <v>3843</v>
      </c>
      <c r="B72" s="3" t="s">
        <v>184</v>
      </c>
      <c r="C72" s="3" t="s">
        <v>23</v>
      </c>
      <c r="D72" s="3" t="s">
        <v>90</v>
      </c>
      <c r="E72" s="4">
        <v>44740</v>
      </c>
      <c r="F72" s="4">
        <v>44803</v>
      </c>
      <c r="G72" s="3" t="s">
        <v>18</v>
      </c>
      <c r="H72" s="3" t="s">
        <v>19</v>
      </c>
      <c r="I72" s="3">
        <v>41</v>
      </c>
      <c r="J72" s="5">
        <v>99989</v>
      </c>
      <c r="K72" s="3">
        <v>4</v>
      </c>
      <c r="L72" s="3">
        <v>14</v>
      </c>
      <c r="M72" s="3">
        <v>61</v>
      </c>
      <c r="N72" s="27">
        <f t="shared" si="3"/>
        <v>1</v>
      </c>
      <c r="O72" s="27" t="str">
        <f t="shared" si="4"/>
        <v>Medium</v>
      </c>
      <c r="P72" s="27" t="str" cm="1">
        <f t="array" ref="P72">_xlfn.IFS( I72&lt;=25, "18–25",I72&lt;=35, "26–35",I72&lt;=45, "36–45",I72&lt;=55, "46–55",I72&lt;=65, "56–65",I72&gt;65, "65+")</f>
        <v>36–45</v>
      </c>
      <c r="Q72" s="16">
        <f t="shared" si="5"/>
        <v>0</v>
      </c>
      <c r="R72" s="27" t="str" cm="1">
        <f t="array" ref="R72:S72">INDEX(Dataset2!$C$2:$D$101,MATCH(Dataset1!A72,Dataset2!$A$2:$A$101,0),{1,2})</f>
        <v>PhD</v>
      </c>
      <c r="S72" s="27" t="str">
        <v>Diazhaven</v>
      </c>
    </row>
    <row r="73" spans="1:19" x14ac:dyDescent="0.25">
      <c r="A73" s="3">
        <v>9533</v>
      </c>
      <c r="B73" s="3" t="s">
        <v>186</v>
      </c>
      <c r="C73" s="3" t="s">
        <v>16</v>
      </c>
      <c r="D73" s="3" t="s">
        <v>17</v>
      </c>
      <c r="E73" s="4">
        <v>42436</v>
      </c>
      <c r="F73" s="4">
        <v>43750</v>
      </c>
      <c r="G73" s="3" t="s">
        <v>18</v>
      </c>
      <c r="H73" s="3" t="s">
        <v>54</v>
      </c>
      <c r="I73" s="3">
        <v>41</v>
      </c>
      <c r="J73" s="5">
        <v>60621</v>
      </c>
      <c r="K73" s="3">
        <v>3</v>
      </c>
      <c r="L73" s="3">
        <v>7</v>
      </c>
      <c r="M73" s="3">
        <v>75</v>
      </c>
      <c r="N73" s="27">
        <f t="shared" si="3"/>
        <v>1</v>
      </c>
      <c r="O73" s="27" t="str">
        <f t="shared" si="4"/>
        <v>Medium</v>
      </c>
      <c r="P73" s="27" t="str" cm="1">
        <f t="array" ref="P73">_xlfn.IFS( I73&lt;=25, "18–25",I73&lt;=35, "26–35",I73&lt;=45, "36–45",I73&lt;=55, "46–55",I73&lt;=65, "56–65",I73&gt;65, "65+")</f>
        <v>36–45</v>
      </c>
      <c r="Q73" s="16">
        <f t="shared" si="5"/>
        <v>3</v>
      </c>
      <c r="R73" s="27" t="str" cm="1">
        <f t="array" ref="R73:S73">INDEX(Dataset2!$C$2:$D$101,MATCH(Dataset1!A73,Dataset2!$A$2:$A$101,0),{1,2})</f>
        <v>Bachelor</v>
      </c>
      <c r="S73" s="27" t="str">
        <v>East Russelltown</v>
      </c>
    </row>
    <row r="74" spans="1:19" x14ac:dyDescent="0.25">
      <c r="A74" s="3">
        <v>1298</v>
      </c>
      <c r="B74" s="3" t="s">
        <v>188</v>
      </c>
      <c r="C74" s="3" t="s">
        <v>41</v>
      </c>
      <c r="D74" s="3" t="s">
        <v>146</v>
      </c>
      <c r="E74" s="4">
        <v>42920</v>
      </c>
      <c r="F74" s="3"/>
      <c r="G74" s="3" t="s">
        <v>25</v>
      </c>
      <c r="H74" s="3" t="s">
        <v>54</v>
      </c>
      <c r="I74" s="3">
        <v>22</v>
      </c>
      <c r="J74" s="5">
        <v>91035</v>
      </c>
      <c r="K74" s="3">
        <v>2</v>
      </c>
      <c r="L74" s="3">
        <v>1</v>
      </c>
      <c r="M74" s="3">
        <v>82</v>
      </c>
      <c r="N74" s="27">
        <f t="shared" si="3"/>
        <v>0</v>
      </c>
      <c r="O74" s="27" t="str">
        <f t="shared" si="4"/>
        <v>Low</v>
      </c>
      <c r="P74" s="27" t="str" cm="1">
        <f t="array" ref="P74">_xlfn.IFS( I74&lt;=25, "18–25",I74&lt;=35, "26–35",I74&lt;=45, "36–45",I74&lt;=55, "46–55",I74&lt;=65, "56–65",I74&gt;65, "65+")</f>
        <v>18–25</v>
      </c>
      <c r="Q74" s="16" t="str">
        <f t="shared" si="5"/>
        <v/>
      </c>
      <c r="R74" s="27" t="str" cm="1">
        <f t="array" ref="R74:S74">INDEX(Dataset2!$C$2:$D$101,MATCH(Dataset1!A74,Dataset2!$A$2:$A$101,0),{1,2})</f>
        <v>Associate</v>
      </c>
      <c r="S74" s="27" t="str">
        <v>Hannafurt</v>
      </c>
    </row>
    <row r="75" spans="1:19" x14ac:dyDescent="0.25">
      <c r="A75" s="3">
        <v>5229</v>
      </c>
      <c r="B75" s="3" t="s">
        <v>190</v>
      </c>
      <c r="C75" s="3" t="s">
        <v>52</v>
      </c>
      <c r="D75" s="3" t="s">
        <v>85</v>
      </c>
      <c r="E75" s="4">
        <v>42410</v>
      </c>
      <c r="F75" s="3"/>
      <c r="G75" s="3" t="s">
        <v>25</v>
      </c>
      <c r="H75" s="3" t="s">
        <v>54</v>
      </c>
      <c r="I75" s="3">
        <v>51</v>
      </c>
      <c r="J75" s="5">
        <v>63991</v>
      </c>
      <c r="K75" s="3">
        <v>4</v>
      </c>
      <c r="L75" s="3">
        <v>13</v>
      </c>
      <c r="M75" s="3">
        <v>20</v>
      </c>
      <c r="N75" s="27">
        <f t="shared" si="3"/>
        <v>0</v>
      </c>
      <c r="O75" s="27" t="str">
        <f t="shared" si="4"/>
        <v>Medium</v>
      </c>
      <c r="P75" s="27" t="str" cm="1">
        <f t="array" ref="P75">_xlfn.IFS( I75&lt;=25, "18–25",I75&lt;=35, "26–35",I75&lt;=45, "36–45",I75&lt;=55, "46–55",I75&lt;=65, "56–65",I75&gt;65, "65+")</f>
        <v>46–55</v>
      </c>
      <c r="Q75" s="16" t="str">
        <f t="shared" si="5"/>
        <v/>
      </c>
      <c r="R75" s="27" t="str" cm="1">
        <f t="array" ref="R75:S75">INDEX(Dataset2!$C$2:$D$101,MATCH(Dataset1!A75,Dataset2!$A$2:$A$101,0),{1,2})</f>
        <v>High School</v>
      </c>
      <c r="S75" s="27" t="str">
        <v>Schmidtshire</v>
      </c>
    </row>
    <row r="76" spans="1:19" x14ac:dyDescent="0.25">
      <c r="A76" s="3">
        <v>8146</v>
      </c>
      <c r="B76" s="3" t="s">
        <v>192</v>
      </c>
      <c r="C76" s="3" t="s">
        <v>70</v>
      </c>
      <c r="D76" s="3" t="s">
        <v>71</v>
      </c>
      <c r="E76" s="4">
        <v>44129</v>
      </c>
      <c r="F76" s="4">
        <v>45047</v>
      </c>
      <c r="G76" s="3" t="s">
        <v>18</v>
      </c>
      <c r="H76" s="3" t="s">
        <v>26</v>
      </c>
      <c r="I76" s="3">
        <v>24</v>
      </c>
      <c r="J76" s="5">
        <v>32478</v>
      </c>
      <c r="K76" s="3">
        <v>4</v>
      </c>
      <c r="L76" s="3">
        <v>5</v>
      </c>
      <c r="M76" s="3">
        <v>74</v>
      </c>
      <c r="N76" s="27">
        <f t="shared" si="3"/>
        <v>1</v>
      </c>
      <c r="O76" s="27" t="str">
        <f t="shared" si="4"/>
        <v>Medium</v>
      </c>
      <c r="P76" s="27" t="str" cm="1">
        <f t="array" ref="P76">_xlfn.IFS( I76&lt;=25, "18–25",I76&lt;=35, "26–35",I76&lt;=45, "36–45",I76&lt;=55, "46–55",I76&lt;=65, "56–65",I76&gt;65, "65+")</f>
        <v>18–25</v>
      </c>
      <c r="Q76" s="16">
        <f t="shared" si="5"/>
        <v>2</v>
      </c>
      <c r="R76" s="27" t="str" cm="1">
        <f t="array" ref="R76:S76">INDEX(Dataset2!$C$2:$D$101,MATCH(Dataset1!A76,Dataset2!$A$2:$A$101,0),{1,2})</f>
        <v>Master</v>
      </c>
      <c r="S76" s="27" t="str">
        <v>Port Tamaraville</v>
      </c>
    </row>
    <row r="77" spans="1:19" x14ac:dyDescent="0.25">
      <c r="A77" s="3">
        <v>5382</v>
      </c>
      <c r="B77" s="3" t="s">
        <v>194</v>
      </c>
      <c r="C77" s="3" t="s">
        <v>23</v>
      </c>
      <c r="D77" s="3" t="s">
        <v>90</v>
      </c>
      <c r="E77" s="4">
        <v>43249</v>
      </c>
      <c r="F77" s="3"/>
      <c r="G77" s="3" t="s">
        <v>25</v>
      </c>
      <c r="H77" s="3" t="s">
        <v>26</v>
      </c>
      <c r="I77" s="3">
        <v>53</v>
      </c>
      <c r="J77" s="5">
        <v>61670</v>
      </c>
      <c r="K77" s="3">
        <v>5</v>
      </c>
      <c r="L77" s="3">
        <v>10</v>
      </c>
      <c r="M77" s="3">
        <v>98</v>
      </c>
      <c r="N77" s="27">
        <f t="shared" si="3"/>
        <v>0</v>
      </c>
      <c r="O77" s="27" t="str">
        <f t="shared" si="4"/>
        <v>High</v>
      </c>
      <c r="P77" s="27" t="str" cm="1">
        <f t="array" ref="P77">_xlfn.IFS( I77&lt;=25, "18–25",I77&lt;=35, "26–35",I77&lt;=45, "36–45",I77&lt;=55, "46–55",I77&lt;=65, "56–65",I77&gt;65, "65+")</f>
        <v>46–55</v>
      </c>
      <c r="Q77" s="16" t="str">
        <f t="shared" si="5"/>
        <v/>
      </c>
      <c r="R77" s="27" t="str" cm="1">
        <f t="array" ref="R77:S77">INDEX(Dataset2!$C$2:$D$101,MATCH(Dataset1!A77,Dataset2!$A$2:$A$101,0),{1,2})</f>
        <v>Associate</v>
      </c>
      <c r="S77" s="27" t="str">
        <v>Robertberg</v>
      </c>
    </row>
    <row r="78" spans="1:19" x14ac:dyDescent="0.25">
      <c r="A78" s="3">
        <v>1433</v>
      </c>
      <c r="B78" s="3" t="s">
        <v>196</v>
      </c>
      <c r="C78" s="3" t="s">
        <v>41</v>
      </c>
      <c r="D78" s="3" t="s">
        <v>82</v>
      </c>
      <c r="E78" s="4">
        <v>44890</v>
      </c>
      <c r="F78" s="3"/>
      <c r="G78" s="3" t="s">
        <v>25</v>
      </c>
      <c r="H78" s="3" t="s">
        <v>54</v>
      </c>
      <c r="I78" s="3">
        <v>40</v>
      </c>
      <c r="J78" s="5">
        <v>30561</v>
      </c>
      <c r="K78" s="3">
        <v>2</v>
      </c>
      <c r="L78" s="3">
        <v>13</v>
      </c>
      <c r="M78" s="3">
        <v>41</v>
      </c>
      <c r="N78" s="27">
        <f t="shared" si="3"/>
        <v>0</v>
      </c>
      <c r="O78" s="27" t="str">
        <f t="shared" si="4"/>
        <v>Low</v>
      </c>
      <c r="P78" s="27" t="str" cm="1">
        <f t="array" ref="P78">_xlfn.IFS( I78&lt;=25, "18–25",I78&lt;=35, "26–35",I78&lt;=45, "36–45",I78&lt;=55, "46–55",I78&lt;=65, "56–65",I78&gt;65, "65+")</f>
        <v>36–45</v>
      </c>
      <c r="Q78" s="16" t="str">
        <f t="shared" si="5"/>
        <v/>
      </c>
      <c r="R78" s="27" t="str" cm="1">
        <f t="array" ref="R78:S78">INDEX(Dataset2!$C$2:$D$101,MATCH(Dataset1!A78,Dataset2!$A$2:$A$101,0),{1,2})</f>
        <v>Bachelor</v>
      </c>
      <c r="S78" s="27" t="str">
        <v>South Amy</v>
      </c>
    </row>
    <row r="79" spans="1:19" x14ac:dyDescent="0.25">
      <c r="A79" s="3">
        <v>8795</v>
      </c>
      <c r="B79" s="3" t="s">
        <v>198</v>
      </c>
      <c r="C79" s="3" t="s">
        <v>70</v>
      </c>
      <c r="D79" s="3" t="s">
        <v>71</v>
      </c>
      <c r="E79" s="4">
        <v>45198</v>
      </c>
      <c r="F79" s="4">
        <v>45453</v>
      </c>
      <c r="G79" s="3" t="s">
        <v>18</v>
      </c>
      <c r="H79" s="3" t="s">
        <v>19</v>
      </c>
      <c r="I79" s="3">
        <v>29</v>
      </c>
      <c r="J79" s="5">
        <v>118239</v>
      </c>
      <c r="K79" s="3">
        <v>2</v>
      </c>
      <c r="L79" s="3">
        <v>12</v>
      </c>
      <c r="M79" s="3">
        <v>59</v>
      </c>
      <c r="N79" s="27">
        <f t="shared" si="3"/>
        <v>1</v>
      </c>
      <c r="O79" s="27" t="str">
        <f t="shared" si="4"/>
        <v>Low</v>
      </c>
      <c r="P79" s="27" t="str" cm="1">
        <f t="array" ref="P79">_xlfn.IFS( I79&lt;=25, "18–25",I79&lt;=35, "26–35",I79&lt;=45, "36–45",I79&lt;=55, "46–55",I79&lt;=65, "56–65",I79&gt;65, "65+")</f>
        <v>26–35</v>
      </c>
      <c r="Q79" s="16">
        <f t="shared" si="5"/>
        <v>0</v>
      </c>
      <c r="R79" s="27" t="str" cm="1">
        <f t="array" ref="R79:S79">INDEX(Dataset2!$C$2:$D$101,MATCH(Dataset1!A79,Dataset2!$A$2:$A$101,0),{1,2})</f>
        <v>Associate</v>
      </c>
      <c r="S79" s="27" t="str">
        <v>Port Mitchell</v>
      </c>
    </row>
    <row r="80" spans="1:19" x14ac:dyDescent="0.25">
      <c r="A80" s="3">
        <v>8327</v>
      </c>
      <c r="B80" s="3" t="s">
        <v>200</v>
      </c>
      <c r="C80" s="3" t="s">
        <v>52</v>
      </c>
      <c r="D80" s="3" t="s">
        <v>53</v>
      </c>
      <c r="E80" s="4">
        <v>42257</v>
      </c>
      <c r="F80" s="3"/>
      <c r="G80" s="3" t="s">
        <v>25</v>
      </c>
      <c r="H80" s="3" t="s">
        <v>26</v>
      </c>
      <c r="I80" s="3">
        <v>34</v>
      </c>
      <c r="J80" s="5">
        <v>55289</v>
      </c>
      <c r="K80" s="3">
        <v>3</v>
      </c>
      <c r="L80" s="3">
        <v>14</v>
      </c>
      <c r="M80" s="3">
        <v>45</v>
      </c>
      <c r="N80" s="27">
        <f t="shared" si="3"/>
        <v>0</v>
      </c>
      <c r="O80" s="27" t="str">
        <f t="shared" si="4"/>
        <v>Medium</v>
      </c>
      <c r="P80" s="27" t="str" cm="1">
        <f t="array" ref="P80">_xlfn.IFS( I80&lt;=25, "18–25",I80&lt;=35, "26–35",I80&lt;=45, "36–45",I80&lt;=55, "46–55",I80&lt;=65, "56–65",I80&gt;65, "65+")</f>
        <v>26–35</v>
      </c>
      <c r="Q80" s="16" t="str">
        <f t="shared" si="5"/>
        <v/>
      </c>
      <c r="R80" s="27" t="str" cm="1">
        <f t="array" ref="R80:S80">INDEX(Dataset2!$C$2:$D$101,MATCH(Dataset1!A80,Dataset2!$A$2:$A$101,0),{1,2})</f>
        <v>High School</v>
      </c>
      <c r="S80" s="27" t="str">
        <v>Hoffmanburgh</v>
      </c>
    </row>
    <row r="81" spans="1:19" x14ac:dyDescent="0.25">
      <c r="A81" s="3">
        <v>2213</v>
      </c>
      <c r="B81" s="3" t="s">
        <v>202</v>
      </c>
      <c r="C81" s="3" t="s">
        <v>52</v>
      </c>
      <c r="D81" s="3" t="s">
        <v>53</v>
      </c>
      <c r="E81" s="4">
        <v>42682</v>
      </c>
      <c r="F81" s="3"/>
      <c r="G81" s="3" t="s">
        <v>25</v>
      </c>
      <c r="H81" s="3" t="s">
        <v>26</v>
      </c>
      <c r="I81" s="3">
        <v>30</v>
      </c>
      <c r="J81" s="5">
        <v>31843</v>
      </c>
      <c r="K81" s="3">
        <v>2</v>
      </c>
      <c r="L81" s="3">
        <v>9</v>
      </c>
      <c r="M81" s="3">
        <v>74</v>
      </c>
      <c r="N81" s="27">
        <f t="shared" si="3"/>
        <v>0</v>
      </c>
      <c r="O81" s="27" t="str">
        <f t="shared" si="4"/>
        <v>Low</v>
      </c>
      <c r="P81" s="27" t="str" cm="1">
        <f t="array" ref="P81">_xlfn.IFS( I81&lt;=25, "18–25",I81&lt;=35, "26–35",I81&lt;=45, "36–45",I81&lt;=55, "46–55",I81&lt;=65, "56–65",I81&gt;65, "65+")</f>
        <v>26–35</v>
      </c>
      <c r="Q81" s="16" t="str">
        <f t="shared" si="5"/>
        <v/>
      </c>
      <c r="R81" s="27" t="str" cm="1">
        <f t="array" ref="R81:S81">INDEX(Dataset2!$C$2:$D$101,MATCH(Dataset1!A81,Dataset2!$A$2:$A$101,0),{1,2})</f>
        <v>Associate</v>
      </c>
      <c r="S81" s="27" t="str">
        <v>East Carla</v>
      </c>
    </row>
    <row r="82" spans="1:19" x14ac:dyDescent="0.25">
      <c r="A82" s="3">
        <v>9111</v>
      </c>
      <c r="B82" s="3" t="s">
        <v>204</v>
      </c>
      <c r="C82" s="3" t="s">
        <v>29</v>
      </c>
      <c r="D82" s="3" t="s">
        <v>61</v>
      </c>
      <c r="E82" s="4">
        <v>42526</v>
      </c>
      <c r="F82" s="3"/>
      <c r="G82" s="3" t="s">
        <v>25</v>
      </c>
      <c r="H82" s="3" t="s">
        <v>54</v>
      </c>
      <c r="I82" s="3">
        <v>33</v>
      </c>
      <c r="J82" s="5">
        <v>37502</v>
      </c>
      <c r="K82" s="3">
        <v>2</v>
      </c>
      <c r="L82" s="3">
        <v>4</v>
      </c>
      <c r="M82" s="3">
        <v>19</v>
      </c>
      <c r="N82" s="27">
        <f t="shared" si="3"/>
        <v>0</v>
      </c>
      <c r="O82" s="27" t="str">
        <f t="shared" si="4"/>
        <v>Low</v>
      </c>
      <c r="P82" s="27" t="str" cm="1">
        <f t="array" ref="P82">_xlfn.IFS( I82&lt;=25, "18–25",I82&lt;=35, "26–35",I82&lt;=45, "36–45",I82&lt;=55, "46–55",I82&lt;=65, "56–65",I82&gt;65, "65+")</f>
        <v>26–35</v>
      </c>
      <c r="Q82" s="16" t="str">
        <f t="shared" si="5"/>
        <v/>
      </c>
      <c r="R82" s="27" t="str" cm="1">
        <f t="array" ref="R82:S82">INDEX(Dataset2!$C$2:$D$101,MATCH(Dataset1!A82,Dataset2!$A$2:$A$101,0),{1,2})</f>
        <v>PhD</v>
      </c>
      <c r="S82" s="27" t="str">
        <v>Jamesburgh</v>
      </c>
    </row>
    <row r="83" spans="1:19" x14ac:dyDescent="0.25">
      <c r="A83" s="3">
        <v>8719</v>
      </c>
      <c r="B83" s="3" t="s">
        <v>206</v>
      </c>
      <c r="C83" s="3" t="s">
        <v>23</v>
      </c>
      <c r="D83" s="3" t="s">
        <v>24</v>
      </c>
      <c r="E83" s="4">
        <v>42525</v>
      </c>
      <c r="F83" s="3"/>
      <c r="G83" s="3" t="s">
        <v>25</v>
      </c>
      <c r="H83" s="3" t="s">
        <v>26</v>
      </c>
      <c r="I83" s="3">
        <v>24</v>
      </c>
      <c r="J83" s="5">
        <v>109241</v>
      </c>
      <c r="K83" s="3">
        <v>5</v>
      </c>
      <c r="L83" s="3">
        <v>6</v>
      </c>
      <c r="M83" s="3">
        <v>93</v>
      </c>
      <c r="N83" s="27">
        <f t="shared" si="3"/>
        <v>0</v>
      </c>
      <c r="O83" s="27" t="str">
        <f t="shared" si="4"/>
        <v>High</v>
      </c>
      <c r="P83" s="27" t="str" cm="1">
        <f t="array" ref="P83">_xlfn.IFS( I83&lt;=25, "18–25",I83&lt;=35, "26–35",I83&lt;=45, "36–45",I83&lt;=55, "46–55",I83&lt;=65, "56–65",I83&gt;65, "65+")</f>
        <v>18–25</v>
      </c>
      <c r="Q83" s="16" t="str">
        <f t="shared" si="5"/>
        <v/>
      </c>
      <c r="R83" s="27" t="str" cm="1">
        <f t="array" ref="R83:S83">INDEX(Dataset2!$C$2:$D$101,MATCH(Dataset1!A83,Dataset2!$A$2:$A$101,0),{1,2})</f>
        <v>Master</v>
      </c>
      <c r="S83" s="27" t="str">
        <v>South Cory</v>
      </c>
    </row>
    <row r="84" spans="1:19" x14ac:dyDescent="0.25">
      <c r="A84" s="3">
        <v>7494</v>
      </c>
      <c r="B84" s="3" t="s">
        <v>208</v>
      </c>
      <c r="C84" s="3" t="s">
        <v>16</v>
      </c>
      <c r="D84" s="3" t="s">
        <v>65</v>
      </c>
      <c r="E84" s="4">
        <v>43862</v>
      </c>
      <c r="F84" s="4">
        <v>45693</v>
      </c>
      <c r="G84" s="3" t="s">
        <v>18</v>
      </c>
      <c r="H84" s="3" t="s">
        <v>26</v>
      </c>
      <c r="I84" s="3">
        <v>33</v>
      </c>
      <c r="J84" s="5">
        <v>90557</v>
      </c>
      <c r="K84" s="3">
        <v>1</v>
      </c>
      <c r="L84" s="3">
        <v>11</v>
      </c>
      <c r="M84" s="3">
        <v>87</v>
      </c>
      <c r="N84" s="27">
        <f t="shared" si="3"/>
        <v>1</v>
      </c>
      <c r="O84" s="27" t="str">
        <f t="shared" si="4"/>
        <v>Low</v>
      </c>
      <c r="P84" s="27" t="str" cm="1">
        <f t="array" ref="P84">_xlfn.IFS( I84&lt;=25, "18–25",I84&lt;=35, "26–35",I84&lt;=45, "36–45",I84&lt;=55, "46–55",I84&lt;=65, "56–65",I84&gt;65, "65+")</f>
        <v>26–35</v>
      </c>
      <c r="Q84" s="16">
        <f t="shared" si="5"/>
        <v>5</v>
      </c>
      <c r="R84" s="27" t="str" cm="1">
        <f t="array" ref="R84:S84">INDEX(Dataset2!$C$2:$D$101,MATCH(Dataset1!A84,Dataset2!$A$2:$A$101,0),{1,2})</f>
        <v>Master</v>
      </c>
      <c r="S84" s="27" t="str">
        <v>Griffinton</v>
      </c>
    </row>
    <row r="85" spans="1:19" x14ac:dyDescent="0.25">
      <c r="A85" s="3">
        <v>7771</v>
      </c>
      <c r="B85" s="3" t="s">
        <v>210</v>
      </c>
      <c r="C85" s="3" t="s">
        <v>29</v>
      </c>
      <c r="D85" s="3" t="s">
        <v>61</v>
      </c>
      <c r="E85" s="4">
        <v>44687</v>
      </c>
      <c r="F85" s="3"/>
      <c r="G85" s="3" t="s">
        <v>25</v>
      </c>
      <c r="H85" s="3" t="s">
        <v>19</v>
      </c>
      <c r="I85" s="3">
        <v>60</v>
      </c>
      <c r="J85" s="5">
        <v>102116</v>
      </c>
      <c r="K85" s="3">
        <v>2</v>
      </c>
      <c r="L85" s="3">
        <v>6</v>
      </c>
      <c r="M85" s="3">
        <v>63</v>
      </c>
      <c r="N85" s="27">
        <f t="shared" si="3"/>
        <v>0</v>
      </c>
      <c r="O85" s="27" t="str">
        <f t="shared" si="4"/>
        <v>Low</v>
      </c>
      <c r="P85" s="27" t="str" cm="1">
        <f t="array" ref="P85">_xlfn.IFS( I85&lt;=25, "18–25",I85&lt;=35, "26–35",I85&lt;=45, "36–45",I85&lt;=55, "46–55",I85&lt;=65, "56–65",I85&gt;65, "65+")</f>
        <v>56–65</v>
      </c>
      <c r="Q85" s="16" t="str">
        <f t="shared" si="5"/>
        <v/>
      </c>
      <c r="R85" s="27" t="str" cm="1">
        <f t="array" ref="R85:S85">INDEX(Dataset2!$C$2:$D$101,MATCH(Dataset1!A85,Dataset2!$A$2:$A$101,0),{1,2})</f>
        <v>Associate</v>
      </c>
      <c r="S85" s="27" t="str">
        <v>Port Sean</v>
      </c>
    </row>
    <row r="86" spans="1:19" x14ac:dyDescent="0.25">
      <c r="A86" s="3">
        <v>4350</v>
      </c>
      <c r="B86" s="3" t="s">
        <v>212</v>
      </c>
      <c r="C86" s="3" t="s">
        <v>70</v>
      </c>
      <c r="D86" s="3" t="s">
        <v>105</v>
      </c>
      <c r="E86" s="4">
        <v>44965</v>
      </c>
      <c r="F86" s="4">
        <v>45710</v>
      </c>
      <c r="G86" s="3" t="s">
        <v>18</v>
      </c>
      <c r="H86" s="3" t="s">
        <v>26</v>
      </c>
      <c r="I86" s="3">
        <v>37</v>
      </c>
      <c r="J86" s="5">
        <v>81896</v>
      </c>
      <c r="K86" s="3">
        <v>1</v>
      </c>
      <c r="L86" s="3">
        <v>6</v>
      </c>
      <c r="M86" s="3">
        <v>12</v>
      </c>
      <c r="N86" s="27">
        <f t="shared" si="3"/>
        <v>1</v>
      </c>
      <c r="O86" s="27" t="str">
        <f t="shared" si="4"/>
        <v>Low</v>
      </c>
      <c r="P86" s="27" t="str" cm="1">
        <f t="array" ref="P86">_xlfn.IFS( I86&lt;=25, "18–25",I86&lt;=35, "26–35",I86&lt;=45, "36–45",I86&lt;=55, "46–55",I86&lt;=65, "56–65",I86&gt;65, "65+")</f>
        <v>36–45</v>
      </c>
      <c r="Q86" s="16">
        <f t="shared" si="5"/>
        <v>2</v>
      </c>
      <c r="R86" s="27" t="str" cm="1">
        <f t="array" ref="R86:S86">INDEX(Dataset2!$C$2:$D$101,MATCH(Dataset1!A86,Dataset2!$A$2:$A$101,0),{1,2})</f>
        <v>High School</v>
      </c>
      <c r="S86" s="27" t="str">
        <v>South Kelseyton</v>
      </c>
    </row>
    <row r="87" spans="1:19" x14ac:dyDescent="0.25">
      <c r="A87" s="3">
        <v>3165</v>
      </c>
      <c r="B87" s="3" t="s">
        <v>214</v>
      </c>
      <c r="C87" s="3" t="s">
        <v>23</v>
      </c>
      <c r="D87" s="3" t="s">
        <v>90</v>
      </c>
      <c r="E87" s="4">
        <v>43266</v>
      </c>
      <c r="F87" s="3"/>
      <c r="G87" s="3" t="s">
        <v>25</v>
      </c>
      <c r="H87" s="3" t="s">
        <v>54</v>
      </c>
      <c r="I87" s="3">
        <v>46</v>
      </c>
      <c r="J87" s="5">
        <v>113859</v>
      </c>
      <c r="K87" s="3">
        <v>4</v>
      </c>
      <c r="L87" s="3">
        <v>14</v>
      </c>
      <c r="M87" s="3">
        <v>80</v>
      </c>
      <c r="N87" s="27">
        <f t="shared" si="3"/>
        <v>0</v>
      </c>
      <c r="O87" s="27" t="str">
        <f t="shared" si="4"/>
        <v>Medium</v>
      </c>
      <c r="P87" s="27" t="str" cm="1">
        <f t="array" ref="P87">_xlfn.IFS( I87&lt;=25, "18–25",I87&lt;=35, "26–35",I87&lt;=45, "36–45",I87&lt;=55, "46–55",I87&lt;=65, "56–65",I87&gt;65, "65+")</f>
        <v>46–55</v>
      </c>
      <c r="Q87" s="16" t="str">
        <f t="shared" si="5"/>
        <v/>
      </c>
      <c r="R87" s="27" t="str" cm="1">
        <f t="array" ref="R87:S87">INDEX(Dataset2!$C$2:$D$101,MATCH(Dataset1!A87,Dataset2!$A$2:$A$101,0),{1,2})</f>
        <v>Associate</v>
      </c>
      <c r="S87" s="27" t="str">
        <v>East Michelehaven</v>
      </c>
    </row>
    <row r="88" spans="1:19" x14ac:dyDescent="0.25">
      <c r="A88" s="3">
        <v>2997</v>
      </c>
      <c r="B88" s="3" t="s">
        <v>216</v>
      </c>
      <c r="C88" s="3" t="s">
        <v>41</v>
      </c>
      <c r="D88" s="3" t="s">
        <v>82</v>
      </c>
      <c r="E88" s="4">
        <v>42334</v>
      </c>
      <c r="F88" s="3"/>
      <c r="G88" s="3" t="s">
        <v>25</v>
      </c>
      <c r="H88" s="3" t="s">
        <v>54</v>
      </c>
      <c r="I88" s="3">
        <v>56</v>
      </c>
      <c r="J88" s="5">
        <v>49050</v>
      </c>
      <c r="K88" s="3">
        <v>5</v>
      </c>
      <c r="L88" s="3">
        <v>4</v>
      </c>
      <c r="M88" s="3">
        <v>6</v>
      </c>
      <c r="N88" s="27">
        <f t="shared" si="3"/>
        <v>0</v>
      </c>
      <c r="O88" s="27" t="str">
        <f t="shared" si="4"/>
        <v>High</v>
      </c>
      <c r="P88" s="27" t="str" cm="1">
        <f t="array" ref="P88">_xlfn.IFS( I88&lt;=25, "18–25",I88&lt;=35, "26–35",I88&lt;=45, "36–45",I88&lt;=55, "46–55",I88&lt;=65, "56–65",I88&gt;65, "65+")</f>
        <v>56–65</v>
      </c>
      <c r="Q88" s="16" t="str">
        <f t="shared" si="5"/>
        <v/>
      </c>
      <c r="R88" s="27" t="str" cm="1">
        <f t="array" ref="R88:S88">INDEX(Dataset2!$C$2:$D$101,MATCH(Dataset1!A88,Dataset2!$A$2:$A$101,0),{1,2})</f>
        <v>High School</v>
      </c>
      <c r="S88" s="27" t="str">
        <v>Mooreberg</v>
      </c>
    </row>
    <row r="89" spans="1:19" x14ac:dyDescent="0.25">
      <c r="A89" s="3">
        <v>1854</v>
      </c>
      <c r="B89" s="3" t="s">
        <v>218</v>
      </c>
      <c r="C89" s="3" t="s">
        <v>16</v>
      </c>
      <c r="D89" s="3" t="s">
        <v>17</v>
      </c>
      <c r="E89" s="4">
        <v>44420</v>
      </c>
      <c r="F89" s="3"/>
      <c r="G89" s="3" t="s">
        <v>25</v>
      </c>
      <c r="H89" s="3" t="s">
        <v>54</v>
      </c>
      <c r="I89" s="3">
        <v>40</v>
      </c>
      <c r="J89" s="5">
        <v>113337</v>
      </c>
      <c r="K89" s="3">
        <v>2</v>
      </c>
      <c r="L89" s="3">
        <v>5</v>
      </c>
      <c r="M89" s="3">
        <v>35</v>
      </c>
      <c r="N89" s="27">
        <f t="shared" si="3"/>
        <v>0</v>
      </c>
      <c r="O89" s="27" t="str">
        <f t="shared" si="4"/>
        <v>Low</v>
      </c>
      <c r="P89" s="27" t="str" cm="1">
        <f t="array" ref="P89">_xlfn.IFS( I89&lt;=25, "18–25",I89&lt;=35, "26–35",I89&lt;=45, "36–45",I89&lt;=55, "46–55",I89&lt;=65, "56–65",I89&gt;65, "65+")</f>
        <v>36–45</v>
      </c>
      <c r="Q89" s="16" t="str">
        <f t="shared" si="5"/>
        <v/>
      </c>
      <c r="R89" s="27" t="str" cm="1">
        <f t="array" ref="R89:S89">INDEX(Dataset2!$C$2:$D$101,MATCH(Dataset1!A89,Dataset2!$A$2:$A$101,0),{1,2})</f>
        <v>Bachelor</v>
      </c>
      <c r="S89" s="27" t="str">
        <v>East Nicolefurt</v>
      </c>
    </row>
    <row r="90" spans="1:19" x14ac:dyDescent="0.25">
      <c r="A90" s="3">
        <v>3581</v>
      </c>
      <c r="B90" s="3" t="s">
        <v>220</v>
      </c>
      <c r="C90" s="3" t="s">
        <v>70</v>
      </c>
      <c r="D90" s="3" t="s">
        <v>105</v>
      </c>
      <c r="E90" s="4">
        <v>44714</v>
      </c>
      <c r="F90" s="3"/>
      <c r="G90" s="3" t="s">
        <v>25</v>
      </c>
      <c r="H90" s="3" t="s">
        <v>26</v>
      </c>
      <c r="I90" s="3">
        <v>49</v>
      </c>
      <c r="J90" s="5">
        <v>80945</v>
      </c>
      <c r="K90" s="3">
        <v>3</v>
      </c>
      <c r="L90" s="3">
        <v>7</v>
      </c>
      <c r="M90" s="3">
        <v>84</v>
      </c>
      <c r="N90" s="27">
        <f t="shared" si="3"/>
        <v>0</v>
      </c>
      <c r="O90" s="27" t="str">
        <f t="shared" si="4"/>
        <v>Medium</v>
      </c>
      <c r="P90" s="27" t="str" cm="1">
        <f t="array" ref="P90">_xlfn.IFS( I90&lt;=25, "18–25",I90&lt;=35, "26–35",I90&lt;=45, "36–45",I90&lt;=55, "46–55",I90&lt;=65, "56–65",I90&gt;65, "65+")</f>
        <v>46–55</v>
      </c>
      <c r="Q90" s="16" t="str">
        <f t="shared" si="5"/>
        <v/>
      </c>
      <c r="R90" s="27" t="str" cm="1">
        <f t="array" ref="R90:S90">INDEX(Dataset2!$C$2:$D$101,MATCH(Dataset1!A90,Dataset2!$A$2:$A$101,0),{1,2})</f>
        <v>PhD</v>
      </c>
      <c r="S90" s="27" t="str">
        <v>Jasonhaven</v>
      </c>
    </row>
    <row r="91" spans="1:19" x14ac:dyDescent="0.25">
      <c r="A91" s="3">
        <v>9915</v>
      </c>
      <c r="B91" s="3" t="s">
        <v>222</v>
      </c>
      <c r="C91" s="3" t="s">
        <v>29</v>
      </c>
      <c r="D91" s="3" t="s">
        <v>30</v>
      </c>
      <c r="E91" s="4">
        <v>43596</v>
      </c>
      <c r="F91" s="4">
        <v>44112</v>
      </c>
      <c r="G91" s="3" t="s">
        <v>18</v>
      </c>
      <c r="H91" s="3" t="s">
        <v>19</v>
      </c>
      <c r="I91" s="3">
        <v>27</v>
      </c>
      <c r="J91" s="5">
        <v>101730</v>
      </c>
      <c r="K91" s="3">
        <v>3</v>
      </c>
      <c r="L91" s="3">
        <v>6</v>
      </c>
      <c r="M91" s="3">
        <v>30</v>
      </c>
      <c r="N91" s="27">
        <f t="shared" si="3"/>
        <v>1</v>
      </c>
      <c r="O91" s="27" t="str">
        <f t="shared" si="4"/>
        <v>Medium</v>
      </c>
      <c r="P91" s="27" t="str" cm="1">
        <f t="array" ref="P91">_xlfn.IFS( I91&lt;=25, "18–25",I91&lt;=35, "26–35",I91&lt;=45, "36–45",I91&lt;=55, "46–55",I91&lt;=65, "56–65",I91&gt;65, "65+")</f>
        <v>26–35</v>
      </c>
      <c r="Q91" s="16">
        <f t="shared" si="5"/>
        <v>1</v>
      </c>
      <c r="R91" s="27" t="str" cm="1">
        <f t="array" ref="R91:S91">INDEX(Dataset2!$C$2:$D$101,MATCH(Dataset1!A91,Dataset2!$A$2:$A$101,0),{1,2})</f>
        <v>Bachelor</v>
      </c>
      <c r="S91" s="27" t="str">
        <v>Ashleystad</v>
      </c>
    </row>
    <row r="92" spans="1:19" x14ac:dyDescent="0.25">
      <c r="A92" s="3">
        <v>1161</v>
      </c>
      <c r="B92" s="3" t="s">
        <v>224</v>
      </c>
      <c r="C92" s="3" t="s">
        <v>16</v>
      </c>
      <c r="D92" s="3" t="s">
        <v>17</v>
      </c>
      <c r="E92" s="4">
        <v>44596</v>
      </c>
      <c r="F92" s="3"/>
      <c r="G92" s="3" t="s">
        <v>25</v>
      </c>
      <c r="H92" s="3" t="s">
        <v>19</v>
      </c>
      <c r="I92" s="3">
        <v>40</v>
      </c>
      <c r="J92" s="5">
        <v>31258</v>
      </c>
      <c r="K92" s="3">
        <v>2</v>
      </c>
      <c r="L92" s="3">
        <v>14</v>
      </c>
      <c r="M92" s="3">
        <v>100</v>
      </c>
      <c r="N92" s="27">
        <f t="shared" si="3"/>
        <v>0</v>
      </c>
      <c r="O92" s="27" t="str">
        <f t="shared" si="4"/>
        <v>Low</v>
      </c>
      <c r="P92" s="27" t="str" cm="1">
        <f t="array" ref="P92">_xlfn.IFS( I92&lt;=25, "18–25",I92&lt;=35, "26–35",I92&lt;=45, "36–45",I92&lt;=55, "46–55",I92&lt;=65, "56–65",I92&gt;65, "65+")</f>
        <v>36–45</v>
      </c>
      <c r="Q92" s="16" t="str">
        <f t="shared" si="5"/>
        <v/>
      </c>
      <c r="R92" s="27" t="str" cm="1">
        <f t="array" ref="R92:S92">INDEX(Dataset2!$C$2:$D$101,MATCH(Dataset1!A92,Dataset2!$A$2:$A$101,0),{1,2})</f>
        <v>PhD</v>
      </c>
      <c r="S92" s="27" t="str">
        <v>Alexanderfurt</v>
      </c>
    </row>
    <row r="93" spans="1:19" x14ac:dyDescent="0.25">
      <c r="A93" s="3">
        <v>4475</v>
      </c>
      <c r="B93" s="3" t="s">
        <v>226</v>
      </c>
      <c r="C93" s="3" t="s">
        <v>23</v>
      </c>
      <c r="D93" s="3" t="s">
        <v>90</v>
      </c>
      <c r="E93" s="4">
        <v>43298</v>
      </c>
      <c r="F93" s="3"/>
      <c r="G93" s="3" t="s">
        <v>25</v>
      </c>
      <c r="H93" s="3" t="s">
        <v>54</v>
      </c>
      <c r="I93" s="3">
        <v>24</v>
      </c>
      <c r="J93" s="5">
        <v>97480</v>
      </c>
      <c r="K93" s="3">
        <v>2</v>
      </c>
      <c r="L93" s="3">
        <v>8</v>
      </c>
      <c r="M93" s="3">
        <v>54</v>
      </c>
      <c r="N93" s="27">
        <f t="shared" si="3"/>
        <v>0</v>
      </c>
      <c r="O93" s="27" t="str">
        <f t="shared" si="4"/>
        <v>Low</v>
      </c>
      <c r="P93" s="27" t="str" cm="1">
        <f t="array" ref="P93">_xlfn.IFS( I93&lt;=25, "18–25",I93&lt;=35, "26–35",I93&lt;=45, "36–45",I93&lt;=55, "46–55",I93&lt;=65, "56–65",I93&gt;65, "65+")</f>
        <v>18–25</v>
      </c>
      <c r="Q93" s="16" t="str">
        <f t="shared" si="5"/>
        <v/>
      </c>
      <c r="R93" s="27" t="str" cm="1">
        <f t="array" ref="R93:S93">INDEX(Dataset2!$C$2:$D$101,MATCH(Dataset1!A93,Dataset2!$A$2:$A$101,0),{1,2})</f>
        <v>Master</v>
      </c>
      <c r="S93" s="27" t="str">
        <v>Pattonfort</v>
      </c>
    </row>
    <row r="94" spans="1:19" x14ac:dyDescent="0.25">
      <c r="A94" s="3">
        <v>7857</v>
      </c>
      <c r="B94" s="3" t="s">
        <v>228</v>
      </c>
      <c r="C94" s="3" t="s">
        <v>23</v>
      </c>
      <c r="D94" s="3" t="s">
        <v>90</v>
      </c>
      <c r="E94" s="4">
        <v>43241</v>
      </c>
      <c r="F94" s="3"/>
      <c r="G94" s="3" t="s">
        <v>25</v>
      </c>
      <c r="H94" s="3" t="s">
        <v>26</v>
      </c>
      <c r="I94" s="3">
        <v>27</v>
      </c>
      <c r="J94" s="5">
        <v>93094</v>
      </c>
      <c r="K94" s="3">
        <v>1</v>
      </c>
      <c r="L94" s="3">
        <v>7</v>
      </c>
      <c r="M94" s="3">
        <v>34</v>
      </c>
      <c r="N94" s="27">
        <f t="shared" si="3"/>
        <v>0</v>
      </c>
      <c r="O94" s="27" t="str">
        <f t="shared" si="4"/>
        <v>Low</v>
      </c>
      <c r="P94" s="27" t="str" cm="1">
        <f t="array" ref="P94">_xlfn.IFS( I94&lt;=25, "18–25",I94&lt;=35, "26–35",I94&lt;=45, "36–45",I94&lt;=55, "46–55",I94&lt;=65, "56–65",I94&gt;65, "65+")</f>
        <v>26–35</v>
      </c>
      <c r="Q94" s="16" t="str">
        <f t="shared" si="5"/>
        <v/>
      </c>
      <c r="R94" s="27" t="str" cm="1">
        <f t="array" ref="R94:S94">INDEX(Dataset2!$C$2:$D$101,MATCH(Dataset1!A94,Dataset2!$A$2:$A$101,0),{1,2})</f>
        <v>PhD</v>
      </c>
      <c r="S94" s="27" t="str">
        <v>North Maryton</v>
      </c>
    </row>
    <row r="95" spans="1:19" x14ac:dyDescent="0.25">
      <c r="A95" s="3">
        <v>9988</v>
      </c>
      <c r="B95" s="3" t="s">
        <v>230</v>
      </c>
      <c r="C95" s="3" t="s">
        <v>41</v>
      </c>
      <c r="D95" s="3" t="s">
        <v>42</v>
      </c>
      <c r="E95" s="4">
        <v>43495</v>
      </c>
      <c r="F95" s="4">
        <v>45756</v>
      </c>
      <c r="G95" s="3" t="s">
        <v>18</v>
      </c>
      <c r="H95" s="3" t="s">
        <v>19</v>
      </c>
      <c r="I95" s="3">
        <v>50</v>
      </c>
      <c r="J95" s="5">
        <v>75761</v>
      </c>
      <c r="K95" s="3">
        <v>1</v>
      </c>
      <c r="L95" s="3">
        <v>1</v>
      </c>
      <c r="M95" s="3">
        <v>97</v>
      </c>
      <c r="N95" s="27">
        <f t="shared" si="3"/>
        <v>1</v>
      </c>
      <c r="O95" s="27" t="str">
        <f t="shared" si="4"/>
        <v>Low</v>
      </c>
      <c r="P95" s="27" t="str" cm="1">
        <f t="array" ref="P95">_xlfn.IFS( I95&lt;=25, "18–25",I95&lt;=35, "26–35",I95&lt;=45, "36–45",I95&lt;=55, "46–55",I95&lt;=65, "56–65",I95&gt;65, "65+")</f>
        <v>46–55</v>
      </c>
      <c r="Q95" s="16">
        <f t="shared" si="5"/>
        <v>6</v>
      </c>
      <c r="R95" s="27" t="str" cm="1">
        <f t="array" ref="R95:S95">INDEX(Dataset2!$C$2:$D$101,MATCH(Dataset1!A95,Dataset2!$A$2:$A$101,0),{1,2})</f>
        <v>Master</v>
      </c>
      <c r="S95" s="27" t="str">
        <v>East Andreafurt</v>
      </c>
    </row>
    <row r="96" spans="1:19" x14ac:dyDescent="0.25">
      <c r="A96" s="3">
        <v>7047</v>
      </c>
      <c r="B96" s="3" t="s">
        <v>232</v>
      </c>
      <c r="C96" s="3" t="s">
        <v>23</v>
      </c>
      <c r="D96" s="3" t="s">
        <v>24</v>
      </c>
      <c r="E96" s="4">
        <v>43059</v>
      </c>
      <c r="F96" s="3"/>
      <c r="G96" s="3" t="s">
        <v>25</v>
      </c>
      <c r="H96" s="3" t="s">
        <v>54</v>
      </c>
      <c r="I96" s="3">
        <v>29</v>
      </c>
      <c r="J96" s="5">
        <v>87806</v>
      </c>
      <c r="K96" s="3">
        <v>4</v>
      </c>
      <c r="L96" s="3">
        <v>1</v>
      </c>
      <c r="M96" s="3">
        <v>19</v>
      </c>
      <c r="N96" s="27">
        <f t="shared" si="3"/>
        <v>0</v>
      </c>
      <c r="O96" s="27" t="str">
        <f t="shared" si="4"/>
        <v>Medium</v>
      </c>
      <c r="P96" s="27" t="str" cm="1">
        <f t="array" ref="P96">_xlfn.IFS( I96&lt;=25, "18–25",I96&lt;=35, "26–35",I96&lt;=45, "36–45",I96&lt;=55, "46–55",I96&lt;=65, "56–65",I96&gt;65, "65+")</f>
        <v>26–35</v>
      </c>
      <c r="Q96" s="16" t="str">
        <f t="shared" si="5"/>
        <v/>
      </c>
      <c r="R96" s="27" t="str" cm="1">
        <f t="array" ref="R96:S96">INDEX(Dataset2!$C$2:$D$101,MATCH(Dataset1!A96,Dataset2!$A$2:$A$101,0),{1,2})</f>
        <v>PhD</v>
      </c>
      <c r="S96" s="27" t="str">
        <v>Port Whitneychester</v>
      </c>
    </row>
    <row r="97" spans="1:19" x14ac:dyDescent="0.25">
      <c r="A97" s="3">
        <v>2453</v>
      </c>
      <c r="B97" s="3" t="s">
        <v>234</v>
      </c>
      <c r="C97" s="3" t="s">
        <v>41</v>
      </c>
      <c r="D97" s="3" t="s">
        <v>42</v>
      </c>
      <c r="E97" s="4">
        <v>44571</v>
      </c>
      <c r="F97" s="3"/>
      <c r="G97" s="3" t="s">
        <v>25</v>
      </c>
      <c r="H97" s="3" t="s">
        <v>54</v>
      </c>
      <c r="I97" s="3">
        <v>47</v>
      </c>
      <c r="J97" s="5">
        <v>105346</v>
      </c>
      <c r="K97" s="3">
        <v>3</v>
      </c>
      <c r="L97" s="3">
        <v>12</v>
      </c>
      <c r="M97" s="3">
        <v>62</v>
      </c>
      <c r="N97" s="27">
        <f t="shared" si="3"/>
        <v>0</v>
      </c>
      <c r="O97" s="27" t="str">
        <f t="shared" si="4"/>
        <v>Medium</v>
      </c>
      <c r="P97" s="27" t="str" cm="1">
        <f t="array" ref="P97">_xlfn.IFS( I97&lt;=25, "18–25",I97&lt;=35, "26–35",I97&lt;=45, "36–45",I97&lt;=55, "46–55",I97&lt;=65, "56–65",I97&gt;65, "65+")</f>
        <v>46–55</v>
      </c>
      <c r="Q97" s="16" t="str">
        <f t="shared" si="5"/>
        <v/>
      </c>
      <c r="R97" s="27" t="str" cm="1">
        <f t="array" ref="R97:S97">INDEX(Dataset2!$C$2:$D$101,MATCH(Dataset1!A97,Dataset2!$A$2:$A$101,0),{1,2})</f>
        <v>High School</v>
      </c>
      <c r="S97" s="27" t="str">
        <v>North Destiny</v>
      </c>
    </row>
    <row r="98" spans="1:19" x14ac:dyDescent="0.25">
      <c r="A98" s="3">
        <v>1752</v>
      </c>
      <c r="B98" s="3" t="s">
        <v>236</v>
      </c>
      <c r="C98" s="3" t="s">
        <v>70</v>
      </c>
      <c r="D98" s="3" t="s">
        <v>105</v>
      </c>
      <c r="E98" s="4">
        <v>43296</v>
      </c>
      <c r="F98" s="4">
        <v>44804</v>
      </c>
      <c r="G98" s="3" t="s">
        <v>18</v>
      </c>
      <c r="H98" s="3" t="s">
        <v>54</v>
      </c>
      <c r="I98" s="3">
        <v>35</v>
      </c>
      <c r="J98" s="5">
        <v>69033</v>
      </c>
      <c r="K98" s="3">
        <v>1</v>
      </c>
      <c r="L98" s="3">
        <v>7</v>
      </c>
      <c r="M98" s="3">
        <v>85</v>
      </c>
      <c r="N98" s="27">
        <f t="shared" si="3"/>
        <v>1</v>
      </c>
      <c r="O98" s="27" t="str">
        <f t="shared" si="4"/>
        <v>Low</v>
      </c>
      <c r="P98" s="27" t="str" cm="1">
        <f t="array" ref="P98">_xlfn.IFS( I98&lt;=25, "18–25",I98&lt;=35, "26–35",I98&lt;=45, "36–45",I98&lt;=55, "46–55",I98&lt;=65, "56–65",I98&gt;65, "65+")</f>
        <v>26–35</v>
      </c>
      <c r="Q98" s="16">
        <f t="shared" si="5"/>
        <v>4</v>
      </c>
      <c r="R98" s="27" t="str" cm="1">
        <f t="array" ref="R98:S98">INDEX(Dataset2!$C$2:$D$101,MATCH(Dataset1!A98,Dataset2!$A$2:$A$101,0),{1,2})</f>
        <v>Master</v>
      </c>
      <c r="S98" s="27" t="str">
        <v>Loriview</v>
      </c>
    </row>
    <row r="99" spans="1:19" x14ac:dyDescent="0.25">
      <c r="A99" s="3">
        <v>7646</v>
      </c>
      <c r="B99" s="3" t="s">
        <v>238</v>
      </c>
      <c r="C99" s="3" t="s">
        <v>70</v>
      </c>
      <c r="D99" s="3" t="s">
        <v>105</v>
      </c>
      <c r="E99" s="4">
        <v>43589</v>
      </c>
      <c r="F99" s="3"/>
      <c r="G99" s="3" t="s">
        <v>25</v>
      </c>
      <c r="H99" s="3" t="s">
        <v>54</v>
      </c>
      <c r="I99" s="3">
        <v>58</v>
      </c>
      <c r="J99" s="5">
        <v>100506</v>
      </c>
      <c r="K99" s="3">
        <v>5</v>
      </c>
      <c r="L99" s="3">
        <v>5</v>
      </c>
      <c r="M99" s="3">
        <v>75</v>
      </c>
      <c r="N99" s="27">
        <f t="shared" si="3"/>
        <v>0</v>
      </c>
      <c r="O99" s="27" t="str">
        <f t="shared" si="4"/>
        <v>High</v>
      </c>
      <c r="P99" s="27" t="str" cm="1">
        <f t="array" ref="P99">_xlfn.IFS( I99&lt;=25, "18–25",I99&lt;=35, "26–35",I99&lt;=45, "36–45",I99&lt;=55, "46–55",I99&lt;=65, "56–65",I99&gt;65, "65+")</f>
        <v>56–65</v>
      </c>
      <c r="Q99" s="16" t="str">
        <f t="shared" si="5"/>
        <v/>
      </c>
      <c r="R99" s="27" t="str" cm="1">
        <f t="array" ref="R99:S99">INDEX(Dataset2!$C$2:$D$101,MATCH(Dataset1!A99,Dataset2!$A$2:$A$101,0),{1,2})</f>
        <v>Bachelor</v>
      </c>
      <c r="S99" s="27" t="str">
        <v>Lake Ericmouth</v>
      </c>
    </row>
    <row r="100" spans="1:19" x14ac:dyDescent="0.25">
      <c r="A100" s="3">
        <v>7271</v>
      </c>
      <c r="B100" s="3" t="s">
        <v>240</v>
      </c>
      <c r="C100" s="3" t="s">
        <v>29</v>
      </c>
      <c r="D100" s="3" t="s">
        <v>61</v>
      </c>
      <c r="E100" s="4">
        <v>44386</v>
      </c>
      <c r="F100" s="3"/>
      <c r="G100" s="3" t="s">
        <v>25</v>
      </c>
      <c r="H100" s="3" t="s">
        <v>26</v>
      </c>
      <c r="I100" s="3">
        <v>23</v>
      </c>
      <c r="J100" s="5">
        <v>72490</v>
      </c>
      <c r="K100" s="3">
        <v>3</v>
      </c>
      <c r="L100" s="3">
        <v>5</v>
      </c>
      <c r="M100" s="3">
        <v>51</v>
      </c>
      <c r="N100" s="27">
        <f t="shared" si="3"/>
        <v>0</v>
      </c>
      <c r="O100" s="27" t="str">
        <f t="shared" si="4"/>
        <v>Medium</v>
      </c>
      <c r="P100" s="27" t="str" cm="1">
        <f t="array" ref="P100">_xlfn.IFS( I100&lt;=25, "18–25",I100&lt;=35, "26–35",I100&lt;=45, "36–45",I100&lt;=55, "46–55",I100&lt;=65, "56–65",I100&gt;65, "65+")</f>
        <v>18–25</v>
      </c>
      <c r="Q100" s="16" t="str">
        <f t="shared" si="5"/>
        <v/>
      </c>
      <c r="R100" s="27" t="str" cm="1">
        <f t="array" ref="R100:S100">INDEX(Dataset2!$C$2:$D$101,MATCH(Dataset1!A100,Dataset2!$A$2:$A$101,0),{1,2})</f>
        <v>PhD</v>
      </c>
      <c r="S100" s="27" t="str">
        <v>Mooreburgh</v>
      </c>
    </row>
    <row r="101" spans="1:19" x14ac:dyDescent="0.25">
      <c r="A101" s="3">
        <v>6795</v>
      </c>
      <c r="B101" s="3" t="s">
        <v>242</v>
      </c>
      <c r="C101" s="3" t="s">
        <v>52</v>
      </c>
      <c r="D101" s="3" t="s">
        <v>53</v>
      </c>
      <c r="E101" s="4">
        <v>44912</v>
      </c>
      <c r="F101" s="3"/>
      <c r="G101" s="3" t="s">
        <v>25</v>
      </c>
      <c r="H101" s="3" t="s">
        <v>19</v>
      </c>
      <c r="I101" s="3">
        <v>46</v>
      </c>
      <c r="J101" s="5">
        <v>118871</v>
      </c>
      <c r="K101" s="3">
        <v>2</v>
      </c>
      <c r="L101" s="3">
        <v>11</v>
      </c>
      <c r="M101" s="3">
        <v>25</v>
      </c>
      <c r="N101" s="27">
        <f t="shared" si="3"/>
        <v>0</v>
      </c>
      <c r="O101" s="27" t="str">
        <f t="shared" si="4"/>
        <v>Low</v>
      </c>
      <c r="P101" s="27" t="str" cm="1">
        <f t="array" ref="P101">_xlfn.IFS( I101&lt;=25, "18–25",I101&lt;=35, "26–35",I101&lt;=45, "36–45",I101&lt;=55, "46–55",I101&lt;=65, "56–65",I101&gt;65, "65+")</f>
        <v>46–55</v>
      </c>
      <c r="Q101" s="16" t="str">
        <f t="shared" si="5"/>
        <v/>
      </c>
      <c r="R101" s="27" t="str" cm="1">
        <f t="array" ref="R101:S101">INDEX(Dataset2!$C$2:$D$101,MATCH(Dataset1!A101,Dataset2!$A$2:$A$101,0),{1,2})</f>
        <v>Master</v>
      </c>
      <c r="S101" s="27" t="str">
        <v>Mortonland</v>
      </c>
    </row>
  </sheetData>
  <autoFilter ref="A1:T101" xr:uid="{E0B7D558-384A-4001-B32C-3CFEE76FE8C6}"/>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60921-686B-4C41-B158-5B9B417EDE9E}">
  <dimension ref="A1:D101"/>
  <sheetViews>
    <sheetView workbookViewId="0">
      <selection sqref="A1:XFD1"/>
    </sheetView>
  </sheetViews>
  <sheetFormatPr defaultRowHeight="15" x14ac:dyDescent="0.25"/>
  <cols>
    <col min="1" max="1" width="12.42578125" bestFit="1" customWidth="1"/>
    <col min="2" max="2" width="21" bestFit="1" customWidth="1"/>
    <col min="3" max="3" width="15.42578125" bestFit="1" customWidth="1"/>
    <col min="4" max="4" width="21.42578125" bestFit="1" customWidth="1"/>
  </cols>
  <sheetData>
    <row r="1" spans="1:4" s="6" customFormat="1" x14ac:dyDescent="0.25">
      <c r="A1" s="15" t="s">
        <v>0</v>
      </c>
      <c r="B1" s="15" t="s">
        <v>1</v>
      </c>
      <c r="C1" s="15" t="s">
        <v>9</v>
      </c>
      <c r="D1" s="15" t="s">
        <v>10</v>
      </c>
    </row>
    <row r="2" spans="1:4" x14ac:dyDescent="0.25">
      <c r="A2" s="27">
        <v>5105</v>
      </c>
      <c r="B2" s="27" t="s">
        <v>22</v>
      </c>
      <c r="C2" s="27" t="s">
        <v>20</v>
      </c>
      <c r="D2" s="27" t="s">
        <v>27</v>
      </c>
    </row>
    <row r="3" spans="1:4" x14ac:dyDescent="0.25">
      <c r="A3" s="27">
        <v>2934</v>
      </c>
      <c r="B3" s="27" t="s">
        <v>28</v>
      </c>
      <c r="C3" s="27" t="s">
        <v>20</v>
      </c>
      <c r="D3" s="27" t="s">
        <v>31</v>
      </c>
    </row>
    <row r="4" spans="1:4" x14ac:dyDescent="0.25">
      <c r="A4" s="27">
        <v>8855</v>
      </c>
      <c r="B4" s="27" t="s">
        <v>123</v>
      </c>
      <c r="C4" s="27" t="s">
        <v>38</v>
      </c>
      <c r="D4" s="27" t="s">
        <v>124</v>
      </c>
    </row>
    <row r="5" spans="1:4" x14ac:dyDescent="0.25">
      <c r="A5" s="27">
        <v>1477</v>
      </c>
      <c r="B5" s="27" t="s">
        <v>56</v>
      </c>
      <c r="C5" s="27" t="s">
        <v>33</v>
      </c>
      <c r="D5" s="27" t="s">
        <v>57</v>
      </c>
    </row>
    <row r="6" spans="1:4" x14ac:dyDescent="0.25">
      <c r="A6" s="27">
        <v>7732</v>
      </c>
      <c r="B6" s="27" t="s">
        <v>100</v>
      </c>
      <c r="C6" s="27" t="s">
        <v>38</v>
      </c>
      <c r="D6" s="27" t="s">
        <v>101</v>
      </c>
    </row>
    <row r="7" spans="1:4" x14ac:dyDescent="0.25">
      <c r="A7" s="27">
        <v>8146</v>
      </c>
      <c r="B7" s="27" t="s">
        <v>192</v>
      </c>
      <c r="C7" s="27" t="s">
        <v>20</v>
      </c>
      <c r="D7" s="27" t="s">
        <v>193</v>
      </c>
    </row>
    <row r="8" spans="1:4" x14ac:dyDescent="0.25">
      <c r="A8" s="27">
        <v>4601</v>
      </c>
      <c r="B8" s="27" t="s">
        <v>32</v>
      </c>
      <c r="C8" s="27" t="s">
        <v>33</v>
      </c>
      <c r="D8" s="27" t="s">
        <v>34</v>
      </c>
    </row>
    <row r="9" spans="1:4" x14ac:dyDescent="0.25">
      <c r="A9" s="27">
        <v>2997</v>
      </c>
      <c r="B9" s="27" t="s">
        <v>216</v>
      </c>
      <c r="C9" s="27" t="s">
        <v>62</v>
      </c>
      <c r="D9" s="27" t="s">
        <v>217</v>
      </c>
    </row>
    <row r="10" spans="1:4" x14ac:dyDescent="0.25">
      <c r="A10" s="27">
        <v>1283</v>
      </c>
      <c r="B10" s="27" t="s">
        <v>102</v>
      </c>
      <c r="C10" s="27" t="s">
        <v>38</v>
      </c>
      <c r="D10" s="27" t="s">
        <v>103</v>
      </c>
    </row>
    <row r="11" spans="1:4" x14ac:dyDescent="0.25">
      <c r="A11" s="27">
        <v>3581</v>
      </c>
      <c r="B11" s="27" t="s">
        <v>220</v>
      </c>
      <c r="C11" s="27" t="s">
        <v>33</v>
      </c>
      <c r="D11" s="27" t="s">
        <v>221</v>
      </c>
    </row>
    <row r="12" spans="1:4" x14ac:dyDescent="0.25">
      <c r="A12" s="27">
        <v>2287</v>
      </c>
      <c r="B12" s="27" t="s">
        <v>127</v>
      </c>
      <c r="C12" s="27" t="s">
        <v>45</v>
      </c>
      <c r="D12" s="27" t="s">
        <v>128</v>
      </c>
    </row>
    <row r="13" spans="1:4" x14ac:dyDescent="0.25">
      <c r="A13" s="27">
        <v>1161</v>
      </c>
      <c r="B13" s="27" t="s">
        <v>224</v>
      </c>
      <c r="C13" s="27" t="s">
        <v>33</v>
      </c>
      <c r="D13" s="27" t="s">
        <v>225</v>
      </c>
    </row>
    <row r="14" spans="1:4" x14ac:dyDescent="0.25">
      <c r="A14" s="27">
        <v>7646</v>
      </c>
      <c r="B14" s="27" t="s">
        <v>238</v>
      </c>
      <c r="C14" s="27" t="s">
        <v>45</v>
      </c>
      <c r="D14" s="27" t="s">
        <v>239</v>
      </c>
    </row>
    <row r="15" spans="1:4" x14ac:dyDescent="0.25">
      <c r="A15" s="27">
        <v>1416</v>
      </c>
      <c r="B15" s="27" t="s">
        <v>139</v>
      </c>
      <c r="C15" s="27" t="s">
        <v>38</v>
      </c>
      <c r="D15" s="27" t="s">
        <v>140</v>
      </c>
    </row>
    <row r="16" spans="1:4" x14ac:dyDescent="0.25">
      <c r="A16" s="27">
        <v>2841</v>
      </c>
      <c r="B16" s="27" t="s">
        <v>148</v>
      </c>
      <c r="C16" s="27" t="s">
        <v>62</v>
      </c>
      <c r="D16" s="27" t="s">
        <v>149</v>
      </c>
    </row>
    <row r="17" spans="1:4" x14ac:dyDescent="0.25">
      <c r="A17" s="27">
        <v>3165</v>
      </c>
      <c r="B17" s="27" t="s">
        <v>214</v>
      </c>
      <c r="C17" s="27" t="s">
        <v>38</v>
      </c>
      <c r="D17" s="27" t="s">
        <v>215</v>
      </c>
    </row>
    <row r="18" spans="1:4" x14ac:dyDescent="0.25">
      <c r="A18" s="27">
        <v>9533</v>
      </c>
      <c r="B18" s="27" t="s">
        <v>186</v>
      </c>
      <c r="C18" s="27" t="s">
        <v>45</v>
      </c>
      <c r="D18" s="27" t="s">
        <v>187</v>
      </c>
    </row>
    <row r="19" spans="1:4" x14ac:dyDescent="0.25">
      <c r="A19" s="27">
        <v>6155</v>
      </c>
      <c r="B19" s="27" t="s">
        <v>170</v>
      </c>
      <c r="C19" s="27" t="s">
        <v>45</v>
      </c>
      <c r="D19" s="27" t="s">
        <v>171</v>
      </c>
    </row>
    <row r="20" spans="1:4" x14ac:dyDescent="0.25">
      <c r="A20" s="27">
        <v>1854</v>
      </c>
      <c r="B20" s="27" t="s">
        <v>218</v>
      </c>
      <c r="C20" s="27" t="s">
        <v>45</v>
      </c>
      <c r="D20" s="27" t="s">
        <v>219</v>
      </c>
    </row>
    <row r="21" spans="1:4" x14ac:dyDescent="0.25">
      <c r="A21" s="27">
        <v>7251</v>
      </c>
      <c r="B21" s="27" t="s">
        <v>135</v>
      </c>
      <c r="C21" s="27" t="s">
        <v>45</v>
      </c>
      <c r="D21" s="27" t="s">
        <v>136</v>
      </c>
    </row>
    <row r="22" spans="1:4" x14ac:dyDescent="0.25">
      <c r="A22" s="27">
        <v>6895</v>
      </c>
      <c r="B22" s="27" t="s">
        <v>125</v>
      </c>
      <c r="C22" s="27" t="s">
        <v>38</v>
      </c>
      <c r="D22" s="27" t="s">
        <v>126</v>
      </c>
    </row>
    <row r="23" spans="1:4" x14ac:dyDescent="0.25">
      <c r="A23" s="27">
        <v>1433</v>
      </c>
      <c r="B23" s="27" t="s">
        <v>196</v>
      </c>
      <c r="C23" s="27" t="s">
        <v>45</v>
      </c>
      <c r="D23" s="27" t="s">
        <v>197</v>
      </c>
    </row>
    <row r="24" spans="1:4" x14ac:dyDescent="0.25">
      <c r="A24" s="27">
        <v>7364</v>
      </c>
      <c r="B24" s="27" t="s">
        <v>121</v>
      </c>
      <c r="C24" s="27" t="s">
        <v>62</v>
      </c>
      <c r="D24" s="27" t="s">
        <v>122</v>
      </c>
    </row>
    <row r="25" spans="1:4" x14ac:dyDescent="0.25">
      <c r="A25" s="27">
        <v>3897</v>
      </c>
      <c r="B25" s="27" t="s">
        <v>51</v>
      </c>
      <c r="C25" s="27" t="s">
        <v>20</v>
      </c>
      <c r="D25" s="27" t="s">
        <v>55</v>
      </c>
    </row>
    <row r="26" spans="1:4" x14ac:dyDescent="0.25">
      <c r="A26" s="27">
        <v>3597</v>
      </c>
      <c r="B26" s="27" t="s">
        <v>152</v>
      </c>
      <c r="C26" s="27" t="s">
        <v>38</v>
      </c>
      <c r="D26" s="27" t="s">
        <v>153</v>
      </c>
    </row>
    <row r="27" spans="1:4" x14ac:dyDescent="0.25">
      <c r="A27" s="27">
        <v>1182</v>
      </c>
      <c r="B27" s="27" t="s">
        <v>73</v>
      </c>
      <c r="C27" s="27" t="s">
        <v>38</v>
      </c>
      <c r="D27" s="27" t="s">
        <v>74</v>
      </c>
    </row>
    <row r="28" spans="1:4" x14ac:dyDescent="0.25">
      <c r="A28" s="27">
        <v>7271</v>
      </c>
      <c r="B28" s="27" t="s">
        <v>240</v>
      </c>
      <c r="C28" s="27" t="s">
        <v>33</v>
      </c>
      <c r="D28" s="27" t="s">
        <v>241</v>
      </c>
    </row>
    <row r="29" spans="1:4" x14ac:dyDescent="0.25">
      <c r="A29" s="27">
        <v>1149</v>
      </c>
      <c r="B29" s="27" t="s">
        <v>133</v>
      </c>
      <c r="C29" s="27" t="s">
        <v>45</v>
      </c>
      <c r="D29" s="27" t="s">
        <v>134</v>
      </c>
    </row>
    <row r="30" spans="1:4" x14ac:dyDescent="0.25">
      <c r="A30" s="27">
        <v>5382</v>
      </c>
      <c r="B30" s="27" t="s">
        <v>194</v>
      </c>
      <c r="C30" s="27" t="s">
        <v>38</v>
      </c>
      <c r="D30" s="27" t="s">
        <v>195</v>
      </c>
    </row>
    <row r="31" spans="1:4" x14ac:dyDescent="0.25">
      <c r="A31" s="27">
        <v>8200</v>
      </c>
      <c r="B31" s="27" t="s">
        <v>67</v>
      </c>
      <c r="C31" s="27" t="s">
        <v>62</v>
      </c>
      <c r="D31" s="27" t="s">
        <v>68</v>
      </c>
    </row>
    <row r="32" spans="1:4" x14ac:dyDescent="0.25">
      <c r="A32" s="27">
        <v>1482</v>
      </c>
      <c r="B32" s="27" t="s">
        <v>94</v>
      </c>
      <c r="C32" s="27" t="s">
        <v>45</v>
      </c>
      <c r="D32" s="27" t="s">
        <v>95</v>
      </c>
    </row>
    <row r="33" spans="1:4" x14ac:dyDescent="0.25">
      <c r="A33" s="27">
        <v>5762</v>
      </c>
      <c r="B33" s="27" t="s">
        <v>129</v>
      </c>
      <c r="C33" s="27" t="s">
        <v>20</v>
      </c>
      <c r="D33" s="27" t="s">
        <v>130</v>
      </c>
    </row>
    <row r="34" spans="1:4" x14ac:dyDescent="0.25">
      <c r="A34" s="27">
        <v>2453</v>
      </c>
      <c r="B34" s="27" t="s">
        <v>234</v>
      </c>
      <c r="C34" s="27" t="s">
        <v>62</v>
      </c>
      <c r="D34" s="27" t="s">
        <v>235</v>
      </c>
    </row>
    <row r="35" spans="1:4" x14ac:dyDescent="0.25">
      <c r="A35" s="27">
        <v>7479</v>
      </c>
      <c r="B35" s="27" t="s">
        <v>98</v>
      </c>
      <c r="C35" s="27" t="s">
        <v>45</v>
      </c>
      <c r="D35" s="27" t="s">
        <v>99</v>
      </c>
    </row>
    <row r="36" spans="1:4" x14ac:dyDescent="0.25">
      <c r="A36" s="27">
        <v>8580</v>
      </c>
      <c r="B36" s="27" t="s">
        <v>104</v>
      </c>
      <c r="C36" s="27" t="s">
        <v>62</v>
      </c>
      <c r="D36" s="27" t="s">
        <v>106</v>
      </c>
    </row>
    <row r="37" spans="1:4" x14ac:dyDescent="0.25">
      <c r="A37" s="27">
        <v>1298</v>
      </c>
      <c r="B37" s="27" t="s">
        <v>188</v>
      </c>
      <c r="C37" s="27" t="s">
        <v>38</v>
      </c>
      <c r="D37" s="27" t="s">
        <v>189</v>
      </c>
    </row>
    <row r="38" spans="1:4" x14ac:dyDescent="0.25">
      <c r="A38" s="27">
        <v>1752</v>
      </c>
      <c r="B38" s="27" t="s">
        <v>236</v>
      </c>
      <c r="C38" s="27" t="s">
        <v>20</v>
      </c>
      <c r="D38" s="27" t="s">
        <v>237</v>
      </c>
    </row>
    <row r="39" spans="1:4" x14ac:dyDescent="0.25">
      <c r="A39" s="27">
        <v>9637</v>
      </c>
      <c r="B39" s="27" t="s">
        <v>60</v>
      </c>
      <c r="C39" s="27" t="s">
        <v>62</v>
      </c>
      <c r="D39" s="27" t="s">
        <v>63</v>
      </c>
    </row>
    <row r="40" spans="1:4" x14ac:dyDescent="0.25">
      <c r="A40" s="27">
        <v>4141</v>
      </c>
      <c r="B40" s="27" t="s">
        <v>113</v>
      </c>
      <c r="C40" s="27" t="s">
        <v>38</v>
      </c>
      <c r="D40" s="27" t="s">
        <v>114</v>
      </c>
    </row>
    <row r="41" spans="1:4" x14ac:dyDescent="0.25">
      <c r="A41" s="27">
        <v>3962</v>
      </c>
      <c r="B41" s="27" t="s">
        <v>109</v>
      </c>
      <c r="C41" s="27" t="s">
        <v>62</v>
      </c>
      <c r="D41" s="27" t="s">
        <v>110</v>
      </c>
    </row>
    <row r="42" spans="1:4" x14ac:dyDescent="0.25">
      <c r="A42" s="27">
        <v>9903</v>
      </c>
      <c r="B42" s="27" t="s">
        <v>166</v>
      </c>
      <c r="C42" s="27" t="s">
        <v>38</v>
      </c>
      <c r="D42" s="27" t="s">
        <v>167</v>
      </c>
    </row>
    <row r="43" spans="1:4" x14ac:dyDescent="0.25">
      <c r="A43" s="27">
        <v>7047</v>
      </c>
      <c r="B43" s="27" t="s">
        <v>232</v>
      </c>
      <c r="C43" s="27" t="s">
        <v>33</v>
      </c>
      <c r="D43" s="27" t="s">
        <v>233</v>
      </c>
    </row>
    <row r="44" spans="1:4" x14ac:dyDescent="0.25">
      <c r="A44" s="27">
        <v>3081</v>
      </c>
      <c r="B44" s="27" t="s">
        <v>87</v>
      </c>
      <c r="C44" s="27" t="s">
        <v>45</v>
      </c>
      <c r="D44" s="27" t="s">
        <v>88</v>
      </c>
    </row>
    <row r="45" spans="1:4" x14ac:dyDescent="0.25">
      <c r="A45" s="27">
        <v>8230</v>
      </c>
      <c r="B45" s="27" t="s">
        <v>131</v>
      </c>
      <c r="C45" s="27" t="s">
        <v>20</v>
      </c>
      <c r="D45" s="27" t="s">
        <v>132</v>
      </c>
    </row>
    <row r="46" spans="1:4" x14ac:dyDescent="0.25">
      <c r="A46" s="27">
        <v>1593</v>
      </c>
      <c r="B46" s="27" t="s">
        <v>40</v>
      </c>
      <c r="C46" s="27" t="s">
        <v>38</v>
      </c>
      <c r="D46" s="27" t="s">
        <v>43</v>
      </c>
    </row>
    <row r="47" spans="1:4" x14ac:dyDescent="0.25">
      <c r="A47" s="27">
        <v>2597</v>
      </c>
      <c r="B47" s="27" t="s">
        <v>168</v>
      </c>
      <c r="C47" s="27" t="s">
        <v>33</v>
      </c>
      <c r="D47" s="27" t="s">
        <v>169</v>
      </c>
    </row>
    <row r="48" spans="1:4" x14ac:dyDescent="0.25">
      <c r="A48" s="27">
        <v>7771</v>
      </c>
      <c r="B48" s="27" t="s">
        <v>210</v>
      </c>
      <c r="C48" s="27" t="s">
        <v>38</v>
      </c>
      <c r="D48" s="27" t="s">
        <v>211</v>
      </c>
    </row>
    <row r="49" spans="1:4" x14ac:dyDescent="0.25">
      <c r="A49" s="27">
        <v>2213</v>
      </c>
      <c r="B49" s="27" t="s">
        <v>202</v>
      </c>
      <c r="C49" s="27" t="s">
        <v>38</v>
      </c>
      <c r="D49" s="27" t="s">
        <v>203</v>
      </c>
    </row>
    <row r="50" spans="1:4" x14ac:dyDescent="0.25">
      <c r="A50" s="27">
        <v>2498</v>
      </c>
      <c r="B50" s="27" t="s">
        <v>44</v>
      </c>
      <c r="C50" s="27" t="s">
        <v>45</v>
      </c>
      <c r="D50" s="27" t="s">
        <v>46</v>
      </c>
    </row>
    <row r="51" spans="1:4" x14ac:dyDescent="0.25">
      <c r="A51" s="27">
        <v>9915</v>
      </c>
      <c r="B51" s="27" t="s">
        <v>222</v>
      </c>
      <c r="C51" s="27" t="s">
        <v>45</v>
      </c>
      <c r="D51" s="27" t="s">
        <v>223</v>
      </c>
    </row>
    <row r="52" spans="1:4" x14ac:dyDescent="0.25">
      <c r="A52" s="27">
        <v>3157</v>
      </c>
      <c r="B52" s="27" t="s">
        <v>81</v>
      </c>
      <c r="C52" s="27" t="s">
        <v>20</v>
      </c>
      <c r="D52" s="27" t="s">
        <v>83</v>
      </c>
    </row>
    <row r="53" spans="1:4" x14ac:dyDescent="0.25">
      <c r="A53" s="27">
        <v>8934</v>
      </c>
      <c r="B53" s="27" t="s">
        <v>164</v>
      </c>
      <c r="C53" s="27" t="s">
        <v>20</v>
      </c>
      <c r="D53" s="27" t="s">
        <v>165</v>
      </c>
    </row>
    <row r="54" spans="1:4" x14ac:dyDescent="0.25">
      <c r="A54" s="27">
        <v>1849</v>
      </c>
      <c r="B54" s="27" t="s">
        <v>174</v>
      </c>
      <c r="C54" s="27" t="s">
        <v>20</v>
      </c>
      <c r="D54" s="27" t="s">
        <v>175</v>
      </c>
    </row>
    <row r="55" spans="1:4" x14ac:dyDescent="0.25">
      <c r="A55" s="27">
        <v>8584</v>
      </c>
      <c r="B55" s="27" t="s">
        <v>49</v>
      </c>
      <c r="C55" s="27" t="s">
        <v>45</v>
      </c>
      <c r="D55" s="27" t="s">
        <v>50</v>
      </c>
    </row>
    <row r="56" spans="1:4" x14ac:dyDescent="0.25">
      <c r="A56" s="27">
        <v>6795</v>
      </c>
      <c r="B56" s="27" t="s">
        <v>242</v>
      </c>
      <c r="C56" s="27" t="s">
        <v>20</v>
      </c>
      <c r="D56" s="27" t="s">
        <v>243</v>
      </c>
    </row>
    <row r="57" spans="1:4" x14ac:dyDescent="0.25">
      <c r="A57" s="27">
        <v>7857</v>
      </c>
      <c r="B57" s="27" t="s">
        <v>228</v>
      </c>
      <c r="C57" s="27" t="s">
        <v>33</v>
      </c>
      <c r="D57" s="27" t="s">
        <v>229</v>
      </c>
    </row>
    <row r="58" spans="1:4" x14ac:dyDescent="0.25">
      <c r="A58" s="27">
        <v>4264</v>
      </c>
      <c r="B58" s="27" t="s">
        <v>37</v>
      </c>
      <c r="C58" s="27" t="s">
        <v>38</v>
      </c>
      <c r="D58" s="27" t="s">
        <v>39</v>
      </c>
    </row>
    <row r="59" spans="1:4" x14ac:dyDescent="0.25">
      <c r="A59" s="27">
        <v>5229</v>
      </c>
      <c r="B59" s="27" t="s">
        <v>190</v>
      </c>
      <c r="C59" s="27" t="s">
        <v>62</v>
      </c>
      <c r="D59" s="27" t="s">
        <v>191</v>
      </c>
    </row>
    <row r="60" spans="1:4" x14ac:dyDescent="0.25">
      <c r="A60" s="27">
        <v>3783</v>
      </c>
      <c r="B60" s="27" t="s">
        <v>178</v>
      </c>
      <c r="C60" s="27" t="s">
        <v>20</v>
      </c>
      <c r="D60" s="27" t="s">
        <v>179</v>
      </c>
    </row>
    <row r="61" spans="1:4" x14ac:dyDescent="0.25">
      <c r="A61" s="27">
        <v>1136</v>
      </c>
      <c r="B61" s="27" t="s">
        <v>89</v>
      </c>
      <c r="C61" s="27" t="s">
        <v>45</v>
      </c>
      <c r="D61" s="27" t="s">
        <v>91</v>
      </c>
    </row>
    <row r="62" spans="1:4" x14ac:dyDescent="0.25">
      <c r="A62" s="27">
        <v>4207</v>
      </c>
      <c r="B62" s="27" t="s">
        <v>143</v>
      </c>
      <c r="C62" s="27" t="s">
        <v>38</v>
      </c>
      <c r="D62" s="27" t="s">
        <v>144</v>
      </c>
    </row>
    <row r="63" spans="1:4" x14ac:dyDescent="0.25">
      <c r="A63" s="27">
        <v>9988</v>
      </c>
      <c r="B63" s="27" t="s">
        <v>230</v>
      </c>
      <c r="C63" s="27" t="s">
        <v>20</v>
      </c>
      <c r="D63" s="27" t="s">
        <v>231</v>
      </c>
    </row>
    <row r="64" spans="1:4" x14ac:dyDescent="0.25">
      <c r="A64" s="27">
        <v>2514</v>
      </c>
      <c r="B64" s="27" t="s">
        <v>117</v>
      </c>
      <c r="C64" s="27" t="s">
        <v>62</v>
      </c>
      <c r="D64" s="27" t="s">
        <v>118</v>
      </c>
    </row>
    <row r="65" spans="1:4" x14ac:dyDescent="0.25">
      <c r="A65" s="27">
        <v>1058</v>
      </c>
      <c r="B65" s="27" t="s">
        <v>160</v>
      </c>
      <c r="C65" s="27" t="s">
        <v>38</v>
      </c>
      <c r="D65" s="27" t="s">
        <v>161</v>
      </c>
    </row>
    <row r="66" spans="1:4" x14ac:dyDescent="0.25">
      <c r="A66" s="27">
        <v>8564</v>
      </c>
      <c r="B66" s="27" t="s">
        <v>145</v>
      </c>
      <c r="C66" s="27" t="s">
        <v>38</v>
      </c>
      <c r="D66" s="27" t="s">
        <v>147</v>
      </c>
    </row>
    <row r="67" spans="1:4" x14ac:dyDescent="0.25">
      <c r="A67" s="27">
        <v>2560</v>
      </c>
      <c r="B67" s="27" t="s">
        <v>47</v>
      </c>
      <c r="C67" s="27" t="s">
        <v>33</v>
      </c>
      <c r="D67" s="27" t="s">
        <v>48</v>
      </c>
    </row>
    <row r="68" spans="1:4" x14ac:dyDescent="0.25">
      <c r="A68" s="27">
        <v>9121</v>
      </c>
      <c r="B68" s="27" t="s">
        <v>15</v>
      </c>
      <c r="C68" s="27" t="s">
        <v>20</v>
      </c>
      <c r="D68" s="27" t="s">
        <v>21</v>
      </c>
    </row>
    <row r="69" spans="1:4" x14ac:dyDescent="0.25">
      <c r="A69" s="27">
        <v>3003</v>
      </c>
      <c r="B69" s="27" t="s">
        <v>156</v>
      </c>
      <c r="C69" s="27" t="s">
        <v>38</v>
      </c>
      <c r="D69" s="27" t="s">
        <v>157</v>
      </c>
    </row>
    <row r="70" spans="1:4" x14ac:dyDescent="0.25">
      <c r="A70" s="27">
        <v>7494</v>
      </c>
      <c r="B70" s="27" t="s">
        <v>208</v>
      </c>
      <c r="C70" s="27" t="s">
        <v>20</v>
      </c>
      <c r="D70" s="27" t="s">
        <v>209</v>
      </c>
    </row>
    <row r="71" spans="1:4" x14ac:dyDescent="0.25">
      <c r="A71" s="27">
        <v>9921</v>
      </c>
      <c r="B71" s="27" t="s">
        <v>180</v>
      </c>
      <c r="C71" s="27" t="s">
        <v>45</v>
      </c>
      <c r="D71" s="27" t="s">
        <v>181</v>
      </c>
    </row>
    <row r="72" spans="1:4" x14ac:dyDescent="0.25">
      <c r="A72" s="27">
        <v>2568</v>
      </c>
      <c r="B72" s="27" t="s">
        <v>107</v>
      </c>
      <c r="C72" s="27" t="s">
        <v>38</v>
      </c>
      <c r="D72" s="27" t="s">
        <v>108</v>
      </c>
    </row>
    <row r="73" spans="1:4" x14ac:dyDescent="0.25">
      <c r="A73" s="27">
        <v>3308</v>
      </c>
      <c r="B73" s="27" t="s">
        <v>92</v>
      </c>
      <c r="C73" s="27" t="s">
        <v>45</v>
      </c>
      <c r="D73" s="27" t="s">
        <v>93</v>
      </c>
    </row>
    <row r="74" spans="1:4" x14ac:dyDescent="0.25">
      <c r="A74" s="27">
        <v>8327</v>
      </c>
      <c r="B74" s="27" t="s">
        <v>200</v>
      </c>
      <c r="C74" s="27" t="s">
        <v>62</v>
      </c>
      <c r="D74" s="27" t="s">
        <v>201</v>
      </c>
    </row>
    <row r="75" spans="1:4" x14ac:dyDescent="0.25">
      <c r="A75" s="27">
        <v>8795</v>
      </c>
      <c r="B75" s="27" t="s">
        <v>198</v>
      </c>
      <c r="C75" s="27" t="s">
        <v>38</v>
      </c>
      <c r="D75" s="27" t="s">
        <v>199</v>
      </c>
    </row>
    <row r="76" spans="1:4" x14ac:dyDescent="0.25">
      <c r="A76" s="27">
        <v>1778</v>
      </c>
      <c r="B76" s="27" t="s">
        <v>69</v>
      </c>
      <c r="C76" s="27" t="s">
        <v>38</v>
      </c>
      <c r="D76" s="27" t="s">
        <v>72</v>
      </c>
    </row>
    <row r="77" spans="1:4" x14ac:dyDescent="0.25">
      <c r="A77" s="27">
        <v>6768</v>
      </c>
      <c r="B77" s="27" t="s">
        <v>150</v>
      </c>
      <c r="C77" s="27" t="s">
        <v>38</v>
      </c>
      <c r="D77" s="27" t="s">
        <v>151</v>
      </c>
    </row>
    <row r="78" spans="1:4" x14ac:dyDescent="0.25">
      <c r="A78" s="27">
        <v>4350</v>
      </c>
      <c r="B78" s="27" t="s">
        <v>212</v>
      </c>
      <c r="C78" s="27" t="s">
        <v>62</v>
      </c>
      <c r="D78" s="27" t="s">
        <v>213</v>
      </c>
    </row>
    <row r="79" spans="1:4" x14ac:dyDescent="0.25">
      <c r="A79" s="27">
        <v>4362</v>
      </c>
      <c r="B79" s="27" t="s">
        <v>84</v>
      </c>
      <c r="C79" s="27" t="s">
        <v>33</v>
      </c>
      <c r="D79" s="27" t="s">
        <v>86</v>
      </c>
    </row>
    <row r="80" spans="1:4" x14ac:dyDescent="0.25">
      <c r="A80" s="27">
        <v>8563</v>
      </c>
      <c r="B80" s="27" t="s">
        <v>119</v>
      </c>
      <c r="C80" s="27" t="s">
        <v>20</v>
      </c>
      <c r="D80" s="27" t="s">
        <v>120</v>
      </c>
    </row>
    <row r="81" spans="1:4" x14ac:dyDescent="0.25">
      <c r="A81" s="27">
        <v>6688</v>
      </c>
      <c r="B81" s="27" t="s">
        <v>137</v>
      </c>
      <c r="C81" s="27" t="s">
        <v>20</v>
      </c>
      <c r="D81" s="27" t="s">
        <v>138</v>
      </c>
    </row>
    <row r="82" spans="1:4" x14ac:dyDescent="0.25">
      <c r="A82" s="27">
        <v>4592</v>
      </c>
      <c r="B82" s="27" t="s">
        <v>96</v>
      </c>
      <c r="C82" s="27" t="s">
        <v>20</v>
      </c>
      <c r="D82" s="27" t="s">
        <v>97</v>
      </c>
    </row>
    <row r="83" spans="1:4" x14ac:dyDescent="0.25">
      <c r="A83" s="27">
        <v>7051</v>
      </c>
      <c r="B83" s="27" t="s">
        <v>58</v>
      </c>
      <c r="C83" s="27" t="s">
        <v>38</v>
      </c>
      <c r="D83" s="27" t="s">
        <v>59</v>
      </c>
    </row>
    <row r="84" spans="1:4" x14ac:dyDescent="0.25">
      <c r="A84" s="27">
        <v>2805</v>
      </c>
      <c r="B84" s="27" t="s">
        <v>35</v>
      </c>
      <c r="C84" s="27" t="s">
        <v>20</v>
      </c>
      <c r="D84" s="27" t="s">
        <v>36</v>
      </c>
    </row>
    <row r="85" spans="1:4" x14ac:dyDescent="0.25">
      <c r="A85" s="27">
        <v>2123</v>
      </c>
      <c r="B85" s="27" t="s">
        <v>154</v>
      </c>
      <c r="C85" s="27" t="s">
        <v>38</v>
      </c>
      <c r="D85" s="27" t="s">
        <v>155</v>
      </c>
    </row>
    <row r="86" spans="1:4" x14ac:dyDescent="0.25">
      <c r="A86" s="27">
        <v>8719</v>
      </c>
      <c r="B86" s="27" t="s">
        <v>206</v>
      </c>
      <c r="C86" s="27" t="s">
        <v>20</v>
      </c>
      <c r="D86" s="27" t="s">
        <v>207</v>
      </c>
    </row>
    <row r="87" spans="1:4" x14ac:dyDescent="0.25">
      <c r="A87" s="27">
        <v>9111</v>
      </c>
      <c r="B87" s="27" t="s">
        <v>204</v>
      </c>
      <c r="C87" s="27" t="s">
        <v>33</v>
      </c>
      <c r="D87" s="27" t="s">
        <v>205</v>
      </c>
    </row>
    <row r="88" spans="1:4" x14ac:dyDescent="0.25">
      <c r="A88" s="27">
        <v>6831</v>
      </c>
      <c r="B88" s="27" t="s">
        <v>172</v>
      </c>
      <c r="C88" s="27" t="s">
        <v>20</v>
      </c>
      <c r="D88" s="27" t="s">
        <v>173</v>
      </c>
    </row>
    <row r="89" spans="1:4" x14ac:dyDescent="0.25">
      <c r="A89" s="27">
        <v>4528</v>
      </c>
      <c r="B89" s="27" t="s">
        <v>79</v>
      </c>
      <c r="C89" s="27" t="s">
        <v>33</v>
      </c>
      <c r="D89" s="27" t="s">
        <v>80</v>
      </c>
    </row>
    <row r="90" spans="1:4" x14ac:dyDescent="0.25">
      <c r="A90" s="27">
        <v>2366</v>
      </c>
      <c r="B90" s="27" t="s">
        <v>158</v>
      </c>
      <c r="C90" s="27" t="s">
        <v>45</v>
      </c>
      <c r="D90" s="27" t="s">
        <v>159</v>
      </c>
    </row>
    <row r="91" spans="1:4" x14ac:dyDescent="0.25">
      <c r="A91" s="27">
        <v>4475</v>
      </c>
      <c r="B91" s="27" t="s">
        <v>226</v>
      </c>
      <c r="C91" s="27" t="s">
        <v>20</v>
      </c>
      <c r="D91" s="27" t="s">
        <v>227</v>
      </c>
    </row>
    <row r="92" spans="1:4" x14ac:dyDescent="0.25">
      <c r="A92" s="27">
        <v>3618</v>
      </c>
      <c r="B92" s="27" t="s">
        <v>162</v>
      </c>
      <c r="C92" s="27" t="s">
        <v>38</v>
      </c>
      <c r="D92" s="27" t="s">
        <v>163</v>
      </c>
    </row>
    <row r="93" spans="1:4" x14ac:dyDescent="0.25">
      <c r="A93" s="27">
        <v>3599</v>
      </c>
      <c r="B93" s="27" t="s">
        <v>115</v>
      </c>
      <c r="C93" s="27" t="s">
        <v>20</v>
      </c>
      <c r="D93" s="27" t="s">
        <v>116</v>
      </c>
    </row>
    <row r="94" spans="1:4" x14ac:dyDescent="0.25">
      <c r="A94" s="27">
        <v>3843</v>
      </c>
      <c r="B94" s="27" t="s">
        <v>184</v>
      </c>
      <c r="C94" s="27" t="s">
        <v>33</v>
      </c>
      <c r="D94" s="27" t="s">
        <v>185</v>
      </c>
    </row>
    <row r="95" spans="1:4" x14ac:dyDescent="0.25">
      <c r="A95" s="27">
        <v>3620</v>
      </c>
      <c r="B95" s="27" t="s">
        <v>182</v>
      </c>
      <c r="C95" s="27" t="s">
        <v>38</v>
      </c>
      <c r="D95" s="27" t="s">
        <v>183</v>
      </c>
    </row>
    <row r="96" spans="1:4" x14ac:dyDescent="0.25">
      <c r="A96" s="27">
        <v>4235</v>
      </c>
      <c r="B96" s="27" t="s">
        <v>77</v>
      </c>
      <c r="C96" s="27" t="s">
        <v>45</v>
      </c>
      <c r="D96" s="27" t="s">
        <v>78</v>
      </c>
    </row>
    <row r="97" spans="1:4" x14ac:dyDescent="0.25">
      <c r="A97" s="27">
        <v>5884</v>
      </c>
      <c r="B97" s="27" t="s">
        <v>141</v>
      </c>
      <c r="C97" s="27" t="s">
        <v>62</v>
      </c>
      <c r="D97" s="27" t="s">
        <v>142</v>
      </c>
    </row>
    <row r="98" spans="1:4" x14ac:dyDescent="0.25">
      <c r="A98" s="27">
        <v>9110</v>
      </c>
      <c r="B98" s="27" t="s">
        <v>64</v>
      </c>
      <c r="C98" s="27" t="s">
        <v>38</v>
      </c>
      <c r="D98" s="27" t="s">
        <v>66</v>
      </c>
    </row>
    <row r="99" spans="1:4" x14ac:dyDescent="0.25">
      <c r="A99" s="27">
        <v>3178</v>
      </c>
      <c r="B99" s="27" t="s">
        <v>111</v>
      </c>
      <c r="C99" s="27" t="s">
        <v>33</v>
      </c>
      <c r="D99" s="27" t="s">
        <v>112</v>
      </c>
    </row>
    <row r="100" spans="1:4" x14ac:dyDescent="0.25">
      <c r="A100" s="27">
        <v>2091</v>
      </c>
      <c r="B100" s="27" t="s">
        <v>176</v>
      </c>
      <c r="C100" s="27" t="s">
        <v>45</v>
      </c>
      <c r="D100" s="27" t="s">
        <v>177</v>
      </c>
    </row>
    <row r="101" spans="1:4" x14ac:dyDescent="0.25">
      <c r="A101" s="27">
        <v>4254</v>
      </c>
      <c r="B101" s="27" t="s">
        <v>75</v>
      </c>
      <c r="C101" s="27" t="s">
        <v>38</v>
      </c>
      <c r="D101" s="27" t="s">
        <v>76</v>
      </c>
    </row>
  </sheetData>
  <autoFilter ref="A1:D101" xr:uid="{1EC60921-686B-4C41-B158-5B9B417EDE9E}"/>
  <sortState xmlns:xlrd2="http://schemas.microsoft.com/office/spreadsheetml/2017/richdata2" ref="A2:D101">
    <sortCondition ref="B2:B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Business Questions</vt:lpstr>
      <vt:lpstr>Analysis</vt:lpstr>
      <vt:lpstr>Dashboard</vt:lpstr>
      <vt:lpstr>Dataset1</vt:lpstr>
      <vt:lpstr>Dataset2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Lilla Katona</dc:creator>
  <cp:lastModifiedBy>Lilla Katona</cp:lastModifiedBy>
  <cp:lastPrinted>2025-05-06T15:07:18Z</cp:lastPrinted>
  <dcterms:created xsi:type="dcterms:W3CDTF">2025-05-06T11:00:12Z</dcterms:created>
  <dcterms:modified xsi:type="dcterms:W3CDTF">2025-05-07T11:48:05Z</dcterms:modified>
</cp:coreProperties>
</file>